
<file path=[Content_Types].xml><?xml version="1.0" encoding="utf-8"?>
<Types xmlns="http://schemas.openxmlformats.org/package/2006/content-types">
  <Default Extension="bin" ContentType="application/vnd.openxmlformats-officedocument.spreadsheetml.printerSettings"/>
  <Default Extension="tmp"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harts/chart3.xml" ContentType="application/vnd.openxmlformats-officedocument.drawingml.chart+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harts/chart7.xml" ContentType="application/vnd.openxmlformats-officedocument.drawingml.chart+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edwards\Desktop\"/>
    </mc:Choice>
  </mc:AlternateContent>
  <bookViews>
    <workbookView xWindow="0" yWindow="0" windowWidth="28800" windowHeight="12435" tabRatio="862"/>
  </bookViews>
  <sheets>
    <sheet name="ReadMe" sheetId="90" r:id="rId1"/>
    <sheet name="CostData" sheetId="57" r:id="rId2"/>
    <sheet name="Measure8" sheetId="55" r:id="rId3"/>
    <sheet name="Measure51a" sheetId="73" r:id="rId4"/>
    <sheet name="Measure51b" sheetId="88" r:id="rId5"/>
    <sheet name="Measure52" sheetId="66" r:id="rId6"/>
    <sheet name="Measure53" sheetId="67" r:id="rId7"/>
    <sheet name="MeasureR15" sheetId="70" r:id="rId8"/>
    <sheet name="MeasureR29" sheetId="59" r:id="rId9"/>
    <sheet name="Measure61" sheetId="50" r:id="rId10"/>
    <sheet name="Measure62" sheetId="84" r:id="rId11"/>
    <sheet name="EFs-BTU" sheetId="14" r:id="rId12"/>
    <sheet name="Devices" sheetId="26" r:id="rId13"/>
    <sheet name="TabsAll" sheetId="42" r:id="rId14"/>
    <sheet name="Lookup" sheetId="34" r:id="rId15"/>
    <sheet name="EIAProjections" sheetId="89" r:id="rId16"/>
    <sheet name="ULSEFs" sheetId="43" r:id="rId17"/>
    <sheet name="BuildSizeG3C" sheetId="80" r:id="rId18"/>
    <sheet name="DevSumOut-2019PB" sheetId="79" r:id="rId19"/>
    <sheet name="DevSumOut-2020PB" sheetId="78" r:id="rId20"/>
    <sheet name="DevSumOut-2021PB" sheetId="77" r:id="rId21"/>
    <sheet name="DevSumOut-2022PB" sheetId="76" r:id="rId22"/>
    <sheet name="DevSumOut-2023PB" sheetId="75" r:id="rId23"/>
    <sheet name="DevSumOut-2024PB" sheetId="74" r:id="rId24"/>
    <sheet name="Moisture" sheetId="35" r:id="rId25"/>
    <sheet name="HHSurveyG2" sheetId="44" r:id="rId26"/>
    <sheet name="EFs-OMNI" sheetId="15" r:id="rId27"/>
    <sheet name="EFs-AP42" sheetId="16" r:id="rId28"/>
    <sheet name="EPAStoves" sheetId="9" r:id="rId29"/>
    <sheet name="EPAOHHPh2" sheetId="10" r:id="rId30"/>
    <sheet name="EPAOHHPh1" sheetId="11" r:id="rId31"/>
    <sheet name="EPAFPPh2" sheetId="12" r:id="rId32"/>
    <sheet name="EPACert_HHs" sheetId="19"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18" hidden="1">'DevSumOut-2019PB'!$A$1:$W$26</definedName>
    <definedName name="_xlnm._FilterDatabase" localSheetId="19" hidden="1">'DevSumOut-2020PB'!$A$1:$W$26</definedName>
    <definedName name="_xlnm._FilterDatabase" localSheetId="20" hidden="1">'DevSumOut-2021PB'!$A$1:$W$26</definedName>
    <definedName name="_xlnm._FilterDatabase" localSheetId="21" hidden="1">'DevSumOut-2022PB'!$A$1:$W$26</definedName>
    <definedName name="_xlnm._FilterDatabase" localSheetId="22" hidden="1">'DevSumOut-2023PB'!$A$1:$W$26</definedName>
    <definedName name="_xlnm._FilterDatabase" localSheetId="23" hidden="1">'DevSumOut-2024PB'!$A$1:$W$26</definedName>
    <definedName name="_xlnm._FilterDatabase" localSheetId="28" hidden="1">EPAStoves!$A$10:$AB$975</definedName>
    <definedName name="BTUEFs">'[1]EFs-BTU'!$B$37:$N$64</definedName>
    <definedName name="content" localSheetId="1">CostData!$A$575</definedName>
    <definedName name="ConvLoss" localSheetId="15">[2]Moisture!$T$13</definedName>
    <definedName name="ConvLoss">Moisture!$T$13</definedName>
    <definedName name="CRR">CostData!$E$37</definedName>
    <definedName name="CRRCite">CostData!$F$37</definedName>
    <definedName name="CYr">[2]EMIS!$L$3</definedName>
    <definedName name="DevTechFracs">[3]HHSurvey!$N$48:$Q$63</definedName>
    <definedName name="Ep2Ann">CostData!$S$36</definedName>
    <definedName name="Ep2Wtr">CostData!$S$38</definedName>
    <definedName name="EpData">[2]Episodes!$A$5:$AG$39</definedName>
    <definedName name="ExAir" localSheetId="15">[2]Moisture!$T$12</definedName>
    <definedName name="ExAir">Moisture!$T$12</definedName>
    <definedName name="HDDTbl">[2]HDD!$A$15:$P$1111</definedName>
    <definedName name="HHVOD">Moisture!$M$22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thrEFs">'[2]EFs-BTU'!$B$54:$N$66</definedName>
    <definedName name="_xlnm.Print_Area" localSheetId="1">CostData!$A$1:$T$90</definedName>
    <definedName name="_xlnm.Print_Area" localSheetId="12">Devices!$A$48:$R$82</definedName>
    <definedName name="_xlnm.Print_Area" localSheetId="27">'EFs-AP42'!$A$1:$E$30</definedName>
    <definedName name="_xlnm.Print_Titles" localSheetId="9">Measure61!$1:$9</definedName>
    <definedName name="_xlnm.Print_Titles" localSheetId="10">Measure62!$1:$6</definedName>
    <definedName name="RefDay">[2]Coeffs!$N$17</definedName>
    <definedName name="RefTemp">[2]Coeffs!$N$16</definedName>
    <definedName name="Scen">[2]EMIS!$L$2</definedName>
    <definedName name="Ts" localSheetId="15">[2]Moisture!$T$11</definedName>
    <definedName name="Ts">Moisture!$T$11</definedName>
    <definedName name="Tw" localSheetId="15">[2]Moisture!$T$10</definedName>
    <definedName name="Tw">Moisture!$T$10</definedName>
    <definedName name="WinterDays">CostData!$E$36</definedName>
    <definedName name="WoodEFs">'[2]EFs-BTU'!$B$37:$N$49</definedName>
    <definedName name="WoodShift">[2]EMIS!$N$3</definedName>
    <definedName name="WoodShiftAmt">[2]EMIS!$V$3</definedName>
    <definedName name="Wtr2Ann">CostData!$S$37</definedName>
    <definedName name="Year">[1]SCCRedFacsFull!$B$2</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3" i="14" l="1"/>
  <c r="M63" i="14"/>
  <c r="L63" i="14"/>
  <c r="K63" i="14"/>
  <c r="J63" i="14"/>
  <c r="I63" i="14"/>
  <c r="H63" i="14"/>
  <c r="N62" i="14"/>
  <c r="M62" i="14"/>
  <c r="L62" i="14"/>
  <c r="K62" i="14"/>
  <c r="J62" i="14"/>
  <c r="I62" i="14"/>
  <c r="H62" i="14"/>
  <c r="N61" i="14"/>
  <c r="M61" i="14"/>
  <c r="L61" i="14"/>
  <c r="K61" i="14"/>
  <c r="J61" i="14"/>
  <c r="I61" i="14"/>
  <c r="H61" i="14"/>
  <c r="N60" i="14"/>
  <c r="M60" i="14"/>
  <c r="L60" i="14"/>
  <c r="K60" i="14"/>
  <c r="J60" i="14"/>
  <c r="I60" i="14"/>
  <c r="H60" i="14"/>
  <c r="J42" i="10"/>
  <c r="I42" i="10"/>
  <c r="H42" i="10"/>
  <c r="G42" i="10"/>
  <c r="K42" i="10" s="1"/>
  <c r="J41" i="10"/>
  <c r="I41" i="10"/>
  <c r="H41" i="10"/>
  <c r="G41" i="10"/>
  <c r="J40" i="10"/>
  <c r="I40" i="10"/>
  <c r="H40" i="10"/>
  <c r="G40" i="10"/>
  <c r="J39" i="10"/>
  <c r="I39" i="10"/>
  <c r="H39" i="10"/>
  <c r="G39" i="10"/>
  <c r="K39" i="10" s="1"/>
  <c r="J38" i="10"/>
  <c r="I38" i="10"/>
  <c r="H38" i="10"/>
  <c r="G38" i="10"/>
  <c r="K38" i="10" s="1"/>
  <c r="J37" i="10"/>
  <c r="I37" i="10"/>
  <c r="H37" i="10"/>
  <c r="G37" i="10"/>
  <c r="K37" i="10" s="1"/>
  <c r="J36" i="10"/>
  <c r="I36" i="10"/>
  <c r="H36" i="10"/>
  <c r="G36" i="10"/>
  <c r="K36" i="10" s="1"/>
  <c r="K35" i="10"/>
  <c r="J35" i="10"/>
  <c r="I35" i="10"/>
  <c r="H35" i="10"/>
  <c r="G35" i="10"/>
  <c r="J34" i="10"/>
  <c r="I34" i="10"/>
  <c r="H34" i="10"/>
  <c r="G34" i="10"/>
  <c r="J33" i="10"/>
  <c r="I33" i="10"/>
  <c r="H33" i="10"/>
  <c r="G33" i="10"/>
  <c r="J32" i="10"/>
  <c r="I32" i="10"/>
  <c r="H32" i="10"/>
  <c r="G32" i="10"/>
  <c r="K32" i="10" s="1"/>
  <c r="J31" i="10"/>
  <c r="I31" i="10"/>
  <c r="H31" i="10"/>
  <c r="G31" i="10"/>
  <c r="K31" i="10" s="1"/>
  <c r="J30" i="10"/>
  <c r="I30" i="10"/>
  <c r="H30" i="10"/>
  <c r="G30" i="10"/>
  <c r="K30" i="10" s="1"/>
  <c r="J29" i="10"/>
  <c r="I29" i="10"/>
  <c r="H29" i="10"/>
  <c r="G29" i="10"/>
  <c r="J28" i="10"/>
  <c r="I28" i="10"/>
  <c r="H28" i="10"/>
  <c r="G28" i="10"/>
  <c r="J27" i="10"/>
  <c r="I27" i="10"/>
  <c r="H27" i="10"/>
  <c r="G27" i="10"/>
  <c r="K27" i="10" s="1"/>
  <c r="J26" i="10"/>
  <c r="I26" i="10"/>
  <c r="H26" i="10"/>
  <c r="G26" i="10"/>
  <c r="K26" i="10" s="1"/>
  <c r="J25" i="10"/>
  <c r="I25" i="10"/>
  <c r="H25" i="10"/>
  <c r="G25" i="10"/>
  <c r="K25" i="10" s="1"/>
  <c r="J24" i="10"/>
  <c r="I24" i="10"/>
  <c r="H24" i="10"/>
  <c r="G24" i="10"/>
  <c r="K24" i="10" s="1"/>
  <c r="J23" i="10"/>
  <c r="I23" i="10"/>
  <c r="H23" i="10"/>
  <c r="G23" i="10"/>
  <c r="J22" i="10"/>
  <c r="I22" i="10"/>
  <c r="H22" i="10"/>
  <c r="G22" i="10"/>
  <c r="J21" i="10"/>
  <c r="I21" i="10"/>
  <c r="H21" i="10"/>
  <c r="G21" i="10"/>
  <c r="J20" i="10"/>
  <c r="I20" i="10"/>
  <c r="H20" i="10"/>
  <c r="G20" i="10"/>
  <c r="K20" i="10" s="1"/>
  <c r="J19" i="10"/>
  <c r="I19" i="10"/>
  <c r="H19" i="10"/>
  <c r="G19" i="10"/>
  <c r="K19" i="10" s="1"/>
  <c r="J18" i="10"/>
  <c r="I18" i="10"/>
  <c r="H18" i="10"/>
  <c r="G18" i="10"/>
  <c r="K18" i="10" s="1"/>
  <c r="J17" i="10"/>
  <c r="I17" i="10"/>
  <c r="H17" i="10"/>
  <c r="G17" i="10"/>
  <c r="J16" i="10"/>
  <c r="I16" i="10"/>
  <c r="H16" i="10"/>
  <c r="G16" i="10"/>
  <c r="J15" i="10"/>
  <c r="I15" i="10"/>
  <c r="H15" i="10"/>
  <c r="G15" i="10"/>
  <c r="K15" i="10" s="1"/>
  <c r="J14" i="10"/>
  <c r="I14" i="10"/>
  <c r="H14" i="10"/>
  <c r="G14" i="10"/>
  <c r="K14" i="10" s="1"/>
  <c r="J13" i="10"/>
  <c r="I13" i="10"/>
  <c r="H13" i="10"/>
  <c r="G13" i="10"/>
  <c r="K13" i="10" s="1"/>
  <c r="J12" i="10"/>
  <c r="I12" i="10"/>
  <c r="H12" i="10"/>
  <c r="G12" i="10"/>
  <c r="K12" i="10" s="1"/>
  <c r="K11" i="10"/>
  <c r="J11" i="10"/>
  <c r="I11" i="10"/>
  <c r="H11" i="10"/>
  <c r="G11" i="10"/>
  <c r="J10" i="10"/>
  <c r="I10" i="10"/>
  <c r="H10" i="10"/>
  <c r="G10" i="10"/>
  <c r="J9" i="10"/>
  <c r="I9" i="10"/>
  <c r="H9" i="10"/>
  <c r="G9" i="10"/>
  <c r="J8" i="10"/>
  <c r="I8" i="10"/>
  <c r="H8" i="10"/>
  <c r="G8" i="10"/>
  <c r="K8" i="10" s="1"/>
  <c r="J7" i="10"/>
  <c r="I7" i="10"/>
  <c r="H7" i="10"/>
  <c r="G7" i="10"/>
  <c r="K41" i="10" s="1"/>
  <c r="J6" i="10"/>
  <c r="I6" i="10"/>
  <c r="H6" i="10"/>
  <c r="G6" i="10"/>
  <c r="K6" i="10" s="1"/>
  <c r="S973" i="9"/>
  <c r="I973" i="9"/>
  <c r="M973" i="9" s="1"/>
  <c r="H973" i="9"/>
  <c r="J973" i="9" s="1"/>
  <c r="W973" i="9" s="1"/>
  <c r="S972" i="9"/>
  <c r="I972" i="9"/>
  <c r="H972" i="9"/>
  <c r="J972" i="9" s="1"/>
  <c r="S971" i="9"/>
  <c r="I971" i="9"/>
  <c r="H971" i="9"/>
  <c r="M971" i="9" s="1"/>
  <c r="T970" i="9"/>
  <c r="S970" i="9"/>
  <c r="I970" i="9"/>
  <c r="M970" i="9" s="1"/>
  <c r="H970" i="9"/>
  <c r="J970" i="9" s="1"/>
  <c r="W970" i="9" s="1"/>
  <c r="S969" i="9"/>
  <c r="I969" i="9"/>
  <c r="H969" i="9"/>
  <c r="J969" i="9" s="1"/>
  <c r="S968" i="9"/>
  <c r="J968" i="9"/>
  <c r="W968" i="9" s="1"/>
  <c r="I968" i="9"/>
  <c r="H968" i="9"/>
  <c r="M968" i="9" s="1"/>
  <c r="S967" i="9"/>
  <c r="I967" i="9"/>
  <c r="M967" i="9" s="1"/>
  <c r="K967" i="9" s="1"/>
  <c r="U967" i="9" s="1"/>
  <c r="H967" i="9"/>
  <c r="J967" i="9" s="1"/>
  <c r="W967" i="9" s="1"/>
  <c r="S966" i="9"/>
  <c r="I966" i="9"/>
  <c r="H966" i="9"/>
  <c r="J966" i="9" s="1"/>
  <c r="S965" i="9"/>
  <c r="I965" i="9"/>
  <c r="H965" i="9"/>
  <c r="M965" i="9" s="1"/>
  <c r="S964" i="9"/>
  <c r="I964" i="9"/>
  <c r="M964" i="9" s="1"/>
  <c r="K964" i="9" s="1"/>
  <c r="U964" i="9" s="1"/>
  <c r="H964" i="9"/>
  <c r="J964" i="9" s="1"/>
  <c r="L964" i="9" s="1"/>
  <c r="W963" i="9"/>
  <c r="S963" i="9"/>
  <c r="I963" i="9"/>
  <c r="M963" i="9" s="1"/>
  <c r="K963" i="9" s="1"/>
  <c r="U963" i="9" s="1"/>
  <c r="H963" i="9"/>
  <c r="J963" i="9" s="1"/>
  <c r="S962" i="9"/>
  <c r="J962" i="9"/>
  <c r="I962" i="9"/>
  <c r="H962" i="9"/>
  <c r="M962" i="9" s="1"/>
  <c r="T961" i="9"/>
  <c r="S961" i="9"/>
  <c r="I961" i="9"/>
  <c r="M961" i="9" s="1"/>
  <c r="H961" i="9"/>
  <c r="J961" i="9" s="1"/>
  <c r="S960" i="9"/>
  <c r="I960" i="9"/>
  <c r="H960" i="9"/>
  <c r="J960" i="9" s="1"/>
  <c r="S959" i="9"/>
  <c r="M959" i="9"/>
  <c r="T959" i="9" s="1"/>
  <c r="J959" i="9"/>
  <c r="W959" i="9" s="1"/>
  <c r="I959" i="9"/>
  <c r="H959" i="9"/>
  <c r="S958" i="9"/>
  <c r="I958" i="9"/>
  <c r="M958" i="9" s="1"/>
  <c r="T958" i="9" s="1"/>
  <c r="H958" i="9"/>
  <c r="J958" i="9" s="1"/>
  <c r="L958" i="9" s="1"/>
  <c r="S957" i="9"/>
  <c r="I957" i="9"/>
  <c r="H957" i="9"/>
  <c r="J957" i="9" s="1"/>
  <c r="W957" i="9" s="1"/>
  <c r="S956" i="9"/>
  <c r="J956" i="9"/>
  <c r="W956" i="9" s="1"/>
  <c r="I956" i="9"/>
  <c r="H956" i="9"/>
  <c r="M956" i="9" s="1"/>
  <c r="U955" i="9"/>
  <c r="T955" i="9"/>
  <c r="S955" i="9"/>
  <c r="K955" i="9"/>
  <c r="I955" i="9"/>
  <c r="M955" i="9" s="1"/>
  <c r="H955" i="9"/>
  <c r="J955" i="9" s="1"/>
  <c r="W955" i="9" s="1"/>
  <c r="S954" i="9"/>
  <c r="I954" i="9"/>
  <c r="H954" i="9"/>
  <c r="J954" i="9" s="1"/>
  <c r="S953" i="9"/>
  <c r="I953" i="9"/>
  <c r="H953" i="9"/>
  <c r="J953" i="9" s="1"/>
  <c r="W952" i="9"/>
  <c r="S952" i="9"/>
  <c r="I952" i="9"/>
  <c r="M952" i="9" s="1"/>
  <c r="H952" i="9"/>
  <c r="J952" i="9" s="1"/>
  <c r="S951" i="9"/>
  <c r="I951" i="9"/>
  <c r="H951" i="9"/>
  <c r="J951" i="9" s="1"/>
  <c r="W951" i="9" s="1"/>
  <c r="W950" i="9"/>
  <c r="S950" i="9"/>
  <c r="M950" i="9"/>
  <c r="T950" i="9" s="1"/>
  <c r="K950" i="9"/>
  <c r="U950" i="9" s="1"/>
  <c r="I950" i="9"/>
  <c r="H950" i="9"/>
  <c r="J950" i="9" s="1"/>
  <c r="S949" i="9"/>
  <c r="L949" i="9"/>
  <c r="V949" i="9" s="1"/>
  <c r="K949" i="9"/>
  <c r="U949" i="9" s="1"/>
  <c r="I949" i="9"/>
  <c r="M949" i="9" s="1"/>
  <c r="T949" i="9" s="1"/>
  <c r="H949" i="9"/>
  <c r="J949" i="9" s="1"/>
  <c r="W949" i="9" s="1"/>
  <c r="S948" i="9"/>
  <c r="I948" i="9"/>
  <c r="H948" i="9"/>
  <c r="J948" i="9" s="1"/>
  <c r="W948" i="9" s="1"/>
  <c r="S947" i="9"/>
  <c r="J947" i="9"/>
  <c r="I947" i="9"/>
  <c r="H947" i="9"/>
  <c r="M947" i="9" s="1"/>
  <c r="T947" i="9" s="1"/>
  <c r="S946" i="9"/>
  <c r="K946" i="9"/>
  <c r="U946" i="9" s="1"/>
  <c r="J946" i="9"/>
  <c r="W946" i="9" s="1"/>
  <c r="I946" i="9"/>
  <c r="M946" i="9" s="1"/>
  <c r="T946" i="9" s="1"/>
  <c r="H946" i="9"/>
  <c r="S945" i="9"/>
  <c r="I945" i="9"/>
  <c r="H945" i="9"/>
  <c r="J945" i="9" s="1"/>
  <c r="W945" i="9" s="1"/>
  <c r="W944" i="9"/>
  <c r="S944" i="9"/>
  <c r="M944" i="9"/>
  <c r="T944" i="9" s="1"/>
  <c r="J944" i="9"/>
  <c r="L944" i="9" s="1"/>
  <c r="I944" i="9"/>
  <c r="H944" i="9"/>
  <c r="S943" i="9"/>
  <c r="I943" i="9"/>
  <c r="H943" i="9"/>
  <c r="J943" i="9" s="1"/>
  <c r="W942" i="9"/>
  <c r="T942" i="9"/>
  <c r="S942" i="9"/>
  <c r="I942" i="9"/>
  <c r="M942" i="9" s="1"/>
  <c r="K942" i="9" s="1"/>
  <c r="U942" i="9" s="1"/>
  <c r="H942" i="9"/>
  <c r="J942" i="9" s="1"/>
  <c r="W941" i="9"/>
  <c r="S941" i="9"/>
  <c r="I941" i="9"/>
  <c r="H941" i="9"/>
  <c r="J941" i="9" s="1"/>
  <c r="S940" i="9"/>
  <c r="I940" i="9"/>
  <c r="M940" i="9" s="1"/>
  <c r="T940" i="9" s="1"/>
  <c r="H940" i="9"/>
  <c r="J940" i="9" s="1"/>
  <c r="S939" i="9"/>
  <c r="M939" i="9"/>
  <c r="L939" i="9"/>
  <c r="I939" i="9"/>
  <c r="H939" i="9"/>
  <c r="J939" i="9" s="1"/>
  <c r="W939" i="9" s="1"/>
  <c r="S938" i="9"/>
  <c r="I938" i="9"/>
  <c r="H938" i="9"/>
  <c r="M938" i="9" s="1"/>
  <c r="T938" i="9" s="1"/>
  <c r="S937" i="9"/>
  <c r="I937" i="9"/>
  <c r="H937" i="9"/>
  <c r="J937" i="9" s="1"/>
  <c r="W936" i="9"/>
  <c r="T936" i="9"/>
  <c r="S936" i="9"/>
  <c r="M936" i="9"/>
  <c r="K936" i="9" s="1"/>
  <c r="U936" i="9" s="1"/>
  <c r="I936" i="9"/>
  <c r="H936" i="9"/>
  <c r="J936" i="9" s="1"/>
  <c r="T935" i="9"/>
  <c r="S935" i="9"/>
  <c r="M935" i="9"/>
  <c r="J935" i="9"/>
  <c r="I935" i="9"/>
  <c r="H935" i="9"/>
  <c r="S934" i="9"/>
  <c r="I934" i="9"/>
  <c r="H934" i="9"/>
  <c r="J934" i="9" s="1"/>
  <c r="W934" i="9" s="1"/>
  <c r="W933" i="9"/>
  <c r="S933" i="9"/>
  <c r="M933" i="9"/>
  <c r="T933" i="9" s="1"/>
  <c r="K933" i="9"/>
  <c r="U933" i="9" s="1"/>
  <c r="I933" i="9"/>
  <c r="H933" i="9"/>
  <c r="J933" i="9" s="1"/>
  <c r="T932" i="9"/>
  <c r="S932" i="9"/>
  <c r="K932" i="9"/>
  <c r="U932" i="9" s="1"/>
  <c r="J932" i="9"/>
  <c r="I932" i="9"/>
  <c r="H932" i="9"/>
  <c r="M932" i="9" s="1"/>
  <c r="S931" i="9"/>
  <c r="J931" i="9"/>
  <c r="I931" i="9"/>
  <c r="H931" i="9"/>
  <c r="W930" i="9"/>
  <c r="S930" i="9"/>
  <c r="I930" i="9"/>
  <c r="M930" i="9" s="1"/>
  <c r="H930" i="9"/>
  <c r="J930" i="9" s="1"/>
  <c r="S929" i="9"/>
  <c r="M929" i="9"/>
  <c r="K929" i="9"/>
  <c r="U929" i="9" s="1"/>
  <c r="I929" i="9"/>
  <c r="H929" i="9"/>
  <c r="J929" i="9" s="1"/>
  <c r="W929" i="9" s="1"/>
  <c r="S928" i="9"/>
  <c r="J928" i="9"/>
  <c r="I928" i="9"/>
  <c r="M928" i="9" s="1"/>
  <c r="H928" i="9"/>
  <c r="W927" i="9"/>
  <c r="S927" i="9"/>
  <c r="M927" i="9"/>
  <c r="K927" i="9" s="1"/>
  <c r="U927" i="9" s="1"/>
  <c r="I927" i="9"/>
  <c r="H927" i="9"/>
  <c r="J927" i="9" s="1"/>
  <c r="S926" i="9"/>
  <c r="M926" i="9"/>
  <c r="J926" i="9"/>
  <c r="I926" i="9"/>
  <c r="H926" i="9"/>
  <c r="S925" i="9"/>
  <c r="J925" i="9"/>
  <c r="W925" i="9" s="1"/>
  <c r="I925" i="9"/>
  <c r="M925" i="9" s="1"/>
  <c r="H925" i="9"/>
  <c r="W924" i="9"/>
  <c r="S924" i="9"/>
  <c r="M924" i="9"/>
  <c r="K924" i="9" s="1"/>
  <c r="U924" i="9" s="1"/>
  <c r="I924" i="9"/>
  <c r="H924" i="9"/>
  <c r="J924" i="9" s="1"/>
  <c r="S923" i="9"/>
  <c r="M923" i="9"/>
  <c r="T923" i="9" s="1"/>
  <c r="J923" i="9"/>
  <c r="W923" i="9" s="1"/>
  <c r="I923" i="9"/>
  <c r="H923" i="9"/>
  <c r="W922" i="9"/>
  <c r="T922" i="9"/>
  <c r="S922" i="9"/>
  <c r="L922" i="9"/>
  <c r="V922" i="9" s="1"/>
  <c r="K922" i="9"/>
  <c r="U922" i="9" s="1"/>
  <c r="I922" i="9"/>
  <c r="M922" i="9" s="1"/>
  <c r="H922" i="9"/>
  <c r="J922" i="9" s="1"/>
  <c r="S921" i="9"/>
  <c r="I921" i="9"/>
  <c r="H921" i="9"/>
  <c r="J921" i="9" s="1"/>
  <c r="T920" i="9"/>
  <c r="S920" i="9"/>
  <c r="I920" i="9"/>
  <c r="H920" i="9"/>
  <c r="M920" i="9" s="1"/>
  <c r="S919" i="9"/>
  <c r="I919" i="9"/>
  <c r="H919" i="9"/>
  <c r="J919" i="9" s="1"/>
  <c r="T918" i="9"/>
  <c r="S918" i="9"/>
  <c r="I918" i="9"/>
  <c r="M918" i="9" s="1"/>
  <c r="L918" i="9" s="1"/>
  <c r="H918" i="9"/>
  <c r="J918" i="9" s="1"/>
  <c r="W918" i="9" s="1"/>
  <c r="S917" i="9"/>
  <c r="I917" i="9"/>
  <c r="H917" i="9"/>
  <c r="J917" i="9" s="1"/>
  <c r="W917" i="9" s="1"/>
  <c r="S916" i="9"/>
  <c r="J916" i="9"/>
  <c r="W916" i="9" s="1"/>
  <c r="I916" i="9"/>
  <c r="M916" i="9" s="1"/>
  <c r="H916" i="9"/>
  <c r="S915" i="9"/>
  <c r="I915" i="9"/>
  <c r="H915" i="9"/>
  <c r="S914" i="9"/>
  <c r="J914" i="9"/>
  <c r="L914" i="9" s="1"/>
  <c r="I914" i="9"/>
  <c r="H914" i="9"/>
  <c r="M914" i="9" s="1"/>
  <c r="S913" i="9"/>
  <c r="I913" i="9"/>
  <c r="H913" i="9"/>
  <c r="J913" i="9" s="1"/>
  <c r="W913" i="9" s="1"/>
  <c r="S912" i="9"/>
  <c r="I912" i="9"/>
  <c r="M912" i="9" s="1"/>
  <c r="H912" i="9"/>
  <c r="J912" i="9" s="1"/>
  <c r="W912" i="9" s="1"/>
  <c r="S911" i="9"/>
  <c r="I911" i="9"/>
  <c r="H911" i="9"/>
  <c r="U910" i="9"/>
  <c r="S910" i="9"/>
  <c r="L910" i="9"/>
  <c r="V910" i="9" s="1"/>
  <c r="K910" i="9"/>
  <c r="J910" i="9"/>
  <c r="W910" i="9" s="1"/>
  <c r="I910" i="9"/>
  <c r="M910" i="9" s="1"/>
  <c r="T910" i="9" s="1"/>
  <c r="H910" i="9"/>
  <c r="W909" i="9"/>
  <c r="T909" i="9"/>
  <c r="S909" i="9"/>
  <c r="M909" i="9"/>
  <c r="L909" i="9"/>
  <c r="V909" i="9" s="1"/>
  <c r="K909" i="9"/>
  <c r="U909" i="9" s="1"/>
  <c r="I909" i="9"/>
  <c r="H909" i="9"/>
  <c r="J909" i="9" s="1"/>
  <c r="W908" i="9"/>
  <c r="U908" i="9"/>
  <c r="T908" i="9"/>
  <c r="S908" i="9"/>
  <c r="M908" i="9"/>
  <c r="K908" i="9" s="1"/>
  <c r="L908" i="9"/>
  <c r="V908" i="9" s="1"/>
  <c r="I908" i="9"/>
  <c r="H908" i="9"/>
  <c r="J908" i="9" s="1"/>
  <c r="T907" i="9"/>
  <c r="S907" i="9"/>
  <c r="I907" i="9"/>
  <c r="H907" i="9"/>
  <c r="M907" i="9" s="1"/>
  <c r="W906" i="9"/>
  <c r="U906" i="9"/>
  <c r="S906" i="9"/>
  <c r="I906" i="9"/>
  <c r="M906" i="9" s="1"/>
  <c r="K906" i="9" s="1"/>
  <c r="H906" i="9"/>
  <c r="J906" i="9" s="1"/>
  <c r="W905" i="9"/>
  <c r="S905" i="9"/>
  <c r="I905" i="9"/>
  <c r="M905" i="9" s="1"/>
  <c r="H905" i="9"/>
  <c r="J905" i="9" s="1"/>
  <c r="W904" i="9"/>
  <c r="S904" i="9"/>
  <c r="M904" i="9"/>
  <c r="T904" i="9" s="1"/>
  <c r="K904" i="9"/>
  <c r="U904" i="9" s="1"/>
  <c r="J904" i="9"/>
  <c r="I904" i="9"/>
  <c r="H904" i="9"/>
  <c r="S903" i="9"/>
  <c r="M903" i="9"/>
  <c r="T903" i="9" s="1"/>
  <c r="I903" i="9"/>
  <c r="H903" i="9"/>
  <c r="J903" i="9" s="1"/>
  <c r="W903" i="9" s="1"/>
  <c r="S902" i="9"/>
  <c r="I902" i="9"/>
  <c r="M902" i="9" s="1"/>
  <c r="H902" i="9"/>
  <c r="J902" i="9" s="1"/>
  <c r="W902" i="9" s="1"/>
  <c r="W901" i="9"/>
  <c r="S901" i="9"/>
  <c r="J901" i="9"/>
  <c r="I901" i="9"/>
  <c r="M901" i="9" s="1"/>
  <c r="K901" i="9" s="1"/>
  <c r="U901" i="9" s="1"/>
  <c r="H901" i="9"/>
  <c r="W900" i="9"/>
  <c r="S900" i="9"/>
  <c r="M900" i="9"/>
  <c r="T900" i="9" s="1"/>
  <c r="L900" i="9"/>
  <c r="I900" i="9"/>
  <c r="H900" i="9"/>
  <c r="J900" i="9" s="1"/>
  <c r="S899" i="9"/>
  <c r="M899" i="9"/>
  <c r="I899" i="9"/>
  <c r="H899" i="9"/>
  <c r="J899" i="9" s="1"/>
  <c r="W899" i="9" s="1"/>
  <c r="S898" i="9"/>
  <c r="I898" i="9"/>
  <c r="M898" i="9" s="1"/>
  <c r="H898" i="9"/>
  <c r="J898" i="9" s="1"/>
  <c r="S897" i="9"/>
  <c r="I897" i="9"/>
  <c r="H897" i="9"/>
  <c r="J897" i="9" s="1"/>
  <c r="S896" i="9"/>
  <c r="I896" i="9"/>
  <c r="H896" i="9"/>
  <c r="S895" i="9"/>
  <c r="I895" i="9"/>
  <c r="M895" i="9" s="1"/>
  <c r="T895" i="9" s="1"/>
  <c r="H895" i="9"/>
  <c r="J895" i="9" s="1"/>
  <c r="S894" i="9"/>
  <c r="I894" i="9"/>
  <c r="M894" i="9" s="1"/>
  <c r="H894" i="9"/>
  <c r="J894" i="9" s="1"/>
  <c r="W894" i="9" s="1"/>
  <c r="S893" i="9"/>
  <c r="M893" i="9"/>
  <c r="T893" i="9" s="1"/>
  <c r="L893" i="9"/>
  <c r="I893" i="9"/>
  <c r="H893" i="9"/>
  <c r="J893" i="9" s="1"/>
  <c r="W893" i="9" s="1"/>
  <c r="T892" i="9"/>
  <c r="S892" i="9"/>
  <c r="J892" i="9"/>
  <c r="I892" i="9"/>
  <c r="M892" i="9" s="1"/>
  <c r="H892" i="9"/>
  <c r="S891" i="9"/>
  <c r="L891" i="9"/>
  <c r="I891" i="9"/>
  <c r="M891" i="9" s="1"/>
  <c r="H891" i="9"/>
  <c r="J891" i="9" s="1"/>
  <c r="W891" i="9" s="1"/>
  <c r="S890" i="9"/>
  <c r="I890" i="9"/>
  <c r="M890" i="9" s="1"/>
  <c r="H890" i="9"/>
  <c r="J890" i="9" s="1"/>
  <c r="W890" i="9" s="1"/>
  <c r="W889" i="9"/>
  <c r="S889" i="9"/>
  <c r="M889" i="9"/>
  <c r="J889" i="9"/>
  <c r="I889" i="9"/>
  <c r="H889" i="9"/>
  <c r="W888" i="9"/>
  <c r="T888" i="9"/>
  <c r="S888" i="9"/>
  <c r="I888" i="9"/>
  <c r="M888" i="9" s="1"/>
  <c r="K888" i="9" s="1"/>
  <c r="U888" i="9" s="1"/>
  <c r="H888" i="9"/>
  <c r="J888" i="9" s="1"/>
  <c r="W887" i="9"/>
  <c r="S887" i="9"/>
  <c r="J887" i="9"/>
  <c r="I887" i="9"/>
  <c r="H887" i="9"/>
  <c r="W886" i="9"/>
  <c r="S886" i="9"/>
  <c r="I886" i="9"/>
  <c r="M886" i="9" s="1"/>
  <c r="H886" i="9"/>
  <c r="J886" i="9" s="1"/>
  <c r="L886" i="9" s="1"/>
  <c r="S885" i="9"/>
  <c r="I885" i="9"/>
  <c r="H885" i="9"/>
  <c r="J885" i="9" s="1"/>
  <c r="W885" i="9" s="1"/>
  <c r="S884" i="9"/>
  <c r="I884" i="9"/>
  <c r="H884" i="9"/>
  <c r="W883" i="9"/>
  <c r="S883" i="9"/>
  <c r="J883" i="9"/>
  <c r="I883" i="9"/>
  <c r="M883" i="9" s="1"/>
  <c r="T883" i="9" s="1"/>
  <c r="H883" i="9"/>
  <c r="S882" i="9"/>
  <c r="M882" i="9"/>
  <c r="I882" i="9"/>
  <c r="H882" i="9"/>
  <c r="J882" i="9" s="1"/>
  <c r="S881" i="9"/>
  <c r="M881" i="9"/>
  <c r="I881" i="9"/>
  <c r="H881" i="9"/>
  <c r="J881" i="9" s="1"/>
  <c r="W881" i="9" s="1"/>
  <c r="S880" i="9"/>
  <c r="J880" i="9"/>
  <c r="W880" i="9" s="1"/>
  <c r="I880" i="9"/>
  <c r="M880" i="9" s="1"/>
  <c r="L880" i="9" s="1"/>
  <c r="H880" i="9"/>
  <c r="T879" i="9"/>
  <c r="S879" i="9"/>
  <c r="M879" i="9"/>
  <c r="L879" i="9" s="1"/>
  <c r="V879" i="9" s="1"/>
  <c r="J879" i="9"/>
  <c r="W879" i="9" s="1"/>
  <c r="I879" i="9"/>
  <c r="H879" i="9"/>
  <c r="W878" i="9"/>
  <c r="S878" i="9"/>
  <c r="I878" i="9"/>
  <c r="M878" i="9" s="1"/>
  <c r="H878" i="9"/>
  <c r="J878" i="9" s="1"/>
  <c r="S877" i="9"/>
  <c r="I877" i="9"/>
  <c r="M877" i="9" s="1"/>
  <c r="H877" i="9"/>
  <c r="J877" i="9" s="1"/>
  <c r="S876" i="9"/>
  <c r="K876" i="9"/>
  <c r="U876" i="9" s="1"/>
  <c r="J876" i="9"/>
  <c r="W876" i="9" s="1"/>
  <c r="I876" i="9"/>
  <c r="M876" i="9" s="1"/>
  <c r="T876" i="9" s="1"/>
  <c r="H876" i="9"/>
  <c r="W875" i="9"/>
  <c r="S875" i="9"/>
  <c r="M875" i="9"/>
  <c r="I875" i="9"/>
  <c r="H875" i="9"/>
  <c r="J875" i="9" s="1"/>
  <c r="S874" i="9"/>
  <c r="J874" i="9"/>
  <c r="W874" i="9" s="1"/>
  <c r="I874" i="9"/>
  <c r="M874" i="9" s="1"/>
  <c r="H874" i="9"/>
  <c r="S873" i="9"/>
  <c r="K873" i="9"/>
  <c r="U873" i="9" s="1"/>
  <c r="I873" i="9"/>
  <c r="M873" i="9" s="1"/>
  <c r="T873" i="9" s="1"/>
  <c r="H873" i="9"/>
  <c r="J873" i="9" s="1"/>
  <c r="W873" i="9" s="1"/>
  <c r="U872" i="9"/>
  <c r="T872" i="9"/>
  <c r="S872" i="9"/>
  <c r="M872" i="9"/>
  <c r="K872" i="9" s="1"/>
  <c r="I872" i="9"/>
  <c r="H872" i="9"/>
  <c r="J872" i="9" s="1"/>
  <c r="L872" i="9" s="1"/>
  <c r="V872" i="9" s="1"/>
  <c r="W871" i="9"/>
  <c r="V871" i="9"/>
  <c r="T871" i="9"/>
  <c r="S871" i="9"/>
  <c r="M871" i="9"/>
  <c r="K871" i="9"/>
  <c r="U871" i="9" s="1"/>
  <c r="J871" i="9"/>
  <c r="L871" i="9" s="1"/>
  <c r="I871" i="9"/>
  <c r="H871" i="9"/>
  <c r="S870" i="9"/>
  <c r="I870" i="9"/>
  <c r="M870" i="9" s="1"/>
  <c r="H870" i="9"/>
  <c r="J870" i="9" s="1"/>
  <c r="W869" i="9"/>
  <c r="S869" i="9"/>
  <c r="I869" i="9"/>
  <c r="H869" i="9"/>
  <c r="J869" i="9" s="1"/>
  <c r="S868" i="9"/>
  <c r="J868" i="9"/>
  <c r="W868" i="9" s="1"/>
  <c r="I868" i="9"/>
  <c r="H868" i="9"/>
  <c r="M868" i="9" s="1"/>
  <c r="T868" i="9" s="1"/>
  <c r="S867" i="9"/>
  <c r="J867" i="9"/>
  <c r="I867" i="9"/>
  <c r="M867" i="9" s="1"/>
  <c r="H867" i="9"/>
  <c r="S866" i="9"/>
  <c r="I866" i="9"/>
  <c r="H866" i="9"/>
  <c r="S865" i="9"/>
  <c r="I865" i="9"/>
  <c r="H865" i="9"/>
  <c r="J865" i="9" s="1"/>
  <c r="S864" i="9"/>
  <c r="J864" i="9"/>
  <c r="I864" i="9"/>
  <c r="M864" i="9" s="1"/>
  <c r="T864" i="9" s="1"/>
  <c r="H864" i="9"/>
  <c r="S863" i="9"/>
  <c r="I863" i="9"/>
  <c r="M863" i="9" s="1"/>
  <c r="H863" i="9"/>
  <c r="J863" i="9" s="1"/>
  <c r="W863" i="9" s="1"/>
  <c r="S862" i="9"/>
  <c r="I862" i="9"/>
  <c r="H862" i="9"/>
  <c r="J862" i="9" s="1"/>
  <c r="S861" i="9"/>
  <c r="I861" i="9"/>
  <c r="H861" i="9"/>
  <c r="M861" i="9" s="1"/>
  <c r="S860" i="9"/>
  <c r="J860" i="9"/>
  <c r="I860" i="9"/>
  <c r="M860" i="9" s="1"/>
  <c r="H860" i="9"/>
  <c r="S859" i="9"/>
  <c r="J859" i="9"/>
  <c r="W859" i="9" s="1"/>
  <c r="I859" i="9"/>
  <c r="M859" i="9" s="1"/>
  <c r="H859" i="9"/>
  <c r="W858" i="9"/>
  <c r="S858" i="9"/>
  <c r="J858" i="9"/>
  <c r="L858" i="9" s="1"/>
  <c r="I858" i="9"/>
  <c r="M858" i="9" s="1"/>
  <c r="H858" i="9"/>
  <c r="S857" i="9"/>
  <c r="I857" i="9"/>
  <c r="H857" i="9"/>
  <c r="M857" i="9" s="1"/>
  <c r="S856" i="9"/>
  <c r="I856" i="9"/>
  <c r="M856" i="9" s="1"/>
  <c r="H856" i="9"/>
  <c r="J856" i="9" s="1"/>
  <c r="W856" i="9" s="1"/>
  <c r="S855" i="9"/>
  <c r="J855" i="9"/>
  <c r="W855" i="9" s="1"/>
  <c r="I855" i="9"/>
  <c r="M855" i="9" s="1"/>
  <c r="H855" i="9"/>
  <c r="S854" i="9"/>
  <c r="J854" i="9"/>
  <c r="I854" i="9"/>
  <c r="M854" i="9" s="1"/>
  <c r="H854" i="9"/>
  <c r="S853" i="9"/>
  <c r="I853" i="9"/>
  <c r="H853" i="9"/>
  <c r="M853" i="9" s="1"/>
  <c r="S852" i="9"/>
  <c r="M852" i="9"/>
  <c r="T852" i="9" s="1"/>
  <c r="J852" i="9"/>
  <c r="I852" i="9"/>
  <c r="H852" i="9"/>
  <c r="S851" i="9"/>
  <c r="M851" i="9"/>
  <c r="J851" i="9"/>
  <c r="I851" i="9"/>
  <c r="H851" i="9"/>
  <c r="S850" i="9"/>
  <c r="I850" i="9"/>
  <c r="M850" i="9" s="1"/>
  <c r="H850" i="9"/>
  <c r="J850" i="9" s="1"/>
  <c r="W850" i="9" s="1"/>
  <c r="W849" i="9"/>
  <c r="T849" i="9"/>
  <c r="S849" i="9"/>
  <c r="J849" i="9"/>
  <c r="I849" i="9"/>
  <c r="M849" i="9" s="1"/>
  <c r="K849" i="9" s="1"/>
  <c r="U849" i="9" s="1"/>
  <c r="H849" i="9"/>
  <c r="S848" i="9"/>
  <c r="J848" i="9"/>
  <c r="I848" i="9"/>
  <c r="M848" i="9" s="1"/>
  <c r="H848" i="9"/>
  <c r="S847" i="9"/>
  <c r="I847" i="9"/>
  <c r="H847" i="9"/>
  <c r="J847" i="9" s="1"/>
  <c r="S846" i="9"/>
  <c r="M846" i="9"/>
  <c r="T846" i="9" s="1"/>
  <c r="K846" i="9"/>
  <c r="U846" i="9" s="1"/>
  <c r="J846" i="9"/>
  <c r="I846" i="9"/>
  <c r="H846" i="9"/>
  <c r="S845" i="9"/>
  <c r="M845" i="9"/>
  <c r="J845" i="9"/>
  <c r="I845" i="9"/>
  <c r="H845" i="9"/>
  <c r="S844" i="9"/>
  <c r="I844" i="9"/>
  <c r="H844" i="9"/>
  <c r="J844" i="9" s="1"/>
  <c r="W844" i="9" s="1"/>
  <c r="W843" i="9"/>
  <c r="S843" i="9"/>
  <c r="J843" i="9"/>
  <c r="I843" i="9"/>
  <c r="M843" i="9" s="1"/>
  <c r="L843" i="9" s="1"/>
  <c r="H843" i="9"/>
  <c r="S842" i="9"/>
  <c r="J842" i="9"/>
  <c r="I842" i="9"/>
  <c r="M842" i="9" s="1"/>
  <c r="T842" i="9" s="1"/>
  <c r="H842" i="9"/>
  <c r="S841" i="9"/>
  <c r="J841" i="9"/>
  <c r="W841" i="9" s="1"/>
  <c r="I841" i="9"/>
  <c r="H841" i="9"/>
  <c r="M841" i="9" s="1"/>
  <c r="S840" i="9"/>
  <c r="M840" i="9"/>
  <c r="J840" i="9"/>
  <c r="I840" i="9"/>
  <c r="H840" i="9"/>
  <c r="S839" i="9"/>
  <c r="I839" i="9"/>
  <c r="H839" i="9"/>
  <c r="M839" i="9" s="1"/>
  <c r="W838" i="9"/>
  <c r="S838" i="9"/>
  <c r="I838" i="9"/>
  <c r="H838" i="9"/>
  <c r="J838" i="9" s="1"/>
  <c r="W837" i="9"/>
  <c r="T837" i="9"/>
  <c r="S837" i="9"/>
  <c r="L837" i="9"/>
  <c r="K837" i="9"/>
  <c r="U837" i="9" s="1"/>
  <c r="J837" i="9"/>
  <c r="I837" i="9"/>
  <c r="M837" i="9" s="1"/>
  <c r="H837" i="9"/>
  <c r="S836" i="9"/>
  <c r="M836" i="9"/>
  <c r="T836" i="9" s="1"/>
  <c r="J836" i="9"/>
  <c r="I836" i="9"/>
  <c r="H836" i="9"/>
  <c r="S835" i="9"/>
  <c r="M835" i="9"/>
  <c r="J835" i="9"/>
  <c r="I835" i="9"/>
  <c r="H835" i="9"/>
  <c r="S834" i="9"/>
  <c r="M834" i="9"/>
  <c r="T834" i="9" s="1"/>
  <c r="J834" i="9"/>
  <c r="I834" i="9"/>
  <c r="H834" i="9"/>
  <c r="T833" i="9"/>
  <c r="S833" i="9"/>
  <c r="M833" i="9"/>
  <c r="J833" i="9"/>
  <c r="I833" i="9"/>
  <c r="H833" i="9"/>
  <c r="S832" i="9"/>
  <c r="I832" i="9"/>
  <c r="H832" i="9"/>
  <c r="J832" i="9" s="1"/>
  <c r="W831" i="9"/>
  <c r="S831" i="9"/>
  <c r="L831" i="9"/>
  <c r="J831" i="9"/>
  <c r="I831" i="9"/>
  <c r="M831" i="9" s="1"/>
  <c r="H831" i="9"/>
  <c r="S830" i="9"/>
  <c r="K830" i="9"/>
  <c r="U830" i="9" s="1"/>
  <c r="J830" i="9"/>
  <c r="I830" i="9"/>
  <c r="M830" i="9" s="1"/>
  <c r="T830" i="9" s="1"/>
  <c r="H830" i="9"/>
  <c r="S829" i="9"/>
  <c r="J829" i="9"/>
  <c r="I829" i="9"/>
  <c r="H829" i="9"/>
  <c r="M829" i="9" s="1"/>
  <c r="T828" i="9"/>
  <c r="S828" i="9"/>
  <c r="M828" i="9"/>
  <c r="K828" i="9" s="1"/>
  <c r="U828" i="9" s="1"/>
  <c r="J828" i="9"/>
  <c r="I828" i="9"/>
  <c r="H828" i="9"/>
  <c r="S827" i="9"/>
  <c r="I827" i="9"/>
  <c r="H827" i="9"/>
  <c r="S826" i="9"/>
  <c r="I826" i="9"/>
  <c r="H826" i="9"/>
  <c r="J826" i="9" s="1"/>
  <c r="W825" i="9"/>
  <c r="S825" i="9"/>
  <c r="L825" i="9"/>
  <c r="V825" i="9" s="1"/>
  <c r="J825" i="9"/>
  <c r="I825" i="9"/>
  <c r="M825" i="9" s="1"/>
  <c r="T825" i="9" s="1"/>
  <c r="H825" i="9"/>
  <c r="S824" i="9"/>
  <c r="M824" i="9"/>
  <c r="T824" i="9" s="1"/>
  <c r="K824" i="9"/>
  <c r="U824" i="9" s="1"/>
  <c r="J824" i="9"/>
  <c r="I824" i="9"/>
  <c r="H824" i="9"/>
  <c r="S823" i="9"/>
  <c r="M823" i="9"/>
  <c r="L823" i="9"/>
  <c r="J823" i="9"/>
  <c r="W823" i="9" s="1"/>
  <c r="I823" i="9"/>
  <c r="H823" i="9"/>
  <c r="S822" i="9"/>
  <c r="M822" i="9"/>
  <c r="T822" i="9" s="1"/>
  <c r="J822" i="9"/>
  <c r="I822" i="9"/>
  <c r="H822" i="9"/>
  <c r="S821" i="9"/>
  <c r="I821" i="9"/>
  <c r="H821" i="9"/>
  <c r="S820" i="9"/>
  <c r="I820" i="9"/>
  <c r="H820" i="9"/>
  <c r="J820" i="9" s="1"/>
  <c r="W820" i="9" s="1"/>
  <c r="W819" i="9"/>
  <c r="S819" i="9"/>
  <c r="J819" i="9"/>
  <c r="L819" i="9" s="1"/>
  <c r="I819" i="9"/>
  <c r="M819" i="9" s="1"/>
  <c r="T819" i="9" s="1"/>
  <c r="H819" i="9"/>
  <c r="S818" i="9"/>
  <c r="J818" i="9"/>
  <c r="I818" i="9"/>
  <c r="M818" i="9" s="1"/>
  <c r="H818" i="9"/>
  <c r="S817" i="9"/>
  <c r="M817" i="9"/>
  <c r="I817" i="9"/>
  <c r="H817" i="9"/>
  <c r="J817" i="9" s="1"/>
  <c r="S816" i="9"/>
  <c r="M816" i="9"/>
  <c r="K816" i="9" s="1"/>
  <c r="U816" i="9" s="1"/>
  <c r="J816" i="9"/>
  <c r="I816" i="9"/>
  <c r="H816" i="9"/>
  <c r="S815" i="9"/>
  <c r="I815" i="9"/>
  <c r="H815" i="9"/>
  <c r="W814" i="9"/>
  <c r="S814" i="9"/>
  <c r="I814" i="9"/>
  <c r="H814" i="9"/>
  <c r="J814" i="9" s="1"/>
  <c r="W813" i="9"/>
  <c r="U813" i="9"/>
  <c r="T813" i="9"/>
  <c r="S813" i="9"/>
  <c r="L813" i="9"/>
  <c r="V813" i="9" s="1"/>
  <c r="K813" i="9"/>
  <c r="J813" i="9"/>
  <c r="I813" i="9"/>
  <c r="M813" i="9" s="1"/>
  <c r="H813" i="9"/>
  <c r="S812" i="9"/>
  <c r="M812" i="9"/>
  <c r="T812" i="9" s="1"/>
  <c r="J812" i="9"/>
  <c r="I812" i="9"/>
  <c r="H812" i="9"/>
  <c r="W811" i="9"/>
  <c r="S811" i="9"/>
  <c r="M811" i="9"/>
  <c r="L811" i="9"/>
  <c r="V811" i="9" s="1"/>
  <c r="J811" i="9"/>
  <c r="I811" i="9"/>
  <c r="H811" i="9"/>
  <c r="T810" i="9"/>
  <c r="S810" i="9"/>
  <c r="M810" i="9"/>
  <c r="J810" i="9"/>
  <c r="I810" i="9"/>
  <c r="H810" i="9"/>
  <c r="T809" i="9"/>
  <c r="S809" i="9"/>
  <c r="M809" i="9"/>
  <c r="J809" i="9"/>
  <c r="I809" i="9"/>
  <c r="H809" i="9"/>
  <c r="W808" i="9"/>
  <c r="S808" i="9"/>
  <c r="L808" i="9"/>
  <c r="V808" i="9" s="1"/>
  <c r="I808" i="9"/>
  <c r="M808" i="9" s="1"/>
  <c r="H808" i="9"/>
  <c r="J808" i="9" s="1"/>
  <c r="S807" i="9"/>
  <c r="J807" i="9"/>
  <c r="I807" i="9"/>
  <c r="M807" i="9" s="1"/>
  <c r="T807" i="9" s="1"/>
  <c r="H807" i="9"/>
  <c r="S806" i="9"/>
  <c r="J806" i="9"/>
  <c r="I806" i="9"/>
  <c r="M806" i="9" s="1"/>
  <c r="H806" i="9"/>
  <c r="S805" i="9"/>
  <c r="J805" i="9"/>
  <c r="W805" i="9" s="1"/>
  <c r="I805" i="9"/>
  <c r="H805" i="9"/>
  <c r="M805" i="9" s="1"/>
  <c r="T804" i="9"/>
  <c r="S804" i="9"/>
  <c r="M804" i="9"/>
  <c r="K804" i="9" s="1"/>
  <c r="U804" i="9" s="1"/>
  <c r="J804" i="9"/>
  <c r="I804" i="9"/>
  <c r="H804" i="9"/>
  <c r="S803" i="9"/>
  <c r="M803" i="9"/>
  <c r="J803" i="9"/>
  <c r="I803" i="9"/>
  <c r="H803" i="9"/>
  <c r="S802" i="9"/>
  <c r="I802" i="9"/>
  <c r="H802" i="9"/>
  <c r="J802" i="9" s="1"/>
  <c r="S801" i="9"/>
  <c r="J801" i="9"/>
  <c r="W801" i="9" s="1"/>
  <c r="I801" i="9"/>
  <c r="M801" i="9" s="1"/>
  <c r="T801" i="9" s="1"/>
  <c r="H801" i="9"/>
  <c r="S800" i="9"/>
  <c r="M800" i="9"/>
  <c r="T800" i="9" s="1"/>
  <c r="J800" i="9"/>
  <c r="I800" i="9"/>
  <c r="H800" i="9"/>
  <c r="W799" i="9"/>
  <c r="S799" i="9"/>
  <c r="J799" i="9"/>
  <c r="L799" i="9" s="1"/>
  <c r="I799" i="9"/>
  <c r="H799" i="9"/>
  <c r="M799" i="9" s="1"/>
  <c r="U798" i="9"/>
  <c r="T798" i="9"/>
  <c r="S798" i="9"/>
  <c r="M798" i="9"/>
  <c r="K798" i="9" s="1"/>
  <c r="J798" i="9"/>
  <c r="I798" i="9"/>
  <c r="H798" i="9"/>
  <c r="S797" i="9"/>
  <c r="M797" i="9"/>
  <c r="T797" i="9" s="1"/>
  <c r="I797" i="9"/>
  <c r="H797" i="9"/>
  <c r="J797" i="9" s="1"/>
  <c r="W796" i="9"/>
  <c r="S796" i="9"/>
  <c r="M796" i="9"/>
  <c r="I796" i="9"/>
  <c r="H796" i="9"/>
  <c r="J796" i="9" s="1"/>
  <c r="S795" i="9"/>
  <c r="L795" i="9"/>
  <c r="V795" i="9" s="1"/>
  <c r="K795" i="9"/>
  <c r="U795" i="9" s="1"/>
  <c r="J795" i="9"/>
  <c r="W795" i="9" s="1"/>
  <c r="I795" i="9"/>
  <c r="M795" i="9" s="1"/>
  <c r="T795" i="9" s="1"/>
  <c r="H795" i="9"/>
  <c r="S794" i="9"/>
  <c r="M794" i="9"/>
  <c r="T794" i="9" s="1"/>
  <c r="K794" i="9"/>
  <c r="U794" i="9" s="1"/>
  <c r="J794" i="9"/>
  <c r="I794" i="9"/>
  <c r="H794" i="9"/>
  <c r="S793" i="9"/>
  <c r="J793" i="9"/>
  <c r="I793" i="9"/>
  <c r="H793" i="9"/>
  <c r="M793" i="9" s="1"/>
  <c r="S792" i="9"/>
  <c r="J792" i="9"/>
  <c r="I792" i="9"/>
  <c r="M792" i="9" s="1"/>
  <c r="H792" i="9"/>
  <c r="S791" i="9"/>
  <c r="I791" i="9"/>
  <c r="H791" i="9"/>
  <c r="S790" i="9"/>
  <c r="M790" i="9"/>
  <c r="I790" i="9"/>
  <c r="H790" i="9"/>
  <c r="J790" i="9" s="1"/>
  <c r="W790" i="9" s="1"/>
  <c r="T789" i="9"/>
  <c r="S789" i="9"/>
  <c r="K789" i="9"/>
  <c r="U789" i="9" s="1"/>
  <c r="J789" i="9"/>
  <c r="W789" i="9" s="1"/>
  <c r="I789" i="9"/>
  <c r="M789" i="9" s="1"/>
  <c r="H789" i="9"/>
  <c r="S788" i="9"/>
  <c r="M788" i="9"/>
  <c r="T788" i="9" s="1"/>
  <c r="J788" i="9"/>
  <c r="I788" i="9"/>
  <c r="H788" i="9"/>
  <c r="S787" i="9"/>
  <c r="M787" i="9"/>
  <c r="L787" i="9" s="1"/>
  <c r="J787" i="9"/>
  <c r="W787" i="9" s="1"/>
  <c r="I787" i="9"/>
  <c r="H787" i="9"/>
  <c r="S786" i="9"/>
  <c r="M786" i="9"/>
  <c r="J786" i="9"/>
  <c r="I786" i="9"/>
  <c r="H786" i="9"/>
  <c r="S785" i="9"/>
  <c r="K785" i="9"/>
  <c r="U785" i="9" s="1"/>
  <c r="J785" i="9"/>
  <c r="I785" i="9"/>
  <c r="H785" i="9"/>
  <c r="M785" i="9" s="1"/>
  <c r="T785" i="9" s="1"/>
  <c r="S784" i="9"/>
  <c r="I784" i="9"/>
  <c r="H784" i="9"/>
  <c r="J784" i="9" s="1"/>
  <c r="W783" i="9"/>
  <c r="S783" i="9"/>
  <c r="L783" i="9"/>
  <c r="V783" i="9" s="1"/>
  <c r="J783" i="9"/>
  <c r="I783" i="9"/>
  <c r="M783" i="9" s="1"/>
  <c r="K783" i="9" s="1"/>
  <c r="U783" i="9" s="1"/>
  <c r="H783" i="9"/>
  <c r="S782" i="9"/>
  <c r="M782" i="9"/>
  <c r="T782" i="9" s="1"/>
  <c r="J782" i="9"/>
  <c r="I782" i="9"/>
  <c r="H782" i="9"/>
  <c r="S781" i="9"/>
  <c r="M781" i="9"/>
  <c r="I781" i="9"/>
  <c r="H781" i="9"/>
  <c r="J781" i="9" s="1"/>
  <c r="S780" i="9"/>
  <c r="M780" i="9"/>
  <c r="J780" i="9"/>
  <c r="I780" i="9"/>
  <c r="H780" i="9"/>
  <c r="W779" i="9"/>
  <c r="S779" i="9"/>
  <c r="M779" i="9"/>
  <c r="I779" i="9"/>
  <c r="H779" i="9"/>
  <c r="J779" i="9" s="1"/>
  <c r="S778" i="9"/>
  <c r="J778" i="9"/>
  <c r="W778" i="9" s="1"/>
  <c r="I778" i="9"/>
  <c r="H778" i="9"/>
  <c r="W777" i="9"/>
  <c r="S777" i="9"/>
  <c r="M777" i="9"/>
  <c r="J777" i="9"/>
  <c r="I777" i="9"/>
  <c r="H777" i="9"/>
  <c r="W776" i="9"/>
  <c r="S776" i="9"/>
  <c r="I776" i="9"/>
  <c r="H776" i="9"/>
  <c r="J776" i="9" s="1"/>
  <c r="W775" i="9"/>
  <c r="S775" i="9"/>
  <c r="K775" i="9"/>
  <c r="U775" i="9" s="1"/>
  <c r="I775" i="9"/>
  <c r="M775" i="9" s="1"/>
  <c r="T775" i="9" s="1"/>
  <c r="H775" i="9"/>
  <c r="J775" i="9" s="1"/>
  <c r="S774" i="9"/>
  <c r="J774" i="9"/>
  <c r="I774" i="9"/>
  <c r="M774" i="9" s="1"/>
  <c r="H774" i="9"/>
  <c r="S773" i="9"/>
  <c r="J773" i="9"/>
  <c r="I773" i="9"/>
  <c r="H773" i="9"/>
  <c r="M773" i="9" s="1"/>
  <c r="S772" i="9"/>
  <c r="K772" i="9"/>
  <c r="U772" i="9" s="1"/>
  <c r="J772" i="9"/>
  <c r="I772" i="9"/>
  <c r="M772" i="9" s="1"/>
  <c r="T772" i="9" s="1"/>
  <c r="H772" i="9"/>
  <c r="W771" i="9"/>
  <c r="S771" i="9"/>
  <c r="K771" i="9"/>
  <c r="U771" i="9" s="1"/>
  <c r="J771" i="9"/>
  <c r="I771" i="9"/>
  <c r="M771" i="9" s="1"/>
  <c r="H771" i="9"/>
  <c r="S770" i="9"/>
  <c r="I770" i="9"/>
  <c r="M770" i="9" s="1"/>
  <c r="H770" i="9"/>
  <c r="J770" i="9" s="1"/>
  <c r="S769" i="9"/>
  <c r="I769" i="9"/>
  <c r="H769" i="9"/>
  <c r="S768" i="9"/>
  <c r="J768" i="9"/>
  <c r="I768" i="9"/>
  <c r="M768" i="9" s="1"/>
  <c r="H768" i="9"/>
  <c r="W767" i="9"/>
  <c r="S767" i="9"/>
  <c r="I767" i="9"/>
  <c r="M767" i="9" s="1"/>
  <c r="H767" i="9"/>
  <c r="J767" i="9" s="1"/>
  <c r="V766" i="9"/>
  <c r="S766" i="9"/>
  <c r="L766" i="9"/>
  <c r="J766" i="9"/>
  <c r="W766" i="9" s="1"/>
  <c r="I766" i="9"/>
  <c r="M766" i="9" s="1"/>
  <c r="T766" i="9" s="1"/>
  <c r="H766" i="9"/>
  <c r="W765" i="9"/>
  <c r="S765" i="9"/>
  <c r="M765" i="9"/>
  <c r="T765" i="9" s="1"/>
  <c r="J765" i="9"/>
  <c r="I765" i="9"/>
  <c r="H765" i="9"/>
  <c r="S764" i="9"/>
  <c r="I764" i="9"/>
  <c r="H764" i="9"/>
  <c r="J764" i="9" s="1"/>
  <c r="W764" i="9" s="1"/>
  <c r="W763" i="9"/>
  <c r="S763" i="9"/>
  <c r="I763" i="9"/>
  <c r="H763" i="9"/>
  <c r="J763" i="9" s="1"/>
  <c r="W762" i="9"/>
  <c r="U762" i="9"/>
  <c r="S762" i="9"/>
  <c r="K762" i="9"/>
  <c r="J762" i="9"/>
  <c r="L762" i="9" s="1"/>
  <c r="I762" i="9"/>
  <c r="M762" i="9" s="1"/>
  <c r="T762" i="9" s="1"/>
  <c r="H762" i="9"/>
  <c r="W761" i="9"/>
  <c r="V761" i="9"/>
  <c r="T761" i="9"/>
  <c r="S761" i="9"/>
  <c r="M761" i="9"/>
  <c r="K761" i="9"/>
  <c r="U761" i="9" s="1"/>
  <c r="J761" i="9"/>
  <c r="L761" i="9" s="1"/>
  <c r="I761" i="9"/>
  <c r="H761" i="9"/>
  <c r="W760" i="9"/>
  <c r="V760" i="9"/>
  <c r="S760" i="9"/>
  <c r="M760" i="9"/>
  <c r="T760" i="9" s="1"/>
  <c r="K760" i="9"/>
  <c r="U760" i="9" s="1"/>
  <c r="J760" i="9"/>
  <c r="L760" i="9" s="1"/>
  <c r="I760" i="9"/>
  <c r="H760" i="9"/>
  <c r="W759" i="9"/>
  <c r="S759" i="9"/>
  <c r="J759" i="9"/>
  <c r="I759" i="9"/>
  <c r="M759" i="9" s="1"/>
  <c r="H759" i="9"/>
  <c r="S758" i="9"/>
  <c r="J758" i="9"/>
  <c r="I758" i="9"/>
  <c r="M758" i="9" s="1"/>
  <c r="H758" i="9"/>
  <c r="S757" i="9"/>
  <c r="M757" i="9"/>
  <c r="I757" i="9"/>
  <c r="H757" i="9"/>
  <c r="J757" i="9" s="1"/>
  <c r="S756" i="9"/>
  <c r="M756" i="9"/>
  <c r="J756" i="9"/>
  <c r="I756" i="9"/>
  <c r="H756" i="9"/>
  <c r="W755" i="9"/>
  <c r="S755" i="9"/>
  <c r="M755" i="9"/>
  <c r="I755" i="9"/>
  <c r="H755" i="9"/>
  <c r="J755" i="9" s="1"/>
  <c r="S754" i="9"/>
  <c r="L754" i="9"/>
  <c r="V754" i="9" s="1"/>
  <c r="K754" i="9"/>
  <c r="U754" i="9" s="1"/>
  <c r="J754" i="9"/>
  <c r="W754" i="9" s="1"/>
  <c r="I754" i="9"/>
  <c r="M754" i="9" s="1"/>
  <c r="T754" i="9" s="1"/>
  <c r="H754" i="9"/>
  <c r="W753" i="9"/>
  <c r="S753" i="9"/>
  <c r="M753" i="9"/>
  <c r="T753" i="9" s="1"/>
  <c r="K753" i="9"/>
  <c r="U753" i="9" s="1"/>
  <c r="J753" i="9"/>
  <c r="I753" i="9"/>
  <c r="H753" i="9"/>
  <c r="S752" i="9"/>
  <c r="I752" i="9"/>
  <c r="H752" i="9"/>
  <c r="J752" i="9" s="1"/>
  <c r="S751" i="9"/>
  <c r="I751" i="9"/>
  <c r="H751" i="9"/>
  <c r="J751" i="9" s="1"/>
  <c r="W751" i="9" s="1"/>
  <c r="W750" i="9"/>
  <c r="S750" i="9"/>
  <c r="L750" i="9"/>
  <c r="V750" i="9" s="1"/>
  <c r="K750" i="9"/>
  <c r="U750" i="9" s="1"/>
  <c r="J750" i="9"/>
  <c r="I750" i="9"/>
  <c r="M750" i="9" s="1"/>
  <c r="T750" i="9" s="1"/>
  <c r="H750" i="9"/>
  <c r="S749" i="9"/>
  <c r="M749" i="9"/>
  <c r="T749" i="9" s="1"/>
  <c r="K749" i="9"/>
  <c r="U749" i="9" s="1"/>
  <c r="I749" i="9"/>
  <c r="H749" i="9"/>
  <c r="J749" i="9" s="1"/>
  <c r="T748" i="9"/>
  <c r="S748" i="9"/>
  <c r="M748" i="9"/>
  <c r="K748" i="9" s="1"/>
  <c r="U748" i="9" s="1"/>
  <c r="J748" i="9"/>
  <c r="W748" i="9" s="1"/>
  <c r="I748" i="9"/>
  <c r="H748" i="9"/>
  <c r="W747" i="9"/>
  <c r="T747" i="9"/>
  <c r="S747" i="9"/>
  <c r="I747" i="9"/>
  <c r="M747" i="9" s="1"/>
  <c r="K747" i="9" s="1"/>
  <c r="U747" i="9" s="1"/>
  <c r="H747" i="9"/>
  <c r="J747" i="9" s="1"/>
  <c r="W746" i="9"/>
  <c r="S746" i="9"/>
  <c r="J746" i="9"/>
  <c r="L746" i="9" s="1"/>
  <c r="V746" i="9" s="1"/>
  <c r="I746" i="9"/>
  <c r="M746" i="9" s="1"/>
  <c r="T746" i="9" s="1"/>
  <c r="H746" i="9"/>
  <c r="W745" i="9"/>
  <c r="S745" i="9"/>
  <c r="J745" i="9"/>
  <c r="I745" i="9"/>
  <c r="M745" i="9" s="1"/>
  <c r="H745" i="9"/>
  <c r="W744" i="9"/>
  <c r="U744" i="9"/>
  <c r="T744" i="9"/>
  <c r="S744" i="9"/>
  <c r="M744" i="9"/>
  <c r="K744" i="9"/>
  <c r="J744" i="9"/>
  <c r="I744" i="9"/>
  <c r="H744" i="9"/>
  <c r="W743" i="9"/>
  <c r="S743" i="9"/>
  <c r="M743" i="9"/>
  <c r="I743" i="9"/>
  <c r="H743" i="9"/>
  <c r="J743" i="9" s="1"/>
  <c r="L743" i="9" s="1"/>
  <c r="W742" i="9"/>
  <c r="V742" i="9"/>
  <c r="T742" i="9"/>
  <c r="S742" i="9"/>
  <c r="L742" i="9"/>
  <c r="J742" i="9"/>
  <c r="I742" i="9"/>
  <c r="M742" i="9" s="1"/>
  <c r="K742" i="9" s="1"/>
  <c r="U742" i="9" s="1"/>
  <c r="H742" i="9"/>
  <c r="S741" i="9"/>
  <c r="I741" i="9"/>
  <c r="M741" i="9" s="1"/>
  <c r="H741" i="9"/>
  <c r="J741" i="9" s="1"/>
  <c r="W740" i="9"/>
  <c r="S740" i="9"/>
  <c r="J740" i="9"/>
  <c r="I740" i="9"/>
  <c r="M740" i="9" s="1"/>
  <c r="H740" i="9"/>
  <c r="W739" i="9"/>
  <c r="S739" i="9"/>
  <c r="J739" i="9"/>
  <c r="I739" i="9"/>
  <c r="M739" i="9" s="1"/>
  <c r="H739" i="9"/>
  <c r="S738" i="9"/>
  <c r="J738" i="9"/>
  <c r="I738" i="9"/>
  <c r="M738" i="9" s="1"/>
  <c r="H738" i="9"/>
  <c r="S737" i="9"/>
  <c r="M737" i="9"/>
  <c r="I737" i="9"/>
  <c r="H737" i="9"/>
  <c r="J737" i="9" s="1"/>
  <c r="S736" i="9"/>
  <c r="J736" i="9"/>
  <c r="W736" i="9" s="1"/>
  <c r="I736" i="9"/>
  <c r="M736" i="9" s="1"/>
  <c r="H736" i="9"/>
  <c r="S735" i="9"/>
  <c r="I735" i="9"/>
  <c r="H735" i="9"/>
  <c r="J735" i="9" s="1"/>
  <c r="W734" i="9"/>
  <c r="S734" i="9"/>
  <c r="I734" i="9"/>
  <c r="M734" i="9" s="1"/>
  <c r="H734" i="9"/>
  <c r="J734" i="9" s="1"/>
  <c r="W733" i="9"/>
  <c r="S733" i="9"/>
  <c r="J733" i="9"/>
  <c r="I733" i="9"/>
  <c r="M733" i="9" s="1"/>
  <c r="H733" i="9"/>
  <c r="S732" i="9"/>
  <c r="M732" i="9"/>
  <c r="K732" i="9" s="1"/>
  <c r="U732" i="9" s="1"/>
  <c r="J732" i="9"/>
  <c r="I732" i="9"/>
  <c r="H732" i="9"/>
  <c r="W731" i="9"/>
  <c r="S731" i="9"/>
  <c r="M731" i="9"/>
  <c r="L731" i="9" s="1"/>
  <c r="V731" i="9" s="1"/>
  <c r="I731" i="9"/>
  <c r="H731" i="9"/>
  <c r="J731" i="9" s="1"/>
  <c r="W730" i="9"/>
  <c r="U730" i="9"/>
  <c r="S730" i="9"/>
  <c r="L730" i="9"/>
  <c r="K730" i="9"/>
  <c r="J730" i="9"/>
  <c r="I730" i="9"/>
  <c r="M730" i="9" s="1"/>
  <c r="T730" i="9" s="1"/>
  <c r="H730" i="9"/>
  <c r="S729" i="9"/>
  <c r="M729" i="9"/>
  <c r="I729" i="9"/>
  <c r="H729" i="9"/>
  <c r="J729" i="9" s="1"/>
  <c r="W728" i="9"/>
  <c r="S728" i="9"/>
  <c r="J728" i="9"/>
  <c r="I728" i="9"/>
  <c r="M728" i="9" s="1"/>
  <c r="H728" i="9"/>
  <c r="W727" i="9"/>
  <c r="U727" i="9"/>
  <c r="T727" i="9"/>
  <c r="S727" i="9"/>
  <c r="L727" i="9"/>
  <c r="J727" i="9"/>
  <c r="I727" i="9"/>
  <c r="M727" i="9" s="1"/>
  <c r="K727" i="9" s="1"/>
  <c r="H727" i="9"/>
  <c r="W726" i="9"/>
  <c r="S726" i="9"/>
  <c r="J726" i="9"/>
  <c r="I726" i="9"/>
  <c r="M726" i="9" s="1"/>
  <c r="H726" i="9"/>
  <c r="S725" i="9"/>
  <c r="M725" i="9"/>
  <c r="T725" i="9" s="1"/>
  <c r="L725" i="9"/>
  <c r="J725" i="9"/>
  <c r="W725" i="9" s="1"/>
  <c r="I725" i="9"/>
  <c r="H725" i="9"/>
  <c r="S724" i="9"/>
  <c r="M724" i="9"/>
  <c r="T724" i="9" s="1"/>
  <c r="J724" i="9"/>
  <c r="I724" i="9"/>
  <c r="H724" i="9"/>
  <c r="S723" i="9"/>
  <c r="I723" i="9"/>
  <c r="H723" i="9"/>
  <c r="J723" i="9" s="1"/>
  <c r="W722" i="9"/>
  <c r="S722" i="9"/>
  <c r="I722" i="9"/>
  <c r="H722" i="9"/>
  <c r="J722" i="9" s="1"/>
  <c r="S721" i="9"/>
  <c r="L721" i="9"/>
  <c r="J721" i="9"/>
  <c r="W721" i="9" s="1"/>
  <c r="I721" i="9"/>
  <c r="M721" i="9" s="1"/>
  <c r="H721" i="9"/>
  <c r="W720" i="9"/>
  <c r="S720" i="9"/>
  <c r="J720" i="9"/>
  <c r="I720" i="9"/>
  <c r="M720" i="9" s="1"/>
  <c r="H720" i="9"/>
  <c r="W719" i="9"/>
  <c r="S719" i="9"/>
  <c r="I719" i="9"/>
  <c r="M719" i="9" s="1"/>
  <c r="H719" i="9"/>
  <c r="J719" i="9" s="1"/>
  <c r="W718" i="9"/>
  <c r="T718" i="9"/>
  <c r="S718" i="9"/>
  <c r="J718" i="9"/>
  <c r="K718" i="9" s="1"/>
  <c r="U718" i="9" s="1"/>
  <c r="I718" i="9"/>
  <c r="M718" i="9" s="1"/>
  <c r="H718" i="9"/>
  <c r="W717" i="9"/>
  <c r="T717" i="9"/>
  <c r="S717" i="9"/>
  <c r="M717" i="9"/>
  <c r="K717" i="9"/>
  <c r="U717" i="9" s="1"/>
  <c r="I717" i="9"/>
  <c r="H717" i="9"/>
  <c r="J717" i="9" s="1"/>
  <c r="W716" i="9"/>
  <c r="S716" i="9"/>
  <c r="J716" i="9"/>
  <c r="I716" i="9"/>
  <c r="M716" i="9" s="1"/>
  <c r="H716" i="9"/>
  <c r="W715" i="9"/>
  <c r="T715" i="9"/>
  <c r="S715" i="9"/>
  <c r="L715" i="9"/>
  <c r="J715" i="9"/>
  <c r="I715" i="9"/>
  <c r="M715" i="9" s="1"/>
  <c r="K715" i="9" s="1"/>
  <c r="U715" i="9" s="1"/>
  <c r="H715" i="9"/>
  <c r="S714" i="9"/>
  <c r="I714" i="9"/>
  <c r="M714" i="9" s="1"/>
  <c r="H714" i="9"/>
  <c r="J714" i="9" s="1"/>
  <c r="W714" i="9" s="1"/>
  <c r="W713" i="9"/>
  <c r="S713" i="9"/>
  <c r="M713" i="9"/>
  <c r="T713" i="9" s="1"/>
  <c r="L713" i="9"/>
  <c r="I713" i="9"/>
  <c r="H713" i="9"/>
  <c r="J713" i="9" s="1"/>
  <c r="W712" i="9"/>
  <c r="S712" i="9"/>
  <c r="M712" i="9"/>
  <c r="T712" i="9" s="1"/>
  <c r="K712" i="9"/>
  <c r="U712" i="9" s="1"/>
  <c r="J712" i="9"/>
  <c r="I712" i="9"/>
  <c r="H712" i="9"/>
  <c r="S711" i="9"/>
  <c r="I711" i="9"/>
  <c r="M711" i="9" s="1"/>
  <c r="H711" i="9"/>
  <c r="J711" i="9" s="1"/>
  <c r="S710" i="9"/>
  <c r="I710" i="9"/>
  <c r="M710" i="9" s="1"/>
  <c r="T710" i="9" s="1"/>
  <c r="H710" i="9"/>
  <c r="J710" i="9" s="1"/>
  <c r="W710" i="9" s="1"/>
  <c r="W709" i="9"/>
  <c r="V709" i="9"/>
  <c r="U709" i="9"/>
  <c r="S709" i="9"/>
  <c r="M709" i="9"/>
  <c r="T709" i="9" s="1"/>
  <c r="K709" i="9"/>
  <c r="J709" i="9"/>
  <c r="L709" i="9" s="1"/>
  <c r="I709" i="9"/>
  <c r="H709" i="9"/>
  <c r="S708" i="9"/>
  <c r="I708" i="9"/>
  <c r="M708" i="9" s="1"/>
  <c r="T708" i="9" s="1"/>
  <c r="H708" i="9"/>
  <c r="J708" i="9" s="1"/>
  <c r="S707" i="9"/>
  <c r="I707" i="9"/>
  <c r="H707" i="9"/>
  <c r="M707" i="9" s="1"/>
  <c r="W706" i="9"/>
  <c r="T706" i="9"/>
  <c r="S706" i="9"/>
  <c r="M706" i="9"/>
  <c r="K706" i="9" s="1"/>
  <c r="U706" i="9" s="1"/>
  <c r="J706" i="9"/>
  <c r="I706" i="9"/>
  <c r="H706" i="9"/>
  <c r="S705" i="9"/>
  <c r="I705" i="9"/>
  <c r="M705" i="9" s="1"/>
  <c r="H705" i="9"/>
  <c r="J705" i="9" s="1"/>
  <c r="W704" i="9"/>
  <c r="S704" i="9"/>
  <c r="L704" i="9"/>
  <c r="I704" i="9"/>
  <c r="M704" i="9" s="1"/>
  <c r="T704" i="9" s="1"/>
  <c r="H704" i="9"/>
  <c r="J704" i="9" s="1"/>
  <c r="K704" i="9" s="1"/>
  <c r="U704" i="9" s="1"/>
  <c r="V703" i="9"/>
  <c r="U703" i="9"/>
  <c r="S703" i="9"/>
  <c r="M703" i="9"/>
  <c r="T703" i="9" s="1"/>
  <c r="L703" i="9"/>
  <c r="K703" i="9"/>
  <c r="J703" i="9"/>
  <c r="W703" i="9" s="1"/>
  <c r="I703" i="9"/>
  <c r="H703" i="9"/>
  <c r="U702" i="9"/>
  <c r="T702" i="9"/>
  <c r="S702" i="9"/>
  <c r="K702" i="9"/>
  <c r="J702" i="9"/>
  <c r="I702" i="9"/>
  <c r="M702" i="9" s="1"/>
  <c r="H702" i="9"/>
  <c r="S701" i="9"/>
  <c r="M701" i="9"/>
  <c r="T701" i="9" s="1"/>
  <c r="K701" i="9"/>
  <c r="U701" i="9" s="1"/>
  <c r="J701" i="9"/>
  <c r="W701" i="9" s="1"/>
  <c r="I701" i="9"/>
  <c r="H701" i="9"/>
  <c r="T700" i="9"/>
  <c r="S700" i="9"/>
  <c r="M700" i="9"/>
  <c r="L700" i="9" s="1"/>
  <c r="K700" i="9"/>
  <c r="U700" i="9" s="1"/>
  <c r="J700" i="9"/>
  <c r="W700" i="9" s="1"/>
  <c r="I700" i="9"/>
  <c r="H700" i="9"/>
  <c r="T699" i="9"/>
  <c r="S699" i="9"/>
  <c r="J699" i="9"/>
  <c r="I699" i="9"/>
  <c r="M699" i="9" s="1"/>
  <c r="H699" i="9"/>
  <c r="S698" i="9"/>
  <c r="J698" i="9"/>
  <c r="W698" i="9" s="1"/>
  <c r="I698" i="9"/>
  <c r="H698" i="9"/>
  <c r="S697" i="9"/>
  <c r="M697" i="9"/>
  <c r="J697" i="9"/>
  <c r="I697" i="9"/>
  <c r="H697" i="9"/>
  <c r="S696" i="9"/>
  <c r="I696" i="9"/>
  <c r="M696" i="9" s="1"/>
  <c r="T696" i="9" s="1"/>
  <c r="H696" i="9"/>
  <c r="J696" i="9" s="1"/>
  <c r="S695" i="9"/>
  <c r="J695" i="9"/>
  <c r="I695" i="9"/>
  <c r="H695" i="9"/>
  <c r="T694" i="9"/>
  <c r="S694" i="9"/>
  <c r="M694" i="9"/>
  <c r="L694" i="9"/>
  <c r="K694" i="9"/>
  <c r="U694" i="9" s="1"/>
  <c r="J694" i="9"/>
  <c r="W694" i="9" s="1"/>
  <c r="I694" i="9"/>
  <c r="H694" i="9"/>
  <c r="S693" i="9"/>
  <c r="J693" i="9"/>
  <c r="I693" i="9"/>
  <c r="H693" i="9"/>
  <c r="S692" i="9"/>
  <c r="J692" i="9"/>
  <c r="I692" i="9"/>
  <c r="M692" i="9" s="1"/>
  <c r="H692" i="9"/>
  <c r="T691" i="9"/>
  <c r="S691" i="9"/>
  <c r="M691" i="9"/>
  <c r="K691" i="9" s="1"/>
  <c r="U691" i="9" s="1"/>
  <c r="J691" i="9"/>
  <c r="I691" i="9"/>
  <c r="H691" i="9"/>
  <c r="S690" i="9"/>
  <c r="I690" i="9"/>
  <c r="M690" i="9" s="1"/>
  <c r="H690" i="9"/>
  <c r="J690" i="9" s="1"/>
  <c r="V689" i="9"/>
  <c r="S689" i="9"/>
  <c r="M689" i="9"/>
  <c r="J689" i="9"/>
  <c r="L689" i="9" s="1"/>
  <c r="I689" i="9"/>
  <c r="H689" i="9"/>
  <c r="W688" i="9"/>
  <c r="V688" i="9"/>
  <c r="T688" i="9"/>
  <c r="S688" i="9"/>
  <c r="M688" i="9"/>
  <c r="K688" i="9" s="1"/>
  <c r="U688" i="9" s="1"/>
  <c r="J688" i="9"/>
  <c r="L688" i="9" s="1"/>
  <c r="I688" i="9"/>
  <c r="H688" i="9"/>
  <c r="W687" i="9"/>
  <c r="S687" i="9"/>
  <c r="I687" i="9"/>
  <c r="M687" i="9" s="1"/>
  <c r="H687" i="9"/>
  <c r="J687" i="9" s="1"/>
  <c r="S686" i="9"/>
  <c r="J686" i="9"/>
  <c r="W686" i="9" s="1"/>
  <c r="I686" i="9"/>
  <c r="M686" i="9" s="1"/>
  <c r="H686" i="9"/>
  <c r="W685" i="9"/>
  <c r="V685" i="9"/>
  <c r="T685" i="9"/>
  <c r="S685" i="9"/>
  <c r="M685" i="9"/>
  <c r="L685" i="9"/>
  <c r="K685" i="9"/>
  <c r="U685" i="9" s="1"/>
  <c r="J685" i="9"/>
  <c r="I685" i="9"/>
  <c r="H685" i="9"/>
  <c r="S684" i="9"/>
  <c r="I684" i="9"/>
  <c r="H684" i="9"/>
  <c r="J684" i="9" s="1"/>
  <c r="S683" i="9"/>
  <c r="I683" i="9"/>
  <c r="H683" i="9"/>
  <c r="S682" i="9"/>
  <c r="M682" i="9"/>
  <c r="T682" i="9" s="1"/>
  <c r="J682" i="9"/>
  <c r="W682" i="9" s="1"/>
  <c r="I682" i="9"/>
  <c r="H682" i="9"/>
  <c r="W681" i="9"/>
  <c r="V681" i="9"/>
  <c r="T681" i="9"/>
  <c r="S681" i="9"/>
  <c r="J681" i="9"/>
  <c r="L681" i="9" s="1"/>
  <c r="I681" i="9"/>
  <c r="M681" i="9" s="1"/>
  <c r="H681" i="9"/>
  <c r="S680" i="9"/>
  <c r="I680" i="9"/>
  <c r="H680" i="9"/>
  <c r="J680" i="9" s="1"/>
  <c r="W679" i="9"/>
  <c r="T679" i="9"/>
  <c r="S679" i="9"/>
  <c r="M679" i="9"/>
  <c r="K679" i="9" s="1"/>
  <c r="U679" i="9" s="1"/>
  <c r="J679" i="9"/>
  <c r="L679" i="9" s="1"/>
  <c r="V679" i="9" s="1"/>
  <c r="I679" i="9"/>
  <c r="H679" i="9"/>
  <c r="S678" i="9"/>
  <c r="I678" i="9"/>
  <c r="H678" i="9"/>
  <c r="J678" i="9" s="1"/>
  <c r="W677" i="9"/>
  <c r="V677" i="9"/>
  <c r="S677" i="9"/>
  <c r="L677" i="9"/>
  <c r="I677" i="9"/>
  <c r="M677" i="9" s="1"/>
  <c r="T677" i="9" s="1"/>
  <c r="H677" i="9"/>
  <c r="J677" i="9" s="1"/>
  <c r="T676" i="9"/>
  <c r="S676" i="9"/>
  <c r="M676" i="9"/>
  <c r="L676" i="9"/>
  <c r="J676" i="9"/>
  <c r="W676" i="9" s="1"/>
  <c r="I676" i="9"/>
  <c r="H676" i="9"/>
  <c r="W675" i="9"/>
  <c r="S675" i="9"/>
  <c r="J675" i="9"/>
  <c r="I675" i="9"/>
  <c r="H675" i="9"/>
  <c r="S674" i="9"/>
  <c r="J674" i="9"/>
  <c r="W674" i="9" s="1"/>
  <c r="I674" i="9"/>
  <c r="M674" i="9" s="1"/>
  <c r="T674" i="9" s="1"/>
  <c r="H674" i="9"/>
  <c r="S673" i="9"/>
  <c r="M673" i="9"/>
  <c r="T673" i="9" s="1"/>
  <c r="J673" i="9"/>
  <c r="W673" i="9" s="1"/>
  <c r="I673" i="9"/>
  <c r="H673" i="9"/>
  <c r="T672" i="9"/>
  <c r="S672" i="9"/>
  <c r="J672" i="9"/>
  <c r="I672" i="9"/>
  <c r="M672" i="9" s="1"/>
  <c r="H672" i="9"/>
  <c r="S671" i="9"/>
  <c r="K671" i="9"/>
  <c r="U671" i="9" s="1"/>
  <c r="J671" i="9"/>
  <c r="W671" i="9" s="1"/>
  <c r="I671" i="9"/>
  <c r="M671" i="9" s="1"/>
  <c r="H671" i="9"/>
  <c r="W670" i="9"/>
  <c r="S670" i="9"/>
  <c r="M670" i="9"/>
  <c r="K670" i="9"/>
  <c r="U670" i="9" s="1"/>
  <c r="J670" i="9"/>
  <c r="I670" i="9"/>
  <c r="H670" i="9"/>
  <c r="S669" i="9"/>
  <c r="I669" i="9"/>
  <c r="H669" i="9"/>
  <c r="J669" i="9" s="1"/>
  <c r="S668" i="9"/>
  <c r="J668" i="9"/>
  <c r="W668" i="9" s="1"/>
  <c r="I668" i="9"/>
  <c r="M668" i="9" s="1"/>
  <c r="H668" i="9"/>
  <c r="W667" i="9"/>
  <c r="T667" i="9"/>
  <c r="S667" i="9"/>
  <c r="M667" i="9"/>
  <c r="L667" i="9"/>
  <c r="V667" i="9" s="1"/>
  <c r="K667" i="9"/>
  <c r="U667" i="9" s="1"/>
  <c r="J667" i="9"/>
  <c r="I667" i="9"/>
  <c r="H667" i="9"/>
  <c r="S666" i="9"/>
  <c r="J666" i="9"/>
  <c r="I666" i="9"/>
  <c r="H666" i="9"/>
  <c r="S665" i="9"/>
  <c r="I665" i="9"/>
  <c r="H665" i="9"/>
  <c r="M665" i="9" s="1"/>
  <c r="T665" i="9" s="1"/>
  <c r="S664" i="9"/>
  <c r="L664" i="9"/>
  <c r="K664" i="9"/>
  <c r="U664" i="9" s="1"/>
  <c r="J664" i="9"/>
  <c r="W664" i="9" s="1"/>
  <c r="I664" i="9"/>
  <c r="H664" i="9"/>
  <c r="M664" i="9" s="1"/>
  <c r="T664" i="9" s="1"/>
  <c r="S663" i="9"/>
  <c r="I663" i="9"/>
  <c r="M663" i="9" s="1"/>
  <c r="T663" i="9" s="1"/>
  <c r="H663" i="9"/>
  <c r="J663" i="9" s="1"/>
  <c r="W663" i="9" s="1"/>
  <c r="T662" i="9"/>
  <c r="S662" i="9"/>
  <c r="M662" i="9"/>
  <c r="K662" i="9"/>
  <c r="U662" i="9" s="1"/>
  <c r="J662" i="9"/>
  <c r="W662" i="9" s="1"/>
  <c r="I662" i="9"/>
  <c r="H662" i="9"/>
  <c r="S661" i="9"/>
  <c r="M661" i="9"/>
  <c r="K661" i="9" s="1"/>
  <c r="U661" i="9" s="1"/>
  <c r="L661" i="9"/>
  <c r="V661" i="9" s="1"/>
  <c r="I661" i="9"/>
  <c r="H661" i="9"/>
  <c r="J661" i="9" s="1"/>
  <c r="W661" i="9" s="1"/>
  <c r="W660" i="9"/>
  <c r="V660" i="9"/>
  <c r="T660" i="9"/>
  <c r="S660" i="9"/>
  <c r="J660" i="9"/>
  <c r="L660" i="9" s="1"/>
  <c r="I660" i="9"/>
  <c r="M660" i="9" s="1"/>
  <c r="K660" i="9" s="1"/>
  <c r="U660" i="9" s="1"/>
  <c r="H660" i="9"/>
  <c r="S659" i="9"/>
  <c r="I659" i="9"/>
  <c r="M659" i="9" s="1"/>
  <c r="H659" i="9"/>
  <c r="J659" i="9" s="1"/>
  <c r="S658" i="9"/>
  <c r="J658" i="9"/>
  <c r="I658" i="9"/>
  <c r="H658" i="9"/>
  <c r="M658" i="9" s="1"/>
  <c r="T658" i="9" s="1"/>
  <c r="W657" i="9"/>
  <c r="S657" i="9"/>
  <c r="I657" i="9"/>
  <c r="M657" i="9" s="1"/>
  <c r="T657" i="9" s="1"/>
  <c r="H657" i="9"/>
  <c r="J657" i="9" s="1"/>
  <c r="S656" i="9"/>
  <c r="K656" i="9"/>
  <c r="U656" i="9" s="1"/>
  <c r="I656" i="9"/>
  <c r="M656" i="9" s="1"/>
  <c r="T656" i="9" s="1"/>
  <c r="H656" i="9"/>
  <c r="J656" i="9" s="1"/>
  <c r="S655" i="9"/>
  <c r="M655" i="9"/>
  <c r="T655" i="9" s="1"/>
  <c r="K655" i="9"/>
  <c r="U655" i="9" s="1"/>
  <c r="J655" i="9"/>
  <c r="I655" i="9"/>
  <c r="H655" i="9"/>
  <c r="S654" i="9"/>
  <c r="I654" i="9"/>
  <c r="H654" i="9"/>
  <c r="J654" i="9" s="1"/>
  <c r="S653" i="9"/>
  <c r="I653" i="9"/>
  <c r="H653" i="9"/>
  <c r="J653" i="9" s="1"/>
  <c r="T652" i="9"/>
  <c r="S652" i="9"/>
  <c r="M652" i="9"/>
  <c r="L652" i="9"/>
  <c r="K652" i="9"/>
  <c r="U652" i="9" s="1"/>
  <c r="J652" i="9"/>
  <c r="W652" i="9" s="1"/>
  <c r="I652" i="9"/>
  <c r="H652" i="9"/>
  <c r="S651" i="9"/>
  <c r="J651" i="9"/>
  <c r="W651" i="9" s="1"/>
  <c r="I651" i="9"/>
  <c r="M651" i="9" s="1"/>
  <c r="T651" i="9" s="1"/>
  <c r="H651" i="9"/>
  <c r="W650" i="9"/>
  <c r="T650" i="9"/>
  <c r="S650" i="9"/>
  <c r="M650" i="9"/>
  <c r="K650" i="9" s="1"/>
  <c r="U650" i="9" s="1"/>
  <c r="I650" i="9"/>
  <c r="H650" i="9"/>
  <c r="J650" i="9" s="1"/>
  <c r="L650" i="9" s="1"/>
  <c r="S649" i="9"/>
  <c r="I649" i="9"/>
  <c r="H649" i="9"/>
  <c r="S648" i="9"/>
  <c r="J648" i="9"/>
  <c r="W648" i="9" s="1"/>
  <c r="I648" i="9"/>
  <c r="M648" i="9" s="1"/>
  <c r="T648" i="9" s="1"/>
  <c r="H648" i="9"/>
  <c r="S647" i="9"/>
  <c r="M647" i="9"/>
  <c r="L647" i="9"/>
  <c r="V647" i="9" s="1"/>
  <c r="J647" i="9"/>
  <c r="W647" i="9" s="1"/>
  <c r="I647" i="9"/>
  <c r="H647" i="9"/>
  <c r="S646" i="9"/>
  <c r="M646" i="9"/>
  <c r="I646" i="9"/>
  <c r="H646" i="9"/>
  <c r="J646" i="9" s="1"/>
  <c r="S645" i="9"/>
  <c r="I645" i="9"/>
  <c r="M645" i="9" s="1"/>
  <c r="K645" i="9" s="1"/>
  <c r="U645" i="9" s="1"/>
  <c r="H645" i="9"/>
  <c r="J645" i="9" s="1"/>
  <c r="W645" i="9" s="1"/>
  <c r="W644" i="9"/>
  <c r="S644" i="9"/>
  <c r="L644" i="9"/>
  <c r="J644" i="9"/>
  <c r="I644" i="9"/>
  <c r="M644" i="9" s="1"/>
  <c r="T644" i="9" s="1"/>
  <c r="H644" i="9"/>
  <c r="S643" i="9"/>
  <c r="M643" i="9"/>
  <c r="J643" i="9"/>
  <c r="I643" i="9"/>
  <c r="H643" i="9"/>
  <c r="S642" i="9"/>
  <c r="I642" i="9"/>
  <c r="H642" i="9"/>
  <c r="J642" i="9" s="1"/>
  <c r="S641" i="9"/>
  <c r="I641" i="9"/>
  <c r="H641" i="9"/>
  <c r="J641" i="9" s="1"/>
  <c r="W641" i="9" s="1"/>
  <c r="W640" i="9"/>
  <c r="S640" i="9"/>
  <c r="L640" i="9"/>
  <c r="V640" i="9" s="1"/>
  <c r="J640" i="9"/>
  <c r="I640" i="9"/>
  <c r="H640" i="9"/>
  <c r="M640" i="9" s="1"/>
  <c r="T640" i="9" s="1"/>
  <c r="S639" i="9"/>
  <c r="J639" i="9"/>
  <c r="I639" i="9"/>
  <c r="M639" i="9" s="1"/>
  <c r="H639" i="9"/>
  <c r="S638" i="9"/>
  <c r="M638" i="9"/>
  <c r="I638" i="9"/>
  <c r="H638" i="9"/>
  <c r="J638" i="9" s="1"/>
  <c r="L638" i="9" s="1"/>
  <c r="S637" i="9"/>
  <c r="I637" i="9"/>
  <c r="H637" i="9"/>
  <c r="S636" i="9"/>
  <c r="J636" i="9"/>
  <c r="I636" i="9"/>
  <c r="M636" i="9" s="1"/>
  <c r="T636" i="9" s="1"/>
  <c r="H636" i="9"/>
  <c r="S635" i="9"/>
  <c r="J635" i="9"/>
  <c r="W635" i="9" s="1"/>
  <c r="I635" i="9"/>
  <c r="M635" i="9" s="1"/>
  <c r="H635" i="9"/>
  <c r="S634" i="9"/>
  <c r="I634" i="9"/>
  <c r="H634" i="9"/>
  <c r="J634" i="9" s="1"/>
  <c r="W634" i="9" s="1"/>
  <c r="W633" i="9"/>
  <c r="S633" i="9"/>
  <c r="I633" i="9"/>
  <c r="H633" i="9"/>
  <c r="J633" i="9" s="1"/>
  <c r="T632" i="9"/>
  <c r="S632" i="9"/>
  <c r="K632" i="9"/>
  <c r="U632" i="9" s="1"/>
  <c r="J632" i="9"/>
  <c r="W632" i="9" s="1"/>
  <c r="I632" i="9"/>
  <c r="M632" i="9" s="1"/>
  <c r="H632" i="9"/>
  <c r="S631" i="9"/>
  <c r="M631" i="9"/>
  <c r="J631" i="9"/>
  <c r="I631" i="9"/>
  <c r="H631" i="9"/>
  <c r="S630" i="9"/>
  <c r="I630" i="9"/>
  <c r="H630" i="9"/>
  <c r="J630" i="9" s="1"/>
  <c r="S629" i="9"/>
  <c r="I629" i="9"/>
  <c r="H629" i="9"/>
  <c r="J629" i="9" s="1"/>
  <c r="S628" i="9"/>
  <c r="K628" i="9"/>
  <c r="U628" i="9" s="1"/>
  <c r="J628" i="9"/>
  <c r="W628" i="9" s="1"/>
  <c r="I628" i="9"/>
  <c r="H628" i="9"/>
  <c r="M628" i="9" s="1"/>
  <c r="T628" i="9" s="1"/>
  <c r="W627" i="9"/>
  <c r="S627" i="9"/>
  <c r="J627" i="9"/>
  <c r="L627" i="9" s="1"/>
  <c r="I627" i="9"/>
  <c r="M627" i="9" s="1"/>
  <c r="T627" i="9" s="1"/>
  <c r="H627" i="9"/>
  <c r="W626" i="9"/>
  <c r="V626" i="9"/>
  <c r="S626" i="9"/>
  <c r="I626" i="9"/>
  <c r="M626" i="9" s="1"/>
  <c r="T626" i="9" s="1"/>
  <c r="H626" i="9"/>
  <c r="J626" i="9" s="1"/>
  <c r="L626" i="9" s="1"/>
  <c r="S625" i="9"/>
  <c r="I625" i="9"/>
  <c r="H625" i="9"/>
  <c r="S624" i="9"/>
  <c r="J624" i="9"/>
  <c r="I624" i="9"/>
  <c r="M624" i="9" s="1"/>
  <c r="H624" i="9"/>
  <c r="W623" i="9"/>
  <c r="S623" i="9"/>
  <c r="J623" i="9"/>
  <c r="I623" i="9"/>
  <c r="M623" i="9" s="1"/>
  <c r="H623" i="9"/>
  <c r="T622" i="9"/>
  <c r="S622" i="9"/>
  <c r="J622" i="9"/>
  <c r="I622" i="9"/>
  <c r="H622" i="9"/>
  <c r="M622" i="9" s="1"/>
  <c r="S621" i="9"/>
  <c r="I621" i="9"/>
  <c r="H621" i="9"/>
  <c r="J621" i="9" s="1"/>
  <c r="W621" i="9" s="1"/>
  <c r="W620" i="9"/>
  <c r="S620" i="9"/>
  <c r="J620" i="9"/>
  <c r="I620" i="9"/>
  <c r="M620" i="9" s="1"/>
  <c r="K620" i="9" s="1"/>
  <c r="U620" i="9" s="1"/>
  <c r="H620" i="9"/>
  <c r="W619" i="9"/>
  <c r="S619" i="9"/>
  <c r="J619" i="9"/>
  <c r="L619" i="9" s="1"/>
  <c r="I619" i="9"/>
  <c r="H619" i="9"/>
  <c r="M619" i="9" s="1"/>
  <c r="W618" i="9"/>
  <c r="S618" i="9"/>
  <c r="J618" i="9"/>
  <c r="L618" i="9" s="1"/>
  <c r="I618" i="9"/>
  <c r="M618" i="9" s="1"/>
  <c r="T618" i="9" s="1"/>
  <c r="H618" i="9"/>
  <c r="S617" i="9"/>
  <c r="M617" i="9"/>
  <c r="I617" i="9"/>
  <c r="H617" i="9"/>
  <c r="J617" i="9" s="1"/>
  <c r="W617" i="9" s="1"/>
  <c r="W616" i="9"/>
  <c r="T616" i="9"/>
  <c r="S616" i="9"/>
  <c r="L616" i="9"/>
  <c r="K616" i="9"/>
  <c r="U616" i="9" s="1"/>
  <c r="J616" i="9"/>
  <c r="I616" i="9"/>
  <c r="H616" i="9"/>
  <c r="M616" i="9" s="1"/>
  <c r="S615" i="9"/>
  <c r="J615" i="9"/>
  <c r="W615" i="9" s="1"/>
  <c r="I615" i="9"/>
  <c r="H615" i="9"/>
  <c r="S614" i="9"/>
  <c r="K614" i="9"/>
  <c r="U614" i="9" s="1"/>
  <c r="J614" i="9"/>
  <c r="I614" i="9"/>
  <c r="M614" i="9" s="1"/>
  <c r="T614" i="9" s="1"/>
  <c r="H614" i="9"/>
  <c r="S613" i="9"/>
  <c r="I613" i="9"/>
  <c r="H613" i="9"/>
  <c r="T612" i="9"/>
  <c r="S612" i="9"/>
  <c r="K612" i="9"/>
  <c r="U612" i="9" s="1"/>
  <c r="J612" i="9"/>
  <c r="L612" i="9" s="1"/>
  <c r="I612" i="9"/>
  <c r="M612" i="9" s="1"/>
  <c r="H612" i="9"/>
  <c r="S611" i="9"/>
  <c r="M611" i="9"/>
  <c r="L611" i="9"/>
  <c r="J611" i="9"/>
  <c r="W611" i="9" s="1"/>
  <c r="I611" i="9"/>
  <c r="H611" i="9"/>
  <c r="S610" i="9"/>
  <c r="J610" i="9"/>
  <c r="W610" i="9" s="1"/>
  <c r="I610" i="9"/>
  <c r="M610" i="9" s="1"/>
  <c r="H610" i="9"/>
  <c r="S609" i="9"/>
  <c r="I609" i="9"/>
  <c r="H609" i="9"/>
  <c r="J609" i="9" s="1"/>
  <c r="S608" i="9"/>
  <c r="J608" i="9"/>
  <c r="I608" i="9"/>
  <c r="M608" i="9" s="1"/>
  <c r="H608" i="9"/>
  <c r="S607" i="9"/>
  <c r="K607" i="9"/>
  <c r="U607" i="9" s="1"/>
  <c r="J607" i="9"/>
  <c r="I607" i="9"/>
  <c r="M607" i="9" s="1"/>
  <c r="T607" i="9" s="1"/>
  <c r="H607" i="9"/>
  <c r="S606" i="9"/>
  <c r="J606" i="9"/>
  <c r="I606" i="9"/>
  <c r="M606" i="9" s="1"/>
  <c r="H606" i="9"/>
  <c r="S605" i="9"/>
  <c r="M605" i="9"/>
  <c r="L605" i="9"/>
  <c r="J605" i="9"/>
  <c r="W605" i="9" s="1"/>
  <c r="I605" i="9"/>
  <c r="H605" i="9"/>
  <c r="W604" i="9"/>
  <c r="S604" i="9"/>
  <c r="M604" i="9"/>
  <c r="J604" i="9"/>
  <c r="I604" i="9"/>
  <c r="H604" i="9"/>
  <c r="S603" i="9"/>
  <c r="M603" i="9"/>
  <c r="T603" i="9" s="1"/>
  <c r="K603" i="9"/>
  <c r="U603" i="9" s="1"/>
  <c r="I603" i="9"/>
  <c r="H603" i="9"/>
  <c r="J603" i="9" s="1"/>
  <c r="S602" i="9"/>
  <c r="M602" i="9"/>
  <c r="L602" i="9"/>
  <c r="V602" i="9" s="1"/>
  <c r="I602" i="9"/>
  <c r="H602" i="9"/>
  <c r="J602" i="9" s="1"/>
  <c r="W602" i="9" s="1"/>
  <c r="W601" i="9"/>
  <c r="S601" i="9"/>
  <c r="M601" i="9"/>
  <c r="J601" i="9"/>
  <c r="I601" i="9"/>
  <c r="H601" i="9"/>
  <c r="S600" i="9"/>
  <c r="M600" i="9"/>
  <c r="J600" i="9"/>
  <c r="I600" i="9"/>
  <c r="H600" i="9"/>
  <c r="W599" i="9"/>
  <c r="S599" i="9"/>
  <c r="M599" i="9"/>
  <c r="J599" i="9"/>
  <c r="I599" i="9"/>
  <c r="H599" i="9"/>
  <c r="W598" i="9"/>
  <c r="U598" i="9"/>
  <c r="T598" i="9"/>
  <c r="S598" i="9"/>
  <c r="J598" i="9"/>
  <c r="I598" i="9"/>
  <c r="M598" i="9" s="1"/>
  <c r="K598" i="9" s="1"/>
  <c r="H598" i="9"/>
  <c r="S597" i="9"/>
  <c r="J597" i="9"/>
  <c r="I597" i="9"/>
  <c r="M597" i="9" s="1"/>
  <c r="H597" i="9"/>
  <c r="W596" i="9"/>
  <c r="S596" i="9"/>
  <c r="J596" i="9"/>
  <c r="I596" i="9"/>
  <c r="M596" i="9" s="1"/>
  <c r="H596" i="9"/>
  <c r="W595" i="9"/>
  <c r="S595" i="9"/>
  <c r="J595" i="9"/>
  <c r="L595" i="9" s="1"/>
  <c r="I595" i="9"/>
  <c r="M595" i="9" s="1"/>
  <c r="T595" i="9" s="1"/>
  <c r="H595" i="9"/>
  <c r="S594" i="9"/>
  <c r="J594" i="9"/>
  <c r="I594" i="9"/>
  <c r="M594" i="9" s="1"/>
  <c r="H594" i="9"/>
  <c r="V593" i="9"/>
  <c r="S593" i="9"/>
  <c r="M593" i="9"/>
  <c r="J593" i="9"/>
  <c r="L593" i="9" s="1"/>
  <c r="I593" i="9"/>
  <c r="H593" i="9"/>
  <c r="W592" i="9"/>
  <c r="S592" i="9"/>
  <c r="J592" i="9"/>
  <c r="I592" i="9"/>
  <c r="M592" i="9" s="1"/>
  <c r="H592" i="9"/>
  <c r="S591" i="9"/>
  <c r="M591" i="9"/>
  <c r="J591" i="9"/>
  <c r="I591" i="9"/>
  <c r="H591" i="9"/>
  <c r="S590" i="9"/>
  <c r="M590" i="9"/>
  <c r="J590" i="9"/>
  <c r="I590" i="9"/>
  <c r="H590" i="9"/>
  <c r="S589" i="9"/>
  <c r="M589" i="9"/>
  <c r="T589" i="9" s="1"/>
  <c r="K589" i="9"/>
  <c r="U589" i="9" s="1"/>
  <c r="J589" i="9"/>
  <c r="L589" i="9" s="1"/>
  <c r="I589" i="9"/>
  <c r="H589" i="9"/>
  <c r="S588" i="9"/>
  <c r="M588" i="9"/>
  <c r="T588" i="9" s="1"/>
  <c r="K588" i="9"/>
  <c r="U588" i="9" s="1"/>
  <c r="J588" i="9"/>
  <c r="I588" i="9"/>
  <c r="H588" i="9"/>
  <c r="S587" i="9"/>
  <c r="M587" i="9"/>
  <c r="L587" i="9"/>
  <c r="V587" i="9" s="1"/>
  <c r="J587" i="9"/>
  <c r="W587" i="9" s="1"/>
  <c r="I587" i="9"/>
  <c r="H587" i="9"/>
  <c r="S586" i="9"/>
  <c r="J586" i="9"/>
  <c r="W586" i="9" s="1"/>
  <c r="I586" i="9"/>
  <c r="M586" i="9" s="1"/>
  <c r="H586" i="9"/>
  <c r="S585" i="9"/>
  <c r="I585" i="9"/>
  <c r="M585" i="9" s="1"/>
  <c r="H585" i="9"/>
  <c r="J585" i="9" s="1"/>
  <c r="S584" i="9"/>
  <c r="J584" i="9"/>
  <c r="I584" i="9"/>
  <c r="M584" i="9" s="1"/>
  <c r="H584" i="9"/>
  <c r="W583" i="9"/>
  <c r="S583" i="9"/>
  <c r="J583" i="9"/>
  <c r="I583" i="9"/>
  <c r="M583" i="9" s="1"/>
  <c r="H583" i="9"/>
  <c r="S582" i="9"/>
  <c r="J582" i="9"/>
  <c r="I582" i="9"/>
  <c r="M582" i="9" s="1"/>
  <c r="H582" i="9"/>
  <c r="W581" i="9"/>
  <c r="S581" i="9"/>
  <c r="M581" i="9"/>
  <c r="J581" i="9"/>
  <c r="L581" i="9" s="1"/>
  <c r="I581" i="9"/>
  <c r="H581" i="9"/>
  <c r="W580" i="9"/>
  <c r="S580" i="9"/>
  <c r="M580" i="9"/>
  <c r="J580" i="9"/>
  <c r="I580" i="9"/>
  <c r="H580" i="9"/>
  <c r="S579" i="9"/>
  <c r="M579" i="9"/>
  <c r="T579" i="9" s="1"/>
  <c r="K579" i="9"/>
  <c r="U579" i="9" s="1"/>
  <c r="I579" i="9"/>
  <c r="H579" i="9"/>
  <c r="J579" i="9" s="1"/>
  <c r="W578" i="9"/>
  <c r="S578" i="9"/>
  <c r="M578" i="9"/>
  <c r="I578" i="9"/>
  <c r="H578" i="9"/>
  <c r="J578" i="9" s="1"/>
  <c r="L578" i="9" s="1"/>
  <c r="V578" i="9" s="1"/>
  <c r="S577" i="9"/>
  <c r="J577" i="9"/>
  <c r="I577" i="9"/>
  <c r="M577" i="9" s="1"/>
  <c r="H577" i="9"/>
  <c r="S576" i="9"/>
  <c r="K576" i="9"/>
  <c r="U576" i="9" s="1"/>
  <c r="I576" i="9"/>
  <c r="M576" i="9" s="1"/>
  <c r="T576" i="9" s="1"/>
  <c r="H576" i="9"/>
  <c r="J576" i="9" s="1"/>
  <c r="S575" i="9"/>
  <c r="J575" i="9"/>
  <c r="I575" i="9"/>
  <c r="M575" i="9" s="1"/>
  <c r="H575" i="9"/>
  <c r="S574" i="9"/>
  <c r="J574" i="9"/>
  <c r="I574" i="9"/>
  <c r="M574" i="9" s="1"/>
  <c r="H574" i="9"/>
  <c r="S573" i="9"/>
  <c r="I573" i="9"/>
  <c r="H573" i="9"/>
  <c r="M573" i="9" s="1"/>
  <c r="T573" i="9" s="1"/>
  <c r="S572" i="9"/>
  <c r="I572" i="9"/>
  <c r="H572" i="9"/>
  <c r="T571" i="9"/>
  <c r="S571" i="9"/>
  <c r="M571" i="9"/>
  <c r="K571" i="9"/>
  <c r="U571" i="9" s="1"/>
  <c r="J571" i="9"/>
  <c r="I571" i="9"/>
  <c r="H571" i="9"/>
  <c r="S570" i="9"/>
  <c r="I570" i="9"/>
  <c r="H570" i="9"/>
  <c r="S569" i="9"/>
  <c r="I569" i="9"/>
  <c r="H569" i="9"/>
  <c r="J569" i="9" s="1"/>
  <c r="S568" i="9"/>
  <c r="J568" i="9"/>
  <c r="I568" i="9"/>
  <c r="M568" i="9" s="1"/>
  <c r="H568" i="9"/>
  <c r="S567" i="9"/>
  <c r="I567" i="9"/>
  <c r="H567" i="9"/>
  <c r="M567" i="9" s="1"/>
  <c r="S566" i="9"/>
  <c r="L566" i="9"/>
  <c r="I566" i="9"/>
  <c r="M566" i="9" s="1"/>
  <c r="H566" i="9"/>
  <c r="J566" i="9" s="1"/>
  <c r="W566" i="9" s="1"/>
  <c r="S565" i="9"/>
  <c r="M565" i="9"/>
  <c r="L565" i="9"/>
  <c r="J565" i="9"/>
  <c r="W565" i="9" s="1"/>
  <c r="I565" i="9"/>
  <c r="H565" i="9"/>
  <c r="S564" i="9"/>
  <c r="I564" i="9"/>
  <c r="H564" i="9"/>
  <c r="J564" i="9" s="1"/>
  <c r="W563" i="9"/>
  <c r="S563" i="9"/>
  <c r="I563" i="9"/>
  <c r="M563" i="9" s="1"/>
  <c r="H563" i="9"/>
  <c r="J563" i="9" s="1"/>
  <c r="W562" i="9"/>
  <c r="U562" i="9"/>
  <c r="T562" i="9"/>
  <c r="S562" i="9"/>
  <c r="L562" i="9"/>
  <c r="K562" i="9"/>
  <c r="J562" i="9"/>
  <c r="I562" i="9"/>
  <c r="M562" i="9" s="1"/>
  <c r="H562" i="9"/>
  <c r="S561" i="9"/>
  <c r="J561" i="9"/>
  <c r="I561" i="9"/>
  <c r="M561" i="9" s="1"/>
  <c r="H561" i="9"/>
  <c r="S560" i="9"/>
  <c r="J560" i="9"/>
  <c r="W560" i="9" s="1"/>
  <c r="I560" i="9"/>
  <c r="H560" i="9"/>
  <c r="M560" i="9" s="1"/>
  <c r="T559" i="9"/>
  <c r="S559" i="9"/>
  <c r="M559" i="9"/>
  <c r="J559" i="9"/>
  <c r="I559" i="9"/>
  <c r="H559" i="9"/>
  <c r="S558" i="9"/>
  <c r="I558" i="9"/>
  <c r="H558" i="9"/>
  <c r="J558" i="9" s="1"/>
  <c r="S557" i="9"/>
  <c r="I557" i="9"/>
  <c r="H557" i="9"/>
  <c r="J557" i="9" s="1"/>
  <c r="S556" i="9"/>
  <c r="J556" i="9"/>
  <c r="I556" i="9"/>
  <c r="M556" i="9" s="1"/>
  <c r="H556" i="9"/>
  <c r="S555" i="9"/>
  <c r="I555" i="9"/>
  <c r="M555" i="9" s="1"/>
  <c r="T555" i="9" s="1"/>
  <c r="H555" i="9"/>
  <c r="J555" i="9" s="1"/>
  <c r="S554" i="9"/>
  <c r="M554" i="9"/>
  <c r="L554" i="9"/>
  <c r="I554" i="9"/>
  <c r="H554" i="9"/>
  <c r="J554" i="9" s="1"/>
  <c r="W554" i="9" s="1"/>
  <c r="V553" i="9"/>
  <c r="T553" i="9"/>
  <c r="S553" i="9"/>
  <c r="M553" i="9"/>
  <c r="L553" i="9"/>
  <c r="K553" i="9"/>
  <c r="U553" i="9" s="1"/>
  <c r="J553" i="9"/>
  <c r="W553" i="9" s="1"/>
  <c r="I553" i="9"/>
  <c r="H553" i="9"/>
  <c r="S552" i="9"/>
  <c r="I552" i="9"/>
  <c r="H552" i="9"/>
  <c r="J552" i="9" s="1"/>
  <c r="W551" i="9"/>
  <c r="S551" i="9"/>
  <c r="I551" i="9"/>
  <c r="H551" i="9"/>
  <c r="J551" i="9" s="1"/>
  <c r="W550" i="9"/>
  <c r="S550" i="9"/>
  <c r="J550" i="9"/>
  <c r="L550" i="9" s="1"/>
  <c r="I550" i="9"/>
  <c r="M550" i="9" s="1"/>
  <c r="T550" i="9" s="1"/>
  <c r="H550" i="9"/>
  <c r="S549" i="9"/>
  <c r="I549" i="9"/>
  <c r="M549" i="9" s="1"/>
  <c r="H549" i="9"/>
  <c r="J549" i="9" s="1"/>
  <c r="S548" i="9"/>
  <c r="M548" i="9"/>
  <c r="L548" i="9"/>
  <c r="J548" i="9"/>
  <c r="W548" i="9" s="1"/>
  <c r="I548" i="9"/>
  <c r="H548" i="9"/>
  <c r="S547" i="9"/>
  <c r="M547" i="9"/>
  <c r="T547" i="9" s="1"/>
  <c r="J547" i="9"/>
  <c r="I547" i="9"/>
  <c r="H547" i="9"/>
  <c r="S546" i="9"/>
  <c r="M546" i="9"/>
  <c r="I546" i="9"/>
  <c r="H546" i="9"/>
  <c r="J546" i="9" s="1"/>
  <c r="S545" i="9"/>
  <c r="I545" i="9"/>
  <c r="H545" i="9"/>
  <c r="J545" i="9" s="1"/>
  <c r="T544" i="9"/>
  <c r="S544" i="9"/>
  <c r="J544" i="9"/>
  <c r="I544" i="9"/>
  <c r="M544" i="9" s="1"/>
  <c r="H544" i="9"/>
  <c r="S543" i="9"/>
  <c r="M543" i="9"/>
  <c r="I543" i="9"/>
  <c r="H543" i="9"/>
  <c r="J543" i="9" s="1"/>
  <c r="S542" i="9"/>
  <c r="J542" i="9"/>
  <c r="I542" i="9"/>
  <c r="H542" i="9"/>
  <c r="W541" i="9"/>
  <c r="T541" i="9"/>
  <c r="S541" i="9"/>
  <c r="M541" i="9"/>
  <c r="K541" i="9" s="1"/>
  <c r="U541" i="9" s="1"/>
  <c r="J541" i="9"/>
  <c r="I541" i="9"/>
  <c r="H541" i="9"/>
  <c r="S540" i="9"/>
  <c r="I540" i="9"/>
  <c r="H540" i="9"/>
  <c r="J540" i="9" s="1"/>
  <c r="S539" i="9"/>
  <c r="I539" i="9"/>
  <c r="H539" i="9"/>
  <c r="J539" i="9" s="1"/>
  <c r="S538" i="9"/>
  <c r="J538" i="9"/>
  <c r="I538" i="9"/>
  <c r="M538" i="9" s="1"/>
  <c r="T538" i="9" s="1"/>
  <c r="H538" i="9"/>
  <c r="S537" i="9"/>
  <c r="I537" i="9"/>
  <c r="H537" i="9"/>
  <c r="J537" i="9" s="1"/>
  <c r="S536" i="9"/>
  <c r="I536" i="9"/>
  <c r="H536" i="9"/>
  <c r="J536" i="9" s="1"/>
  <c r="W536" i="9" s="1"/>
  <c r="W535" i="9"/>
  <c r="T535" i="9"/>
  <c r="S535" i="9"/>
  <c r="M535" i="9"/>
  <c r="K535" i="9"/>
  <c r="U535" i="9" s="1"/>
  <c r="J535" i="9"/>
  <c r="L535" i="9" s="1"/>
  <c r="V535" i="9" s="1"/>
  <c r="I535" i="9"/>
  <c r="H535" i="9"/>
  <c r="S534" i="9"/>
  <c r="I534" i="9"/>
  <c r="H534" i="9"/>
  <c r="J534" i="9" s="1"/>
  <c r="S533" i="9"/>
  <c r="I533" i="9"/>
  <c r="H533" i="9"/>
  <c r="J533" i="9" s="1"/>
  <c r="S532" i="9"/>
  <c r="J532" i="9"/>
  <c r="I532" i="9"/>
  <c r="M532" i="9" s="1"/>
  <c r="T532" i="9" s="1"/>
  <c r="H532" i="9"/>
  <c r="S531" i="9"/>
  <c r="I531" i="9"/>
  <c r="H531" i="9"/>
  <c r="J531" i="9" s="1"/>
  <c r="S530" i="9"/>
  <c r="J530" i="9"/>
  <c r="I530" i="9"/>
  <c r="H530" i="9"/>
  <c r="S529" i="9"/>
  <c r="M529" i="9"/>
  <c r="J529" i="9"/>
  <c r="W529" i="9" s="1"/>
  <c r="I529" i="9"/>
  <c r="H529" i="9"/>
  <c r="S528" i="9"/>
  <c r="M528" i="9"/>
  <c r="I528" i="9"/>
  <c r="H528" i="9"/>
  <c r="J528" i="9" s="1"/>
  <c r="S527" i="9"/>
  <c r="J527" i="9"/>
  <c r="I527" i="9"/>
  <c r="M527" i="9" s="1"/>
  <c r="H527" i="9"/>
  <c r="S526" i="9"/>
  <c r="J526" i="9"/>
  <c r="I526" i="9"/>
  <c r="M526" i="9" s="1"/>
  <c r="T526" i="9" s="1"/>
  <c r="H526" i="9"/>
  <c r="T525" i="9"/>
  <c r="S525" i="9"/>
  <c r="J525" i="9"/>
  <c r="I525" i="9"/>
  <c r="M525" i="9" s="1"/>
  <c r="K525" i="9" s="1"/>
  <c r="U525" i="9" s="1"/>
  <c r="H525" i="9"/>
  <c r="S524" i="9"/>
  <c r="I524" i="9"/>
  <c r="M524" i="9" s="1"/>
  <c r="H524" i="9"/>
  <c r="J524" i="9" s="1"/>
  <c r="W523" i="9"/>
  <c r="T523" i="9"/>
  <c r="S523" i="9"/>
  <c r="M523" i="9"/>
  <c r="L523" i="9"/>
  <c r="V523" i="9" s="1"/>
  <c r="J523" i="9"/>
  <c r="K523" i="9" s="1"/>
  <c r="U523" i="9" s="1"/>
  <c r="I523" i="9"/>
  <c r="H523" i="9"/>
  <c r="S522" i="9"/>
  <c r="I522" i="9"/>
  <c r="M522" i="9" s="1"/>
  <c r="H522" i="9"/>
  <c r="J522" i="9" s="1"/>
  <c r="S521" i="9"/>
  <c r="I521" i="9"/>
  <c r="H521" i="9"/>
  <c r="J521" i="9" s="1"/>
  <c r="S520" i="9"/>
  <c r="M520" i="9"/>
  <c r="L520" i="9" s="1"/>
  <c r="K520" i="9"/>
  <c r="U520" i="9" s="1"/>
  <c r="J520" i="9"/>
  <c r="W520" i="9" s="1"/>
  <c r="I520" i="9"/>
  <c r="H520" i="9"/>
  <c r="S519" i="9"/>
  <c r="I519" i="9"/>
  <c r="H519" i="9"/>
  <c r="S518" i="9"/>
  <c r="J518" i="9"/>
  <c r="I518" i="9"/>
  <c r="M518" i="9" s="1"/>
  <c r="H518" i="9"/>
  <c r="S517" i="9"/>
  <c r="M517" i="9"/>
  <c r="T517" i="9" s="1"/>
  <c r="J517" i="9"/>
  <c r="W517" i="9" s="1"/>
  <c r="I517" i="9"/>
  <c r="H517" i="9"/>
  <c r="S516" i="9"/>
  <c r="I516" i="9"/>
  <c r="H516" i="9"/>
  <c r="J516" i="9" s="1"/>
  <c r="W515" i="9"/>
  <c r="V515" i="9"/>
  <c r="S515" i="9"/>
  <c r="J515" i="9"/>
  <c r="L515" i="9" s="1"/>
  <c r="I515" i="9"/>
  <c r="M515" i="9" s="1"/>
  <c r="H515" i="9"/>
  <c r="W514" i="9"/>
  <c r="T514" i="9"/>
  <c r="S514" i="9"/>
  <c r="L514" i="9"/>
  <c r="K514" i="9"/>
  <c r="U514" i="9" s="1"/>
  <c r="J514" i="9"/>
  <c r="I514" i="9"/>
  <c r="M514" i="9" s="1"/>
  <c r="H514" i="9"/>
  <c r="S513" i="9"/>
  <c r="I513" i="9"/>
  <c r="H513" i="9"/>
  <c r="J513" i="9" s="1"/>
  <c r="V512" i="9"/>
  <c r="S512" i="9"/>
  <c r="M512" i="9"/>
  <c r="L512" i="9" s="1"/>
  <c r="I512" i="9"/>
  <c r="H512" i="9"/>
  <c r="J512" i="9" s="1"/>
  <c r="W512" i="9" s="1"/>
  <c r="W511" i="9"/>
  <c r="V511" i="9"/>
  <c r="U511" i="9"/>
  <c r="T511" i="9"/>
  <c r="S511" i="9"/>
  <c r="M511" i="9"/>
  <c r="L511" i="9"/>
  <c r="K511" i="9"/>
  <c r="J511" i="9"/>
  <c r="I511" i="9"/>
  <c r="H511" i="9"/>
  <c r="S510" i="9"/>
  <c r="I510" i="9"/>
  <c r="M510" i="9" s="1"/>
  <c r="H510" i="9"/>
  <c r="J510" i="9" s="1"/>
  <c r="S509" i="9"/>
  <c r="I509" i="9"/>
  <c r="H509" i="9"/>
  <c r="J509" i="9" s="1"/>
  <c r="W508" i="9"/>
  <c r="S508" i="9"/>
  <c r="M508" i="9"/>
  <c r="J508" i="9"/>
  <c r="I508" i="9"/>
  <c r="H508" i="9"/>
  <c r="S507" i="9"/>
  <c r="M507" i="9"/>
  <c r="T507" i="9" s="1"/>
  <c r="J507" i="9"/>
  <c r="I507" i="9"/>
  <c r="H507" i="9"/>
  <c r="S506" i="9"/>
  <c r="I506" i="9"/>
  <c r="M506" i="9" s="1"/>
  <c r="H506" i="9"/>
  <c r="J506" i="9" s="1"/>
  <c r="S505" i="9"/>
  <c r="M505" i="9"/>
  <c r="L505" i="9"/>
  <c r="J505" i="9"/>
  <c r="W505" i="9" s="1"/>
  <c r="I505" i="9"/>
  <c r="H505" i="9"/>
  <c r="S504" i="9"/>
  <c r="M504" i="9"/>
  <c r="K504" i="9" s="1"/>
  <c r="U504" i="9" s="1"/>
  <c r="I504" i="9"/>
  <c r="H504" i="9"/>
  <c r="J504" i="9" s="1"/>
  <c r="S503" i="9"/>
  <c r="I503" i="9"/>
  <c r="M503" i="9" s="1"/>
  <c r="H503" i="9"/>
  <c r="J503" i="9" s="1"/>
  <c r="W502" i="9"/>
  <c r="V502" i="9"/>
  <c r="T502" i="9"/>
  <c r="S502" i="9"/>
  <c r="M502" i="9"/>
  <c r="J502" i="9"/>
  <c r="L502" i="9" s="1"/>
  <c r="I502" i="9"/>
  <c r="H502" i="9"/>
  <c r="S501" i="9"/>
  <c r="I501" i="9"/>
  <c r="H501" i="9"/>
  <c r="J501" i="9" s="1"/>
  <c r="S500" i="9"/>
  <c r="M500" i="9"/>
  <c r="J500" i="9"/>
  <c r="I500" i="9"/>
  <c r="H500" i="9"/>
  <c r="T499" i="9"/>
  <c r="S499" i="9"/>
  <c r="M499" i="9"/>
  <c r="J499" i="9"/>
  <c r="I499" i="9"/>
  <c r="H499" i="9"/>
  <c r="T498" i="9"/>
  <c r="S498" i="9"/>
  <c r="M498" i="9"/>
  <c r="K498" i="9" s="1"/>
  <c r="U498" i="9" s="1"/>
  <c r="I498" i="9"/>
  <c r="H498" i="9"/>
  <c r="J498" i="9" s="1"/>
  <c r="W497" i="9"/>
  <c r="S497" i="9"/>
  <c r="J497" i="9"/>
  <c r="I497" i="9"/>
  <c r="M497" i="9" s="1"/>
  <c r="H497" i="9"/>
  <c r="W496" i="9"/>
  <c r="U496" i="9"/>
  <c r="T496" i="9"/>
  <c r="S496" i="9"/>
  <c r="L496" i="9"/>
  <c r="J496" i="9"/>
  <c r="I496" i="9"/>
  <c r="M496" i="9" s="1"/>
  <c r="K496" i="9" s="1"/>
  <c r="H496" i="9"/>
  <c r="S495" i="9"/>
  <c r="I495" i="9"/>
  <c r="H495" i="9"/>
  <c r="S494" i="9"/>
  <c r="J494" i="9"/>
  <c r="W494" i="9" s="1"/>
  <c r="I494" i="9"/>
  <c r="H494" i="9"/>
  <c r="W493" i="9"/>
  <c r="U493" i="9"/>
  <c r="T493" i="9"/>
  <c r="S493" i="9"/>
  <c r="M493" i="9"/>
  <c r="L493" i="9"/>
  <c r="K493" i="9"/>
  <c r="J493" i="9"/>
  <c r="I493" i="9"/>
  <c r="H493" i="9"/>
  <c r="S492" i="9"/>
  <c r="I492" i="9"/>
  <c r="M492" i="9" s="1"/>
  <c r="H492" i="9"/>
  <c r="J492" i="9" s="1"/>
  <c r="S491" i="9"/>
  <c r="J491" i="9"/>
  <c r="I491" i="9"/>
  <c r="H491" i="9"/>
  <c r="S490" i="9"/>
  <c r="J490" i="9"/>
  <c r="I490" i="9"/>
  <c r="M490" i="9" s="1"/>
  <c r="H490" i="9"/>
  <c r="S489" i="9"/>
  <c r="J489" i="9"/>
  <c r="I489" i="9"/>
  <c r="M489" i="9" s="1"/>
  <c r="H489" i="9"/>
  <c r="S488" i="9"/>
  <c r="I488" i="9"/>
  <c r="M488" i="9" s="1"/>
  <c r="H488" i="9"/>
  <c r="J488" i="9" s="1"/>
  <c r="S487" i="9"/>
  <c r="M487" i="9"/>
  <c r="J487" i="9"/>
  <c r="W487" i="9" s="1"/>
  <c r="I487" i="9"/>
  <c r="H487" i="9"/>
  <c r="S486" i="9"/>
  <c r="I486" i="9"/>
  <c r="H486" i="9"/>
  <c r="J486" i="9" s="1"/>
  <c r="W485" i="9"/>
  <c r="S485" i="9"/>
  <c r="I485" i="9"/>
  <c r="M485" i="9" s="1"/>
  <c r="H485" i="9"/>
  <c r="J485" i="9" s="1"/>
  <c r="S484" i="9"/>
  <c r="J484" i="9"/>
  <c r="I484" i="9"/>
  <c r="M484" i="9" s="1"/>
  <c r="H484" i="9"/>
  <c r="S483" i="9"/>
  <c r="J483" i="9"/>
  <c r="I483" i="9"/>
  <c r="M483" i="9" s="1"/>
  <c r="T483" i="9" s="1"/>
  <c r="H483" i="9"/>
  <c r="S482" i="9"/>
  <c r="J482" i="9"/>
  <c r="I482" i="9"/>
  <c r="M482" i="9" s="1"/>
  <c r="H482" i="9"/>
  <c r="W481" i="9"/>
  <c r="V481" i="9"/>
  <c r="T481" i="9"/>
  <c r="S481" i="9"/>
  <c r="M481" i="9"/>
  <c r="K481" i="9"/>
  <c r="U481" i="9" s="1"/>
  <c r="J481" i="9"/>
  <c r="L481" i="9" s="1"/>
  <c r="I481" i="9"/>
  <c r="H481" i="9"/>
  <c r="S480" i="9"/>
  <c r="I480" i="9"/>
  <c r="M480" i="9" s="1"/>
  <c r="H480" i="9"/>
  <c r="J480" i="9" s="1"/>
  <c r="S479" i="9"/>
  <c r="J479" i="9"/>
  <c r="I479" i="9"/>
  <c r="M479" i="9" s="1"/>
  <c r="H479" i="9"/>
  <c r="S478" i="9"/>
  <c r="J478" i="9"/>
  <c r="I478" i="9"/>
  <c r="M478" i="9" s="1"/>
  <c r="H478" i="9"/>
  <c r="S477" i="9"/>
  <c r="I477" i="9"/>
  <c r="H477" i="9"/>
  <c r="J477" i="9" s="1"/>
  <c r="S476" i="9"/>
  <c r="J476" i="9"/>
  <c r="W476" i="9" s="1"/>
  <c r="I476" i="9"/>
  <c r="H476" i="9"/>
  <c r="S475" i="9"/>
  <c r="M475" i="9"/>
  <c r="T475" i="9" s="1"/>
  <c r="J475" i="9"/>
  <c r="I475" i="9"/>
  <c r="H475" i="9"/>
  <c r="S474" i="9"/>
  <c r="I474" i="9"/>
  <c r="M474" i="9" s="1"/>
  <c r="H474" i="9"/>
  <c r="J474" i="9" s="1"/>
  <c r="S473" i="9"/>
  <c r="I473" i="9"/>
  <c r="H473" i="9"/>
  <c r="J473" i="9" s="1"/>
  <c r="S472" i="9"/>
  <c r="J472" i="9"/>
  <c r="I472" i="9"/>
  <c r="M472" i="9" s="1"/>
  <c r="H472" i="9"/>
  <c r="S471" i="9"/>
  <c r="J471" i="9"/>
  <c r="I471" i="9"/>
  <c r="M471" i="9" s="1"/>
  <c r="H471" i="9"/>
  <c r="S470" i="9"/>
  <c r="J470" i="9"/>
  <c r="W470" i="9" s="1"/>
  <c r="I470" i="9"/>
  <c r="M470" i="9" s="1"/>
  <c r="H470" i="9"/>
  <c r="S469" i="9"/>
  <c r="M469" i="9"/>
  <c r="J469" i="9"/>
  <c r="I469" i="9"/>
  <c r="H469" i="9"/>
  <c r="S468" i="9"/>
  <c r="I468" i="9"/>
  <c r="H468" i="9"/>
  <c r="S467" i="9"/>
  <c r="I467" i="9"/>
  <c r="H467" i="9"/>
  <c r="J467" i="9" s="1"/>
  <c r="S466" i="9"/>
  <c r="M466" i="9"/>
  <c r="L466" i="9"/>
  <c r="J466" i="9"/>
  <c r="W466" i="9" s="1"/>
  <c r="I466" i="9"/>
  <c r="H466" i="9"/>
  <c r="S465" i="9"/>
  <c r="K465" i="9"/>
  <c r="U465" i="9" s="1"/>
  <c r="J465" i="9"/>
  <c r="I465" i="9"/>
  <c r="M465" i="9" s="1"/>
  <c r="T465" i="9" s="1"/>
  <c r="H465" i="9"/>
  <c r="S464" i="9"/>
  <c r="M464" i="9"/>
  <c r="J464" i="9"/>
  <c r="I464" i="9"/>
  <c r="H464" i="9"/>
  <c r="W463" i="9"/>
  <c r="S463" i="9"/>
  <c r="M463" i="9"/>
  <c r="J463" i="9"/>
  <c r="I463" i="9"/>
  <c r="H463" i="9"/>
  <c r="S462" i="9"/>
  <c r="J462" i="9"/>
  <c r="I462" i="9"/>
  <c r="M462" i="9" s="1"/>
  <c r="H462" i="9"/>
  <c r="S461" i="9"/>
  <c r="K461" i="9"/>
  <c r="U461" i="9" s="1"/>
  <c r="J461" i="9"/>
  <c r="I461" i="9"/>
  <c r="H461" i="9"/>
  <c r="M461" i="9" s="1"/>
  <c r="T461" i="9" s="1"/>
  <c r="W460" i="9"/>
  <c r="V460" i="9"/>
  <c r="T460" i="9"/>
  <c r="S460" i="9"/>
  <c r="M460" i="9"/>
  <c r="L460" i="9"/>
  <c r="K460" i="9"/>
  <c r="U460" i="9" s="1"/>
  <c r="J460" i="9"/>
  <c r="I460" i="9"/>
  <c r="H460" i="9"/>
  <c r="S459" i="9"/>
  <c r="I459" i="9"/>
  <c r="H459" i="9"/>
  <c r="J459" i="9" s="1"/>
  <c r="W459" i="9" s="1"/>
  <c r="S458" i="9"/>
  <c r="J458" i="9"/>
  <c r="I458" i="9"/>
  <c r="H458" i="9"/>
  <c r="S457" i="9"/>
  <c r="M457" i="9"/>
  <c r="J457" i="9"/>
  <c r="W457" i="9" s="1"/>
  <c r="I457" i="9"/>
  <c r="H457" i="9"/>
  <c r="S456" i="9"/>
  <c r="M456" i="9"/>
  <c r="T456" i="9" s="1"/>
  <c r="K456" i="9"/>
  <c r="U456" i="9" s="1"/>
  <c r="J456" i="9"/>
  <c r="I456" i="9"/>
  <c r="H456" i="9"/>
  <c r="S455" i="9"/>
  <c r="J455" i="9"/>
  <c r="I455" i="9"/>
  <c r="H455" i="9"/>
  <c r="M455" i="9" s="1"/>
  <c r="S454" i="9"/>
  <c r="M454" i="9"/>
  <c r="J454" i="9"/>
  <c r="I454" i="9"/>
  <c r="H454" i="9"/>
  <c r="T453" i="9"/>
  <c r="S453" i="9"/>
  <c r="M453" i="9"/>
  <c r="K453" i="9" s="1"/>
  <c r="U453" i="9" s="1"/>
  <c r="I453" i="9"/>
  <c r="H453" i="9"/>
  <c r="J453" i="9" s="1"/>
  <c r="W452" i="9"/>
  <c r="S452" i="9"/>
  <c r="M452" i="9"/>
  <c r="J452" i="9"/>
  <c r="L452" i="9" s="1"/>
  <c r="I452" i="9"/>
  <c r="H452" i="9"/>
  <c r="W451" i="9"/>
  <c r="S451" i="9"/>
  <c r="M451" i="9"/>
  <c r="J451" i="9"/>
  <c r="I451" i="9"/>
  <c r="H451" i="9"/>
  <c r="W450" i="9"/>
  <c r="S450" i="9"/>
  <c r="M450" i="9"/>
  <c r="J450" i="9"/>
  <c r="I450" i="9"/>
  <c r="H450" i="9"/>
  <c r="S449" i="9"/>
  <c r="K449" i="9"/>
  <c r="U449" i="9" s="1"/>
  <c r="J449" i="9"/>
  <c r="I449" i="9"/>
  <c r="M449" i="9" s="1"/>
  <c r="T449" i="9" s="1"/>
  <c r="H449" i="9"/>
  <c r="W448" i="9"/>
  <c r="V448" i="9"/>
  <c r="S448" i="9"/>
  <c r="M448" i="9"/>
  <c r="T448" i="9" s="1"/>
  <c r="K448" i="9"/>
  <c r="U448" i="9" s="1"/>
  <c r="J448" i="9"/>
  <c r="L448" i="9" s="1"/>
  <c r="I448" i="9"/>
  <c r="H448" i="9"/>
  <c r="S447" i="9"/>
  <c r="J447" i="9"/>
  <c r="W447" i="9" s="1"/>
  <c r="I447" i="9"/>
  <c r="H447" i="9"/>
  <c r="S446" i="9"/>
  <c r="I446" i="9"/>
  <c r="H446" i="9"/>
  <c r="S445" i="9"/>
  <c r="M445" i="9"/>
  <c r="T445" i="9" s="1"/>
  <c r="L445" i="9"/>
  <c r="J445" i="9"/>
  <c r="I445" i="9"/>
  <c r="H445" i="9"/>
  <c r="S444" i="9"/>
  <c r="M444" i="9"/>
  <c r="T444" i="9" s="1"/>
  <c r="J444" i="9"/>
  <c r="I444" i="9"/>
  <c r="H444" i="9"/>
  <c r="W443" i="9"/>
  <c r="S443" i="9"/>
  <c r="M443" i="9"/>
  <c r="I443" i="9"/>
  <c r="H443" i="9"/>
  <c r="J443" i="9" s="1"/>
  <c r="T442" i="9"/>
  <c r="S442" i="9"/>
  <c r="M442" i="9"/>
  <c r="K442" i="9"/>
  <c r="U442" i="9" s="1"/>
  <c r="J442" i="9"/>
  <c r="I442" i="9"/>
  <c r="H442" i="9"/>
  <c r="S441" i="9"/>
  <c r="I441" i="9"/>
  <c r="M441" i="9" s="1"/>
  <c r="H441" i="9"/>
  <c r="J441" i="9" s="1"/>
  <c r="W440" i="9"/>
  <c r="V440" i="9"/>
  <c r="S440" i="9"/>
  <c r="M440" i="9"/>
  <c r="L440" i="9"/>
  <c r="J440" i="9"/>
  <c r="I440" i="9"/>
  <c r="H440" i="9"/>
  <c r="W439" i="9"/>
  <c r="V439" i="9"/>
  <c r="T439" i="9"/>
  <c r="S439" i="9"/>
  <c r="M439" i="9"/>
  <c r="J439" i="9"/>
  <c r="L439" i="9" s="1"/>
  <c r="I439" i="9"/>
  <c r="H439" i="9"/>
  <c r="S438" i="9"/>
  <c r="I438" i="9"/>
  <c r="M438" i="9" s="1"/>
  <c r="H438" i="9"/>
  <c r="J438" i="9" s="1"/>
  <c r="S437" i="9"/>
  <c r="M437" i="9"/>
  <c r="L437" i="9"/>
  <c r="V437" i="9" s="1"/>
  <c r="I437" i="9"/>
  <c r="H437" i="9"/>
  <c r="J437" i="9" s="1"/>
  <c r="W437" i="9" s="1"/>
  <c r="S436" i="9"/>
  <c r="M436" i="9"/>
  <c r="T436" i="9" s="1"/>
  <c r="L436" i="9"/>
  <c r="K436" i="9"/>
  <c r="U436" i="9" s="1"/>
  <c r="J436" i="9"/>
  <c r="W436" i="9" s="1"/>
  <c r="I436" i="9"/>
  <c r="H436" i="9"/>
  <c r="W435" i="9"/>
  <c r="S435" i="9"/>
  <c r="J435" i="9"/>
  <c r="I435" i="9"/>
  <c r="M435" i="9" s="1"/>
  <c r="H435" i="9"/>
  <c r="W434" i="9"/>
  <c r="S434" i="9"/>
  <c r="L434" i="9"/>
  <c r="I434" i="9"/>
  <c r="M434" i="9" s="1"/>
  <c r="T434" i="9" s="1"/>
  <c r="H434" i="9"/>
  <c r="J434" i="9" s="1"/>
  <c r="T433" i="9"/>
  <c r="S433" i="9"/>
  <c r="J433" i="9"/>
  <c r="I433" i="9"/>
  <c r="M433" i="9" s="1"/>
  <c r="H433" i="9"/>
  <c r="T432" i="9"/>
  <c r="S432" i="9"/>
  <c r="M432" i="9"/>
  <c r="J432" i="9"/>
  <c r="I432" i="9"/>
  <c r="H432" i="9"/>
  <c r="W431" i="9"/>
  <c r="S431" i="9"/>
  <c r="M431" i="9"/>
  <c r="I431" i="9"/>
  <c r="H431" i="9"/>
  <c r="J431" i="9" s="1"/>
  <c r="S430" i="9"/>
  <c r="J430" i="9"/>
  <c r="I430" i="9"/>
  <c r="M430" i="9" s="1"/>
  <c r="H430" i="9"/>
  <c r="T429" i="9"/>
  <c r="S429" i="9"/>
  <c r="M429" i="9"/>
  <c r="K429" i="9" s="1"/>
  <c r="U429" i="9" s="1"/>
  <c r="I429" i="9"/>
  <c r="H429" i="9"/>
  <c r="J429" i="9" s="1"/>
  <c r="S428" i="9"/>
  <c r="M428" i="9"/>
  <c r="T428" i="9" s="1"/>
  <c r="L428" i="9"/>
  <c r="J428" i="9"/>
  <c r="W428" i="9" s="1"/>
  <c r="I428" i="9"/>
  <c r="H428" i="9"/>
  <c r="W427" i="9"/>
  <c r="S427" i="9"/>
  <c r="J427" i="9"/>
  <c r="L427" i="9" s="1"/>
  <c r="I427" i="9"/>
  <c r="M427" i="9" s="1"/>
  <c r="H427" i="9"/>
  <c r="S426" i="9"/>
  <c r="K426" i="9"/>
  <c r="U426" i="9" s="1"/>
  <c r="J426" i="9"/>
  <c r="I426" i="9"/>
  <c r="M426" i="9" s="1"/>
  <c r="T426" i="9" s="1"/>
  <c r="H426" i="9"/>
  <c r="S425" i="9"/>
  <c r="M425" i="9"/>
  <c r="I425" i="9"/>
  <c r="H425" i="9"/>
  <c r="J425" i="9" s="1"/>
  <c r="S424" i="9"/>
  <c r="M424" i="9"/>
  <c r="L424" i="9"/>
  <c r="V424" i="9" s="1"/>
  <c r="J424" i="9"/>
  <c r="W424" i="9" s="1"/>
  <c r="I424" i="9"/>
  <c r="H424" i="9"/>
  <c r="T423" i="9"/>
  <c r="S423" i="9"/>
  <c r="J423" i="9"/>
  <c r="L423" i="9" s="1"/>
  <c r="I423" i="9"/>
  <c r="M423" i="9" s="1"/>
  <c r="H423" i="9"/>
  <c r="W422" i="9"/>
  <c r="S422" i="9"/>
  <c r="I422" i="9"/>
  <c r="M422" i="9" s="1"/>
  <c r="T422" i="9" s="1"/>
  <c r="H422" i="9"/>
  <c r="J422" i="9" s="1"/>
  <c r="S421" i="9"/>
  <c r="J421" i="9"/>
  <c r="W421" i="9" s="1"/>
  <c r="I421" i="9"/>
  <c r="M421" i="9" s="1"/>
  <c r="H421" i="9"/>
  <c r="V420" i="9"/>
  <c r="S420" i="9"/>
  <c r="M420" i="9"/>
  <c r="T420" i="9" s="1"/>
  <c r="K420" i="9"/>
  <c r="U420" i="9" s="1"/>
  <c r="J420" i="9"/>
  <c r="L420" i="9" s="1"/>
  <c r="I420" i="9"/>
  <c r="H420" i="9"/>
  <c r="S419" i="9"/>
  <c r="M419" i="9"/>
  <c r="J419" i="9"/>
  <c r="I419" i="9"/>
  <c r="H419" i="9"/>
  <c r="S418" i="9"/>
  <c r="M418" i="9"/>
  <c r="T418" i="9" s="1"/>
  <c r="J418" i="9"/>
  <c r="I418" i="9"/>
  <c r="H418" i="9"/>
  <c r="T417" i="9"/>
  <c r="S417" i="9"/>
  <c r="J417" i="9"/>
  <c r="I417" i="9"/>
  <c r="H417" i="9"/>
  <c r="M417" i="9" s="1"/>
  <c r="U416" i="9"/>
  <c r="S416" i="9"/>
  <c r="M416" i="9"/>
  <c r="T416" i="9" s="1"/>
  <c r="K416" i="9"/>
  <c r="J416" i="9"/>
  <c r="W416" i="9" s="1"/>
  <c r="I416" i="9"/>
  <c r="H416" i="9"/>
  <c r="T415" i="9"/>
  <c r="S415" i="9"/>
  <c r="M415" i="9"/>
  <c r="K415" i="9" s="1"/>
  <c r="U415" i="9" s="1"/>
  <c r="J415" i="9"/>
  <c r="L415" i="9" s="1"/>
  <c r="I415" i="9"/>
  <c r="H415" i="9"/>
  <c r="S414" i="9"/>
  <c r="J414" i="9"/>
  <c r="I414" i="9"/>
  <c r="M414" i="9" s="1"/>
  <c r="H414" i="9"/>
  <c r="S413" i="9"/>
  <c r="J413" i="9"/>
  <c r="I413" i="9"/>
  <c r="H413" i="9"/>
  <c r="M413" i="9" s="1"/>
  <c r="W412" i="9"/>
  <c r="V412" i="9"/>
  <c r="U412" i="9"/>
  <c r="T412" i="9"/>
  <c r="S412" i="9"/>
  <c r="M412" i="9"/>
  <c r="L412" i="9"/>
  <c r="K412" i="9"/>
  <c r="J412" i="9"/>
  <c r="I412" i="9"/>
  <c r="H412" i="9"/>
  <c r="W411" i="9"/>
  <c r="T411" i="9"/>
  <c r="S411" i="9"/>
  <c r="I411" i="9"/>
  <c r="M411" i="9" s="1"/>
  <c r="K411" i="9" s="1"/>
  <c r="U411" i="9" s="1"/>
  <c r="H411" i="9"/>
  <c r="J411" i="9" s="1"/>
  <c r="S410" i="9"/>
  <c r="I410" i="9"/>
  <c r="H410" i="9"/>
  <c r="J410" i="9" s="1"/>
  <c r="S409" i="9"/>
  <c r="M409" i="9"/>
  <c r="T409" i="9" s="1"/>
  <c r="L409" i="9"/>
  <c r="J409" i="9"/>
  <c r="W409" i="9" s="1"/>
  <c r="I409" i="9"/>
  <c r="H409" i="9"/>
  <c r="S408" i="9"/>
  <c r="M408" i="9"/>
  <c r="T408" i="9" s="1"/>
  <c r="J408" i="9"/>
  <c r="I408" i="9"/>
  <c r="H408" i="9"/>
  <c r="S407" i="9"/>
  <c r="M407" i="9"/>
  <c r="J407" i="9"/>
  <c r="I407" i="9"/>
  <c r="H407" i="9"/>
  <c r="S406" i="9"/>
  <c r="M406" i="9"/>
  <c r="T406" i="9" s="1"/>
  <c r="K406" i="9"/>
  <c r="U406" i="9" s="1"/>
  <c r="J406" i="9"/>
  <c r="I406" i="9"/>
  <c r="H406" i="9"/>
  <c r="S405" i="9"/>
  <c r="I405" i="9"/>
  <c r="M405" i="9" s="1"/>
  <c r="H405" i="9"/>
  <c r="J405" i="9" s="1"/>
  <c r="V404" i="9"/>
  <c r="S404" i="9"/>
  <c r="M404" i="9"/>
  <c r="L404" i="9"/>
  <c r="J404" i="9"/>
  <c r="W404" i="9" s="1"/>
  <c r="I404" i="9"/>
  <c r="H404" i="9"/>
  <c r="W403" i="9"/>
  <c r="U403" i="9"/>
  <c r="T403" i="9"/>
  <c r="S403" i="9"/>
  <c r="M403" i="9"/>
  <c r="K403" i="9" s="1"/>
  <c r="J403" i="9"/>
  <c r="I403" i="9"/>
  <c r="H403" i="9"/>
  <c r="S402" i="9"/>
  <c r="M402" i="9"/>
  <c r="J402" i="9"/>
  <c r="I402" i="9"/>
  <c r="H402" i="9"/>
  <c r="S401" i="9"/>
  <c r="I401" i="9"/>
  <c r="M401" i="9" s="1"/>
  <c r="H401" i="9"/>
  <c r="J401" i="9" s="1"/>
  <c r="T400" i="9"/>
  <c r="S400" i="9"/>
  <c r="M400" i="9"/>
  <c r="J400" i="9"/>
  <c r="W400" i="9" s="1"/>
  <c r="I400" i="9"/>
  <c r="H400" i="9"/>
  <c r="S399" i="9"/>
  <c r="J399" i="9"/>
  <c r="W399" i="9" s="1"/>
  <c r="I399" i="9"/>
  <c r="M399" i="9" s="1"/>
  <c r="H399" i="9"/>
  <c r="S398" i="9"/>
  <c r="M398" i="9"/>
  <c r="I398" i="9"/>
  <c r="H398" i="9"/>
  <c r="J398" i="9" s="1"/>
  <c r="W398" i="9" s="1"/>
  <c r="S397" i="9"/>
  <c r="J397" i="9"/>
  <c r="I397" i="9"/>
  <c r="M397" i="9" s="1"/>
  <c r="H397" i="9"/>
  <c r="S396" i="9"/>
  <c r="M396" i="9"/>
  <c r="K396" i="9" s="1"/>
  <c r="U396" i="9" s="1"/>
  <c r="J396" i="9"/>
  <c r="I396" i="9"/>
  <c r="H396" i="9"/>
  <c r="S395" i="9"/>
  <c r="M395" i="9"/>
  <c r="I395" i="9"/>
  <c r="H395" i="9"/>
  <c r="J395" i="9" s="1"/>
  <c r="S394" i="9"/>
  <c r="M394" i="9"/>
  <c r="J394" i="9"/>
  <c r="I394" i="9"/>
  <c r="H394" i="9"/>
  <c r="S393" i="9"/>
  <c r="I393" i="9"/>
  <c r="M393" i="9" s="1"/>
  <c r="H393" i="9"/>
  <c r="J393" i="9" s="1"/>
  <c r="W392" i="9"/>
  <c r="S392" i="9"/>
  <c r="M392" i="9"/>
  <c r="J392" i="9"/>
  <c r="L392" i="9" s="1"/>
  <c r="I392" i="9"/>
  <c r="H392" i="9"/>
  <c r="S391" i="9"/>
  <c r="J391" i="9"/>
  <c r="I391" i="9"/>
  <c r="M391" i="9" s="1"/>
  <c r="H391" i="9"/>
  <c r="S390" i="9"/>
  <c r="J390" i="9"/>
  <c r="I390" i="9"/>
  <c r="H390" i="9"/>
  <c r="S389" i="9"/>
  <c r="I389" i="9"/>
  <c r="H389" i="9"/>
  <c r="J389" i="9" s="1"/>
  <c r="W388" i="9"/>
  <c r="S388" i="9"/>
  <c r="M388" i="9"/>
  <c r="T388" i="9" s="1"/>
  <c r="K388" i="9"/>
  <c r="U388" i="9" s="1"/>
  <c r="I388" i="9"/>
  <c r="H388" i="9"/>
  <c r="J388" i="9" s="1"/>
  <c r="W387" i="9"/>
  <c r="S387" i="9"/>
  <c r="I387" i="9"/>
  <c r="H387" i="9"/>
  <c r="J387" i="9" s="1"/>
  <c r="S386" i="9"/>
  <c r="M386" i="9"/>
  <c r="J386" i="9"/>
  <c r="I386" i="9"/>
  <c r="H386" i="9"/>
  <c r="S385" i="9"/>
  <c r="I385" i="9"/>
  <c r="H385" i="9"/>
  <c r="W384" i="9"/>
  <c r="S384" i="9"/>
  <c r="J384" i="9"/>
  <c r="L384" i="9" s="1"/>
  <c r="I384" i="9"/>
  <c r="M384" i="9" s="1"/>
  <c r="H384" i="9"/>
  <c r="S383" i="9"/>
  <c r="J383" i="9"/>
  <c r="I383" i="9"/>
  <c r="H383" i="9"/>
  <c r="T382" i="9"/>
  <c r="S382" i="9"/>
  <c r="M382" i="9"/>
  <c r="K382" i="9" s="1"/>
  <c r="U382" i="9" s="1"/>
  <c r="I382" i="9"/>
  <c r="H382" i="9"/>
  <c r="J382" i="9" s="1"/>
  <c r="W382" i="9" s="1"/>
  <c r="S381" i="9"/>
  <c r="J381" i="9"/>
  <c r="W381" i="9" s="1"/>
  <c r="I381" i="9"/>
  <c r="M381" i="9" s="1"/>
  <c r="T381" i="9" s="1"/>
  <c r="H381" i="9"/>
  <c r="S380" i="9"/>
  <c r="I380" i="9"/>
  <c r="H380" i="9"/>
  <c r="M380" i="9" s="1"/>
  <c r="S379" i="9"/>
  <c r="M379" i="9"/>
  <c r="I379" i="9"/>
  <c r="H379" i="9"/>
  <c r="J379" i="9" s="1"/>
  <c r="W379" i="9" s="1"/>
  <c r="S378" i="9"/>
  <c r="J378" i="9"/>
  <c r="I378" i="9"/>
  <c r="M378" i="9" s="1"/>
  <c r="K378" i="9" s="1"/>
  <c r="U378" i="9" s="1"/>
  <c r="H378" i="9"/>
  <c r="T377" i="9"/>
  <c r="S377" i="9"/>
  <c r="M377" i="9"/>
  <c r="K377" i="9" s="1"/>
  <c r="U377" i="9" s="1"/>
  <c r="I377" i="9"/>
  <c r="H377" i="9"/>
  <c r="J377" i="9" s="1"/>
  <c r="S376" i="9"/>
  <c r="M376" i="9"/>
  <c r="I376" i="9"/>
  <c r="H376" i="9"/>
  <c r="J376" i="9" s="1"/>
  <c r="T375" i="9"/>
  <c r="S375" i="9"/>
  <c r="J375" i="9"/>
  <c r="I375" i="9"/>
  <c r="M375" i="9" s="1"/>
  <c r="H375" i="9"/>
  <c r="S374" i="9"/>
  <c r="I374" i="9"/>
  <c r="M374" i="9" s="1"/>
  <c r="H374" i="9"/>
  <c r="J374" i="9" s="1"/>
  <c r="W374" i="9" s="1"/>
  <c r="S373" i="9"/>
  <c r="I373" i="9"/>
  <c r="H373" i="9"/>
  <c r="S372" i="9"/>
  <c r="I372" i="9"/>
  <c r="H372" i="9"/>
  <c r="J372" i="9" s="1"/>
  <c r="S371" i="9"/>
  <c r="M371" i="9"/>
  <c r="T371" i="9" s="1"/>
  <c r="I371" i="9"/>
  <c r="H371" i="9"/>
  <c r="J371" i="9" s="1"/>
  <c r="W370" i="9"/>
  <c r="S370" i="9"/>
  <c r="I370" i="9"/>
  <c r="H370" i="9"/>
  <c r="J370" i="9" s="1"/>
  <c r="S369" i="9"/>
  <c r="I369" i="9"/>
  <c r="H369" i="9"/>
  <c r="J369" i="9" s="1"/>
  <c r="W368" i="9"/>
  <c r="T368" i="9"/>
  <c r="S368" i="9"/>
  <c r="M368" i="9"/>
  <c r="K368" i="9" s="1"/>
  <c r="U368" i="9" s="1"/>
  <c r="L368" i="9"/>
  <c r="V368" i="9" s="1"/>
  <c r="J368" i="9"/>
  <c r="I368" i="9"/>
  <c r="H368" i="9"/>
  <c r="S367" i="9"/>
  <c r="I367" i="9"/>
  <c r="H367" i="9"/>
  <c r="S366" i="9"/>
  <c r="J366" i="9"/>
  <c r="I366" i="9"/>
  <c r="M366" i="9" s="1"/>
  <c r="H366" i="9"/>
  <c r="S365" i="9"/>
  <c r="J365" i="9"/>
  <c r="I365" i="9"/>
  <c r="H365" i="9"/>
  <c r="S364" i="9"/>
  <c r="I364" i="9"/>
  <c r="H364" i="9"/>
  <c r="S363" i="9"/>
  <c r="I363" i="9"/>
  <c r="H363" i="9"/>
  <c r="J363" i="9" s="1"/>
  <c r="W362" i="9"/>
  <c r="S362" i="9"/>
  <c r="J362" i="9"/>
  <c r="I362" i="9"/>
  <c r="H362" i="9"/>
  <c r="W361" i="9"/>
  <c r="V361" i="9"/>
  <c r="U361" i="9"/>
  <c r="T361" i="9"/>
  <c r="S361" i="9"/>
  <c r="M361" i="9"/>
  <c r="K361" i="9" s="1"/>
  <c r="L361" i="9"/>
  <c r="I361" i="9"/>
  <c r="H361" i="9"/>
  <c r="J361" i="9" s="1"/>
  <c r="W360" i="9"/>
  <c r="S360" i="9"/>
  <c r="I360" i="9"/>
  <c r="H360" i="9"/>
  <c r="J360" i="9" s="1"/>
  <c r="W359" i="9"/>
  <c r="S359" i="9"/>
  <c r="M359" i="9"/>
  <c r="K359" i="9" s="1"/>
  <c r="U359" i="9" s="1"/>
  <c r="I359" i="9"/>
  <c r="H359" i="9"/>
  <c r="J359" i="9" s="1"/>
  <c r="S358" i="9"/>
  <c r="I358" i="9"/>
  <c r="H358" i="9"/>
  <c r="S357" i="9"/>
  <c r="I357" i="9"/>
  <c r="H357" i="9"/>
  <c r="J357" i="9" s="1"/>
  <c r="S356" i="9"/>
  <c r="I356" i="9"/>
  <c r="H356" i="9"/>
  <c r="S355" i="9"/>
  <c r="M355" i="9"/>
  <c r="K355" i="9" s="1"/>
  <c r="U355" i="9" s="1"/>
  <c r="I355" i="9"/>
  <c r="H355" i="9"/>
  <c r="J355" i="9" s="1"/>
  <c r="W355" i="9" s="1"/>
  <c r="W354" i="9"/>
  <c r="V354" i="9"/>
  <c r="T354" i="9"/>
  <c r="S354" i="9"/>
  <c r="L354" i="9"/>
  <c r="K354" i="9"/>
  <c r="U354" i="9" s="1"/>
  <c r="J354" i="9"/>
  <c r="I354" i="9"/>
  <c r="M354" i="9" s="1"/>
  <c r="H354" i="9"/>
  <c r="W353" i="9"/>
  <c r="S353" i="9"/>
  <c r="M353" i="9"/>
  <c r="K353" i="9" s="1"/>
  <c r="U353" i="9" s="1"/>
  <c r="L353" i="9"/>
  <c r="V353" i="9" s="1"/>
  <c r="I353" i="9"/>
  <c r="H353" i="9"/>
  <c r="J353" i="9" s="1"/>
  <c r="W352" i="9"/>
  <c r="U352" i="9"/>
  <c r="S352" i="9"/>
  <c r="M352" i="9"/>
  <c r="K352" i="9" s="1"/>
  <c r="I352" i="9"/>
  <c r="H352" i="9"/>
  <c r="J352" i="9" s="1"/>
  <c r="W351" i="9"/>
  <c r="S351" i="9"/>
  <c r="J351" i="9"/>
  <c r="I351" i="9"/>
  <c r="M351" i="9" s="1"/>
  <c r="K351" i="9" s="1"/>
  <c r="U351" i="9" s="1"/>
  <c r="H351" i="9"/>
  <c r="W350" i="9"/>
  <c r="T350" i="9"/>
  <c r="S350" i="9"/>
  <c r="M350" i="9"/>
  <c r="J350" i="9"/>
  <c r="L350" i="9" s="1"/>
  <c r="I350" i="9"/>
  <c r="H350" i="9"/>
  <c r="W349" i="9"/>
  <c r="V349" i="9"/>
  <c r="S349" i="9"/>
  <c r="M349" i="9"/>
  <c r="L349" i="9"/>
  <c r="I349" i="9"/>
  <c r="H349" i="9"/>
  <c r="J349" i="9" s="1"/>
  <c r="T348" i="9"/>
  <c r="S348" i="9"/>
  <c r="L348" i="9"/>
  <c r="J348" i="9"/>
  <c r="W348" i="9" s="1"/>
  <c r="I348" i="9"/>
  <c r="M348" i="9" s="1"/>
  <c r="K348" i="9" s="1"/>
  <c r="U348" i="9" s="1"/>
  <c r="H348" i="9"/>
  <c r="W347" i="9"/>
  <c r="S347" i="9"/>
  <c r="M347" i="9"/>
  <c r="L347" i="9"/>
  <c r="V347" i="9" s="1"/>
  <c r="J347" i="9"/>
  <c r="I347" i="9"/>
  <c r="H347" i="9"/>
  <c r="W346" i="9"/>
  <c r="S346" i="9"/>
  <c r="M346" i="9"/>
  <c r="I346" i="9"/>
  <c r="H346" i="9"/>
  <c r="J346" i="9" s="1"/>
  <c r="W345" i="9"/>
  <c r="T345" i="9"/>
  <c r="S345" i="9"/>
  <c r="I345" i="9"/>
  <c r="M345" i="9" s="1"/>
  <c r="H345" i="9"/>
  <c r="J345" i="9" s="1"/>
  <c r="W344" i="9"/>
  <c r="T344" i="9"/>
  <c r="S344" i="9"/>
  <c r="K344" i="9"/>
  <c r="U344" i="9" s="1"/>
  <c r="J344" i="9"/>
  <c r="I344" i="9"/>
  <c r="M344" i="9" s="1"/>
  <c r="H344" i="9"/>
  <c r="W343" i="9"/>
  <c r="S343" i="9"/>
  <c r="M343" i="9"/>
  <c r="L343" i="9"/>
  <c r="I343" i="9"/>
  <c r="H343" i="9"/>
  <c r="J343" i="9" s="1"/>
  <c r="W342" i="9"/>
  <c r="S342" i="9"/>
  <c r="K342" i="9"/>
  <c r="U342" i="9" s="1"/>
  <c r="J342" i="9"/>
  <c r="I342" i="9"/>
  <c r="M342" i="9" s="1"/>
  <c r="H342" i="9"/>
  <c r="S341" i="9"/>
  <c r="J341" i="9"/>
  <c r="W341" i="9" s="1"/>
  <c r="I341" i="9"/>
  <c r="M341" i="9" s="1"/>
  <c r="H341" i="9"/>
  <c r="S340" i="9"/>
  <c r="I340" i="9"/>
  <c r="H340" i="9"/>
  <c r="T339" i="9"/>
  <c r="S339" i="9"/>
  <c r="J339" i="9"/>
  <c r="L339" i="9" s="1"/>
  <c r="I339" i="9"/>
  <c r="M339" i="9" s="1"/>
  <c r="H339" i="9"/>
  <c r="S338" i="9"/>
  <c r="I338" i="9"/>
  <c r="H338" i="9"/>
  <c r="S337" i="9"/>
  <c r="I337" i="9"/>
  <c r="H337" i="9"/>
  <c r="W336" i="9"/>
  <c r="S336" i="9"/>
  <c r="I336" i="9"/>
  <c r="H336" i="9"/>
  <c r="J336" i="9" s="1"/>
  <c r="W335" i="9"/>
  <c r="S335" i="9"/>
  <c r="M335" i="9"/>
  <c r="T335" i="9" s="1"/>
  <c r="L335" i="9"/>
  <c r="V335" i="9" s="1"/>
  <c r="K335" i="9"/>
  <c r="U335" i="9" s="1"/>
  <c r="J335" i="9"/>
  <c r="I335" i="9"/>
  <c r="H335" i="9"/>
  <c r="W334" i="9"/>
  <c r="T334" i="9"/>
  <c r="S334" i="9"/>
  <c r="M334" i="9"/>
  <c r="L334" i="9"/>
  <c r="V334" i="9" s="1"/>
  <c r="K334" i="9"/>
  <c r="U334" i="9" s="1"/>
  <c r="I334" i="9"/>
  <c r="H334" i="9"/>
  <c r="J334" i="9" s="1"/>
  <c r="S333" i="9"/>
  <c r="J333" i="9"/>
  <c r="W333" i="9" s="1"/>
  <c r="I333" i="9"/>
  <c r="H333" i="9"/>
  <c r="W332" i="9"/>
  <c r="S332" i="9"/>
  <c r="M332" i="9"/>
  <c r="J332" i="9"/>
  <c r="L332" i="9" s="1"/>
  <c r="V332" i="9" s="1"/>
  <c r="I332" i="9"/>
  <c r="H332" i="9"/>
  <c r="S331" i="9"/>
  <c r="I331" i="9"/>
  <c r="H331" i="9"/>
  <c r="J331" i="9" s="1"/>
  <c r="W331" i="9" s="1"/>
  <c r="S330" i="9"/>
  <c r="I330" i="9"/>
  <c r="H330" i="9"/>
  <c r="J330" i="9" s="1"/>
  <c r="S329" i="9"/>
  <c r="J329" i="9"/>
  <c r="W329" i="9" s="1"/>
  <c r="I329" i="9"/>
  <c r="H329" i="9"/>
  <c r="W328" i="9"/>
  <c r="S328" i="9"/>
  <c r="M328" i="9"/>
  <c r="T328" i="9" s="1"/>
  <c r="L328" i="9"/>
  <c r="K328" i="9"/>
  <c r="U328" i="9" s="1"/>
  <c r="I328" i="9"/>
  <c r="H328" i="9"/>
  <c r="J328" i="9" s="1"/>
  <c r="S327" i="9"/>
  <c r="J327" i="9"/>
  <c r="I327" i="9"/>
  <c r="H327" i="9"/>
  <c r="S326" i="9"/>
  <c r="I326" i="9"/>
  <c r="H326" i="9"/>
  <c r="W325" i="9"/>
  <c r="T325" i="9"/>
  <c r="S325" i="9"/>
  <c r="M325" i="9"/>
  <c r="L325" i="9" s="1"/>
  <c r="K325" i="9"/>
  <c r="U325" i="9" s="1"/>
  <c r="I325" i="9"/>
  <c r="H325" i="9"/>
  <c r="J325" i="9" s="1"/>
  <c r="W324" i="9"/>
  <c r="S324" i="9"/>
  <c r="I324" i="9"/>
  <c r="H324" i="9"/>
  <c r="J324" i="9" s="1"/>
  <c r="S323" i="9"/>
  <c r="M323" i="9"/>
  <c r="K323" i="9" s="1"/>
  <c r="U323" i="9" s="1"/>
  <c r="J323" i="9"/>
  <c r="W323" i="9" s="1"/>
  <c r="I323" i="9"/>
  <c r="H323" i="9"/>
  <c r="S322" i="9"/>
  <c r="I322" i="9"/>
  <c r="H322" i="9"/>
  <c r="S321" i="9"/>
  <c r="I321" i="9"/>
  <c r="H321" i="9"/>
  <c r="J321" i="9" s="1"/>
  <c r="W321" i="9" s="1"/>
  <c r="S320" i="9"/>
  <c r="M320" i="9"/>
  <c r="T320" i="9" s="1"/>
  <c r="J320" i="9"/>
  <c r="I320" i="9"/>
  <c r="H320" i="9"/>
  <c r="S319" i="9"/>
  <c r="I319" i="9"/>
  <c r="H319" i="9"/>
  <c r="S318" i="9"/>
  <c r="L318" i="9"/>
  <c r="J318" i="9"/>
  <c r="W318" i="9" s="1"/>
  <c r="I318" i="9"/>
  <c r="M318" i="9" s="1"/>
  <c r="T318" i="9" s="1"/>
  <c r="H318" i="9"/>
  <c r="T317" i="9"/>
  <c r="S317" i="9"/>
  <c r="M317" i="9"/>
  <c r="L317" i="9"/>
  <c r="V317" i="9" s="1"/>
  <c r="K317" i="9"/>
  <c r="U317" i="9" s="1"/>
  <c r="I317" i="9"/>
  <c r="H317" i="9"/>
  <c r="J317" i="9" s="1"/>
  <c r="W317" i="9" s="1"/>
  <c r="S316" i="9"/>
  <c r="I316" i="9"/>
  <c r="H316" i="9"/>
  <c r="J316" i="9" s="1"/>
  <c r="W316" i="9" s="1"/>
  <c r="S315" i="9"/>
  <c r="I315" i="9"/>
  <c r="H315" i="9"/>
  <c r="J315" i="9" s="1"/>
  <c r="S314" i="9"/>
  <c r="M314" i="9"/>
  <c r="T314" i="9" s="1"/>
  <c r="L314" i="9"/>
  <c r="J314" i="9"/>
  <c r="W314" i="9" s="1"/>
  <c r="I314" i="9"/>
  <c r="H314" i="9"/>
  <c r="S313" i="9"/>
  <c r="I313" i="9"/>
  <c r="H313" i="9"/>
  <c r="S312" i="9"/>
  <c r="I312" i="9"/>
  <c r="H312" i="9"/>
  <c r="J312" i="9" s="1"/>
  <c r="W311" i="9"/>
  <c r="S311" i="9"/>
  <c r="J311" i="9"/>
  <c r="L311" i="9" s="1"/>
  <c r="I311" i="9"/>
  <c r="M311" i="9" s="1"/>
  <c r="H311" i="9"/>
  <c r="W310" i="9"/>
  <c r="V310" i="9"/>
  <c r="T310" i="9"/>
  <c r="S310" i="9"/>
  <c r="M310" i="9"/>
  <c r="L310" i="9"/>
  <c r="K310" i="9"/>
  <c r="U310" i="9" s="1"/>
  <c r="I310" i="9"/>
  <c r="H310" i="9"/>
  <c r="J310" i="9" s="1"/>
  <c r="S309" i="9"/>
  <c r="I309" i="9"/>
  <c r="H309" i="9"/>
  <c r="J309" i="9" s="1"/>
  <c r="W309" i="9" s="1"/>
  <c r="S308" i="9"/>
  <c r="J308" i="9"/>
  <c r="I308" i="9"/>
  <c r="H308" i="9"/>
  <c r="S307" i="9"/>
  <c r="M307" i="9"/>
  <c r="T307" i="9" s="1"/>
  <c r="J307" i="9"/>
  <c r="W307" i="9" s="1"/>
  <c r="I307" i="9"/>
  <c r="H307" i="9"/>
  <c r="S306" i="9"/>
  <c r="J306" i="9"/>
  <c r="W306" i="9" s="1"/>
  <c r="I306" i="9"/>
  <c r="H306" i="9"/>
  <c r="W305" i="9"/>
  <c r="S305" i="9"/>
  <c r="M305" i="9"/>
  <c r="T305" i="9" s="1"/>
  <c r="L305" i="9"/>
  <c r="K305" i="9"/>
  <c r="U305" i="9" s="1"/>
  <c r="I305" i="9"/>
  <c r="H305" i="9"/>
  <c r="J305" i="9" s="1"/>
  <c r="W304" i="9"/>
  <c r="V304" i="9"/>
  <c r="T304" i="9"/>
  <c r="S304" i="9"/>
  <c r="K304" i="9"/>
  <c r="U304" i="9" s="1"/>
  <c r="J304" i="9"/>
  <c r="L304" i="9" s="1"/>
  <c r="I304" i="9"/>
  <c r="H304" i="9"/>
  <c r="M304" i="9" s="1"/>
  <c r="S303" i="9"/>
  <c r="J303" i="9"/>
  <c r="W303" i="9" s="1"/>
  <c r="I303" i="9"/>
  <c r="H303" i="9"/>
  <c r="S302" i="9"/>
  <c r="I302" i="9"/>
  <c r="H302" i="9"/>
  <c r="J302" i="9" s="1"/>
  <c r="S301" i="9"/>
  <c r="I301" i="9"/>
  <c r="H301" i="9"/>
  <c r="S300" i="9"/>
  <c r="I300" i="9"/>
  <c r="H300" i="9"/>
  <c r="J300" i="9" s="1"/>
  <c r="S299" i="9"/>
  <c r="I299" i="9"/>
  <c r="H299" i="9"/>
  <c r="J299" i="9" s="1"/>
  <c r="S298" i="9"/>
  <c r="M298" i="9"/>
  <c r="T298" i="9" s="1"/>
  <c r="I298" i="9"/>
  <c r="H298" i="9"/>
  <c r="J298" i="9" s="1"/>
  <c r="W297" i="9"/>
  <c r="S297" i="9"/>
  <c r="M297" i="9"/>
  <c r="L297" i="9"/>
  <c r="V297" i="9" s="1"/>
  <c r="I297" i="9"/>
  <c r="H297" i="9"/>
  <c r="J297" i="9" s="1"/>
  <c r="S296" i="9"/>
  <c r="I296" i="9"/>
  <c r="H296" i="9"/>
  <c r="M296" i="9" s="1"/>
  <c r="S295" i="9"/>
  <c r="I295" i="9"/>
  <c r="H295" i="9"/>
  <c r="M295" i="9" s="1"/>
  <c r="T295" i="9" s="1"/>
  <c r="W294" i="9"/>
  <c r="V294" i="9"/>
  <c r="U294" i="9"/>
  <c r="S294" i="9"/>
  <c r="M294" i="9"/>
  <c r="K294" i="9" s="1"/>
  <c r="L294" i="9"/>
  <c r="I294" i="9"/>
  <c r="H294" i="9"/>
  <c r="J294" i="9" s="1"/>
  <c r="W293" i="9"/>
  <c r="S293" i="9"/>
  <c r="M293" i="9"/>
  <c r="T293" i="9" s="1"/>
  <c r="K293" i="9"/>
  <c r="U293" i="9" s="1"/>
  <c r="I293" i="9"/>
  <c r="H293" i="9"/>
  <c r="J293" i="9" s="1"/>
  <c r="S292" i="9"/>
  <c r="M292" i="9"/>
  <c r="T292" i="9" s="1"/>
  <c r="J292" i="9"/>
  <c r="I292" i="9"/>
  <c r="H292" i="9"/>
  <c r="W291" i="9"/>
  <c r="S291" i="9"/>
  <c r="I291" i="9"/>
  <c r="M291" i="9" s="1"/>
  <c r="H291" i="9"/>
  <c r="J291" i="9" s="1"/>
  <c r="W290" i="9"/>
  <c r="S290" i="9"/>
  <c r="J290" i="9"/>
  <c r="I290" i="9"/>
  <c r="M290" i="9" s="1"/>
  <c r="H290" i="9"/>
  <c r="S289" i="9"/>
  <c r="J289" i="9"/>
  <c r="W289" i="9" s="1"/>
  <c r="I289" i="9"/>
  <c r="M289" i="9" s="1"/>
  <c r="K289" i="9" s="1"/>
  <c r="U289" i="9" s="1"/>
  <c r="H289" i="9"/>
  <c r="T288" i="9"/>
  <c r="S288" i="9"/>
  <c r="I288" i="9"/>
  <c r="M288" i="9" s="1"/>
  <c r="K288" i="9" s="1"/>
  <c r="U288" i="9" s="1"/>
  <c r="H288" i="9"/>
  <c r="J288" i="9" s="1"/>
  <c r="W288" i="9" s="1"/>
  <c r="W287" i="9"/>
  <c r="S287" i="9"/>
  <c r="M287" i="9"/>
  <c r="J287" i="9"/>
  <c r="I287" i="9"/>
  <c r="H287" i="9"/>
  <c r="U286" i="9"/>
  <c r="T286" i="9"/>
  <c r="S286" i="9"/>
  <c r="I286" i="9"/>
  <c r="M286" i="9" s="1"/>
  <c r="K286" i="9" s="1"/>
  <c r="H286" i="9"/>
  <c r="J286" i="9" s="1"/>
  <c r="W285" i="9"/>
  <c r="U285" i="9"/>
  <c r="T285" i="9"/>
  <c r="S285" i="9"/>
  <c r="I285" i="9"/>
  <c r="M285" i="9" s="1"/>
  <c r="K285" i="9" s="1"/>
  <c r="H285" i="9"/>
  <c r="J285" i="9" s="1"/>
  <c r="S284" i="9"/>
  <c r="I284" i="9"/>
  <c r="H284" i="9"/>
  <c r="J284" i="9" s="1"/>
  <c r="W284" i="9" s="1"/>
  <c r="S283" i="9"/>
  <c r="I283" i="9"/>
  <c r="H283" i="9"/>
  <c r="J283" i="9" s="1"/>
  <c r="S282" i="9"/>
  <c r="M282" i="9"/>
  <c r="I282" i="9"/>
  <c r="H282" i="9"/>
  <c r="J282" i="9" s="1"/>
  <c r="W282" i="9" s="1"/>
  <c r="S281" i="9"/>
  <c r="M281" i="9"/>
  <c r="L281" i="9"/>
  <c r="J281" i="9"/>
  <c r="W281" i="9" s="1"/>
  <c r="I281" i="9"/>
  <c r="H281" i="9"/>
  <c r="S280" i="9"/>
  <c r="M280" i="9"/>
  <c r="J280" i="9"/>
  <c r="W280" i="9" s="1"/>
  <c r="I280" i="9"/>
  <c r="H280" i="9"/>
  <c r="W279" i="9"/>
  <c r="S279" i="9"/>
  <c r="I279" i="9"/>
  <c r="M279" i="9" s="1"/>
  <c r="H279" i="9"/>
  <c r="J279" i="9" s="1"/>
  <c r="S278" i="9"/>
  <c r="I278" i="9"/>
  <c r="H278" i="9"/>
  <c r="J278" i="9" s="1"/>
  <c r="U277" i="9"/>
  <c r="T277" i="9"/>
  <c r="S277" i="9"/>
  <c r="J277" i="9"/>
  <c r="W277" i="9" s="1"/>
  <c r="I277" i="9"/>
  <c r="M277" i="9" s="1"/>
  <c r="K277" i="9" s="1"/>
  <c r="H277" i="9"/>
  <c r="S276" i="9"/>
  <c r="I276" i="9"/>
  <c r="H276" i="9"/>
  <c r="J276" i="9" s="1"/>
  <c r="S275" i="9"/>
  <c r="J275" i="9"/>
  <c r="I275" i="9"/>
  <c r="M275" i="9" s="1"/>
  <c r="K275" i="9" s="1"/>
  <c r="U275" i="9" s="1"/>
  <c r="H275" i="9"/>
  <c r="T274" i="9"/>
  <c r="S274" i="9"/>
  <c r="J274" i="9"/>
  <c r="I274" i="9"/>
  <c r="M274" i="9" s="1"/>
  <c r="K274" i="9" s="1"/>
  <c r="U274" i="9" s="1"/>
  <c r="H274" i="9"/>
  <c r="W273" i="9"/>
  <c r="S273" i="9"/>
  <c r="I273" i="9"/>
  <c r="M273" i="9" s="1"/>
  <c r="H273" i="9"/>
  <c r="J273" i="9" s="1"/>
  <c r="T272" i="9"/>
  <c r="S272" i="9"/>
  <c r="M272" i="9"/>
  <c r="J272" i="9"/>
  <c r="I272" i="9"/>
  <c r="H272" i="9"/>
  <c r="S271" i="9"/>
  <c r="J271" i="9"/>
  <c r="I271" i="9"/>
  <c r="M271" i="9" s="1"/>
  <c r="H271" i="9"/>
  <c r="S270" i="9"/>
  <c r="I270" i="9"/>
  <c r="M270" i="9" s="1"/>
  <c r="K270" i="9" s="1"/>
  <c r="U270" i="9" s="1"/>
  <c r="H270" i="9"/>
  <c r="J270" i="9" s="1"/>
  <c r="W269" i="9"/>
  <c r="V269" i="9"/>
  <c r="T269" i="9"/>
  <c r="S269" i="9"/>
  <c r="M269" i="9"/>
  <c r="J269" i="9"/>
  <c r="L269" i="9" s="1"/>
  <c r="I269" i="9"/>
  <c r="H269" i="9"/>
  <c r="S268" i="9"/>
  <c r="M268" i="9"/>
  <c r="T268" i="9" s="1"/>
  <c r="K268" i="9"/>
  <c r="U268" i="9" s="1"/>
  <c r="J268" i="9"/>
  <c r="I268" i="9"/>
  <c r="H268" i="9"/>
  <c r="S267" i="9"/>
  <c r="I267" i="9"/>
  <c r="H267" i="9"/>
  <c r="J267" i="9" s="1"/>
  <c r="T266" i="9"/>
  <c r="S266" i="9"/>
  <c r="J266" i="9"/>
  <c r="I266" i="9"/>
  <c r="H266" i="9"/>
  <c r="M266" i="9" s="1"/>
  <c r="T265" i="9"/>
  <c r="S265" i="9"/>
  <c r="M265" i="9"/>
  <c r="J265" i="9"/>
  <c r="I265" i="9"/>
  <c r="H265" i="9"/>
  <c r="S264" i="9"/>
  <c r="I264" i="9"/>
  <c r="H264" i="9"/>
  <c r="S263" i="9"/>
  <c r="M263" i="9"/>
  <c r="T263" i="9" s="1"/>
  <c r="J263" i="9"/>
  <c r="L263" i="9" s="1"/>
  <c r="V263" i="9" s="1"/>
  <c r="I263" i="9"/>
  <c r="H263" i="9"/>
  <c r="S262" i="9"/>
  <c r="M262" i="9"/>
  <c r="T262" i="9" s="1"/>
  <c r="J262" i="9"/>
  <c r="I262" i="9"/>
  <c r="H262" i="9"/>
  <c r="W261" i="9"/>
  <c r="S261" i="9"/>
  <c r="I261" i="9"/>
  <c r="H261" i="9"/>
  <c r="J261" i="9" s="1"/>
  <c r="U260" i="9"/>
  <c r="S260" i="9"/>
  <c r="J260" i="9"/>
  <c r="I260" i="9"/>
  <c r="M260" i="9" s="1"/>
  <c r="K260" i="9" s="1"/>
  <c r="H260" i="9"/>
  <c r="S259" i="9"/>
  <c r="J259" i="9"/>
  <c r="I259" i="9"/>
  <c r="H259" i="9"/>
  <c r="M259" i="9" s="1"/>
  <c r="S258" i="9"/>
  <c r="I258" i="9"/>
  <c r="H258" i="9"/>
  <c r="S257" i="9"/>
  <c r="I257" i="9"/>
  <c r="M257" i="9" s="1"/>
  <c r="K257" i="9" s="1"/>
  <c r="U257" i="9" s="1"/>
  <c r="H257" i="9"/>
  <c r="J257" i="9" s="1"/>
  <c r="S256" i="9"/>
  <c r="I256" i="9"/>
  <c r="H256" i="9"/>
  <c r="J256" i="9" s="1"/>
  <c r="S255" i="9"/>
  <c r="M255" i="9"/>
  <c r="I255" i="9"/>
  <c r="H255" i="9"/>
  <c r="J255" i="9" s="1"/>
  <c r="W255" i="9" s="1"/>
  <c r="S254" i="9"/>
  <c r="M254" i="9"/>
  <c r="I254" i="9"/>
  <c r="H254" i="9"/>
  <c r="J254" i="9" s="1"/>
  <c r="W254" i="9" s="1"/>
  <c r="S253" i="9"/>
  <c r="M253" i="9"/>
  <c r="I253" i="9"/>
  <c r="H253" i="9"/>
  <c r="J253" i="9" s="1"/>
  <c r="W253" i="9" s="1"/>
  <c r="S252" i="9"/>
  <c r="M252" i="9"/>
  <c r="L252" i="9"/>
  <c r="V252" i="9" s="1"/>
  <c r="I252" i="9"/>
  <c r="H252" i="9"/>
  <c r="J252" i="9" s="1"/>
  <c r="W252" i="9" s="1"/>
  <c r="W251" i="9"/>
  <c r="S251" i="9"/>
  <c r="M251" i="9"/>
  <c r="T251" i="9" s="1"/>
  <c r="J251" i="9"/>
  <c r="I251" i="9"/>
  <c r="H251" i="9"/>
  <c r="S250" i="9"/>
  <c r="M250" i="9"/>
  <c r="I250" i="9"/>
  <c r="H250" i="9"/>
  <c r="J250" i="9" s="1"/>
  <c r="W249" i="9"/>
  <c r="S249" i="9"/>
  <c r="I249" i="9"/>
  <c r="M249" i="9" s="1"/>
  <c r="H249" i="9"/>
  <c r="J249" i="9" s="1"/>
  <c r="S248" i="9"/>
  <c r="J248" i="9"/>
  <c r="W248" i="9" s="1"/>
  <c r="I248" i="9"/>
  <c r="H248" i="9"/>
  <c r="S247" i="9"/>
  <c r="M247" i="9"/>
  <c r="T247" i="9" s="1"/>
  <c r="L247" i="9"/>
  <c r="K247" i="9"/>
  <c r="U247" i="9" s="1"/>
  <c r="I247" i="9"/>
  <c r="H247" i="9"/>
  <c r="J247" i="9" s="1"/>
  <c r="W247" i="9" s="1"/>
  <c r="S246" i="9"/>
  <c r="M246" i="9"/>
  <c r="I246" i="9"/>
  <c r="H246" i="9"/>
  <c r="J246" i="9" s="1"/>
  <c r="W246" i="9" s="1"/>
  <c r="S245" i="9"/>
  <c r="M245" i="9"/>
  <c r="T245" i="9" s="1"/>
  <c r="K245" i="9"/>
  <c r="U245" i="9" s="1"/>
  <c r="J245" i="9"/>
  <c r="W245" i="9" s="1"/>
  <c r="I245" i="9"/>
  <c r="H245" i="9"/>
  <c r="S244" i="9"/>
  <c r="M244" i="9"/>
  <c r="T244" i="9" s="1"/>
  <c r="K244" i="9"/>
  <c r="U244" i="9" s="1"/>
  <c r="J244" i="9"/>
  <c r="W244" i="9" s="1"/>
  <c r="I244" i="9"/>
  <c r="H244" i="9"/>
  <c r="W243" i="9"/>
  <c r="S243" i="9"/>
  <c r="M243" i="9"/>
  <c r="I243" i="9"/>
  <c r="H243" i="9"/>
  <c r="J243" i="9" s="1"/>
  <c r="S242" i="9"/>
  <c r="I242" i="9"/>
  <c r="H242" i="9"/>
  <c r="J242" i="9" s="1"/>
  <c r="S241" i="9"/>
  <c r="J241" i="9"/>
  <c r="I241" i="9"/>
  <c r="M241" i="9" s="1"/>
  <c r="K241" i="9" s="1"/>
  <c r="U241" i="9" s="1"/>
  <c r="H241" i="9"/>
  <c r="W240" i="9"/>
  <c r="U240" i="9"/>
  <c r="T240" i="9"/>
  <c r="S240" i="9"/>
  <c r="I240" i="9"/>
  <c r="M240" i="9" s="1"/>
  <c r="K240" i="9" s="1"/>
  <c r="H240" i="9"/>
  <c r="J240" i="9" s="1"/>
  <c r="S239" i="9"/>
  <c r="I239" i="9"/>
  <c r="H239" i="9"/>
  <c r="M239" i="9" s="1"/>
  <c r="S238" i="9"/>
  <c r="I238" i="9"/>
  <c r="H238" i="9"/>
  <c r="J238" i="9" s="1"/>
  <c r="W238" i="9" s="1"/>
  <c r="W237" i="9"/>
  <c r="V237" i="9"/>
  <c r="S237" i="9"/>
  <c r="M237" i="9"/>
  <c r="I237" i="9"/>
  <c r="H237" i="9"/>
  <c r="J237" i="9" s="1"/>
  <c r="L237" i="9" s="1"/>
  <c r="W236" i="9"/>
  <c r="S236" i="9"/>
  <c r="M236" i="9"/>
  <c r="I236" i="9"/>
  <c r="H236" i="9"/>
  <c r="J236" i="9" s="1"/>
  <c r="S235" i="9"/>
  <c r="J235" i="9"/>
  <c r="I235" i="9"/>
  <c r="M235" i="9" s="1"/>
  <c r="K235" i="9" s="1"/>
  <c r="U235" i="9" s="1"/>
  <c r="H235" i="9"/>
  <c r="U234" i="9"/>
  <c r="T234" i="9"/>
  <c r="S234" i="9"/>
  <c r="I234" i="9"/>
  <c r="M234" i="9" s="1"/>
  <c r="K234" i="9" s="1"/>
  <c r="H234" i="9"/>
  <c r="J234" i="9" s="1"/>
  <c r="S233" i="9"/>
  <c r="K233" i="9"/>
  <c r="U233" i="9" s="1"/>
  <c r="J233" i="9"/>
  <c r="W233" i="9" s="1"/>
  <c r="I233" i="9"/>
  <c r="M233" i="9" s="1"/>
  <c r="T233" i="9" s="1"/>
  <c r="H233" i="9"/>
  <c r="S232" i="9"/>
  <c r="M232" i="9"/>
  <c r="T232" i="9" s="1"/>
  <c r="J232" i="9"/>
  <c r="W232" i="9" s="1"/>
  <c r="I232" i="9"/>
  <c r="H232" i="9"/>
  <c r="W231" i="9"/>
  <c r="S231" i="9"/>
  <c r="I231" i="9"/>
  <c r="M231" i="9" s="1"/>
  <c r="H231" i="9"/>
  <c r="J231" i="9" s="1"/>
  <c r="S230" i="9"/>
  <c r="M230" i="9"/>
  <c r="K230" i="9" s="1"/>
  <c r="U230" i="9" s="1"/>
  <c r="L230" i="9"/>
  <c r="I230" i="9"/>
  <c r="H230" i="9"/>
  <c r="J230" i="9" s="1"/>
  <c r="W230" i="9" s="1"/>
  <c r="T229" i="9"/>
  <c r="S229" i="9"/>
  <c r="J229" i="9"/>
  <c r="I229" i="9"/>
  <c r="M229" i="9" s="1"/>
  <c r="H229" i="9"/>
  <c r="W228" i="9"/>
  <c r="V228" i="9"/>
  <c r="S228" i="9"/>
  <c r="M228" i="9"/>
  <c r="L228" i="9"/>
  <c r="I228" i="9"/>
  <c r="H228" i="9"/>
  <c r="J228" i="9" s="1"/>
  <c r="S227" i="9"/>
  <c r="I227" i="9"/>
  <c r="H227" i="9"/>
  <c r="J227" i="9" s="1"/>
  <c r="S226" i="9"/>
  <c r="M226" i="9"/>
  <c r="T226" i="9" s="1"/>
  <c r="L226" i="9"/>
  <c r="J226" i="9"/>
  <c r="W226" i="9" s="1"/>
  <c r="I226" i="9"/>
  <c r="H226" i="9"/>
  <c r="S225" i="9"/>
  <c r="I225" i="9"/>
  <c r="H225" i="9"/>
  <c r="V224" i="9"/>
  <c r="T224" i="9"/>
  <c r="S224" i="9"/>
  <c r="M224" i="9"/>
  <c r="J224" i="9"/>
  <c r="L224" i="9" s="1"/>
  <c r="I224" i="9"/>
  <c r="H224" i="9"/>
  <c r="S223" i="9"/>
  <c r="I223" i="9"/>
  <c r="M223" i="9" s="1"/>
  <c r="H223" i="9"/>
  <c r="J223" i="9" s="1"/>
  <c r="S222" i="9"/>
  <c r="I222" i="9"/>
  <c r="M222" i="9" s="1"/>
  <c r="H222" i="9"/>
  <c r="J222" i="9" s="1"/>
  <c r="W222" i="9" s="1"/>
  <c r="T221" i="9"/>
  <c r="S221" i="9"/>
  <c r="M221" i="9"/>
  <c r="K221" i="9" s="1"/>
  <c r="U221" i="9" s="1"/>
  <c r="L221" i="9"/>
  <c r="I221" i="9"/>
  <c r="H221" i="9"/>
  <c r="J221" i="9" s="1"/>
  <c r="W221" i="9" s="1"/>
  <c r="T220" i="9"/>
  <c r="S220" i="9"/>
  <c r="J220" i="9"/>
  <c r="I220" i="9"/>
  <c r="M220" i="9" s="1"/>
  <c r="H220" i="9"/>
  <c r="W219" i="9"/>
  <c r="V219" i="9"/>
  <c r="S219" i="9"/>
  <c r="M219" i="9"/>
  <c r="L219" i="9"/>
  <c r="I219" i="9"/>
  <c r="H219" i="9"/>
  <c r="J219" i="9" s="1"/>
  <c r="S218" i="9"/>
  <c r="I218" i="9"/>
  <c r="H218" i="9"/>
  <c r="J218" i="9" s="1"/>
  <c r="S217" i="9"/>
  <c r="M217" i="9"/>
  <c r="T217" i="9" s="1"/>
  <c r="K217" i="9"/>
  <c r="U217" i="9" s="1"/>
  <c r="J217" i="9"/>
  <c r="W217" i="9" s="1"/>
  <c r="I217" i="9"/>
  <c r="H217" i="9"/>
  <c r="S216" i="9"/>
  <c r="I216" i="9"/>
  <c r="M216" i="9" s="1"/>
  <c r="H216" i="9"/>
  <c r="J216" i="9" s="1"/>
  <c r="T215" i="9"/>
  <c r="S215" i="9"/>
  <c r="M215" i="9"/>
  <c r="J215" i="9"/>
  <c r="I215" i="9"/>
  <c r="H215" i="9"/>
  <c r="S214" i="9"/>
  <c r="I214" i="9"/>
  <c r="M214" i="9" s="1"/>
  <c r="H214" i="9"/>
  <c r="J214" i="9" s="1"/>
  <c r="S213" i="9"/>
  <c r="I213" i="9"/>
  <c r="H213" i="9"/>
  <c r="W212" i="9"/>
  <c r="S212" i="9"/>
  <c r="I212" i="9"/>
  <c r="H212" i="9"/>
  <c r="J212" i="9" s="1"/>
  <c r="W211" i="9"/>
  <c r="T211" i="9"/>
  <c r="S211" i="9"/>
  <c r="J211" i="9"/>
  <c r="I211" i="9"/>
  <c r="M211" i="9" s="1"/>
  <c r="K211" i="9" s="1"/>
  <c r="U211" i="9" s="1"/>
  <c r="H211" i="9"/>
  <c r="W210" i="9"/>
  <c r="S210" i="9"/>
  <c r="I210" i="9"/>
  <c r="H210" i="9"/>
  <c r="J210" i="9" s="1"/>
  <c r="S209" i="9"/>
  <c r="I209" i="9"/>
  <c r="H209" i="9"/>
  <c r="J209" i="9" s="1"/>
  <c r="S208" i="9"/>
  <c r="I208" i="9"/>
  <c r="H208" i="9"/>
  <c r="J208" i="9" s="1"/>
  <c r="W208" i="9" s="1"/>
  <c r="S207" i="9"/>
  <c r="I207" i="9"/>
  <c r="M207" i="9" s="1"/>
  <c r="H207" i="9"/>
  <c r="J207" i="9" s="1"/>
  <c r="T206" i="9"/>
  <c r="S206" i="9"/>
  <c r="M206" i="9"/>
  <c r="J206" i="9"/>
  <c r="K206" i="9" s="1"/>
  <c r="U206" i="9" s="1"/>
  <c r="I206" i="9"/>
  <c r="H206" i="9"/>
  <c r="S205" i="9"/>
  <c r="I205" i="9"/>
  <c r="M205" i="9" s="1"/>
  <c r="K205" i="9" s="1"/>
  <c r="U205" i="9" s="1"/>
  <c r="H205" i="9"/>
  <c r="J205" i="9" s="1"/>
  <c r="W204" i="9"/>
  <c r="T204" i="9"/>
  <c r="S204" i="9"/>
  <c r="I204" i="9"/>
  <c r="M204" i="9" s="1"/>
  <c r="K204" i="9" s="1"/>
  <c r="U204" i="9" s="1"/>
  <c r="H204" i="9"/>
  <c r="J204" i="9" s="1"/>
  <c r="L204" i="9" s="1"/>
  <c r="S203" i="9"/>
  <c r="I203" i="9"/>
  <c r="M203" i="9" s="1"/>
  <c r="H203" i="9"/>
  <c r="J203" i="9" s="1"/>
  <c r="W203" i="9" s="1"/>
  <c r="W202" i="9"/>
  <c r="U202" i="9"/>
  <c r="T202" i="9"/>
  <c r="S202" i="9"/>
  <c r="J202" i="9"/>
  <c r="L202" i="9" s="1"/>
  <c r="I202" i="9"/>
  <c r="M202" i="9" s="1"/>
  <c r="K202" i="9" s="1"/>
  <c r="H202" i="9"/>
  <c r="S201" i="9"/>
  <c r="I201" i="9"/>
  <c r="H201" i="9"/>
  <c r="J201" i="9" s="1"/>
  <c r="W201" i="9" s="1"/>
  <c r="S200" i="9"/>
  <c r="I200" i="9"/>
  <c r="M200" i="9" s="1"/>
  <c r="H200" i="9"/>
  <c r="J200" i="9" s="1"/>
  <c r="S199" i="9"/>
  <c r="J199" i="9"/>
  <c r="L199" i="9" s="1"/>
  <c r="I199" i="9"/>
  <c r="H199" i="9"/>
  <c r="M199" i="9" s="1"/>
  <c r="K199" i="9" s="1"/>
  <c r="U199" i="9" s="1"/>
  <c r="W198" i="9"/>
  <c r="S198" i="9"/>
  <c r="I198" i="9"/>
  <c r="M198" i="9" s="1"/>
  <c r="H198" i="9"/>
  <c r="J198" i="9" s="1"/>
  <c r="S197" i="9"/>
  <c r="I197" i="9"/>
  <c r="M197" i="9" s="1"/>
  <c r="H197" i="9"/>
  <c r="J197" i="9" s="1"/>
  <c r="L197" i="9" s="1"/>
  <c r="S196" i="9"/>
  <c r="I196" i="9"/>
  <c r="H196" i="9"/>
  <c r="W195" i="9"/>
  <c r="S195" i="9"/>
  <c r="M195" i="9"/>
  <c r="I195" i="9"/>
  <c r="H195" i="9"/>
  <c r="J195" i="9" s="1"/>
  <c r="W194" i="9"/>
  <c r="V194" i="9"/>
  <c r="S194" i="9"/>
  <c r="M194" i="9"/>
  <c r="T194" i="9" s="1"/>
  <c r="L194" i="9"/>
  <c r="K194" i="9"/>
  <c r="U194" i="9" s="1"/>
  <c r="I194" i="9"/>
  <c r="H194" i="9"/>
  <c r="J194" i="9" s="1"/>
  <c r="S193" i="9"/>
  <c r="I193" i="9"/>
  <c r="H193" i="9"/>
  <c r="J193" i="9" s="1"/>
  <c r="W193" i="9" s="1"/>
  <c r="S192" i="9"/>
  <c r="I192" i="9"/>
  <c r="M192" i="9" s="1"/>
  <c r="H192" i="9"/>
  <c r="J192" i="9" s="1"/>
  <c r="W192" i="9" s="1"/>
  <c r="S191" i="9"/>
  <c r="I191" i="9"/>
  <c r="M191" i="9" s="1"/>
  <c r="H191" i="9"/>
  <c r="J191" i="9" s="1"/>
  <c r="S190" i="9"/>
  <c r="I190" i="9"/>
  <c r="H190" i="9"/>
  <c r="S189" i="9"/>
  <c r="I189" i="9"/>
  <c r="M189" i="9" s="1"/>
  <c r="H189" i="9"/>
  <c r="J189" i="9" s="1"/>
  <c r="W189" i="9" s="1"/>
  <c r="S188" i="9"/>
  <c r="M188" i="9"/>
  <c r="J188" i="9"/>
  <c r="I188" i="9"/>
  <c r="H188" i="9"/>
  <c r="T187" i="9"/>
  <c r="S187" i="9"/>
  <c r="M187" i="9"/>
  <c r="I187" i="9"/>
  <c r="H187" i="9"/>
  <c r="J187" i="9" s="1"/>
  <c r="S186" i="9"/>
  <c r="I186" i="9"/>
  <c r="M186" i="9" s="1"/>
  <c r="K186" i="9" s="1"/>
  <c r="U186" i="9" s="1"/>
  <c r="H186" i="9"/>
  <c r="J186" i="9" s="1"/>
  <c r="W186" i="9" s="1"/>
  <c r="W185" i="9"/>
  <c r="S185" i="9"/>
  <c r="M185" i="9"/>
  <c r="T185" i="9" s="1"/>
  <c r="J185" i="9"/>
  <c r="L185" i="9" s="1"/>
  <c r="I185" i="9"/>
  <c r="H185" i="9"/>
  <c r="S184" i="9"/>
  <c r="M184" i="9"/>
  <c r="K184" i="9" s="1"/>
  <c r="U184" i="9" s="1"/>
  <c r="J184" i="9"/>
  <c r="I184" i="9"/>
  <c r="H184" i="9"/>
  <c r="T183" i="9"/>
  <c r="S183" i="9"/>
  <c r="M183" i="9"/>
  <c r="I183" i="9"/>
  <c r="H183" i="9"/>
  <c r="J183" i="9" s="1"/>
  <c r="L183" i="9" s="1"/>
  <c r="V183" i="9" s="1"/>
  <c r="W182" i="9"/>
  <c r="T182" i="9"/>
  <c r="S182" i="9"/>
  <c r="J182" i="9"/>
  <c r="I182" i="9"/>
  <c r="M182" i="9" s="1"/>
  <c r="K182" i="9" s="1"/>
  <c r="U182" i="9" s="1"/>
  <c r="H182" i="9"/>
  <c r="S181" i="9"/>
  <c r="M181" i="9"/>
  <c r="J181" i="9"/>
  <c r="W181" i="9" s="1"/>
  <c r="I181" i="9"/>
  <c r="H181" i="9"/>
  <c r="S180" i="9"/>
  <c r="J180" i="9"/>
  <c r="I180" i="9"/>
  <c r="M180" i="9" s="1"/>
  <c r="H180" i="9"/>
  <c r="T179" i="9"/>
  <c r="S179" i="9"/>
  <c r="M179" i="9"/>
  <c r="I179" i="9"/>
  <c r="H179" i="9"/>
  <c r="J179" i="9" s="1"/>
  <c r="S178" i="9"/>
  <c r="J178" i="9"/>
  <c r="I178" i="9"/>
  <c r="M178" i="9" s="1"/>
  <c r="K178" i="9" s="1"/>
  <c r="U178" i="9" s="1"/>
  <c r="H178" i="9"/>
  <c r="W177" i="9"/>
  <c r="S177" i="9"/>
  <c r="I177" i="9"/>
  <c r="M177" i="9" s="1"/>
  <c r="H177" i="9"/>
  <c r="J177" i="9" s="1"/>
  <c r="T176" i="9"/>
  <c r="S176" i="9"/>
  <c r="M176" i="9"/>
  <c r="J176" i="9"/>
  <c r="I176" i="9"/>
  <c r="H176" i="9"/>
  <c r="S175" i="9"/>
  <c r="I175" i="9"/>
  <c r="H175" i="9"/>
  <c r="J175" i="9" s="1"/>
  <c r="S174" i="9"/>
  <c r="J174" i="9"/>
  <c r="W174" i="9" s="1"/>
  <c r="I174" i="9"/>
  <c r="M174" i="9" s="1"/>
  <c r="K174" i="9" s="1"/>
  <c r="U174" i="9" s="1"/>
  <c r="H174" i="9"/>
  <c r="S173" i="9"/>
  <c r="I173" i="9"/>
  <c r="M173" i="9" s="1"/>
  <c r="H173" i="9"/>
  <c r="J173" i="9" s="1"/>
  <c r="T172" i="9"/>
  <c r="S172" i="9"/>
  <c r="M172" i="9"/>
  <c r="J172" i="9"/>
  <c r="W172" i="9" s="1"/>
  <c r="I172" i="9"/>
  <c r="H172" i="9"/>
  <c r="W171" i="9"/>
  <c r="T171" i="9"/>
  <c r="S171" i="9"/>
  <c r="M171" i="9"/>
  <c r="I171" i="9"/>
  <c r="H171" i="9"/>
  <c r="J171" i="9" s="1"/>
  <c r="L171" i="9" s="1"/>
  <c r="V171" i="9" s="1"/>
  <c r="W170" i="9"/>
  <c r="T170" i="9"/>
  <c r="S170" i="9"/>
  <c r="K170" i="9"/>
  <c r="U170" i="9" s="1"/>
  <c r="J170" i="9"/>
  <c r="I170" i="9"/>
  <c r="M170" i="9" s="1"/>
  <c r="H170" i="9"/>
  <c r="S169" i="9"/>
  <c r="M169" i="9"/>
  <c r="J169" i="9"/>
  <c r="I169" i="9"/>
  <c r="H169" i="9"/>
  <c r="S168" i="9"/>
  <c r="M168" i="9"/>
  <c r="K168" i="9" s="1"/>
  <c r="U168" i="9" s="1"/>
  <c r="L168" i="9"/>
  <c r="J168" i="9"/>
  <c r="W168" i="9" s="1"/>
  <c r="I168" i="9"/>
  <c r="H168" i="9"/>
  <c r="S167" i="9"/>
  <c r="I167" i="9"/>
  <c r="M167" i="9" s="1"/>
  <c r="H167" i="9"/>
  <c r="J167" i="9" s="1"/>
  <c r="W167" i="9" s="1"/>
  <c r="S166" i="9"/>
  <c r="J166" i="9"/>
  <c r="I166" i="9"/>
  <c r="M166" i="9" s="1"/>
  <c r="K166" i="9" s="1"/>
  <c r="U166" i="9" s="1"/>
  <c r="H166" i="9"/>
  <c r="W165" i="9"/>
  <c r="S165" i="9"/>
  <c r="I165" i="9"/>
  <c r="M165" i="9" s="1"/>
  <c r="H165" i="9"/>
  <c r="J165" i="9" s="1"/>
  <c r="T164" i="9"/>
  <c r="S164" i="9"/>
  <c r="M164" i="9"/>
  <c r="J164" i="9"/>
  <c r="W164" i="9" s="1"/>
  <c r="I164" i="9"/>
  <c r="H164" i="9"/>
  <c r="S163" i="9"/>
  <c r="I163" i="9"/>
  <c r="M163" i="9" s="1"/>
  <c r="H163" i="9"/>
  <c r="J163" i="9" s="1"/>
  <c r="S162" i="9"/>
  <c r="J162" i="9"/>
  <c r="I162" i="9"/>
  <c r="H162" i="9"/>
  <c r="S161" i="9"/>
  <c r="J161" i="9"/>
  <c r="W161" i="9" s="1"/>
  <c r="I161" i="9"/>
  <c r="M161" i="9" s="1"/>
  <c r="H161" i="9"/>
  <c r="S160" i="9"/>
  <c r="M160" i="9"/>
  <c r="T160" i="9" s="1"/>
  <c r="L160" i="9"/>
  <c r="J160" i="9"/>
  <c r="W160" i="9" s="1"/>
  <c r="I160" i="9"/>
  <c r="H160" i="9"/>
  <c r="W159" i="9"/>
  <c r="S159" i="9"/>
  <c r="M159" i="9"/>
  <c r="K159" i="9" s="1"/>
  <c r="U159" i="9" s="1"/>
  <c r="I159" i="9"/>
  <c r="H159" i="9"/>
  <c r="J159" i="9" s="1"/>
  <c r="T158" i="9"/>
  <c r="S158" i="9"/>
  <c r="L158" i="9"/>
  <c r="V158" i="9" s="1"/>
  <c r="K158" i="9"/>
  <c r="U158" i="9" s="1"/>
  <c r="J158" i="9"/>
  <c r="W158" i="9" s="1"/>
  <c r="I158" i="9"/>
  <c r="M158" i="9" s="1"/>
  <c r="H158" i="9"/>
  <c r="S157" i="9"/>
  <c r="M157" i="9"/>
  <c r="J157" i="9"/>
  <c r="W157" i="9" s="1"/>
  <c r="I157" i="9"/>
  <c r="H157" i="9"/>
  <c r="S156" i="9"/>
  <c r="J156" i="9"/>
  <c r="W156" i="9" s="1"/>
  <c r="I156" i="9"/>
  <c r="M156" i="9" s="1"/>
  <c r="H156" i="9"/>
  <c r="S155" i="9"/>
  <c r="I155" i="9"/>
  <c r="H155" i="9"/>
  <c r="J155" i="9" s="1"/>
  <c r="W155" i="9" s="1"/>
  <c r="T154" i="9"/>
  <c r="S154" i="9"/>
  <c r="J154" i="9"/>
  <c r="W154" i="9" s="1"/>
  <c r="I154" i="9"/>
  <c r="M154" i="9" s="1"/>
  <c r="K154" i="9" s="1"/>
  <c r="U154" i="9" s="1"/>
  <c r="H154" i="9"/>
  <c r="S153" i="9"/>
  <c r="I153" i="9"/>
  <c r="M153" i="9" s="1"/>
  <c r="H153" i="9"/>
  <c r="J153" i="9" s="1"/>
  <c r="W153" i="9" s="1"/>
  <c r="S152" i="9"/>
  <c r="M152" i="9"/>
  <c r="T152" i="9" s="1"/>
  <c r="L152" i="9"/>
  <c r="J152" i="9"/>
  <c r="W152" i="9" s="1"/>
  <c r="I152" i="9"/>
  <c r="H152" i="9"/>
  <c r="S151" i="9"/>
  <c r="M151" i="9"/>
  <c r="I151" i="9"/>
  <c r="H151" i="9"/>
  <c r="J151" i="9" s="1"/>
  <c r="S150" i="9"/>
  <c r="J150" i="9"/>
  <c r="W150" i="9" s="1"/>
  <c r="I150" i="9"/>
  <c r="M150" i="9" s="1"/>
  <c r="H150" i="9"/>
  <c r="S149" i="9"/>
  <c r="I149" i="9"/>
  <c r="H149" i="9"/>
  <c r="S148" i="9"/>
  <c r="M148" i="9"/>
  <c r="T148" i="9" s="1"/>
  <c r="L148" i="9"/>
  <c r="V148" i="9" s="1"/>
  <c r="K148" i="9"/>
  <c r="U148" i="9" s="1"/>
  <c r="J148" i="9"/>
  <c r="W148" i="9" s="1"/>
  <c r="I148" i="9"/>
  <c r="H148" i="9"/>
  <c r="S147" i="9"/>
  <c r="M147" i="9"/>
  <c r="K147" i="9" s="1"/>
  <c r="U147" i="9" s="1"/>
  <c r="I147" i="9"/>
  <c r="H147" i="9"/>
  <c r="J147" i="9" s="1"/>
  <c r="W147" i="9" s="1"/>
  <c r="T146" i="9"/>
  <c r="S146" i="9"/>
  <c r="J146" i="9"/>
  <c r="L146" i="9" s="1"/>
  <c r="I146" i="9"/>
  <c r="M146" i="9" s="1"/>
  <c r="H146" i="9"/>
  <c r="S145" i="9"/>
  <c r="J145" i="9"/>
  <c r="W145" i="9" s="1"/>
  <c r="I145" i="9"/>
  <c r="M145" i="9" s="1"/>
  <c r="H145" i="9"/>
  <c r="S144" i="9"/>
  <c r="J144" i="9"/>
  <c r="W144" i="9" s="1"/>
  <c r="I144" i="9"/>
  <c r="M144" i="9" s="1"/>
  <c r="H144" i="9"/>
  <c r="T143" i="9"/>
  <c r="S143" i="9"/>
  <c r="I143" i="9"/>
  <c r="M143" i="9" s="1"/>
  <c r="K143" i="9" s="1"/>
  <c r="U143" i="9" s="1"/>
  <c r="H143" i="9"/>
  <c r="J143" i="9" s="1"/>
  <c r="W143" i="9" s="1"/>
  <c r="S142" i="9"/>
  <c r="J142" i="9"/>
  <c r="W142" i="9" s="1"/>
  <c r="I142" i="9"/>
  <c r="M142" i="9" s="1"/>
  <c r="T142" i="9" s="1"/>
  <c r="H142" i="9"/>
  <c r="W141" i="9"/>
  <c r="S141" i="9"/>
  <c r="M141" i="9"/>
  <c r="I141" i="9"/>
  <c r="H141" i="9"/>
  <c r="J141" i="9" s="1"/>
  <c r="T140" i="9"/>
  <c r="S140" i="9"/>
  <c r="M140" i="9"/>
  <c r="L140" i="9"/>
  <c r="K140" i="9"/>
  <c r="U140" i="9" s="1"/>
  <c r="J140" i="9"/>
  <c r="W140" i="9" s="1"/>
  <c r="I140" i="9"/>
  <c r="H140" i="9"/>
  <c r="S139" i="9"/>
  <c r="I139" i="9"/>
  <c r="M139" i="9" s="1"/>
  <c r="H139" i="9"/>
  <c r="J139" i="9" s="1"/>
  <c r="S138" i="9"/>
  <c r="I138" i="9"/>
  <c r="H138" i="9"/>
  <c r="J138" i="9" s="1"/>
  <c r="S137" i="9"/>
  <c r="M137" i="9"/>
  <c r="I137" i="9"/>
  <c r="H137" i="9"/>
  <c r="J137" i="9" s="1"/>
  <c r="S136" i="9"/>
  <c r="M136" i="9"/>
  <c r="T136" i="9" s="1"/>
  <c r="L136" i="9"/>
  <c r="K136" i="9"/>
  <c r="U136" i="9" s="1"/>
  <c r="J136" i="9"/>
  <c r="W136" i="9" s="1"/>
  <c r="I136" i="9"/>
  <c r="H136" i="9"/>
  <c r="S135" i="9"/>
  <c r="M135" i="9"/>
  <c r="K135" i="9" s="1"/>
  <c r="U135" i="9" s="1"/>
  <c r="I135" i="9"/>
  <c r="H135" i="9"/>
  <c r="J135" i="9" s="1"/>
  <c r="W135" i="9" s="1"/>
  <c r="S134" i="9"/>
  <c r="I134" i="9"/>
  <c r="H134" i="9"/>
  <c r="J134" i="9" s="1"/>
  <c r="S133" i="9"/>
  <c r="I133" i="9"/>
  <c r="H133" i="9"/>
  <c r="S132" i="9"/>
  <c r="M132" i="9"/>
  <c r="K132" i="9" s="1"/>
  <c r="U132" i="9" s="1"/>
  <c r="L132" i="9"/>
  <c r="J132" i="9"/>
  <c r="W132" i="9" s="1"/>
  <c r="I132" i="9"/>
  <c r="H132" i="9"/>
  <c r="S131" i="9"/>
  <c r="M131" i="9"/>
  <c r="K131" i="9" s="1"/>
  <c r="U131" i="9" s="1"/>
  <c r="I131" i="9"/>
  <c r="H131" i="9"/>
  <c r="J131" i="9" s="1"/>
  <c r="W131" i="9" s="1"/>
  <c r="S130" i="9"/>
  <c r="I130" i="9"/>
  <c r="H130" i="9"/>
  <c r="J130" i="9" s="1"/>
  <c r="S129" i="9"/>
  <c r="M129" i="9"/>
  <c r="J129" i="9"/>
  <c r="L129" i="9" s="1"/>
  <c r="I129" i="9"/>
  <c r="H129" i="9"/>
  <c r="S128" i="9"/>
  <c r="M128" i="9"/>
  <c r="T128" i="9" s="1"/>
  <c r="L128" i="9"/>
  <c r="K128" i="9"/>
  <c r="U128" i="9" s="1"/>
  <c r="J128" i="9"/>
  <c r="W128" i="9" s="1"/>
  <c r="I128" i="9"/>
  <c r="H128" i="9"/>
  <c r="S127" i="9"/>
  <c r="M127" i="9"/>
  <c r="K127" i="9" s="1"/>
  <c r="U127" i="9" s="1"/>
  <c r="I127" i="9"/>
  <c r="H127" i="9"/>
  <c r="J127" i="9" s="1"/>
  <c r="T126" i="9"/>
  <c r="S126" i="9"/>
  <c r="J126" i="9"/>
  <c r="L126" i="9" s="1"/>
  <c r="I126" i="9"/>
  <c r="M126" i="9" s="1"/>
  <c r="H126" i="9"/>
  <c r="S125" i="9"/>
  <c r="M125" i="9"/>
  <c r="T125" i="9" s="1"/>
  <c r="I125" i="9"/>
  <c r="H125" i="9"/>
  <c r="J125" i="9" s="1"/>
  <c r="S124" i="9"/>
  <c r="M124" i="9"/>
  <c r="T124" i="9" s="1"/>
  <c r="L124" i="9"/>
  <c r="K124" i="9"/>
  <c r="U124" i="9" s="1"/>
  <c r="J124" i="9"/>
  <c r="W124" i="9" s="1"/>
  <c r="I124" i="9"/>
  <c r="H124" i="9"/>
  <c r="S123" i="9"/>
  <c r="M123" i="9"/>
  <c r="K123" i="9" s="1"/>
  <c r="U123" i="9" s="1"/>
  <c r="I123" i="9"/>
  <c r="H123" i="9"/>
  <c r="J123" i="9" s="1"/>
  <c r="W123" i="9" s="1"/>
  <c r="S122" i="9"/>
  <c r="I122" i="9"/>
  <c r="H122" i="9"/>
  <c r="J122" i="9" s="1"/>
  <c r="S121" i="9"/>
  <c r="I121" i="9"/>
  <c r="H121" i="9"/>
  <c r="S120" i="9"/>
  <c r="M120" i="9"/>
  <c r="K120" i="9" s="1"/>
  <c r="U120" i="9" s="1"/>
  <c r="L120" i="9"/>
  <c r="J120" i="9"/>
  <c r="W120" i="9" s="1"/>
  <c r="I120" i="9"/>
  <c r="H120" i="9"/>
  <c r="S119" i="9"/>
  <c r="M119" i="9"/>
  <c r="K119" i="9" s="1"/>
  <c r="U119" i="9" s="1"/>
  <c r="I119" i="9"/>
  <c r="H119" i="9"/>
  <c r="J119" i="9" s="1"/>
  <c r="W119" i="9" s="1"/>
  <c r="T118" i="9"/>
  <c r="S118" i="9"/>
  <c r="L118" i="9"/>
  <c r="V118" i="9" s="1"/>
  <c r="K118" i="9"/>
  <c r="U118" i="9" s="1"/>
  <c r="J118" i="9"/>
  <c r="W118" i="9" s="1"/>
  <c r="I118" i="9"/>
  <c r="M118" i="9" s="1"/>
  <c r="H118" i="9"/>
  <c r="S117" i="9"/>
  <c r="M117" i="9"/>
  <c r="J117" i="9"/>
  <c r="L117" i="9" s="1"/>
  <c r="I117" i="9"/>
  <c r="H117" i="9"/>
  <c r="S116" i="9"/>
  <c r="M116" i="9"/>
  <c r="T116" i="9" s="1"/>
  <c r="L116" i="9"/>
  <c r="V116" i="9" s="1"/>
  <c r="K116" i="9"/>
  <c r="U116" i="9" s="1"/>
  <c r="J116" i="9"/>
  <c r="W116" i="9" s="1"/>
  <c r="I116" i="9"/>
  <c r="H116" i="9"/>
  <c r="S115" i="9"/>
  <c r="M115" i="9"/>
  <c r="K115" i="9" s="1"/>
  <c r="U115" i="9" s="1"/>
  <c r="I115" i="9"/>
  <c r="H115" i="9"/>
  <c r="J115" i="9" s="1"/>
  <c r="T114" i="9"/>
  <c r="S114" i="9"/>
  <c r="J114" i="9"/>
  <c r="L114" i="9" s="1"/>
  <c r="I114" i="9"/>
  <c r="M114" i="9" s="1"/>
  <c r="H114" i="9"/>
  <c r="S113" i="9"/>
  <c r="M113" i="9"/>
  <c r="T113" i="9" s="1"/>
  <c r="K113" i="9"/>
  <c r="U113" i="9" s="1"/>
  <c r="J113" i="9"/>
  <c r="W113" i="9" s="1"/>
  <c r="I113" i="9"/>
  <c r="H113" i="9"/>
  <c r="S112" i="9"/>
  <c r="M112" i="9"/>
  <c r="L112" i="9" s="1"/>
  <c r="K112" i="9"/>
  <c r="U112" i="9" s="1"/>
  <c r="J112" i="9"/>
  <c r="W112" i="9" s="1"/>
  <c r="I112" i="9"/>
  <c r="H112" i="9"/>
  <c r="S111" i="9"/>
  <c r="M111" i="9"/>
  <c r="K111" i="9" s="1"/>
  <c r="U111" i="9" s="1"/>
  <c r="I111" i="9"/>
  <c r="H111" i="9"/>
  <c r="J111" i="9" s="1"/>
  <c r="W111" i="9" s="1"/>
  <c r="S110" i="9"/>
  <c r="I110" i="9"/>
  <c r="H110" i="9"/>
  <c r="J110" i="9" s="1"/>
  <c r="S109" i="9"/>
  <c r="I109" i="9"/>
  <c r="H109" i="9"/>
  <c r="S108" i="9"/>
  <c r="M108" i="9"/>
  <c r="K108" i="9" s="1"/>
  <c r="U108" i="9" s="1"/>
  <c r="L108" i="9"/>
  <c r="J108" i="9"/>
  <c r="W108" i="9" s="1"/>
  <c r="I108" i="9"/>
  <c r="H108" i="9"/>
  <c r="S107" i="9"/>
  <c r="M107" i="9"/>
  <c r="K107" i="9" s="1"/>
  <c r="U107" i="9" s="1"/>
  <c r="I107" i="9"/>
  <c r="H107" i="9"/>
  <c r="J107" i="9" s="1"/>
  <c r="W107" i="9" s="1"/>
  <c r="T106" i="9"/>
  <c r="S106" i="9"/>
  <c r="L106" i="9"/>
  <c r="V106" i="9" s="1"/>
  <c r="K106" i="9"/>
  <c r="U106" i="9" s="1"/>
  <c r="J106" i="9"/>
  <c r="W106" i="9" s="1"/>
  <c r="I106" i="9"/>
  <c r="M106" i="9" s="1"/>
  <c r="H106" i="9"/>
  <c r="S105" i="9"/>
  <c r="M105" i="9"/>
  <c r="J105" i="9"/>
  <c r="L105" i="9" s="1"/>
  <c r="I105" i="9"/>
  <c r="H105" i="9"/>
  <c r="S104" i="9"/>
  <c r="M104" i="9"/>
  <c r="L104" i="9" s="1"/>
  <c r="K104" i="9"/>
  <c r="U104" i="9" s="1"/>
  <c r="J104" i="9"/>
  <c r="W104" i="9" s="1"/>
  <c r="I104" i="9"/>
  <c r="H104" i="9"/>
  <c r="S103" i="9"/>
  <c r="M103" i="9"/>
  <c r="K103" i="9" s="1"/>
  <c r="U103" i="9" s="1"/>
  <c r="I103" i="9"/>
  <c r="H103" i="9"/>
  <c r="J103" i="9" s="1"/>
  <c r="S102" i="9"/>
  <c r="J102" i="9"/>
  <c r="L102" i="9" s="1"/>
  <c r="I102" i="9"/>
  <c r="M102" i="9" s="1"/>
  <c r="H102" i="9"/>
  <c r="S101" i="9"/>
  <c r="M101" i="9"/>
  <c r="T101" i="9" s="1"/>
  <c r="K101" i="9"/>
  <c r="U101" i="9" s="1"/>
  <c r="J101" i="9"/>
  <c r="L101" i="9" s="1"/>
  <c r="I101" i="9"/>
  <c r="H101" i="9"/>
  <c r="S100" i="9"/>
  <c r="M100" i="9"/>
  <c r="T100" i="9" s="1"/>
  <c r="K100" i="9"/>
  <c r="U100" i="9" s="1"/>
  <c r="J100" i="9"/>
  <c r="W100" i="9" s="1"/>
  <c r="I100" i="9"/>
  <c r="H100" i="9"/>
  <c r="S99" i="9"/>
  <c r="M99" i="9"/>
  <c r="K99" i="9" s="1"/>
  <c r="U99" i="9" s="1"/>
  <c r="I99" i="9"/>
  <c r="H99" i="9"/>
  <c r="J99" i="9" s="1"/>
  <c r="W99" i="9" s="1"/>
  <c r="S98" i="9"/>
  <c r="I98" i="9"/>
  <c r="H98" i="9"/>
  <c r="J98" i="9" s="1"/>
  <c r="S97" i="9"/>
  <c r="I97" i="9"/>
  <c r="H97" i="9"/>
  <c r="S96" i="9"/>
  <c r="M96" i="9"/>
  <c r="T96" i="9" s="1"/>
  <c r="L96" i="9"/>
  <c r="J96" i="9"/>
  <c r="W96" i="9" s="1"/>
  <c r="I96" i="9"/>
  <c r="H96" i="9"/>
  <c r="S95" i="9"/>
  <c r="M95" i="9"/>
  <c r="K95" i="9" s="1"/>
  <c r="U95" i="9" s="1"/>
  <c r="I95" i="9"/>
  <c r="H95" i="9"/>
  <c r="J95" i="9" s="1"/>
  <c r="W95" i="9" s="1"/>
  <c r="S94" i="9"/>
  <c r="K94" i="9"/>
  <c r="U94" i="9" s="1"/>
  <c r="J94" i="9"/>
  <c r="W94" i="9" s="1"/>
  <c r="I94" i="9"/>
  <c r="M94" i="9" s="1"/>
  <c r="T94" i="9" s="1"/>
  <c r="H94" i="9"/>
  <c r="S93" i="9"/>
  <c r="J93" i="9"/>
  <c r="I93" i="9"/>
  <c r="M93" i="9" s="1"/>
  <c r="H93" i="9"/>
  <c r="S92" i="9"/>
  <c r="M92" i="9"/>
  <c r="T92" i="9" s="1"/>
  <c r="K92" i="9"/>
  <c r="U92" i="9" s="1"/>
  <c r="J92" i="9"/>
  <c r="W92" i="9" s="1"/>
  <c r="I92" i="9"/>
  <c r="H92" i="9"/>
  <c r="S91" i="9"/>
  <c r="M91" i="9"/>
  <c r="I91" i="9"/>
  <c r="H91" i="9"/>
  <c r="J91" i="9" s="1"/>
  <c r="S90" i="9"/>
  <c r="J90" i="9"/>
  <c r="L90" i="9" s="1"/>
  <c r="I90" i="9"/>
  <c r="M90" i="9" s="1"/>
  <c r="T90" i="9" s="1"/>
  <c r="H90" i="9"/>
  <c r="S89" i="9"/>
  <c r="M89" i="9"/>
  <c r="T89" i="9" s="1"/>
  <c r="K89" i="9"/>
  <c r="U89" i="9" s="1"/>
  <c r="J89" i="9"/>
  <c r="W89" i="9" s="1"/>
  <c r="I89" i="9"/>
  <c r="H89" i="9"/>
  <c r="S88" i="9"/>
  <c r="M88" i="9"/>
  <c r="T88" i="9" s="1"/>
  <c r="K88" i="9"/>
  <c r="U88" i="9" s="1"/>
  <c r="J88" i="9"/>
  <c r="W88" i="9" s="1"/>
  <c r="I88" i="9"/>
  <c r="H88" i="9"/>
  <c r="S87" i="9"/>
  <c r="M87" i="9"/>
  <c r="K87" i="9" s="1"/>
  <c r="U87" i="9" s="1"/>
  <c r="I87" i="9"/>
  <c r="H87" i="9"/>
  <c r="J87" i="9" s="1"/>
  <c r="W87" i="9" s="1"/>
  <c r="S86" i="9"/>
  <c r="I86" i="9"/>
  <c r="H86" i="9"/>
  <c r="J86" i="9" s="1"/>
  <c r="S85" i="9"/>
  <c r="I85" i="9"/>
  <c r="H85" i="9"/>
  <c r="S84" i="9"/>
  <c r="J84" i="9"/>
  <c r="W84" i="9" s="1"/>
  <c r="I84" i="9"/>
  <c r="M84" i="9" s="1"/>
  <c r="H84" i="9"/>
  <c r="S83" i="9"/>
  <c r="M83" i="9"/>
  <c r="I83" i="9"/>
  <c r="H83" i="9"/>
  <c r="J83" i="9" s="1"/>
  <c r="W83" i="9" s="1"/>
  <c r="S82" i="9"/>
  <c r="I82" i="9"/>
  <c r="H82" i="9"/>
  <c r="S81" i="9"/>
  <c r="J81" i="9"/>
  <c r="W81" i="9" s="1"/>
  <c r="I81" i="9"/>
  <c r="M81" i="9" s="1"/>
  <c r="H81" i="9"/>
  <c r="S80" i="9"/>
  <c r="I80" i="9"/>
  <c r="H80" i="9"/>
  <c r="S79" i="9"/>
  <c r="M79" i="9"/>
  <c r="T79" i="9" s="1"/>
  <c r="J79" i="9"/>
  <c r="I79" i="9"/>
  <c r="H79" i="9"/>
  <c r="S78" i="9"/>
  <c r="M78" i="9"/>
  <c r="T78" i="9" s="1"/>
  <c r="K78" i="9"/>
  <c r="U78" i="9" s="1"/>
  <c r="J78" i="9"/>
  <c r="W78" i="9" s="1"/>
  <c r="I78" i="9"/>
  <c r="H78" i="9"/>
  <c r="W77" i="9"/>
  <c r="S77" i="9"/>
  <c r="M77" i="9"/>
  <c r="I77" i="9"/>
  <c r="H77" i="9"/>
  <c r="J77" i="9" s="1"/>
  <c r="S76" i="9"/>
  <c r="M76" i="9"/>
  <c r="T76" i="9" s="1"/>
  <c r="L76" i="9"/>
  <c r="V76" i="9" s="1"/>
  <c r="I76" i="9"/>
  <c r="H76" i="9"/>
  <c r="J76" i="9" s="1"/>
  <c r="W76" i="9" s="1"/>
  <c r="S75" i="9"/>
  <c r="M75" i="9"/>
  <c r="J75" i="9"/>
  <c r="W75" i="9" s="1"/>
  <c r="I75" i="9"/>
  <c r="H75" i="9"/>
  <c r="W74" i="9"/>
  <c r="S74" i="9"/>
  <c r="I74" i="9"/>
  <c r="M74" i="9" s="1"/>
  <c r="H74" i="9"/>
  <c r="J74" i="9" s="1"/>
  <c r="S73" i="9"/>
  <c r="I73" i="9"/>
  <c r="M73" i="9" s="1"/>
  <c r="H73" i="9"/>
  <c r="J73" i="9" s="1"/>
  <c r="S72" i="9"/>
  <c r="J72" i="9"/>
  <c r="W72" i="9" s="1"/>
  <c r="I72" i="9"/>
  <c r="M72" i="9" s="1"/>
  <c r="H72" i="9"/>
  <c r="W71" i="9"/>
  <c r="S71" i="9"/>
  <c r="I71" i="9"/>
  <c r="M71" i="9" s="1"/>
  <c r="H71" i="9"/>
  <c r="J71" i="9" s="1"/>
  <c r="S70" i="9"/>
  <c r="I70" i="9"/>
  <c r="M70" i="9" s="1"/>
  <c r="H70" i="9"/>
  <c r="J70" i="9" s="1"/>
  <c r="S69" i="9"/>
  <c r="J69" i="9"/>
  <c r="W69" i="9" s="1"/>
  <c r="I69" i="9"/>
  <c r="M69" i="9" s="1"/>
  <c r="H69" i="9"/>
  <c r="S68" i="9"/>
  <c r="I68" i="9"/>
  <c r="M68" i="9" s="1"/>
  <c r="H68" i="9"/>
  <c r="J68" i="9" s="1"/>
  <c r="S67" i="9"/>
  <c r="J67" i="9"/>
  <c r="I67" i="9"/>
  <c r="M67" i="9" s="1"/>
  <c r="H67" i="9"/>
  <c r="S66" i="9"/>
  <c r="K66" i="9"/>
  <c r="U66" i="9" s="1"/>
  <c r="J66" i="9"/>
  <c r="W66" i="9" s="1"/>
  <c r="I66" i="9"/>
  <c r="M66" i="9" s="1"/>
  <c r="T66" i="9" s="1"/>
  <c r="H66" i="9"/>
  <c r="S65" i="9"/>
  <c r="M65" i="9"/>
  <c r="I65" i="9"/>
  <c r="H65" i="9"/>
  <c r="J65" i="9" s="1"/>
  <c r="W65" i="9" s="1"/>
  <c r="S64" i="9"/>
  <c r="I64" i="9"/>
  <c r="H64" i="9"/>
  <c r="S63" i="9"/>
  <c r="M63" i="9"/>
  <c r="J63" i="9"/>
  <c r="W63" i="9" s="1"/>
  <c r="I63" i="9"/>
  <c r="H63" i="9"/>
  <c r="S62" i="9"/>
  <c r="I62" i="9"/>
  <c r="H62" i="9"/>
  <c r="S61" i="9"/>
  <c r="M61" i="9"/>
  <c r="T61" i="9" s="1"/>
  <c r="J61" i="9"/>
  <c r="I61" i="9"/>
  <c r="H61" i="9"/>
  <c r="S60" i="9"/>
  <c r="M60" i="9"/>
  <c r="T60" i="9" s="1"/>
  <c r="K60" i="9"/>
  <c r="U60" i="9" s="1"/>
  <c r="J60" i="9"/>
  <c r="W60" i="9" s="1"/>
  <c r="I60" i="9"/>
  <c r="H60" i="9"/>
  <c r="W59" i="9"/>
  <c r="S59" i="9"/>
  <c r="M59" i="9"/>
  <c r="I59" i="9"/>
  <c r="H59" i="9"/>
  <c r="J59" i="9" s="1"/>
  <c r="V58" i="9"/>
  <c r="S58" i="9"/>
  <c r="M58" i="9"/>
  <c r="T58" i="9" s="1"/>
  <c r="L58" i="9"/>
  <c r="I58" i="9"/>
  <c r="H58" i="9"/>
  <c r="J58" i="9" s="1"/>
  <c r="W58" i="9" s="1"/>
  <c r="S57" i="9"/>
  <c r="M57" i="9"/>
  <c r="J57" i="9"/>
  <c r="W57" i="9" s="1"/>
  <c r="I57" i="9"/>
  <c r="H57" i="9"/>
  <c r="W56" i="9"/>
  <c r="S56" i="9"/>
  <c r="I56" i="9"/>
  <c r="M56" i="9" s="1"/>
  <c r="H56" i="9"/>
  <c r="J56" i="9" s="1"/>
  <c r="S55" i="9"/>
  <c r="I55" i="9"/>
  <c r="M55" i="9" s="1"/>
  <c r="H55" i="9"/>
  <c r="J55" i="9" s="1"/>
  <c r="S54" i="9"/>
  <c r="J54" i="9"/>
  <c r="W54" i="9" s="1"/>
  <c r="I54" i="9"/>
  <c r="M54" i="9" s="1"/>
  <c r="H54" i="9"/>
  <c r="W53" i="9"/>
  <c r="S53" i="9"/>
  <c r="I53" i="9"/>
  <c r="M53" i="9" s="1"/>
  <c r="H53" i="9"/>
  <c r="J53" i="9" s="1"/>
  <c r="S52" i="9"/>
  <c r="I52" i="9"/>
  <c r="H52" i="9"/>
  <c r="J52" i="9" s="1"/>
  <c r="S51" i="9"/>
  <c r="J51" i="9"/>
  <c r="W51" i="9" s="1"/>
  <c r="I51" i="9"/>
  <c r="M51" i="9" s="1"/>
  <c r="H51" i="9"/>
  <c r="S50" i="9"/>
  <c r="I50" i="9"/>
  <c r="H50" i="9"/>
  <c r="J50" i="9" s="1"/>
  <c r="W50" i="9" s="1"/>
  <c r="S49" i="9"/>
  <c r="I49" i="9"/>
  <c r="H49" i="9"/>
  <c r="J49" i="9" s="1"/>
  <c r="S48" i="9"/>
  <c r="J48" i="9"/>
  <c r="I48" i="9"/>
  <c r="M48" i="9" s="1"/>
  <c r="T48" i="9" s="1"/>
  <c r="H48" i="9"/>
  <c r="S47" i="9"/>
  <c r="I47" i="9"/>
  <c r="M47" i="9" s="1"/>
  <c r="H47" i="9"/>
  <c r="J47" i="9" s="1"/>
  <c r="S46" i="9"/>
  <c r="I46" i="9"/>
  <c r="H46" i="9"/>
  <c r="M46" i="9" s="1"/>
  <c r="T46" i="9" s="1"/>
  <c r="S45" i="9"/>
  <c r="J45" i="9"/>
  <c r="W45" i="9" s="1"/>
  <c r="I45" i="9"/>
  <c r="M45" i="9" s="1"/>
  <c r="H45" i="9"/>
  <c r="S44" i="9"/>
  <c r="I44" i="9"/>
  <c r="H44" i="9"/>
  <c r="J44" i="9" s="1"/>
  <c r="S43" i="9"/>
  <c r="M43" i="9"/>
  <c r="J43" i="9"/>
  <c r="W43" i="9" s="1"/>
  <c r="I43" i="9"/>
  <c r="H43" i="9"/>
  <c r="S42" i="9"/>
  <c r="M42" i="9"/>
  <c r="K42" i="9" s="1"/>
  <c r="U42" i="9" s="1"/>
  <c r="J42" i="9"/>
  <c r="W42" i="9" s="1"/>
  <c r="I42" i="9"/>
  <c r="H42" i="9"/>
  <c r="W41" i="9"/>
  <c r="S41" i="9"/>
  <c r="M41" i="9"/>
  <c r="K41" i="9" s="1"/>
  <c r="U41" i="9" s="1"/>
  <c r="I41" i="9"/>
  <c r="H41" i="9"/>
  <c r="J41" i="9" s="1"/>
  <c r="S40" i="9"/>
  <c r="M40" i="9"/>
  <c r="T40" i="9" s="1"/>
  <c r="L40" i="9"/>
  <c r="V40" i="9" s="1"/>
  <c r="I40" i="9"/>
  <c r="H40" i="9"/>
  <c r="J40" i="9" s="1"/>
  <c r="W40" i="9" s="1"/>
  <c r="T39" i="9"/>
  <c r="S39" i="9"/>
  <c r="M39" i="9"/>
  <c r="K39" i="9" s="1"/>
  <c r="U39" i="9" s="1"/>
  <c r="J39" i="9"/>
  <c r="W39" i="9" s="1"/>
  <c r="I39" i="9"/>
  <c r="H39" i="9"/>
  <c r="W38" i="9"/>
  <c r="S38" i="9"/>
  <c r="I38" i="9"/>
  <c r="M38" i="9" s="1"/>
  <c r="H38" i="9"/>
  <c r="J38" i="9" s="1"/>
  <c r="W37" i="9"/>
  <c r="S37" i="9"/>
  <c r="I37" i="9"/>
  <c r="M37" i="9" s="1"/>
  <c r="H37" i="9"/>
  <c r="J37" i="9" s="1"/>
  <c r="S36" i="9"/>
  <c r="J36" i="9"/>
  <c r="W36" i="9" s="1"/>
  <c r="I36" i="9"/>
  <c r="M36" i="9" s="1"/>
  <c r="H36" i="9"/>
  <c r="W35" i="9"/>
  <c r="S35" i="9"/>
  <c r="I35" i="9"/>
  <c r="M35" i="9" s="1"/>
  <c r="H35" i="9"/>
  <c r="J35" i="9" s="1"/>
  <c r="S34" i="9"/>
  <c r="I34" i="9"/>
  <c r="M34" i="9" s="1"/>
  <c r="H34" i="9"/>
  <c r="J34" i="9" s="1"/>
  <c r="S33" i="9"/>
  <c r="J33" i="9"/>
  <c r="W33" i="9" s="1"/>
  <c r="I33" i="9"/>
  <c r="M33" i="9" s="1"/>
  <c r="H33" i="9"/>
  <c r="S32" i="9"/>
  <c r="I32" i="9"/>
  <c r="M32" i="9" s="1"/>
  <c r="H32" i="9"/>
  <c r="J32" i="9" s="1"/>
  <c r="S31" i="9"/>
  <c r="J31" i="9"/>
  <c r="I31" i="9"/>
  <c r="M31" i="9" s="1"/>
  <c r="H31" i="9"/>
  <c r="S30" i="9"/>
  <c r="J30" i="9"/>
  <c r="I30" i="9"/>
  <c r="M30" i="9" s="1"/>
  <c r="T30" i="9" s="1"/>
  <c r="H30" i="9"/>
  <c r="S29" i="9"/>
  <c r="M29" i="9"/>
  <c r="I29" i="9"/>
  <c r="H29" i="9"/>
  <c r="J29" i="9" s="1"/>
  <c r="S28" i="9"/>
  <c r="J28" i="9"/>
  <c r="W28" i="9" s="1"/>
  <c r="I28" i="9"/>
  <c r="H28" i="9"/>
  <c r="M28" i="9" s="1"/>
  <c r="T28" i="9" s="1"/>
  <c r="S27" i="9"/>
  <c r="J27" i="9"/>
  <c r="W27" i="9" s="1"/>
  <c r="I27" i="9"/>
  <c r="M27" i="9" s="1"/>
  <c r="H27" i="9"/>
  <c r="S26" i="9"/>
  <c r="M26" i="9"/>
  <c r="I26" i="9"/>
  <c r="H26" i="9"/>
  <c r="J26" i="9" s="1"/>
  <c r="S25" i="9"/>
  <c r="M25" i="9"/>
  <c r="L25" i="9"/>
  <c r="J25" i="9"/>
  <c r="W25" i="9" s="1"/>
  <c r="I25" i="9"/>
  <c r="H25" i="9"/>
  <c r="S24" i="9"/>
  <c r="M24" i="9"/>
  <c r="K24" i="9"/>
  <c r="U24" i="9" s="1"/>
  <c r="J24" i="9"/>
  <c r="W24" i="9" s="1"/>
  <c r="I24" i="9"/>
  <c r="H24" i="9"/>
  <c r="W23" i="9"/>
  <c r="U23" i="9"/>
  <c r="T23" i="9"/>
  <c r="S23" i="9"/>
  <c r="M23" i="9"/>
  <c r="K23" i="9" s="1"/>
  <c r="I23" i="9"/>
  <c r="H23" i="9"/>
  <c r="J23" i="9" s="1"/>
  <c r="S22" i="9"/>
  <c r="M22" i="9"/>
  <c r="T22" i="9" s="1"/>
  <c r="I22" i="9"/>
  <c r="H22" i="9"/>
  <c r="J22" i="9" s="1"/>
  <c r="W22" i="9" s="1"/>
  <c r="U21" i="9"/>
  <c r="T21" i="9"/>
  <c r="S21" i="9"/>
  <c r="M21" i="9"/>
  <c r="K21" i="9" s="1"/>
  <c r="J21" i="9"/>
  <c r="W21" i="9" s="1"/>
  <c r="I21" i="9"/>
  <c r="H21" i="9"/>
  <c r="W20" i="9"/>
  <c r="S20" i="9"/>
  <c r="I20" i="9"/>
  <c r="M20" i="9" s="1"/>
  <c r="H20" i="9"/>
  <c r="J20" i="9" s="1"/>
  <c r="S19" i="9"/>
  <c r="I19" i="9"/>
  <c r="M19" i="9" s="1"/>
  <c r="H19" i="9"/>
  <c r="J19" i="9" s="1"/>
  <c r="L19" i="9" s="1"/>
  <c r="S18" i="9"/>
  <c r="J18" i="9"/>
  <c r="W18" i="9" s="1"/>
  <c r="I18" i="9"/>
  <c r="M18" i="9" s="1"/>
  <c r="H18" i="9"/>
  <c r="W17" i="9"/>
  <c r="S17" i="9"/>
  <c r="I17" i="9"/>
  <c r="M17" i="9" s="1"/>
  <c r="H17" i="9"/>
  <c r="J17" i="9" s="1"/>
  <c r="S16" i="9"/>
  <c r="I16" i="9"/>
  <c r="M16" i="9" s="1"/>
  <c r="H16" i="9"/>
  <c r="J16" i="9" s="1"/>
  <c r="S15" i="9"/>
  <c r="J15" i="9"/>
  <c r="W15" i="9" s="1"/>
  <c r="I15" i="9"/>
  <c r="M15" i="9" s="1"/>
  <c r="H15" i="9"/>
  <c r="W14" i="9"/>
  <c r="S14" i="9"/>
  <c r="I14" i="9"/>
  <c r="M14" i="9" s="1"/>
  <c r="H14" i="9"/>
  <c r="J14" i="9" s="1"/>
  <c r="S13" i="9"/>
  <c r="J13" i="9"/>
  <c r="I13" i="9"/>
  <c r="M13" i="9" s="1"/>
  <c r="H13" i="9"/>
  <c r="S12" i="9"/>
  <c r="K12" i="9"/>
  <c r="U12" i="9" s="1"/>
  <c r="J12" i="9"/>
  <c r="I12" i="9"/>
  <c r="M12" i="9" s="1"/>
  <c r="T12" i="9" s="1"/>
  <c r="H12" i="9"/>
  <c r="S11" i="9"/>
  <c r="I11" i="9"/>
  <c r="M11" i="9" s="1"/>
  <c r="H11" i="9"/>
  <c r="J11" i="9" s="1"/>
  <c r="K23" i="10" l="1"/>
  <c r="K16" i="10"/>
  <c r="K28" i="10"/>
  <c r="K40" i="10"/>
  <c r="K9" i="10"/>
  <c r="K21" i="10"/>
  <c r="K33" i="10"/>
  <c r="K7" i="10"/>
  <c r="K10" i="10"/>
  <c r="K22" i="10"/>
  <c r="K34" i="10"/>
  <c r="K17" i="10"/>
  <c r="K29" i="10"/>
  <c r="K11" i="9"/>
  <c r="U11" i="9" s="1"/>
  <c r="T11" i="9"/>
  <c r="T27" i="9"/>
  <c r="K27" i="9"/>
  <c r="U27" i="9" s="1"/>
  <c r="L27" i="9"/>
  <c r="T45" i="9"/>
  <c r="L45" i="9"/>
  <c r="K45" i="9"/>
  <c r="U45" i="9" s="1"/>
  <c r="W49" i="9"/>
  <c r="K47" i="9"/>
  <c r="U47" i="9" s="1"/>
  <c r="T47" i="9"/>
  <c r="K35" i="9"/>
  <c r="U35" i="9" s="1"/>
  <c r="T35" i="9"/>
  <c r="J62" i="9"/>
  <c r="M62" i="9"/>
  <c r="K84" i="9"/>
  <c r="U84" i="9" s="1"/>
  <c r="T84" i="9"/>
  <c r="K93" i="9"/>
  <c r="U93" i="9" s="1"/>
  <c r="T93" i="9"/>
  <c r="W98" i="9"/>
  <c r="K139" i="9"/>
  <c r="U139" i="9" s="1"/>
  <c r="T139" i="9"/>
  <c r="K141" i="9"/>
  <c r="U141" i="9" s="1"/>
  <c r="T141" i="9"/>
  <c r="K144" i="9"/>
  <c r="U144" i="9" s="1"/>
  <c r="T144" i="9"/>
  <c r="L144" i="9"/>
  <c r="K151" i="9"/>
  <c r="U151" i="9" s="1"/>
  <c r="T151" i="9"/>
  <c r="K163" i="9"/>
  <c r="U163" i="9" s="1"/>
  <c r="T163" i="9"/>
  <c r="K177" i="9"/>
  <c r="U177" i="9" s="1"/>
  <c r="T177" i="9"/>
  <c r="T25" i="9"/>
  <c r="K25" i="9"/>
  <c r="U25" i="9" s="1"/>
  <c r="L37" i="9"/>
  <c r="M44" i="9"/>
  <c r="J46" i="9"/>
  <c r="W48" i="9"/>
  <c r="L48" i="9"/>
  <c r="K53" i="9"/>
  <c r="U53" i="9" s="1"/>
  <c r="T53" i="9"/>
  <c r="T67" i="9"/>
  <c r="K67" i="9"/>
  <c r="U67" i="9" s="1"/>
  <c r="K91" i="9"/>
  <c r="U91" i="9" s="1"/>
  <c r="T91" i="9"/>
  <c r="L93" i="9"/>
  <c r="V102" i="9"/>
  <c r="V104" i="9"/>
  <c r="V129" i="9"/>
  <c r="K180" i="9"/>
  <c r="U180" i="9" s="1"/>
  <c r="T180" i="9"/>
  <c r="V202" i="9"/>
  <c r="L214" i="9"/>
  <c r="W214" i="9"/>
  <c r="K271" i="9"/>
  <c r="U271" i="9" s="1"/>
  <c r="T271" i="9"/>
  <c r="V25" i="9"/>
  <c r="L11" i="9"/>
  <c r="W11" i="9"/>
  <c r="T13" i="9"/>
  <c r="K13" i="9"/>
  <c r="U13" i="9" s="1"/>
  <c r="K15" i="9"/>
  <c r="U15" i="9" s="1"/>
  <c r="T15" i="9"/>
  <c r="L22" i="9"/>
  <c r="T37" i="9"/>
  <c r="K37" i="9"/>
  <c r="U37" i="9" s="1"/>
  <c r="L42" i="9"/>
  <c r="T42" i="9"/>
  <c r="K48" i="9"/>
  <c r="U48" i="9" s="1"/>
  <c r="L67" i="9"/>
  <c r="W67" i="9"/>
  <c r="L70" i="9"/>
  <c r="W70" i="9"/>
  <c r="K72" i="9"/>
  <c r="U72" i="9" s="1"/>
  <c r="T72" i="9"/>
  <c r="M82" i="9"/>
  <c r="J82" i="9"/>
  <c r="L84" i="9"/>
  <c r="J264" i="9"/>
  <c r="M264" i="9"/>
  <c r="L26" i="9"/>
  <c r="W26" i="9"/>
  <c r="K51" i="9"/>
  <c r="U51" i="9" s="1"/>
  <c r="T51" i="9"/>
  <c r="K65" i="9"/>
  <c r="U65" i="9" s="1"/>
  <c r="T65" i="9"/>
  <c r="T70" i="9"/>
  <c r="K70" i="9"/>
  <c r="U70" i="9" s="1"/>
  <c r="M121" i="9"/>
  <c r="J121" i="9"/>
  <c r="M149" i="9"/>
  <c r="J149" i="9"/>
  <c r="V185" i="9"/>
  <c r="K20" i="9"/>
  <c r="U20" i="9" s="1"/>
  <c r="T20" i="9"/>
  <c r="W13" i="9"/>
  <c r="L13" i="9"/>
  <c r="K17" i="9"/>
  <c r="U17" i="9" s="1"/>
  <c r="T17" i="9"/>
  <c r="L32" i="9"/>
  <c r="W34" i="9"/>
  <c r="L34" i="9"/>
  <c r="K56" i="9"/>
  <c r="U56" i="9" s="1"/>
  <c r="T56" i="9"/>
  <c r="K77" i="9"/>
  <c r="U77" i="9" s="1"/>
  <c r="T77" i="9"/>
  <c r="W79" i="9"/>
  <c r="L79" i="9"/>
  <c r="M85" i="9"/>
  <c r="J85" i="9"/>
  <c r="V117" i="9"/>
  <c r="L137" i="9"/>
  <c r="W137" i="9"/>
  <c r="T161" i="9"/>
  <c r="K161" i="9"/>
  <c r="U161" i="9" s="1"/>
  <c r="K32" i="9"/>
  <c r="U32" i="9" s="1"/>
  <c r="T32" i="9"/>
  <c r="L68" i="9"/>
  <c r="T75" i="9"/>
  <c r="K75" i="9"/>
  <c r="U75" i="9" s="1"/>
  <c r="M109" i="9"/>
  <c r="J109" i="9"/>
  <c r="W130" i="9"/>
  <c r="K145" i="9"/>
  <c r="U145" i="9" s="1"/>
  <c r="T145" i="9"/>
  <c r="V152" i="9"/>
  <c r="L173" i="9"/>
  <c r="W173" i="9"/>
  <c r="K191" i="9"/>
  <c r="U191" i="9" s="1"/>
  <c r="T191" i="9"/>
  <c r="L200" i="9"/>
  <c r="W200" i="9"/>
  <c r="W209" i="9"/>
  <c r="K26" i="9"/>
  <c r="U26" i="9" s="1"/>
  <c r="T26" i="9"/>
  <c r="V101" i="9"/>
  <c r="W169" i="9"/>
  <c r="L169" i="9"/>
  <c r="K173" i="9"/>
  <c r="U173" i="9" s="1"/>
  <c r="T173" i="9"/>
  <c r="K29" i="9"/>
  <c r="U29" i="9" s="1"/>
  <c r="T29" i="9"/>
  <c r="W30" i="9"/>
  <c r="L30" i="9"/>
  <c r="T19" i="9"/>
  <c r="K19" i="9"/>
  <c r="U19" i="9" s="1"/>
  <c r="T41" i="9"/>
  <c r="T55" i="9"/>
  <c r="K55" i="9"/>
  <c r="U55" i="9" s="1"/>
  <c r="T34" i="9"/>
  <c r="K34" i="9"/>
  <c r="U34" i="9" s="1"/>
  <c r="T24" i="9"/>
  <c r="L24" i="9"/>
  <c r="K28" i="9"/>
  <c r="U28" i="9" s="1"/>
  <c r="K30" i="9"/>
  <c r="U30" i="9" s="1"/>
  <c r="L47" i="9"/>
  <c r="W47" i="9"/>
  <c r="M49" i="9"/>
  <c r="L49" i="9" s="1"/>
  <c r="T63" i="9"/>
  <c r="L63" i="9"/>
  <c r="K63" i="9"/>
  <c r="U63" i="9" s="1"/>
  <c r="K68" i="9"/>
  <c r="U68" i="9" s="1"/>
  <c r="T68" i="9"/>
  <c r="W73" i="9"/>
  <c r="L73" i="9"/>
  <c r="V105" i="9"/>
  <c r="W122" i="9"/>
  <c r="V126" i="9"/>
  <c r="L28" i="9"/>
  <c r="W32" i="9"/>
  <c r="K36" i="9"/>
  <c r="U36" i="9" s="1"/>
  <c r="T36" i="9"/>
  <c r="W52" i="9"/>
  <c r="L52" i="9"/>
  <c r="T54" i="9"/>
  <c r="K54" i="9"/>
  <c r="U54" i="9" s="1"/>
  <c r="T73" i="9"/>
  <c r="K73" i="9"/>
  <c r="U73" i="9" s="1"/>
  <c r="J80" i="9"/>
  <c r="M80" i="9"/>
  <c r="W86" i="9"/>
  <c r="K150" i="9"/>
  <c r="U150" i="9" s="1"/>
  <c r="T150" i="9"/>
  <c r="K167" i="9"/>
  <c r="U167" i="9" s="1"/>
  <c r="T167" i="9"/>
  <c r="L176" i="9"/>
  <c r="W176" i="9"/>
  <c r="K176" i="9"/>
  <c r="U176" i="9" s="1"/>
  <c r="L179" i="9"/>
  <c r="W179" i="9"/>
  <c r="L14" i="9"/>
  <c r="W16" i="9"/>
  <c r="L16" i="9"/>
  <c r="V19" i="9"/>
  <c r="K38" i="9"/>
  <c r="U38" i="9" s="1"/>
  <c r="T38" i="9"/>
  <c r="L43" i="9"/>
  <c r="M52" i="9"/>
  <c r="M64" i="9"/>
  <c r="J64" i="9"/>
  <c r="W68" i="9"/>
  <c r="K71" i="9"/>
  <c r="U71" i="9" s="1"/>
  <c r="T71" i="9"/>
  <c r="K83" i="9"/>
  <c r="U83" i="9" s="1"/>
  <c r="T83" i="9"/>
  <c r="V90" i="9"/>
  <c r="W110" i="9"/>
  <c r="M133" i="9"/>
  <c r="J133" i="9"/>
  <c r="W138" i="9"/>
  <c r="K223" i="9"/>
  <c r="U223" i="9" s="1"/>
  <c r="T223" i="9"/>
  <c r="W12" i="9"/>
  <c r="L12" i="9"/>
  <c r="K14" i="9"/>
  <c r="U14" i="9" s="1"/>
  <c r="T14" i="9"/>
  <c r="T16" i="9"/>
  <c r="K16" i="9"/>
  <c r="U16" i="9" s="1"/>
  <c r="W19" i="9"/>
  <c r="T43" i="9"/>
  <c r="K43" i="9"/>
  <c r="U43" i="9" s="1"/>
  <c r="K59" i="9"/>
  <c r="U59" i="9" s="1"/>
  <c r="T59" i="9"/>
  <c r="L61" i="9"/>
  <c r="W61" i="9"/>
  <c r="M97" i="9"/>
  <c r="J97" i="9"/>
  <c r="V112" i="9"/>
  <c r="V114" i="9"/>
  <c r="K153" i="9"/>
  <c r="U153" i="9" s="1"/>
  <c r="T153" i="9"/>
  <c r="W162" i="9"/>
  <c r="L29" i="9"/>
  <c r="W29" i="9"/>
  <c r="T31" i="9"/>
  <c r="K31" i="9"/>
  <c r="U31" i="9" s="1"/>
  <c r="T33" i="9"/>
  <c r="K33" i="9"/>
  <c r="U33" i="9" s="1"/>
  <c r="L50" i="9"/>
  <c r="T57" i="9"/>
  <c r="K57" i="9"/>
  <c r="U57" i="9" s="1"/>
  <c r="T69" i="9"/>
  <c r="K69" i="9"/>
  <c r="U69" i="9" s="1"/>
  <c r="L141" i="9"/>
  <c r="K156" i="9"/>
  <c r="U156" i="9" s="1"/>
  <c r="T156" i="9"/>
  <c r="K165" i="9"/>
  <c r="U165" i="9" s="1"/>
  <c r="T165" i="9"/>
  <c r="L165" i="9"/>
  <c r="T18" i="9"/>
  <c r="K18" i="9"/>
  <c r="U18" i="9" s="1"/>
  <c r="W31" i="9"/>
  <c r="L31" i="9"/>
  <c r="L44" i="9"/>
  <c r="W44" i="9"/>
  <c r="M50" i="9"/>
  <c r="W55" i="9"/>
  <c r="L55" i="9"/>
  <c r="K74" i="9"/>
  <c r="U74" i="9" s="1"/>
  <c r="T74" i="9"/>
  <c r="L81" i="9"/>
  <c r="K81" i="9"/>
  <c r="U81" i="9" s="1"/>
  <c r="T81" i="9"/>
  <c r="K125" i="9"/>
  <c r="U125" i="9" s="1"/>
  <c r="L125" i="9"/>
  <c r="W125" i="9"/>
  <c r="W134" i="9"/>
  <c r="V146" i="9"/>
  <c r="L177" i="9"/>
  <c r="T189" i="9"/>
  <c r="K189" i="9"/>
  <c r="U189" i="9" s="1"/>
  <c r="T195" i="9"/>
  <c r="L195" i="9"/>
  <c r="K195" i="9"/>
  <c r="U195" i="9" s="1"/>
  <c r="K216" i="9"/>
  <c r="U216" i="9" s="1"/>
  <c r="T216" i="9"/>
  <c r="L53" i="9"/>
  <c r="L51" i="9"/>
  <c r="T87" i="9"/>
  <c r="T99" i="9"/>
  <c r="T119" i="9"/>
  <c r="L38" i="9"/>
  <c r="L74" i="9"/>
  <c r="T120" i="9"/>
  <c r="L54" i="9"/>
  <c r="W105" i="9"/>
  <c r="W117" i="9"/>
  <c r="W129" i="9"/>
  <c r="K164" i="9"/>
  <c r="U164" i="9" s="1"/>
  <c r="T166" i="9"/>
  <c r="L41" i="9"/>
  <c r="L59" i="9"/>
  <c r="L77" i="9"/>
  <c r="W90" i="9"/>
  <c r="V96" i="9"/>
  <c r="W102" i="9"/>
  <c r="V108" i="9"/>
  <c r="W114" i="9"/>
  <c r="V120" i="9"/>
  <c r="W126" i="9"/>
  <c r="V132" i="9"/>
  <c r="K142" i="9"/>
  <c r="U142" i="9" s="1"/>
  <c r="W151" i="9"/>
  <c r="L151" i="9"/>
  <c r="L153" i="9"/>
  <c r="L154" i="9"/>
  <c r="L164" i="9"/>
  <c r="L172" i="9"/>
  <c r="L180" i="9"/>
  <c r="W180" i="9"/>
  <c r="T186" i="9"/>
  <c r="T188" i="9"/>
  <c r="K188" i="9"/>
  <c r="U188" i="9" s="1"/>
  <c r="T199" i="9"/>
  <c r="V204" i="9"/>
  <c r="L220" i="9"/>
  <c r="W220" i="9"/>
  <c r="K220" i="9"/>
  <c r="U220" i="9" s="1"/>
  <c r="T401" i="9"/>
  <c r="K401" i="9"/>
  <c r="U401" i="9" s="1"/>
  <c r="L17" i="9"/>
  <c r="L35" i="9"/>
  <c r="L71" i="9"/>
  <c r="L15" i="9"/>
  <c r="L69" i="9"/>
  <c r="T103" i="9"/>
  <c r="L20" i="9"/>
  <c r="L56" i="9"/>
  <c r="T108" i="9"/>
  <c r="T132" i="9"/>
  <c r="L18" i="9"/>
  <c r="L36" i="9"/>
  <c r="L72" i="9"/>
  <c r="W93" i="9"/>
  <c r="W101" i="9"/>
  <c r="T104" i="9"/>
  <c r="T112" i="9"/>
  <c r="W163" i="9"/>
  <c r="L163" i="9"/>
  <c r="L23" i="9"/>
  <c r="L21" i="9"/>
  <c r="K22" i="9"/>
  <c r="U22" i="9" s="1"/>
  <c r="L39" i="9"/>
  <c r="K40" i="9"/>
  <c r="U40" i="9" s="1"/>
  <c r="L57" i="9"/>
  <c r="K58" i="9"/>
  <c r="U58" i="9" s="1"/>
  <c r="L75" i="9"/>
  <c r="K76" i="9"/>
  <c r="U76" i="9" s="1"/>
  <c r="V124" i="9"/>
  <c r="V128" i="9"/>
  <c r="V136" i="9"/>
  <c r="W139" i="9"/>
  <c r="L139" i="9"/>
  <c r="L142" i="9"/>
  <c r="W146" i="9"/>
  <c r="K152" i="9"/>
  <c r="U152" i="9" s="1"/>
  <c r="M162" i="9"/>
  <c r="L170" i="9"/>
  <c r="K171" i="9"/>
  <c r="U171" i="9" s="1"/>
  <c r="K183" i="9"/>
  <c r="U183" i="9" s="1"/>
  <c r="W191" i="9"/>
  <c r="L191" i="9"/>
  <c r="W197" i="9"/>
  <c r="L223" i="9"/>
  <c r="W223" i="9"/>
  <c r="J225" i="9"/>
  <c r="M225" i="9"/>
  <c r="W302" i="9"/>
  <c r="J340" i="9"/>
  <c r="M340" i="9"/>
  <c r="L60" i="9"/>
  <c r="K61" i="9"/>
  <c r="U61" i="9" s="1"/>
  <c r="L78" i="9"/>
  <c r="K79" i="9"/>
  <c r="U79" i="9" s="1"/>
  <c r="M86" i="9"/>
  <c r="L86" i="9" s="1"/>
  <c r="M98" i="9"/>
  <c r="M110" i="9"/>
  <c r="M122" i="9"/>
  <c r="M134" i="9"/>
  <c r="M138" i="9"/>
  <c r="W175" i="9"/>
  <c r="W187" i="9"/>
  <c r="L187" i="9"/>
  <c r="K200" i="9"/>
  <c r="U200" i="9" s="1"/>
  <c r="K214" i="9"/>
  <c r="U214" i="9" s="1"/>
  <c r="T214" i="9"/>
  <c r="V311" i="9"/>
  <c r="K374" i="9"/>
  <c r="U374" i="9" s="1"/>
  <c r="T374" i="9"/>
  <c r="K391" i="9"/>
  <c r="U391" i="9" s="1"/>
  <c r="T391" i="9"/>
  <c r="L65" i="9"/>
  <c r="L83" i="9"/>
  <c r="L87" i="9"/>
  <c r="W91" i="9"/>
  <c r="L91" i="9"/>
  <c r="L95" i="9"/>
  <c r="L99" i="9"/>
  <c r="W103" i="9"/>
  <c r="L103" i="9"/>
  <c r="L107" i="9"/>
  <c r="L111" i="9"/>
  <c r="W115" i="9"/>
  <c r="L115" i="9"/>
  <c r="L119" i="9"/>
  <c r="L123" i="9"/>
  <c r="W127" i="9"/>
  <c r="L127" i="9"/>
  <c r="M130" i="9"/>
  <c r="L131" i="9"/>
  <c r="L135" i="9"/>
  <c r="L150" i="9"/>
  <c r="L159" i="9"/>
  <c r="L161" i="9"/>
  <c r="K169" i="9"/>
  <c r="U169" i="9" s="1"/>
  <c r="T169" i="9"/>
  <c r="K179" i="9"/>
  <c r="U179" i="9" s="1"/>
  <c r="L182" i="9"/>
  <c r="K198" i="9"/>
  <c r="U198" i="9" s="1"/>
  <c r="T198" i="9"/>
  <c r="L362" i="9"/>
  <c r="K90" i="9"/>
  <c r="U90" i="9" s="1"/>
  <c r="K102" i="9"/>
  <c r="U102" i="9" s="1"/>
  <c r="K114" i="9"/>
  <c r="U114" i="9" s="1"/>
  <c r="K126" i="9"/>
  <c r="U126" i="9" s="1"/>
  <c r="L147" i="9"/>
  <c r="K160" i="9"/>
  <c r="U160" i="9" s="1"/>
  <c r="L167" i="9"/>
  <c r="M175" i="9"/>
  <c r="L175" i="9" s="1"/>
  <c r="W183" i="9"/>
  <c r="K187" i="9"/>
  <c r="U187" i="9" s="1"/>
  <c r="M196" i="9"/>
  <c r="J196" i="9"/>
  <c r="T200" i="9"/>
  <c r="L205" i="9"/>
  <c r="W205" i="9"/>
  <c r="V221" i="9"/>
  <c r="V168" i="9"/>
  <c r="K207" i="9"/>
  <c r="U207" i="9" s="1"/>
  <c r="T207" i="9"/>
  <c r="W320" i="9"/>
  <c r="L320" i="9"/>
  <c r="K320" i="9"/>
  <c r="U320" i="9" s="1"/>
  <c r="L66" i="9"/>
  <c r="L88" i="9"/>
  <c r="L89" i="9"/>
  <c r="L92" i="9"/>
  <c r="L94" i="9"/>
  <c r="K96" i="9"/>
  <c r="U96" i="9" s="1"/>
  <c r="L100" i="9"/>
  <c r="L113" i="9"/>
  <c r="K137" i="9"/>
  <c r="U137" i="9" s="1"/>
  <c r="T137" i="9"/>
  <c r="K146" i="9"/>
  <c r="U146" i="9" s="1"/>
  <c r="L157" i="9"/>
  <c r="L174" i="9"/>
  <c r="W178" i="9"/>
  <c r="L178" i="9"/>
  <c r="T192" i="9"/>
  <c r="K192" i="9"/>
  <c r="U192" i="9" s="1"/>
  <c r="L210" i="9"/>
  <c r="V226" i="9"/>
  <c r="K105" i="9"/>
  <c r="U105" i="9" s="1"/>
  <c r="T105" i="9"/>
  <c r="K117" i="9"/>
  <c r="U117" i="9" s="1"/>
  <c r="T117" i="9"/>
  <c r="K129" i="9"/>
  <c r="U129" i="9" s="1"/>
  <c r="T129" i="9"/>
  <c r="V140" i="9"/>
  <c r="L145" i="9"/>
  <c r="K157" i="9"/>
  <c r="U157" i="9" s="1"/>
  <c r="T157" i="9"/>
  <c r="W166" i="9"/>
  <c r="L166" i="9"/>
  <c r="L181" i="9"/>
  <c r="W184" i="9"/>
  <c r="L184" i="9"/>
  <c r="M190" i="9"/>
  <c r="J190" i="9"/>
  <c r="T205" i="9"/>
  <c r="L215" i="9"/>
  <c r="K215" i="9"/>
  <c r="U215" i="9" s="1"/>
  <c r="W215" i="9"/>
  <c r="K231" i="9"/>
  <c r="U231" i="9" s="1"/>
  <c r="T231" i="9"/>
  <c r="L231" i="9"/>
  <c r="K246" i="9"/>
  <c r="U246" i="9" s="1"/>
  <c r="T246" i="9"/>
  <c r="L246" i="9"/>
  <c r="T95" i="9"/>
  <c r="T102" i="9"/>
  <c r="T107" i="9"/>
  <c r="T111" i="9"/>
  <c r="T115" i="9"/>
  <c r="T123" i="9"/>
  <c r="T127" i="9"/>
  <c r="T131" i="9"/>
  <c r="T135" i="9"/>
  <c r="L143" i="9"/>
  <c r="L156" i="9"/>
  <c r="T159" i="9"/>
  <c r="T168" i="9"/>
  <c r="T174" i="9"/>
  <c r="T178" i="9"/>
  <c r="T181" i="9"/>
  <c r="K181" i="9"/>
  <c r="U181" i="9" s="1"/>
  <c r="L186" i="9"/>
  <c r="K203" i="9"/>
  <c r="U203" i="9" s="1"/>
  <c r="T203" i="9"/>
  <c r="L208" i="9"/>
  <c r="T239" i="9"/>
  <c r="K249" i="9"/>
  <c r="U249" i="9" s="1"/>
  <c r="T249" i="9"/>
  <c r="T254" i="9"/>
  <c r="K254" i="9"/>
  <c r="U254" i="9" s="1"/>
  <c r="K282" i="9"/>
  <c r="U282" i="9" s="1"/>
  <c r="T282" i="9"/>
  <c r="V384" i="9"/>
  <c r="L33" i="9"/>
  <c r="T147" i="9"/>
  <c r="M155" i="9"/>
  <c r="L155" i="9" s="1"/>
  <c r="V197" i="9"/>
  <c r="V199" i="9"/>
  <c r="J213" i="9"/>
  <c r="M213" i="9"/>
  <c r="W218" i="9"/>
  <c r="K222" i="9"/>
  <c r="U222" i="9" s="1"/>
  <c r="T222" i="9"/>
  <c r="L227" i="9"/>
  <c r="W227" i="9"/>
  <c r="W242" i="9"/>
  <c r="V160" i="9"/>
  <c r="K172" i="9"/>
  <c r="U172" i="9" s="1"/>
  <c r="T184" i="9"/>
  <c r="W188" i="9"/>
  <c r="L188" i="9"/>
  <c r="T197" i="9"/>
  <c r="K197" i="9"/>
  <c r="U197" i="9" s="1"/>
  <c r="K405" i="9"/>
  <c r="U405" i="9" s="1"/>
  <c r="T405" i="9"/>
  <c r="L192" i="9"/>
  <c r="L203" i="9"/>
  <c r="L206" i="9"/>
  <c r="M210" i="9"/>
  <c r="L222" i="9"/>
  <c r="M227" i="9"/>
  <c r="L234" i="9"/>
  <c r="W234" i="9"/>
  <c r="K252" i="9"/>
  <c r="U252" i="9" s="1"/>
  <c r="T252" i="9"/>
  <c r="M256" i="9"/>
  <c r="W274" i="9"/>
  <c r="L274" i="9"/>
  <c r="L290" i="9"/>
  <c r="W299" i="9"/>
  <c r="L307" i="9"/>
  <c r="T332" i="9"/>
  <c r="K332" i="9"/>
  <c r="U332" i="9" s="1"/>
  <c r="T342" i="9"/>
  <c r="L342" i="9"/>
  <c r="J364" i="9"/>
  <c r="M364" i="9"/>
  <c r="W369" i="9"/>
  <c r="K386" i="9"/>
  <c r="U386" i="9" s="1"/>
  <c r="T386" i="9"/>
  <c r="W473" i="9"/>
  <c r="M201" i="9"/>
  <c r="L201" i="9" s="1"/>
  <c r="M208" i="9"/>
  <c r="L236" i="9"/>
  <c r="L240" i="9"/>
  <c r="L254" i="9"/>
  <c r="T260" i="9"/>
  <c r="W263" i="9"/>
  <c r="K269" i="9"/>
  <c r="U269" i="9" s="1"/>
  <c r="T280" i="9"/>
  <c r="L280" i="9"/>
  <c r="K280" i="9"/>
  <c r="U280" i="9" s="1"/>
  <c r="T311" i="9"/>
  <c r="K311" i="9"/>
  <c r="U311" i="9" s="1"/>
  <c r="V328" i="9"/>
  <c r="W377" i="9"/>
  <c r="L377" i="9"/>
  <c r="W401" i="9"/>
  <c r="L401" i="9"/>
  <c r="M218" i="9"/>
  <c r="W224" i="9"/>
  <c r="V230" i="9"/>
  <c r="T236" i="9"/>
  <c r="K236" i="9"/>
  <c r="U236" i="9" s="1"/>
  <c r="M242" i="9"/>
  <c r="K251" i="9"/>
  <c r="U251" i="9" s="1"/>
  <c r="K259" i="9"/>
  <c r="U259" i="9" s="1"/>
  <c r="K266" i="9"/>
  <c r="U266" i="9" s="1"/>
  <c r="W271" i="9"/>
  <c r="L271" i="9"/>
  <c r="M302" i="9"/>
  <c r="M326" i="9"/>
  <c r="J326" i="9"/>
  <c r="K346" i="9"/>
  <c r="U346" i="9" s="1"/>
  <c r="T346" i="9"/>
  <c r="L346" i="9"/>
  <c r="M356" i="9"/>
  <c r="J356" i="9"/>
  <c r="W389" i="9"/>
  <c r="W410" i="9"/>
  <c r="W425" i="9"/>
  <c r="L425" i="9"/>
  <c r="W630" i="9"/>
  <c r="L630" i="9"/>
  <c r="L189" i="9"/>
  <c r="W199" i="9"/>
  <c r="W216" i="9"/>
  <c r="L216" i="9"/>
  <c r="K219" i="9"/>
  <c r="U219" i="9" s="1"/>
  <c r="T219" i="9"/>
  <c r="K226" i="9"/>
  <c r="U226" i="9" s="1"/>
  <c r="L251" i="9"/>
  <c r="L257" i="9"/>
  <c r="W257" i="9"/>
  <c r="M261" i="9"/>
  <c r="L261" i="9" s="1"/>
  <c r="W268" i="9"/>
  <c r="L268" i="9"/>
  <c r="L291" i="9"/>
  <c r="T296" i="9"/>
  <c r="K314" i="9"/>
  <c r="U314" i="9" s="1"/>
  <c r="M365" i="9"/>
  <c r="L365" i="9" s="1"/>
  <c r="W372" i="9"/>
  <c r="K394" i="9"/>
  <c r="U394" i="9" s="1"/>
  <c r="T394" i="9"/>
  <c r="T414" i="9"/>
  <c r="K414" i="9"/>
  <c r="U414" i="9" s="1"/>
  <c r="W418" i="9"/>
  <c r="L418" i="9"/>
  <c r="W259" i="9"/>
  <c r="L259" i="9"/>
  <c r="W266" i="9"/>
  <c r="L266" i="9"/>
  <c r="K273" i="9"/>
  <c r="U273" i="9" s="1"/>
  <c r="L273" i="9"/>
  <c r="K279" i="9"/>
  <c r="U279" i="9" s="1"/>
  <c r="L279" i="9"/>
  <c r="W283" i="9"/>
  <c r="L283" i="9"/>
  <c r="K291" i="9"/>
  <c r="U291" i="9" s="1"/>
  <c r="T291" i="9"/>
  <c r="L308" i="9"/>
  <c r="W308" i="9"/>
  <c r="V314" i="9"/>
  <c r="J338" i="9"/>
  <c r="M338" i="9"/>
  <c r="W365" i="9"/>
  <c r="T380" i="9"/>
  <c r="K380" i="9"/>
  <c r="U380" i="9" s="1"/>
  <c r="V392" i="9"/>
  <c r="T397" i="9"/>
  <c r="K397" i="9"/>
  <c r="U397" i="9" s="1"/>
  <c r="V445" i="9"/>
  <c r="K185" i="9"/>
  <c r="U185" i="9" s="1"/>
  <c r="L198" i="9"/>
  <c r="W206" i="9"/>
  <c r="L217" i="9"/>
  <c r="K229" i="9"/>
  <c r="U229" i="9" s="1"/>
  <c r="T230" i="9"/>
  <c r="L233" i="9"/>
  <c r="L245" i="9"/>
  <c r="L253" i="9"/>
  <c r="W275" i="9"/>
  <c r="L275" i="9"/>
  <c r="W298" i="9"/>
  <c r="L298" i="9"/>
  <c r="W300" i="9"/>
  <c r="W312" i="9"/>
  <c r="L312" i="9"/>
  <c r="V348" i="9"/>
  <c r="T359" i="9"/>
  <c r="K375" i="9"/>
  <c r="U375" i="9" s="1"/>
  <c r="W375" i="9"/>
  <c r="L375" i="9"/>
  <c r="W397" i="9"/>
  <c r="L397" i="9"/>
  <c r="L402" i="9"/>
  <c r="W402" i="9"/>
  <c r="W229" i="9"/>
  <c r="L229" i="9"/>
  <c r="L238" i="9"/>
  <c r="T250" i="9"/>
  <c r="K250" i="9"/>
  <c r="U250" i="9" s="1"/>
  <c r="T253" i="9"/>
  <c r="K253" i="9"/>
  <c r="U253" i="9" s="1"/>
  <c r="T257" i="9"/>
  <c r="L270" i="9"/>
  <c r="W270" i="9"/>
  <c r="T273" i="9"/>
  <c r="T279" i="9"/>
  <c r="M283" i="9"/>
  <c r="L287" i="9"/>
  <c r="K287" i="9"/>
  <c r="U287" i="9" s="1"/>
  <c r="T341" i="9"/>
  <c r="L341" i="9"/>
  <c r="V343" i="9"/>
  <c r="V350" i="9"/>
  <c r="W357" i="9"/>
  <c r="W363" i="9"/>
  <c r="M390" i="9"/>
  <c r="K232" i="9"/>
  <c r="U232" i="9" s="1"/>
  <c r="W235" i="9"/>
  <c r="L235" i="9"/>
  <c r="M238" i="9"/>
  <c r="K255" i="9"/>
  <c r="U255" i="9" s="1"/>
  <c r="T255" i="9"/>
  <c r="T259" i="9"/>
  <c r="K263" i="9"/>
  <c r="U263" i="9" s="1"/>
  <c r="T275" i="9"/>
  <c r="V281" i="9"/>
  <c r="W315" i="9"/>
  <c r="W327" i="9"/>
  <c r="K343" i="9"/>
  <c r="U343" i="9" s="1"/>
  <c r="T343" i="9"/>
  <c r="K366" i="9"/>
  <c r="U366" i="9" s="1"/>
  <c r="T366" i="9"/>
  <c r="L390" i="9"/>
  <c r="W390" i="9"/>
  <c r="W207" i="9"/>
  <c r="L207" i="9"/>
  <c r="K224" i="9"/>
  <c r="U224" i="9" s="1"/>
  <c r="L232" i="9"/>
  <c r="W241" i="9"/>
  <c r="L241" i="9"/>
  <c r="L244" i="9"/>
  <c r="V247" i="9"/>
  <c r="L267" i="9"/>
  <c r="W267" i="9"/>
  <c r="W278" i="9"/>
  <c r="T281" i="9"/>
  <c r="K281" i="9"/>
  <c r="U281" i="9" s="1"/>
  <c r="T287" i="9"/>
  <c r="T289" i="9"/>
  <c r="L303" i="9"/>
  <c r="J319" i="9"/>
  <c r="M319" i="9"/>
  <c r="K341" i="9"/>
  <c r="U341" i="9" s="1"/>
  <c r="L366" i="9"/>
  <c r="K421" i="9"/>
  <c r="U421" i="9" s="1"/>
  <c r="T421" i="9"/>
  <c r="M209" i="9"/>
  <c r="L209" i="9" s="1"/>
  <c r="L211" i="9"/>
  <c r="T235" i="9"/>
  <c r="J258" i="9"/>
  <c r="M258" i="9"/>
  <c r="W262" i="9"/>
  <c r="L262" i="9"/>
  <c r="W265" i="9"/>
  <c r="L265" i="9"/>
  <c r="M267" i="9"/>
  <c r="T270" i="9"/>
  <c r="L272" i="9"/>
  <c r="W272" i="9"/>
  <c r="L276" i="9"/>
  <c r="W276" i="9"/>
  <c r="K295" i="9"/>
  <c r="U295" i="9" s="1"/>
  <c r="V305" i="9"/>
  <c r="J313" i="9"/>
  <c r="M313" i="9"/>
  <c r="J358" i="9"/>
  <c r="M358" i="9"/>
  <c r="L371" i="9"/>
  <c r="K371" i="9"/>
  <c r="U371" i="9" s="1"/>
  <c r="W371" i="9"/>
  <c r="L398" i="9"/>
  <c r="M193" i="9"/>
  <c r="M212" i="9"/>
  <c r="K228" i="9"/>
  <c r="U228" i="9" s="1"/>
  <c r="T228" i="9"/>
  <c r="K237" i="9"/>
  <c r="U237" i="9" s="1"/>
  <c r="T237" i="9"/>
  <c r="T241" i="9"/>
  <c r="K243" i="9"/>
  <c r="U243" i="9" s="1"/>
  <c r="T243" i="9"/>
  <c r="L243" i="9"/>
  <c r="W256" i="9"/>
  <c r="L256" i="9"/>
  <c r="W260" i="9"/>
  <c r="L260" i="9"/>
  <c r="K262" i="9"/>
  <c r="U262" i="9" s="1"/>
  <c r="M276" i="9"/>
  <c r="T290" i="9"/>
  <c r="K290" i="9"/>
  <c r="U290" i="9" s="1"/>
  <c r="J301" i="9"/>
  <c r="M301" i="9"/>
  <c r="K307" i="9"/>
  <c r="U307" i="9" s="1"/>
  <c r="V325" i="9"/>
  <c r="L330" i="9"/>
  <c r="W330" i="9"/>
  <c r="V339" i="9"/>
  <c r="T347" i="9"/>
  <c r="K347" i="9"/>
  <c r="U347" i="9" s="1"/>
  <c r="T376" i="9"/>
  <c r="K376" i="9"/>
  <c r="U376" i="9" s="1"/>
  <c r="K381" i="9"/>
  <c r="U381" i="9" s="1"/>
  <c r="K393" i="9"/>
  <c r="U393" i="9" s="1"/>
  <c r="T393" i="9"/>
  <c r="L490" i="9"/>
  <c r="W490" i="9"/>
  <c r="K265" i="9"/>
  <c r="U265" i="9" s="1"/>
  <c r="K272" i="9"/>
  <c r="U272" i="9" s="1"/>
  <c r="L277" i="9"/>
  <c r="L288" i="9"/>
  <c r="L289" i="9"/>
  <c r="L309" i="9"/>
  <c r="M315" i="9"/>
  <c r="M316" i="9"/>
  <c r="T323" i="9"/>
  <c r="W339" i="9"/>
  <c r="K350" i="9"/>
  <c r="U350" i="9" s="1"/>
  <c r="T355" i="9"/>
  <c r="L359" i="9"/>
  <c r="J367" i="9"/>
  <c r="M367" i="9"/>
  <c r="M370" i="9"/>
  <c r="T392" i="9"/>
  <c r="K392" i="9"/>
  <c r="U392" i="9" s="1"/>
  <c r="T395" i="9"/>
  <c r="K395" i="9"/>
  <c r="U395" i="9" s="1"/>
  <c r="T396" i="9"/>
  <c r="T407" i="9"/>
  <c r="K407" i="9"/>
  <c r="U407" i="9" s="1"/>
  <c r="T425" i="9"/>
  <c r="K425" i="9"/>
  <c r="U425" i="9" s="1"/>
  <c r="V427" i="9"/>
  <c r="K441" i="9"/>
  <c r="U441" i="9" s="1"/>
  <c r="T441" i="9"/>
  <c r="V452" i="9"/>
  <c r="W454" i="9"/>
  <c r="L454" i="9"/>
  <c r="K475" i="9"/>
  <c r="U475" i="9" s="1"/>
  <c r="W475" i="9"/>
  <c r="L475" i="9"/>
  <c r="W542" i="9"/>
  <c r="M248" i="9"/>
  <c r="L248" i="9" s="1"/>
  <c r="L249" i="9"/>
  <c r="L255" i="9"/>
  <c r="L282" i="9"/>
  <c r="T294" i="9"/>
  <c r="M308" i="9"/>
  <c r="M331" i="9"/>
  <c r="L331" i="9" s="1"/>
  <c r="K345" i="9"/>
  <c r="U345" i="9" s="1"/>
  <c r="L345" i="9"/>
  <c r="T349" i="9"/>
  <c r="K349" i="9"/>
  <c r="U349" i="9" s="1"/>
  <c r="T351" i="9"/>
  <c r="T352" i="9"/>
  <c r="T353" i="9"/>
  <c r="W376" i="9"/>
  <c r="L376" i="9"/>
  <c r="T378" i="9"/>
  <c r="L382" i="9"/>
  <c r="W383" i="9"/>
  <c r="W406" i="9"/>
  <c r="L406" i="9"/>
  <c r="W445" i="9"/>
  <c r="K445" i="9"/>
  <c r="U445" i="9" s="1"/>
  <c r="T452" i="9"/>
  <c r="K452" i="9"/>
  <c r="U452" i="9" s="1"/>
  <c r="L465" i="9"/>
  <c r="W465" i="9"/>
  <c r="L487" i="9"/>
  <c r="K508" i="9"/>
  <c r="U508" i="9" s="1"/>
  <c r="T508" i="9"/>
  <c r="L508" i="9"/>
  <c r="T524" i="9"/>
  <c r="K524" i="9"/>
  <c r="U524" i="9" s="1"/>
  <c r="L386" i="9"/>
  <c r="L391" i="9"/>
  <c r="L394" i="9"/>
  <c r="W394" i="9"/>
  <c r="T398" i="9"/>
  <c r="K398" i="9"/>
  <c r="U398" i="9" s="1"/>
  <c r="T402" i="9"/>
  <c r="K402" i="9"/>
  <c r="U402" i="9" s="1"/>
  <c r="L405" i="9"/>
  <c r="W405" i="9"/>
  <c r="M410" i="9"/>
  <c r="K418" i="9"/>
  <c r="U418" i="9" s="1"/>
  <c r="V434" i="9"/>
  <c r="T438" i="9"/>
  <c r="K438" i="9"/>
  <c r="U438" i="9" s="1"/>
  <c r="V644" i="9"/>
  <c r="L432" i="9"/>
  <c r="K432" i="9"/>
  <c r="U432" i="9" s="1"/>
  <c r="W432" i="9"/>
  <c r="L513" i="9"/>
  <c r="W513" i="9"/>
  <c r="M299" i="9"/>
  <c r="J373" i="9"/>
  <c r="M373" i="9"/>
  <c r="L374" i="9"/>
  <c r="J380" i="9"/>
  <c r="L381" i="9"/>
  <c r="K417" i="9"/>
  <c r="U417" i="9" s="1"/>
  <c r="J446" i="9"/>
  <c r="M446" i="9"/>
  <c r="W461" i="9"/>
  <c r="L461" i="9"/>
  <c r="T488" i="9"/>
  <c r="K488" i="9"/>
  <c r="U488" i="9" s="1"/>
  <c r="J495" i="9"/>
  <c r="M495" i="9"/>
  <c r="W538" i="9"/>
  <c r="L538" i="9"/>
  <c r="K538" i="9"/>
  <c r="U538" i="9" s="1"/>
  <c r="K556" i="9"/>
  <c r="U556" i="9" s="1"/>
  <c r="T556" i="9"/>
  <c r="M300" i="9"/>
  <c r="M312" i="9"/>
  <c r="K339" i="9"/>
  <c r="U339" i="9" s="1"/>
  <c r="M363" i="9"/>
  <c r="L363" i="9" s="1"/>
  <c r="M372" i="9"/>
  <c r="L372" i="9" s="1"/>
  <c r="K384" i="9"/>
  <c r="U384" i="9" s="1"/>
  <c r="T384" i="9"/>
  <c r="M389" i="9"/>
  <c r="L389" i="9" s="1"/>
  <c r="W391" i="9"/>
  <c r="V423" i="9"/>
  <c r="L430" i="9"/>
  <c r="W430" i="9"/>
  <c r="K451" i="9"/>
  <c r="U451" i="9" s="1"/>
  <c r="T451" i="9"/>
  <c r="T479" i="9"/>
  <c r="K479" i="9"/>
  <c r="U479" i="9" s="1"/>
  <c r="W486" i="9"/>
  <c r="V493" i="9"/>
  <c r="T518" i="9"/>
  <c r="K518" i="9"/>
  <c r="U518" i="9" s="1"/>
  <c r="L293" i="9"/>
  <c r="W366" i="9"/>
  <c r="W386" i="9"/>
  <c r="L396" i="9"/>
  <c r="W396" i="9"/>
  <c r="K400" i="9"/>
  <c r="U400" i="9" s="1"/>
  <c r="L414" i="9"/>
  <c r="L417" i="9"/>
  <c r="W417" i="9"/>
  <c r="V428" i="9"/>
  <c r="K435" i="9"/>
  <c r="U435" i="9" s="1"/>
  <c r="T435" i="9"/>
  <c r="V436" i="9"/>
  <c r="K474" i="9"/>
  <c r="U474" i="9" s="1"/>
  <c r="T474" i="9"/>
  <c r="T503" i="9"/>
  <c r="K503" i="9"/>
  <c r="U503" i="9" s="1"/>
  <c r="V505" i="9"/>
  <c r="W509" i="9"/>
  <c r="W518" i="9"/>
  <c r="L518" i="9"/>
  <c r="V520" i="9"/>
  <c r="J239" i="9"/>
  <c r="J295" i="9"/>
  <c r="J296" i="9"/>
  <c r="K296" i="9" s="1"/>
  <c r="U296" i="9" s="1"/>
  <c r="K298" i="9"/>
  <c r="U298" i="9" s="1"/>
  <c r="K318" i="9"/>
  <c r="U318" i="9" s="1"/>
  <c r="J322" i="9"/>
  <c r="M322" i="9"/>
  <c r="L323" i="9"/>
  <c r="L352" i="9"/>
  <c r="L355" i="9"/>
  <c r="M362" i="9"/>
  <c r="L379" i="9"/>
  <c r="M383" i="9"/>
  <c r="L383" i="9" s="1"/>
  <c r="L388" i="9"/>
  <c r="L400" i="9"/>
  <c r="K409" i="9"/>
  <c r="U409" i="9" s="1"/>
  <c r="V415" i="9"/>
  <c r="W469" i="9"/>
  <c r="L469" i="9"/>
  <c r="K528" i="9"/>
  <c r="U528" i="9" s="1"/>
  <c r="T528" i="9"/>
  <c r="L544" i="9"/>
  <c r="K544" i="9"/>
  <c r="U544" i="9" s="1"/>
  <c r="L557" i="9"/>
  <c r="W557" i="9"/>
  <c r="W286" i="9"/>
  <c r="L286" i="9"/>
  <c r="W292" i="9"/>
  <c r="L292" i="9"/>
  <c r="V318" i="9"/>
  <c r="L370" i="9"/>
  <c r="K379" i="9"/>
  <c r="U379" i="9" s="1"/>
  <c r="T379" i="9"/>
  <c r="K399" i="9"/>
  <c r="U399" i="9" s="1"/>
  <c r="T399" i="9"/>
  <c r="L408" i="9"/>
  <c r="W408" i="9"/>
  <c r="V409" i="9"/>
  <c r="W423" i="9"/>
  <c r="K469" i="9"/>
  <c r="U469" i="9" s="1"/>
  <c r="T469" i="9"/>
  <c r="K489" i="9"/>
  <c r="U489" i="9" s="1"/>
  <c r="T489" i="9"/>
  <c r="J519" i="9"/>
  <c r="M519" i="9"/>
  <c r="W547" i="9"/>
  <c r="L547" i="9"/>
  <c r="K547" i="9"/>
  <c r="U547" i="9" s="1"/>
  <c r="M278" i="9"/>
  <c r="K292" i="9"/>
  <c r="U292" i="9" s="1"/>
  <c r="K297" i="9"/>
  <c r="U297" i="9" s="1"/>
  <c r="T297" i="9"/>
  <c r="L316" i="9"/>
  <c r="L378" i="9"/>
  <c r="W378" i="9"/>
  <c r="L395" i="9"/>
  <c r="W395" i="9"/>
  <c r="L399" i="9"/>
  <c r="T404" i="9"/>
  <c r="K404" i="9"/>
  <c r="U404" i="9" s="1"/>
  <c r="K408" i="9"/>
  <c r="U408" i="9" s="1"/>
  <c r="L419" i="9"/>
  <c r="W419" i="9"/>
  <c r="K422" i="9"/>
  <c r="U422" i="9" s="1"/>
  <c r="L429" i="9"/>
  <c r="W429" i="9"/>
  <c r="T431" i="9"/>
  <c r="K431" i="9"/>
  <c r="U431" i="9" s="1"/>
  <c r="W433" i="9"/>
  <c r="L433" i="9"/>
  <c r="T472" i="9"/>
  <c r="K472" i="9"/>
  <c r="U472" i="9" s="1"/>
  <c r="K480" i="9"/>
  <c r="U480" i="9" s="1"/>
  <c r="T480" i="9"/>
  <c r="W250" i="9"/>
  <c r="L250" i="9"/>
  <c r="M284" i="9"/>
  <c r="L285" i="9"/>
  <c r="M309" i="9"/>
  <c r="M321" i="9"/>
  <c r="M369" i="9"/>
  <c r="L387" i="9"/>
  <c r="L403" i="9"/>
  <c r="L407" i="9"/>
  <c r="W407" i="9"/>
  <c r="W414" i="9"/>
  <c r="T419" i="9"/>
  <c r="K419" i="9"/>
  <c r="U419" i="9" s="1"/>
  <c r="L422" i="9"/>
  <c r="K427" i="9"/>
  <c r="U427" i="9" s="1"/>
  <c r="T427" i="9"/>
  <c r="T437" i="9"/>
  <c r="K437" i="9"/>
  <c r="U437" i="9" s="1"/>
  <c r="W526" i="9"/>
  <c r="L526" i="9"/>
  <c r="W544" i="9"/>
  <c r="M306" i="9"/>
  <c r="L306" i="9" s="1"/>
  <c r="M327" i="9"/>
  <c r="M329" i="9"/>
  <c r="M330" i="9"/>
  <c r="M333" i="9"/>
  <c r="M336" i="9"/>
  <c r="J337" i="9"/>
  <c r="M337" i="9"/>
  <c r="L344" i="9"/>
  <c r="L351" i="9"/>
  <c r="L411" i="9"/>
  <c r="W413" i="9"/>
  <c r="L413" i="9"/>
  <c r="T424" i="9"/>
  <c r="K424" i="9"/>
  <c r="U424" i="9" s="1"/>
  <c r="K433" i="9"/>
  <c r="U433" i="9" s="1"/>
  <c r="L435" i="9"/>
  <c r="T450" i="9"/>
  <c r="K450" i="9"/>
  <c r="U450" i="9" s="1"/>
  <c r="K457" i="9"/>
  <c r="U457" i="9" s="1"/>
  <c r="T457" i="9"/>
  <c r="W467" i="9"/>
  <c r="T482" i="9"/>
  <c r="K482" i="9"/>
  <c r="U482" i="9" s="1"/>
  <c r="W491" i="9"/>
  <c r="W521" i="9"/>
  <c r="T549" i="9"/>
  <c r="K549" i="9"/>
  <c r="U549" i="9" s="1"/>
  <c r="L556" i="9"/>
  <c r="W556" i="9"/>
  <c r="V566" i="9"/>
  <c r="T529" i="9"/>
  <c r="L529" i="9"/>
  <c r="K529" i="9"/>
  <c r="U529" i="9" s="1"/>
  <c r="L472" i="9"/>
  <c r="W472" i="9"/>
  <c r="L479" i="9"/>
  <c r="W479" i="9"/>
  <c r="T485" i="9"/>
  <c r="K485" i="9"/>
  <c r="U485" i="9" s="1"/>
  <c r="K487" i="9"/>
  <c r="U487" i="9" s="1"/>
  <c r="T487" i="9"/>
  <c r="K492" i="9"/>
  <c r="U492" i="9" s="1"/>
  <c r="T492" i="9"/>
  <c r="T506" i="9"/>
  <c r="K506" i="9"/>
  <c r="U506" i="9" s="1"/>
  <c r="V554" i="9"/>
  <c r="T560" i="9"/>
  <c r="K560" i="9"/>
  <c r="U560" i="9" s="1"/>
  <c r="L444" i="9"/>
  <c r="W444" i="9"/>
  <c r="W458" i="9"/>
  <c r="J468" i="9"/>
  <c r="M468" i="9"/>
  <c r="L483" i="9"/>
  <c r="W483" i="9"/>
  <c r="K522" i="9"/>
  <c r="U522" i="9" s="1"/>
  <c r="T522" i="9"/>
  <c r="L532" i="9"/>
  <c r="K532" i="9"/>
  <c r="U532" i="9" s="1"/>
  <c r="W532" i="9"/>
  <c r="V550" i="9"/>
  <c r="T554" i="9"/>
  <c r="K554" i="9"/>
  <c r="U554" i="9" s="1"/>
  <c r="K428" i="9"/>
  <c r="U428" i="9" s="1"/>
  <c r="T430" i="9"/>
  <c r="K430" i="9"/>
  <c r="U430" i="9" s="1"/>
  <c r="K434" i="9"/>
  <c r="U434" i="9" s="1"/>
  <c r="K483" i="9"/>
  <c r="U483" i="9" s="1"/>
  <c r="K490" i="9"/>
  <c r="U490" i="9" s="1"/>
  <c r="T490" i="9"/>
  <c r="W524" i="9"/>
  <c r="L524" i="9"/>
  <c r="M530" i="9"/>
  <c r="W571" i="9"/>
  <c r="L571" i="9"/>
  <c r="W530" i="9"/>
  <c r="L530" i="9"/>
  <c r="L539" i="9"/>
  <c r="T543" i="9"/>
  <c r="K543" i="9"/>
  <c r="U543" i="9" s="1"/>
  <c r="W537" i="9"/>
  <c r="V548" i="9"/>
  <c r="L455" i="9"/>
  <c r="W455" i="9"/>
  <c r="L459" i="9"/>
  <c r="V466" i="9"/>
  <c r="M486" i="9"/>
  <c r="L486" i="9" s="1"/>
  <c r="V496" i="9"/>
  <c r="V514" i="9"/>
  <c r="K526" i="9"/>
  <c r="U526" i="9" s="1"/>
  <c r="W533" i="9"/>
  <c r="M537" i="9"/>
  <c r="L537" i="9" s="1"/>
  <c r="T548" i="9"/>
  <c r="K548" i="9"/>
  <c r="U548" i="9" s="1"/>
  <c r="T561" i="9"/>
  <c r="K561" i="9"/>
  <c r="U561" i="9" s="1"/>
  <c r="M303" i="9"/>
  <c r="M357" i="9"/>
  <c r="J385" i="9"/>
  <c r="M385" i="9"/>
  <c r="L393" i="9"/>
  <c r="W393" i="9"/>
  <c r="T413" i="9"/>
  <c r="K413" i="9"/>
  <c r="U413" i="9" s="1"/>
  <c r="T464" i="9"/>
  <c r="K464" i="9"/>
  <c r="U464" i="9" s="1"/>
  <c r="T466" i="9"/>
  <c r="K466" i="9"/>
  <c r="U466" i="9" s="1"/>
  <c r="T478" i="9"/>
  <c r="K478" i="9"/>
  <c r="U478" i="9" s="1"/>
  <c r="T484" i="9"/>
  <c r="K484" i="9"/>
  <c r="U484" i="9" s="1"/>
  <c r="L507" i="9"/>
  <c r="W507" i="9"/>
  <c r="W539" i="9"/>
  <c r="K546" i="9"/>
  <c r="U546" i="9" s="1"/>
  <c r="T546" i="9"/>
  <c r="L561" i="9"/>
  <c r="W561" i="9"/>
  <c r="M324" i="9"/>
  <c r="M360" i="9"/>
  <c r="L360" i="9" s="1"/>
  <c r="L416" i="9"/>
  <c r="W420" i="9"/>
  <c r="T462" i="9"/>
  <c r="K462" i="9"/>
  <c r="U462" i="9" s="1"/>
  <c r="L470" i="9"/>
  <c r="M473" i="9"/>
  <c r="L484" i="9"/>
  <c r="W484" i="9"/>
  <c r="K510" i="9"/>
  <c r="U510" i="9" s="1"/>
  <c r="T510" i="9"/>
  <c r="T527" i="9"/>
  <c r="K527" i="9"/>
  <c r="U527" i="9" s="1"/>
  <c r="W545" i="9"/>
  <c r="M551" i="9"/>
  <c r="L576" i="9"/>
  <c r="W576" i="9"/>
  <c r="T585" i="9"/>
  <c r="K585" i="9"/>
  <c r="U585" i="9" s="1"/>
  <c r="K423" i="9"/>
  <c r="U423" i="9" s="1"/>
  <c r="K439" i="9"/>
  <c r="U439" i="9" s="1"/>
  <c r="T440" i="9"/>
  <c r="K440" i="9"/>
  <c r="U440" i="9" s="1"/>
  <c r="T455" i="9"/>
  <c r="K455" i="9"/>
  <c r="U455" i="9" s="1"/>
  <c r="L457" i="9"/>
  <c r="L462" i="9"/>
  <c r="W462" i="9"/>
  <c r="M476" i="9"/>
  <c r="L501" i="9"/>
  <c r="W501" i="9"/>
  <c r="K502" i="9"/>
  <c r="U502" i="9" s="1"/>
  <c r="T520" i="9"/>
  <c r="L527" i="9"/>
  <c r="W527" i="9"/>
  <c r="M531" i="9"/>
  <c r="M534" i="9"/>
  <c r="M542" i="9"/>
  <c r="W559" i="9"/>
  <c r="L559" i="9"/>
  <c r="K559" i="9"/>
  <c r="U559" i="9" s="1"/>
  <c r="L579" i="9"/>
  <c r="W579" i="9"/>
  <c r="W415" i="9"/>
  <c r="L443" i="9"/>
  <c r="K444" i="9"/>
  <c r="U444" i="9" s="1"/>
  <c r="M459" i="9"/>
  <c r="L478" i="9"/>
  <c r="K505" i="9"/>
  <c r="U505" i="9" s="1"/>
  <c r="M513" i="9"/>
  <c r="L517" i="9"/>
  <c r="M521" i="9"/>
  <c r="L521" i="9" s="1"/>
  <c r="M533" i="9"/>
  <c r="L533" i="9" s="1"/>
  <c r="L541" i="9"/>
  <c r="L569" i="9"/>
  <c r="W569" i="9"/>
  <c r="L574" i="9"/>
  <c r="W574" i="9"/>
  <c r="W636" i="9"/>
  <c r="L636" i="9"/>
  <c r="K636" i="9"/>
  <c r="U636" i="9" s="1"/>
  <c r="L421" i="9"/>
  <c r="K454" i="9"/>
  <c r="U454" i="9" s="1"/>
  <c r="K471" i="9"/>
  <c r="U471" i="9" s="1"/>
  <c r="T471" i="9"/>
  <c r="L474" i="9"/>
  <c r="W474" i="9"/>
  <c r="W500" i="9"/>
  <c r="L500" i="9"/>
  <c r="L516" i="9"/>
  <c r="W516" i="9"/>
  <c r="K517" i="9"/>
  <c r="U517" i="9" s="1"/>
  <c r="W540" i="9"/>
  <c r="L543" i="9"/>
  <c r="W543" i="9"/>
  <c r="W552" i="9"/>
  <c r="T443" i="9"/>
  <c r="K443" i="9"/>
  <c r="U443" i="9" s="1"/>
  <c r="L464" i="9"/>
  <c r="W464" i="9"/>
  <c r="L471" i="9"/>
  <c r="W471" i="9"/>
  <c r="W477" i="9"/>
  <c r="W482" i="9"/>
  <c r="L482" i="9"/>
  <c r="L489" i="9"/>
  <c r="W489" i="9"/>
  <c r="L499" i="9"/>
  <c r="W499" i="9"/>
  <c r="T500" i="9"/>
  <c r="K500" i="9"/>
  <c r="U500" i="9" s="1"/>
  <c r="L525" i="9"/>
  <c r="W525" i="9"/>
  <c r="L546" i="9"/>
  <c r="W546" i="9"/>
  <c r="T567" i="9"/>
  <c r="T590" i="9"/>
  <c r="K590" i="9"/>
  <c r="U590" i="9" s="1"/>
  <c r="K597" i="9"/>
  <c r="U597" i="9" s="1"/>
  <c r="T597" i="9"/>
  <c r="L441" i="9"/>
  <c r="W441" i="9"/>
  <c r="L442" i="9"/>
  <c r="W442" i="9"/>
  <c r="M447" i="9"/>
  <c r="W449" i="9"/>
  <c r="L449" i="9"/>
  <c r="L450" i="9"/>
  <c r="L451" i="9"/>
  <c r="T454" i="9"/>
  <c r="M458" i="9"/>
  <c r="L492" i="9"/>
  <c r="W492" i="9"/>
  <c r="K499" i="9"/>
  <c r="U499" i="9" s="1"/>
  <c r="L503" i="9"/>
  <c r="W503" i="9"/>
  <c r="T504" i="9"/>
  <c r="T505" i="9"/>
  <c r="M516" i="9"/>
  <c r="M540" i="9"/>
  <c r="L549" i="9"/>
  <c r="W549" i="9"/>
  <c r="M552" i="9"/>
  <c r="K555" i="9"/>
  <c r="U555" i="9" s="1"/>
  <c r="T582" i="9"/>
  <c r="K582" i="9"/>
  <c r="U582" i="9" s="1"/>
  <c r="T563" i="9"/>
  <c r="K563" i="9"/>
  <c r="U563" i="9" s="1"/>
  <c r="V565" i="9"/>
  <c r="J567" i="9"/>
  <c r="L426" i="9"/>
  <c r="W426" i="9"/>
  <c r="L438" i="9"/>
  <c r="W438" i="9"/>
  <c r="L463" i="9"/>
  <c r="M467" i="9"/>
  <c r="L467" i="9" s="1"/>
  <c r="T470" i="9"/>
  <c r="K470" i="9"/>
  <c r="U470" i="9" s="1"/>
  <c r="M477" i="9"/>
  <c r="L477" i="9" s="1"/>
  <c r="W478" i="9"/>
  <c r="L480" i="9"/>
  <c r="W480" i="9"/>
  <c r="W488" i="9"/>
  <c r="L488" i="9"/>
  <c r="T497" i="9"/>
  <c r="K497" i="9"/>
  <c r="U497" i="9" s="1"/>
  <c r="K507" i="9"/>
  <c r="U507" i="9" s="1"/>
  <c r="T515" i="9"/>
  <c r="K515" i="9"/>
  <c r="U515" i="9" s="1"/>
  <c r="L531" i="9"/>
  <c r="W531" i="9"/>
  <c r="M536" i="9"/>
  <c r="M557" i="9"/>
  <c r="L560" i="9"/>
  <c r="K565" i="9"/>
  <c r="U565" i="9" s="1"/>
  <c r="T565" i="9"/>
  <c r="K463" i="9"/>
  <c r="U463" i="9" s="1"/>
  <c r="T463" i="9"/>
  <c r="W506" i="9"/>
  <c r="L506" i="9"/>
  <c r="T512" i="9"/>
  <c r="K512" i="9"/>
  <c r="U512" i="9" s="1"/>
  <c r="L534" i="9"/>
  <c r="W534" i="9"/>
  <c r="L585" i="9"/>
  <c r="W585" i="9"/>
  <c r="W558" i="9"/>
  <c r="K583" i="9"/>
  <c r="U583" i="9" s="1"/>
  <c r="T583" i="9"/>
  <c r="T623" i="9"/>
  <c r="K623" i="9"/>
  <c r="U623" i="9" s="1"/>
  <c r="W608" i="9"/>
  <c r="L608" i="9"/>
  <c r="V618" i="9"/>
  <c r="L431" i="9"/>
  <c r="M494" i="9"/>
  <c r="L494" i="9" s="1"/>
  <c r="M501" i="9"/>
  <c r="L555" i="9"/>
  <c r="W555" i="9"/>
  <c r="M558" i="9"/>
  <c r="V562" i="9"/>
  <c r="J570" i="9"/>
  <c r="M570" i="9"/>
  <c r="J572" i="9"/>
  <c r="M572" i="9"/>
  <c r="K577" i="9"/>
  <c r="U577" i="9" s="1"/>
  <c r="T577" i="9"/>
  <c r="K586" i="9"/>
  <c r="U586" i="9" s="1"/>
  <c r="T586" i="9"/>
  <c r="T606" i="9"/>
  <c r="K606" i="9"/>
  <c r="U606" i="9" s="1"/>
  <c r="L609" i="9"/>
  <c r="W609" i="9"/>
  <c r="V638" i="9"/>
  <c r="W646" i="9"/>
  <c r="L646" i="9"/>
  <c r="L653" i="9"/>
  <c r="W653" i="9"/>
  <c r="W666" i="9"/>
  <c r="T568" i="9"/>
  <c r="K568" i="9"/>
  <c r="U568" i="9" s="1"/>
  <c r="T659" i="9"/>
  <c r="K659" i="9"/>
  <c r="U659" i="9" s="1"/>
  <c r="W568" i="9"/>
  <c r="L568" i="9"/>
  <c r="K592" i="9"/>
  <c r="U592" i="9" s="1"/>
  <c r="T592" i="9"/>
  <c r="K594" i="9"/>
  <c r="U594" i="9" s="1"/>
  <c r="T594" i="9"/>
  <c r="T600" i="9"/>
  <c r="K600" i="9"/>
  <c r="U600" i="9" s="1"/>
  <c r="W575" i="9"/>
  <c r="L575" i="9"/>
  <c r="L485" i="9"/>
  <c r="L497" i="9"/>
  <c r="L528" i="9"/>
  <c r="W528" i="9"/>
  <c r="T566" i="9"/>
  <c r="K566" i="9"/>
  <c r="U566" i="9" s="1"/>
  <c r="L582" i="9"/>
  <c r="W582" i="9"/>
  <c r="V605" i="9"/>
  <c r="T617" i="9"/>
  <c r="K617" i="9"/>
  <c r="U617" i="9" s="1"/>
  <c r="W695" i="9"/>
  <c r="L695" i="9"/>
  <c r="T777" i="9"/>
  <c r="K777" i="9"/>
  <c r="U777" i="9" s="1"/>
  <c r="L777" i="9"/>
  <c r="V581" i="9"/>
  <c r="V616" i="9"/>
  <c r="W697" i="9"/>
  <c r="L697" i="9"/>
  <c r="L453" i="9"/>
  <c r="W453" i="9"/>
  <c r="L456" i="9"/>
  <c r="W456" i="9"/>
  <c r="L498" i="9"/>
  <c r="W498" i="9"/>
  <c r="L510" i="9"/>
  <c r="W510" i="9"/>
  <c r="M539" i="9"/>
  <c r="M545" i="9"/>
  <c r="K550" i="9"/>
  <c r="U550" i="9" s="1"/>
  <c r="K574" i="9"/>
  <c r="U574" i="9" s="1"/>
  <c r="T574" i="9"/>
  <c r="K697" i="9"/>
  <c r="U697" i="9" s="1"/>
  <c r="T697" i="9"/>
  <c r="T599" i="9"/>
  <c r="K599" i="9"/>
  <c r="U599" i="9" s="1"/>
  <c r="T601" i="9"/>
  <c r="K601" i="9"/>
  <c r="U601" i="9" s="1"/>
  <c r="L601" i="9"/>
  <c r="K624" i="9"/>
  <c r="U624" i="9" s="1"/>
  <c r="T624" i="9"/>
  <c r="M387" i="9"/>
  <c r="M509" i="9"/>
  <c r="L522" i="9"/>
  <c r="W522" i="9"/>
  <c r="L563" i="9"/>
  <c r="M564" i="9"/>
  <c r="W593" i="9"/>
  <c r="L603" i="9"/>
  <c r="W603" i="9"/>
  <c r="L606" i="9"/>
  <c r="W606" i="9"/>
  <c r="V612" i="9"/>
  <c r="L624" i="9"/>
  <c r="W624" i="9"/>
  <c r="W631" i="9"/>
  <c r="L631" i="9"/>
  <c r="W643" i="9"/>
  <c r="L643" i="9"/>
  <c r="M683" i="9"/>
  <c r="J683" i="9"/>
  <c r="T575" i="9"/>
  <c r="K575" i="9"/>
  <c r="U575" i="9" s="1"/>
  <c r="L591" i="9"/>
  <c r="W591" i="9"/>
  <c r="L594" i="9"/>
  <c r="W594" i="9"/>
  <c r="M609" i="9"/>
  <c r="T619" i="9"/>
  <c r="K619" i="9"/>
  <c r="U619" i="9" s="1"/>
  <c r="V627" i="9"/>
  <c r="W629" i="9"/>
  <c r="L629" i="9"/>
  <c r="T584" i="9"/>
  <c r="K584" i="9"/>
  <c r="U584" i="9" s="1"/>
  <c r="T591" i="9"/>
  <c r="K591" i="9"/>
  <c r="U591" i="9" s="1"/>
  <c r="T596" i="9"/>
  <c r="K596" i="9"/>
  <c r="U596" i="9" s="1"/>
  <c r="K639" i="9"/>
  <c r="U639" i="9" s="1"/>
  <c r="T639" i="9"/>
  <c r="T671" i="9"/>
  <c r="L671" i="9"/>
  <c r="M569" i="9"/>
  <c r="T578" i="9"/>
  <c r="K578" i="9"/>
  <c r="U578" i="9" s="1"/>
  <c r="L584" i="9"/>
  <c r="L596" i="9"/>
  <c r="L599" i="9"/>
  <c r="W607" i="9"/>
  <c r="L607" i="9"/>
  <c r="V611" i="9"/>
  <c r="J613" i="9"/>
  <c r="M613" i="9"/>
  <c r="W639" i="9"/>
  <c r="L639" i="9"/>
  <c r="L693" i="9"/>
  <c r="W693" i="9"/>
  <c r="L590" i="9"/>
  <c r="W590" i="9"/>
  <c r="T602" i="9"/>
  <c r="K602" i="9"/>
  <c r="U602" i="9" s="1"/>
  <c r="M630" i="9"/>
  <c r="L632" i="9"/>
  <c r="W642" i="9"/>
  <c r="M653" i="9"/>
  <c r="K610" i="9"/>
  <c r="U610" i="9" s="1"/>
  <c r="T610" i="9"/>
  <c r="V619" i="9"/>
  <c r="T635" i="9"/>
  <c r="K635" i="9"/>
  <c r="U635" i="9" s="1"/>
  <c r="L635" i="9"/>
  <c r="M491" i="9"/>
  <c r="L504" i="9"/>
  <c r="W504" i="9"/>
  <c r="J573" i="9"/>
  <c r="W577" i="9"/>
  <c r="L577" i="9"/>
  <c r="L580" i="9"/>
  <c r="L583" i="9"/>
  <c r="W584" i="9"/>
  <c r="K595" i="9"/>
  <c r="U595" i="9" s="1"/>
  <c r="L604" i="9"/>
  <c r="T647" i="9"/>
  <c r="K647" i="9"/>
  <c r="U647" i="9" s="1"/>
  <c r="W656" i="9"/>
  <c r="L656" i="9"/>
  <c r="V676" i="9"/>
  <c r="W678" i="9"/>
  <c r="V704" i="9"/>
  <c r="L564" i="9"/>
  <c r="W564" i="9"/>
  <c r="K580" i="9"/>
  <c r="U580" i="9" s="1"/>
  <c r="T580" i="9"/>
  <c r="V589" i="9"/>
  <c r="V595" i="9"/>
  <c r="K604" i="9"/>
  <c r="U604" i="9" s="1"/>
  <c r="T604" i="9"/>
  <c r="T608" i="9"/>
  <c r="K608" i="9"/>
  <c r="U608" i="9" s="1"/>
  <c r="W614" i="9"/>
  <c r="L614" i="9"/>
  <c r="V650" i="9"/>
  <c r="L659" i="9"/>
  <c r="W659" i="9"/>
  <c r="L699" i="9"/>
  <c r="W699" i="9"/>
  <c r="L600" i="9"/>
  <c r="W600" i="9"/>
  <c r="M633" i="9"/>
  <c r="W638" i="9"/>
  <c r="L657" i="9"/>
  <c r="L663" i="9"/>
  <c r="W669" i="9"/>
  <c r="L674" i="9"/>
  <c r="V700" i="9"/>
  <c r="T716" i="9"/>
  <c r="K716" i="9"/>
  <c r="U716" i="9" s="1"/>
  <c r="W589" i="9"/>
  <c r="W612" i="9"/>
  <c r="M615" i="9"/>
  <c r="L617" i="9"/>
  <c r="T620" i="9"/>
  <c r="K640" i="9"/>
  <c r="U640" i="9" s="1"/>
  <c r="K644" i="9"/>
  <c r="U644" i="9" s="1"/>
  <c r="T714" i="9"/>
  <c r="K714" i="9"/>
  <c r="U714" i="9" s="1"/>
  <c r="T720" i="9"/>
  <c r="K720" i="9"/>
  <c r="U720" i="9" s="1"/>
  <c r="T733" i="9"/>
  <c r="K733" i="9"/>
  <c r="U733" i="9" s="1"/>
  <c r="T581" i="9"/>
  <c r="K581" i="9"/>
  <c r="U581" i="9" s="1"/>
  <c r="L586" i="9"/>
  <c r="T605" i="9"/>
  <c r="K605" i="9"/>
  <c r="U605" i="9" s="1"/>
  <c r="L610" i="9"/>
  <c r="K622" i="9"/>
  <c r="U622" i="9" s="1"/>
  <c r="L623" i="9"/>
  <c r="M629" i="9"/>
  <c r="M649" i="9"/>
  <c r="J649" i="9"/>
  <c r="W654" i="9"/>
  <c r="W737" i="9"/>
  <c r="L737" i="9"/>
  <c r="L588" i="9"/>
  <c r="W588" i="9"/>
  <c r="K646" i="9"/>
  <c r="U646" i="9" s="1"/>
  <c r="K673" i="9"/>
  <c r="U673" i="9" s="1"/>
  <c r="W680" i="9"/>
  <c r="L690" i="9"/>
  <c r="W690" i="9"/>
  <c r="L621" i="9"/>
  <c r="W622" i="9"/>
  <c r="L622" i="9"/>
  <c r="W658" i="9"/>
  <c r="L658" i="9"/>
  <c r="V664" i="9"/>
  <c r="T690" i="9"/>
  <c r="K690" i="9"/>
  <c r="U690" i="9" s="1"/>
  <c r="V715" i="9"/>
  <c r="T726" i="9"/>
  <c r="K726" i="9"/>
  <c r="U726" i="9" s="1"/>
  <c r="T737" i="9"/>
  <c r="K737" i="9"/>
  <c r="U737" i="9" s="1"/>
  <c r="T773" i="9"/>
  <c r="K773" i="9"/>
  <c r="U773" i="9" s="1"/>
  <c r="T587" i="9"/>
  <c r="K587" i="9"/>
  <c r="U587" i="9" s="1"/>
  <c r="L592" i="9"/>
  <c r="T611" i="9"/>
  <c r="K611" i="9"/>
  <c r="U611" i="9" s="1"/>
  <c r="M621" i="9"/>
  <c r="K627" i="9"/>
  <c r="U627" i="9" s="1"/>
  <c r="L628" i="9"/>
  <c r="M641" i="9"/>
  <c r="L641" i="9" s="1"/>
  <c r="L645" i="9"/>
  <c r="T646" i="9"/>
  <c r="K651" i="9"/>
  <c r="U651" i="9" s="1"/>
  <c r="L651" i="9"/>
  <c r="W655" i="9"/>
  <c r="L655" i="9"/>
  <c r="K658" i="9"/>
  <c r="U658" i="9" s="1"/>
  <c r="T668" i="9"/>
  <c r="K668" i="9"/>
  <c r="U668" i="9" s="1"/>
  <c r="T692" i="9"/>
  <c r="K692" i="9"/>
  <c r="U692" i="9" s="1"/>
  <c r="L696" i="9"/>
  <c r="W696" i="9"/>
  <c r="L711" i="9"/>
  <c r="W711" i="9"/>
  <c r="V713" i="9"/>
  <c r="V721" i="9"/>
  <c r="K626" i="9"/>
  <c r="U626" i="9" s="1"/>
  <c r="K638" i="9"/>
  <c r="U638" i="9" s="1"/>
  <c r="T638" i="9"/>
  <c r="W684" i="9"/>
  <c r="W692" i="9"/>
  <c r="L692" i="9"/>
  <c r="T707" i="9"/>
  <c r="K711" i="9"/>
  <c r="U711" i="9" s="1"/>
  <c r="T711" i="9"/>
  <c r="W724" i="9"/>
  <c r="L724" i="9"/>
  <c r="K724" i="9"/>
  <c r="U724" i="9" s="1"/>
  <c r="L597" i="9"/>
  <c r="W597" i="9"/>
  <c r="L620" i="9"/>
  <c r="M637" i="9"/>
  <c r="J637" i="9"/>
  <c r="L648" i="9"/>
  <c r="T661" i="9"/>
  <c r="L668" i="9"/>
  <c r="V694" i="9"/>
  <c r="K696" i="9"/>
  <c r="U696" i="9" s="1"/>
  <c r="T593" i="9"/>
  <c r="K593" i="9"/>
  <c r="U593" i="9" s="1"/>
  <c r="L598" i="9"/>
  <c r="K618" i="9"/>
  <c r="U618" i="9" s="1"/>
  <c r="J625" i="9"/>
  <c r="M625" i="9"/>
  <c r="L633" i="9"/>
  <c r="M634" i="9"/>
  <c r="T645" i="9"/>
  <c r="K648" i="9"/>
  <c r="U648" i="9" s="1"/>
  <c r="V652" i="9"/>
  <c r="K657" i="9"/>
  <c r="U657" i="9" s="1"/>
  <c r="K663" i="9"/>
  <c r="U663" i="9" s="1"/>
  <c r="J665" i="9"/>
  <c r="T643" i="9"/>
  <c r="K643" i="9"/>
  <c r="U643" i="9" s="1"/>
  <c r="L672" i="9"/>
  <c r="W672" i="9"/>
  <c r="L691" i="9"/>
  <c r="W691" i="9"/>
  <c r="V725" i="9"/>
  <c r="V727" i="9"/>
  <c r="T755" i="9"/>
  <c r="K755" i="9"/>
  <c r="U755" i="9" s="1"/>
  <c r="T738" i="9"/>
  <c r="K738" i="9"/>
  <c r="U738" i="9" s="1"/>
  <c r="L738" i="9"/>
  <c r="W738" i="9"/>
  <c r="T631" i="9"/>
  <c r="K631" i="9"/>
  <c r="U631" i="9" s="1"/>
  <c r="T670" i="9"/>
  <c r="L670" i="9"/>
  <c r="K672" i="9"/>
  <c r="U672" i="9" s="1"/>
  <c r="L705" i="9"/>
  <c r="W705" i="9"/>
  <c r="T736" i="9"/>
  <c r="L736" i="9"/>
  <c r="K736" i="9"/>
  <c r="U736" i="9" s="1"/>
  <c r="T741" i="9"/>
  <c r="K741" i="9"/>
  <c r="U741" i="9" s="1"/>
  <c r="L662" i="9"/>
  <c r="M666" i="9"/>
  <c r="M669" i="9"/>
  <c r="L673" i="9"/>
  <c r="K674" i="9"/>
  <c r="U674" i="9" s="1"/>
  <c r="K676" i="9"/>
  <c r="U676" i="9" s="1"/>
  <c r="W689" i="9"/>
  <c r="M695" i="9"/>
  <c r="L701" i="9"/>
  <c r="L726" i="9"/>
  <c r="T732" i="9"/>
  <c r="L748" i="9"/>
  <c r="T786" i="9"/>
  <c r="K786" i="9"/>
  <c r="U786" i="9" s="1"/>
  <c r="K803" i="9"/>
  <c r="U803" i="9" s="1"/>
  <c r="T803" i="9"/>
  <c r="T721" i="9"/>
  <c r="K721" i="9"/>
  <c r="U721" i="9" s="1"/>
  <c r="T734" i="9"/>
  <c r="K734" i="9"/>
  <c r="U734" i="9" s="1"/>
  <c r="T745" i="9"/>
  <c r="K745" i="9"/>
  <c r="U745" i="9" s="1"/>
  <c r="W752" i="9"/>
  <c r="K758" i="9"/>
  <c r="U758" i="9" s="1"/>
  <c r="T758" i="9"/>
  <c r="L770" i="9"/>
  <c r="W770" i="9"/>
  <c r="W784" i="9"/>
  <c r="L784" i="9"/>
  <c r="T796" i="9"/>
  <c r="K796" i="9"/>
  <c r="U796" i="9" s="1"/>
  <c r="L796" i="9"/>
  <c r="M693" i="9"/>
  <c r="K713" i="9"/>
  <c r="U713" i="9" s="1"/>
  <c r="K725" i="9"/>
  <c r="U725" i="9" s="1"/>
  <c r="L729" i="9"/>
  <c r="W729" i="9"/>
  <c r="V730" i="9"/>
  <c r="L734" i="9"/>
  <c r="L745" i="9"/>
  <c r="T770" i="9"/>
  <c r="K770" i="9"/>
  <c r="U770" i="9" s="1"/>
  <c r="L723" i="9"/>
  <c r="W723" i="9"/>
  <c r="K729" i="9"/>
  <c r="U729" i="9" s="1"/>
  <c r="T729" i="9"/>
  <c r="T740" i="9"/>
  <c r="K740" i="9"/>
  <c r="U740" i="9" s="1"/>
  <c r="T780" i="9"/>
  <c r="K780" i="9"/>
  <c r="U780" i="9" s="1"/>
  <c r="L797" i="9"/>
  <c r="W797" i="9"/>
  <c r="M684" i="9"/>
  <c r="L687" i="9"/>
  <c r="L708" i="9"/>
  <c r="W708" i="9"/>
  <c r="L712" i="9"/>
  <c r="L740" i="9"/>
  <c r="V743" i="9"/>
  <c r="L749" i="9"/>
  <c r="W749" i="9"/>
  <c r="T771" i="9"/>
  <c r="L771" i="9"/>
  <c r="L773" i="9"/>
  <c r="W773" i="9"/>
  <c r="V787" i="9"/>
  <c r="T686" i="9"/>
  <c r="K686" i="9"/>
  <c r="U686" i="9" s="1"/>
  <c r="K687" i="9"/>
  <c r="U687" i="9" s="1"/>
  <c r="T687" i="9"/>
  <c r="T719" i="9"/>
  <c r="K719" i="9"/>
  <c r="U719" i="9" s="1"/>
  <c r="M723" i="9"/>
  <c r="T793" i="9"/>
  <c r="K793" i="9"/>
  <c r="U793" i="9" s="1"/>
  <c r="W802" i="9"/>
  <c r="V823" i="9"/>
  <c r="M642" i="9"/>
  <c r="M654" i="9"/>
  <c r="K681" i="9"/>
  <c r="U681" i="9" s="1"/>
  <c r="K708" i="9"/>
  <c r="U708" i="9" s="1"/>
  <c r="K710" i="9"/>
  <c r="U710" i="9" s="1"/>
  <c r="L719" i="9"/>
  <c r="T728" i="9"/>
  <c r="K728" i="9"/>
  <c r="U728" i="9" s="1"/>
  <c r="W735" i="9"/>
  <c r="K739" i="9"/>
  <c r="U739" i="9" s="1"/>
  <c r="T739" i="9"/>
  <c r="T768" i="9"/>
  <c r="K768" i="9"/>
  <c r="U768" i="9" s="1"/>
  <c r="W807" i="9"/>
  <c r="L807" i="9"/>
  <c r="K682" i="9"/>
  <c r="U682" i="9" s="1"/>
  <c r="L686" i="9"/>
  <c r="T689" i="9"/>
  <c r="K689" i="9"/>
  <c r="U689" i="9" s="1"/>
  <c r="K705" i="9"/>
  <c r="U705" i="9" s="1"/>
  <c r="T705" i="9"/>
  <c r="L706" i="9"/>
  <c r="J707" i="9"/>
  <c r="L710" i="9"/>
  <c r="L728" i="9"/>
  <c r="L732" i="9"/>
  <c r="W732" i="9"/>
  <c r="M735" i="9"/>
  <c r="L735" i="9" s="1"/>
  <c r="W757" i="9"/>
  <c r="L757" i="9"/>
  <c r="T774" i="9"/>
  <c r="K774" i="9"/>
  <c r="U774" i="9" s="1"/>
  <c r="W793" i="9"/>
  <c r="L793" i="9"/>
  <c r="T805" i="9"/>
  <c r="K805" i="9"/>
  <c r="U805" i="9" s="1"/>
  <c r="L805" i="9"/>
  <c r="M675" i="9"/>
  <c r="K677" i="9"/>
  <c r="U677" i="9" s="1"/>
  <c r="L682" i="9"/>
  <c r="L716" i="9"/>
  <c r="L718" i="9"/>
  <c r="M722" i="9"/>
  <c r="L739" i="9"/>
  <c r="L753" i="9"/>
  <c r="L675" i="9"/>
  <c r="K699" i="9"/>
  <c r="U699" i="9" s="1"/>
  <c r="L702" i="9"/>
  <c r="W702" i="9"/>
  <c r="L714" i="9"/>
  <c r="T731" i="9"/>
  <c r="K731" i="9"/>
  <c r="U731" i="9" s="1"/>
  <c r="L741" i="9"/>
  <c r="W741" i="9"/>
  <c r="T757" i="9"/>
  <c r="K757" i="9"/>
  <c r="U757" i="9" s="1"/>
  <c r="M769" i="9"/>
  <c r="J769" i="9"/>
  <c r="M680" i="9"/>
  <c r="L733" i="9"/>
  <c r="M784" i="9"/>
  <c r="T799" i="9"/>
  <c r="K799" i="9"/>
  <c r="U799" i="9" s="1"/>
  <c r="K807" i="9"/>
  <c r="U807" i="9" s="1"/>
  <c r="T756" i="9"/>
  <c r="K756" i="9"/>
  <c r="U756" i="9" s="1"/>
  <c r="W781" i="9"/>
  <c r="L781" i="9"/>
  <c r="V799" i="9"/>
  <c r="M821" i="9"/>
  <c r="J821" i="9"/>
  <c r="T779" i="9"/>
  <c r="K779" i="9"/>
  <c r="U779" i="9" s="1"/>
  <c r="L785" i="9"/>
  <c r="W785" i="9"/>
  <c r="M791" i="9"/>
  <c r="J791" i="9"/>
  <c r="T867" i="9"/>
  <c r="K867" i="9"/>
  <c r="U867" i="9" s="1"/>
  <c r="T787" i="9"/>
  <c r="K787" i="9"/>
  <c r="U787" i="9" s="1"/>
  <c r="T759" i="9"/>
  <c r="L759" i="9"/>
  <c r="K759" i="9"/>
  <c r="U759" i="9" s="1"/>
  <c r="L794" i="9"/>
  <c r="W794" i="9"/>
  <c r="T806" i="9"/>
  <c r="K806" i="9"/>
  <c r="U806" i="9" s="1"/>
  <c r="T817" i="9"/>
  <c r="K817" i="9"/>
  <c r="U817" i="9" s="1"/>
  <c r="L822" i="9"/>
  <c r="W822" i="9"/>
  <c r="K822" i="9"/>
  <c r="U822" i="9" s="1"/>
  <c r="L774" i="9"/>
  <c r="W774" i="9"/>
  <c r="T792" i="9"/>
  <c r="K792" i="9"/>
  <c r="U792" i="9" s="1"/>
  <c r="M802" i="9"/>
  <c r="M815" i="9"/>
  <c r="J815" i="9"/>
  <c r="M678" i="9"/>
  <c r="M698" i="9"/>
  <c r="L717" i="9"/>
  <c r="L720" i="9"/>
  <c r="T767" i="9"/>
  <c r="K767" i="9"/>
  <c r="U767" i="9" s="1"/>
  <c r="L786" i="9"/>
  <c r="W786" i="9"/>
  <c r="L792" i="9"/>
  <c r="W792" i="9"/>
  <c r="L772" i="9"/>
  <c r="W772" i="9"/>
  <c r="M827" i="9"/>
  <c r="J827" i="9"/>
  <c r="W832" i="9"/>
  <c r="L834" i="9"/>
  <c r="W834" i="9"/>
  <c r="M751" i="9"/>
  <c r="L756" i="9"/>
  <c r="W756" i="9"/>
  <c r="L775" i="9"/>
  <c r="M776" i="9"/>
  <c r="L780" i="9"/>
  <c r="W780" i="9"/>
  <c r="T783" i="9"/>
  <c r="K788" i="9"/>
  <c r="U788" i="9" s="1"/>
  <c r="K797" i="9"/>
  <c r="U797" i="9" s="1"/>
  <c r="K809" i="9"/>
  <c r="U809" i="9" s="1"/>
  <c r="L818" i="9"/>
  <c r="W818" i="9"/>
  <c r="K825" i="9"/>
  <c r="U825" i="9" s="1"/>
  <c r="L851" i="9"/>
  <c r="W851" i="9"/>
  <c r="T781" i="9"/>
  <c r="K781" i="9"/>
  <c r="U781" i="9" s="1"/>
  <c r="L803" i="9"/>
  <c r="W803" i="9"/>
  <c r="T808" i="9"/>
  <c r="K808" i="9"/>
  <c r="U808" i="9" s="1"/>
  <c r="L817" i="9"/>
  <c r="L824" i="9"/>
  <c r="W824" i="9"/>
  <c r="L828" i="9"/>
  <c r="W828" i="9"/>
  <c r="V837" i="9"/>
  <c r="L764" i="9"/>
  <c r="T823" i="9"/>
  <c r="K823" i="9"/>
  <c r="U823" i="9" s="1"/>
  <c r="L836" i="9"/>
  <c r="W836" i="9"/>
  <c r="K855" i="9"/>
  <c r="U855" i="9" s="1"/>
  <c r="T855" i="9"/>
  <c r="L855" i="9"/>
  <c r="V891" i="9"/>
  <c r="K912" i="9"/>
  <c r="U912" i="9" s="1"/>
  <c r="T912" i="9"/>
  <c r="L763" i="9"/>
  <c r="M764" i="9"/>
  <c r="L768" i="9"/>
  <c r="W768" i="9"/>
  <c r="L806" i="9"/>
  <c r="W806" i="9"/>
  <c r="K836" i="9"/>
  <c r="U836" i="9" s="1"/>
  <c r="T840" i="9"/>
  <c r="K840" i="9"/>
  <c r="U840" i="9" s="1"/>
  <c r="V880" i="9"/>
  <c r="M763" i="9"/>
  <c r="K765" i="9"/>
  <c r="U765" i="9" s="1"/>
  <c r="K801" i="9"/>
  <c r="U801" i="9" s="1"/>
  <c r="W817" i="9"/>
  <c r="M820" i="9"/>
  <c r="T829" i="9"/>
  <c r="K829" i="9"/>
  <c r="U829" i="9" s="1"/>
  <c r="L845" i="9"/>
  <c r="W845" i="9"/>
  <c r="L744" i="9"/>
  <c r="L765" i="9"/>
  <c r="K766" i="9"/>
  <c r="U766" i="9" s="1"/>
  <c r="L790" i="9"/>
  <c r="L800" i="9"/>
  <c r="W800" i="9"/>
  <c r="L801" i="9"/>
  <c r="L812" i="9"/>
  <c r="W812" i="9"/>
  <c r="T816" i="9"/>
  <c r="L820" i="9"/>
  <c r="W826" i="9"/>
  <c r="T831" i="9"/>
  <c r="K831" i="9"/>
  <c r="U831" i="9" s="1"/>
  <c r="T845" i="9"/>
  <c r="K845" i="9"/>
  <c r="U845" i="9" s="1"/>
  <c r="T743" i="9"/>
  <c r="K743" i="9"/>
  <c r="U743" i="9" s="1"/>
  <c r="L747" i="9"/>
  <c r="V762" i="9"/>
  <c r="L782" i="9"/>
  <c r="W782" i="9"/>
  <c r="T790" i="9"/>
  <c r="K790" i="9"/>
  <c r="U790" i="9" s="1"/>
  <c r="K800" i="9"/>
  <c r="U800" i="9" s="1"/>
  <c r="K812" i="9"/>
  <c r="U812" i="9" s="1"/>
  <c r="V819" i="9"/>
  <c r="L829" i="9"/>
  <c r="W829" i="9"/>
  <c r="L833" i="9"/>
  <c r="W833" i="9"/>
  <c r="T841" i="9"/>
  <c r="K841" i="9"/>
  <c r="U841" i="9" s="1"/>
  <c r="V843" i="9"/>
  <c r="T853" i="9"/>
  <c r="K853" i="9"/>
  <c r="U853" i="9" s="1"/>
  <c r="L758" i="9"/>
  <c r="W758" i="9"/>
  <c r="K782" i="9"/>
  <c r="U782" i="9" s="1"/>
  <c r="L810" i="9"/>
  <c r="W810" i="9"/>
  <c r="K819" i="9"/>
  <c r="U819" i="9" s="1"/>
  <c r="V831" i="9"/>
  <c r="T848" i="9"/>
  <c r="K848" i="9"/>
  <c r="U848" i="9" s="1"/>
  <c r="W862" i="9"/>
  <c r="K746" i="9"/>
  <c r="U746" i="9" s="1"/>
  <c r="M752" i="9"/>
  <c r="L788" i="9"/>
  <c r="W788" i="9"/>
  <c r="L789" i="9"/>
  <c r="L798" i="9"/>
  <c r="W798" i="9"/>
  <c r="L804" i="9"/>
  <c r="W804" i="9"/>
  <c r="L809" i="9"/>
  <c r="W809" i="9"/>
  <c r="K810" i="9"/>
  <c r="U810" i="9" s="1"/>
  <c r="T811" i="9"/>
  <c r="K811" i="9"/>
  <c r="U811" i="9" s="1"/>
  <c r="T818" i="9"/>
  <c r="K818" i="9"/>
  <c r="U818" i="9" s="1"/>
  <c r="W835" i="9"/>
  <c r="L835" i="9"/>
  <c r="K839" i="9"/>
  <c r="U839" i="9" s="1"/>
  <c r="T839" i="9"/>
  <c r="L816" i="9"/>
  <c r="W816" i="9"/>
  <c r="J839" i="9"/>
  <c r="L840" i="9"/>
  <c r="W840" i="9"/>
  <c r="L841" i="9"/>
  <c r="T843" i="9"/>
  <c r="L849" i="9"/>
  <c r="L755" i="9"/>
  <c r="L767" i="9"/>
  <c r="M778" i="9"/>
  <c r="L779" i="9"/>
  <c r="M814" i="9"/>
  <c r="M838" i="9"/>
  <c r="J857" i="9"/>
  <c r="W954" i="9"/>
  <c r="M832" i="9"/>
  <c r="K833" i="9"/>
  <c r="U833" i="9" s="1"/>
  <c r="K834" i="9"/>
  <c r="U834" i="9" s="1"/>
  <c r="T851" i="9"/>
  <c r="K851" i="9"/>
  <c r="U851" i="9" s="1"/>
  <c r="K898" i="9"/>
  <c r="U898" i="9" s="1"/>
  <c r="T898" i="9"/>
  <c r="L830" i="9"/>
  <c r="W830" i="9"/>
  <c r="T835" i="9"/>
  <c r="K835" i="9"/>
  <c r="U835" i="9" s="1"/>
  <c r="K858" i="9"/>
  <c r="U858" i="9" s="1"/>
  <c r="T858" i="9"/>
  <c r="T860" i="9"/>
  <c r="K860" i="9"/>
  <c r="U860" i="9" s="1"/>
  <c r="K870" i="9"/>
  <c r="U870" i="9" s="1"/>
  <c r="T870" i="9"/>
  <c r="T874" i="9"/>
  <c r="K874" i="9"/>
  <c r="U874" i="9" s="1"/>
  <c r="M844" i="9"/>
  <c r="V858" i="9"/>
  <c r="W865" i="9"/>
  <c r="M826" i="9"/>
  <c r="L844" i="9"/>
  <c r="M847" i="9"/>
  <c r="K843" i="9"/>
  <c r="U843" i="9" s="1"/>
  <c r="T850" i="9"/>
  <c r="K850" i="9"/>
  <c r="U850" i="9" s="1"/>
  <c r="T856" i="9"/>
  <c r="K856" i="9"/>
  <c r="U856" i="9" s="1"/>
  <c r="T877" i="9"/>
  <c r="K877" i="9"/>
  <c r="U877" i="9" s="1"/>
  <c r="J896" i="9"/>
  <c r="M896" i="9"/>
  <c r="K899" i="9"/>
  <c r="U899" i="9" s="1"/>
  <c r="T899" i="9"/>
  <c r="L842" i="9"/>
  <c r="W842" i="9"/>
  <c r="L850" i="9"/>
  <c r="K854" i="9"/>
  <c r="U854" i="9" s="1"/>
  <c r="T854" i="9"/>
  <c r="L856" i="9"/>
  <c r="T863" i="9"/>
  <c r="K863" i="9"/>
  <c r="U863" i="9" s="1"/>
  <c r="J866" i="9"/>
  <c r="M866" i="9"/>
  <c r="L868" i="9"/>
  <c r="T882" i="9"/>
  <c r="K882" i="9"/>
  <c r="U882" i="9" s="1"/>
  <c r="K842" i="9"/>
  <c r="U842" i="9" s="1"/>
  <c r="L846" i="9"/>
  <c r="W846" i="9"/>
  <c r="W847" i="9"/>
  <c r="L852" i="9"/>
  <c r="K852" i="9"/>
  <c r="U852" i="9" s="1"/>
  <c r="W852" i="9"/>
  <c r="T861" i="9"/>
  <c r="K875" i="9"/>
  <c r="U875" i="9" s="1"/>
  <c r="T875" i="9"/>
  <c r="L875" i="9"/>
  <c r="V914" i="9"/>
  <c r="T857" i="9"/>
  <c r="K857" i="9"/>
  <c r="U857" i="9" s="1"/>
  <c r="T859" i="9"/>
  <c r="K859" i="9"/>
  <c r="U859" i="9" s="1"/>
  <c r="K880" i="9"/>
  <c r="U880" i="9" s="1"/>
  <c r="T880" i="9"/>
  <c r="L867" i="9"/>
  <c r="K868" i="9"/>
  <c r="U868" i="9" s="1"/>
  <c r="L877" i="9"/>
  <c r="W877" i="9"/>
  <c r="T891" i="9"/>
  <c r="K891" i="9"/>
  <c r="U891" i="9" s="1"/>
  <c r="V893" i="9"/>
  <c r="W937" i="9"/>
  <c r="M865" i="9"/>
  <c r="L904" i="9"/>
  <c r="J915" i="9"/>
  <c r="M915" i="9"/>
  <c r="T930" i="9"/>
  <c r="L930" i="9"/>
  <c r="K930" i="9"/>
  <c r="U930" i="9" s="1"/>
  <c r="W870" i="9"/>
  <c r="L870" i="9"/>
  <c r="W897" i="9"/>
  <c r="V918" i="9"/>
  <c r="L935" i="9"/>
  <c r="W935" i="9"/>
  <c r="K935" i="9"/>
  <c r="U935" i="9" s="1"/>
  <c r="L860" i="9"/>
  <c r="W860" i="9"/>
  <c r="M862" i="9"/>
  <c r="L862" i="9" s="1"/>
  <c r="L864" i="9"/>
  <c r="L874" i="9"/>
  <c r="L883" i="9"/>
  <c r="L889" i="9"/>
  <c r="K889" i="9"/>
  <c r="U889" i="9" s="1"/>
  <c r="T889" i="9"/>
  <c r="T894" i="9"/>
  <c r="K894" i="9"/>
  <c r="U894" i="9" s="1"/>
  <c r="T902" i="9"/>
  <c r="K902" i="9"/>
  <c r="U902" i="9" s="1"/>
  <c r="L859" i="9"/>
  <c r="J861" i="9"/>
  <c r="L863" i="9"/>
  <c r="K864" i="9"/>
  <c r="U864" i="9" s="1"/>
  <c r="W867" i="9"/>
  <c r="K883" i="9"/>
  <c r="U883" i="9" s="1"/>
  <c r="K892" i="9"/>
  <c r="U892" i="9" s="1"/>
  <c r="L894" i="9"/>
  <c r="V900" i="9"/>
  <c r="L902" i="9"/>
  <c r="K907" i="9"/>
  <c r="U907" i="9" s="1"/>
  <c r="J853" i="9"/>
  <c r="K881" i="9"/>
  <c r="U881" i="9" s="1"/>
  <c r="T881" i="9"/>
  <c r="L892" i="9"/>
  <c r="W892" i="9"/>
  <c r="T916" i="9"/>
  <c r="L916" i="9"/>
  <c r="W919" i="9"/>
  <c r="L919" i="9"/>
  <c r="V944" i="9"/>
  <c r="L848" i="9"/>
  <c r="W848" i="9"/>
  <c r="L854" i="9"/>
  <c r="W854" i="9"/>
  <c r="W895" i="9"/>
  <c r="L895" i="9"/>
  <c r="L898" i="9"/>
  <c r="W898" i="9"/>
  <c r="W931" i="9"/>
  <c r="L931" i="9"/>
  <c r="L869" i="9"/>
  <c r="K878" i="9"/>
  <c r="U878" i="9" s="1"/>
  <c r="L878" i="9"/>
  <c r="W882" i="9"/>
  <c r="L882" i="9"/>
  <c r="V886" i="9"/>
  <c r="K890" i="9"/>
  <c r="U890" i="9" s="1"/>
  <c r="T890" i="9"/>
  <c r="T905" i="9"/>
  <c r="K905" i="9"/>
  <c r="U905" i="9" s="1"/>
  <c r="K916" i="9"/>
  <c r="U916" i="9" s="1"/>
  <c r="W864" i="9"/>
  <c r="M869" i="9"/>
  <c r="L873" i="9"/>
  <c r="T886" i="9"/>
  <c r="K886" i="9"/>
  <c r="U886" i="9" s="1"/>
  <c r="L890" i="9"/>
  <c r="K895" i="9"/>
  <c r="U895" i="9" s="1"/>
  <c r="K903" i="9"/>
  <c r="U903" i="9" s="1"/>
  <c r="L905" i="9"/>
  <c r="M911" i="9"/>
  <c r="J911" i="9"/>
  <c r="K914" i="9"/>
  <c r="U914" i="9" s="1"/>
  <c r="T914" i="9"/>
  <c r="V939" i="9"/>
  <c r="T878" i="9"/>
  <c r="J884" i="9"/>
  <c r="M884" i="9"/>
  <c r="T901" i="9"/>
  <c r="L901" i="9"/>
  <c r="T924" i="9"/>
  <c r="L924" i="9"/>
  <c r="L881" i="9"/>
  <c r="K893" i="9"/>
  <c r="U893" i="9" s="1"/>
  <c r="M897" i="9"/>
  <c r="L897" i="9" s="1"/>
  <c r="L899" i="9"/>
  <c r="K900" i="9"/>
  <c r="U900" i="9" s="1"/>
  <c r="L903" i="9"/>
  <c r="T906" i="9"/>
  <c r="L912" i="9"/>
  <c r="W914" i="9"/>
  <c r="M917" i="9"/>
  <c r="J920" i="9"/>
  <c r="M919" i="9"/>
  <c r="W926" i="9"/>
  <c r="L926" i="9"/>
  <c r="T928" i="9"/>
  <c r="K928" i="9"/>
  <c r="U928" i="9" s="1"/>
  <c r="T939" i="9"/>
  <c r="K939" i="9"/>
  <c r="U939" i="9" s="1"/>
  <c r="W961" i="9"/>
  <c r="L961" i="9"/>
  <c r="K961" i="9"/>
  <c r="U961" i="9" s="1"/>
  <c r="V964" i="9"/>
  <c r="T971" i="9"/>
  <c r="K971" i="9"/>
  <c r="U971" i="9" s="1"/>
  <c r="K926" i="9"/>
  <c r="U926" i="9" s="1"/>
  <c r="T926" i="9"/>
  <c r="L928" i="9"/>
  <c r="W928" i="9"/>
  <c r="W872" i="9"/>
  <c r="L876" i="9"/>
  <c r="K923" i="9"/>
  <c r="U923" i="9" s="1"/>
  <c r="L940" i="9"/>
  <c r="W940" i="9"/>
  <c r="M887" i="9"/>
  <c r="L923" i="9"/>
  <c r="W932" i="9"/>
  <c r="L932" i="9"/>
  <c r="W947" i="9"/>
  <c r="L947" i="9"/>
  <c r="K947" i="9"/>
  <c r="U947" i="9" s="1"/>
  <c r="L885" i="9"/>
  <c r="L888" i="9"/>
  <c r="L943" i="9"/>
  <c r="W943" i="9"/>
  <c r="M885" i="9"/>
  <c r="K918" i="9"/>
  <c r="U918" i="9" s="1"/>
  <c r="W921" i="9"/>
  <c r="T925" i="9"/>
  <c r="K925" i="9"/>
  <c r="U925" i="9" s="1"/>
  <c r="W953" i="9"/>
  <c r="L953" i="9"/>
  <c r="K879" i="9"/>
  <c r="U879" i="9" s="1"/>
  <c r="J907" i="9"/>
  <c r="L936" i="9"/>
  <c r="T956" i="9"/>
  <c r="K956" i="9"/>
  <c r="U956" i="9" s="1"/>
  <c r="L956" i="9"/>
  <c r="L925" i="9"/>
  <c r="T927" i="9"/>
  <c r="L927" i="9"/>
  <c r="L906" i="9"/>
  <c r="M921" i="9"/>
  <c r="T929" i="9"/>
  <c r="L929" i="9"/>
  <c r="L933" i="9"/>
  <c r="M934" i="9"/>
  <c r="L942" i="9"/>
  <c r="M953" i="9"/>
  <c r="M931" i="9"/>
  <c r="J938" i="9"/>
  <c r="K940" i="9"/>
  <c r="U940" i="9" s="1"/>
  <c r="M941" i="9"/>
  <c r="L941" i="9" s="1"/>
  <c r="V958" i="9"/>
  <c r="L950" i="9"/>
  <c r="T952" i="9"/>
  <c r="L952" i="9"/>
  <c r="K952" i="9"/>
  <c r="U952" i="9" s="1"/>
  <c r="T968" i="9"/>
  <c r="K968" i="9"/>
  <c r="U968" i="9" s="1"/>
  <c r="L968" i="9"/>
  <c r="T965" i="9"/>
  <c r="T962" i="9"/>
  <c r="K962" i="9"/>
  <c r="U962" i="9" s="1"/>
  <c r="L946" i="9"/>
  <c r="L945" i="9"/>
  <c r="W962" i="9"/>
  <c r="L962" i="9"/>
  <c r="L969" i="9"/>
  <c r="W969" i="9"/>
  <c r="M945" i="9"/>
  <c r="M948" i="9"/>
  <c r="K944" i="9"/>
  <c r="U944" i="9" s="1"/>
  <c r="M937" i="9"/>
  <c r="M954" i="9"/>
  <c r="L955" i="9"/>
  <c r="W958" i="9"/>
  <c r="T963" i="9"/>
  <c r="T964" i="9"/>
  <c r="M969" i="9"/>
  <c r="L966" i="9"/>
  <c r="W966" i="9"/>
  <c r="T967" i="9"/>
  <c r="M951" i="9"/>
  <c r="L951" i="9" s="1"/>
  <c r="M960" i="9"/>
  <c r="L960" i="9" s="1"/>
  <c r="W964" i="9"/>
  <c r="M966" i="9"/>
  <c r="J971" i="9"/>
  <c r="K959" i="9"/>
  <c r="U959" i="9" s="1"/>
  <c r="K973" i="9"/>
  <c r="U973" i="9" s="1"/>
  <c r="L957" i="9"/>
  <c r="K958" i="9"/>
  <c r="U958" i="9" s="1"/>
  <c r="L959" i="9"/>
  <c r="J965" i="9"/>
  <c r="L973" i="9"/>
  <c r="M957" i="9"/>
  <c r="W960" i="9"/>
  <c r="K970" i="9"/>
  <c r="U970" i="9" s="1"/>
  <c r="M913" i="9"/>
  <c r="L963" i="9"/>
  <c r="L970" i="9"/>
  <c r="L972" i="9"/>
  <c r="W972" i="9"/>
  <c r="T973" i="9"/>
  <c r="M943" i="9"/>
  <c r="L967" i="9"/>
  <c r="M972" i="9"/>
  <c r="V897" i="9" l="1"/>
  <c r="V735" i="9"/>
  <c r="V941" i="9"/>
  <c r="V862" i="9"/>
  <c r="V641" i="9"/>
  <c r="V960" i="9"/>
  <c r="V494" i="9"/>
  <c r="V951" i="9"/>
  <c r="W965" i="9"/>
  <c r="L965" i="9"/>
  <c r="V885" i="9"/>
  <c r="V899" i="9"/>
  <c r="V863" i="9"/>
  <c r="V668" i="9"/>
  <c r="V65" i="9"/>
  <c r="V959" i="9"/>
  <c r="T826" i="9"/>
  <c r="K826" i="9"/>
  <c r="U826" i="9" s="1"/>
  <c r="V670" i="9"/>
  <c r="T948" i="9"/>
  <c r="K948" i="9"/>
  <c r="U948" i="9" s="1"/>
  <c r="K869" i="9"/>
  <c r="U869" i="9" s="1"/>
  <c r="T869" i="9"/>
  <c r="K969" i="9"/>
  <c r="U969" i="9" s="1"/>
  <c r="T969" i="9"/>
  <c r="W938" i="9"/>
  <c r="L938" i="9"/>
  <c r="V906" i="9"/>
  <c r="V912" i="9"/>
  <c r="L911" i="9"/>
  <c r="W911" i="9"/>
  <c r="K972" i="9"/>
  <c r="U972" i="9" s="1"/>
  <c r="T972" i="9"/>
  <c r="W971" i="9"/>
  <c r="L971" i="9"/>
  <c r="T931" i="9"/>
  <c r="K931" i="9"/>
  <c r="U931" i="9" s="1"/>
  <c r="V923" i="9"/>
  <c r="V876" i="9"/>
  <c r="T911" i="9"/>
  <c r="K911" i="9"/>
  <c r="U911" i="9" s="1"/>
  <c r="V967" i="9"/>
  <c r="V973" i="9"/>
  <c r="T953" i="9"/>
  <c r="K953" i="9"/>
  <c r="U953" i="9" s="1"/>
  <c r="K919" i="9"/>
  <c r="U919" i="9" s="1"/>
  <c r="T919" i="9"/>
  <c r="V903" i="9"/>
  <c r="V905" i="9"/>
  <c r="V878" i="9"/>
  <c r="L853" i="9"/>
  <c r="W853" i="9"/>
  <c r="V860" i="9"/>
  <c r="V930" i="9"/>
  <c r="K866" i="9"/>
  <c r="U866" i="9" s="1"/>
  <c r="T866" i="9"/>
  <c r="T814" i="9"/>
  <c r="K814" i="9"/>
  <c r="U814" i="9" s="1"/>
  <c r="L814" i="9"/>
  <c r="V840" i="9"/>
  <c r="V800" i="9"/>
  <c r="K827" i="9"/>
  <c r="U827" i="9" s="1"/>
  <c r="T827" i="9"/>
  <c r="K815" i="9"/>
  <c r="U815" i="9" s="1"/>
  <c r="T815" i="9"/>
  <c r="V759" i="9"/>
  <c r="T791" i="9"/>
  <c r="K791" i="9"/>
  <c r="U791" i="9" s="1"/>
  <c r="V793" i="9"/>
  <c r="V728" i="9"/>
  <c r="V807" i="9"/>
  <c r="K642" i="9"/>
  <c r="U642" i="9" s="1"/>
  <c r="T642" i="9"/>
  <c r="V687" i="9"/>
  <c r="V796" i="9"/>
  <c r="V597" i="9"/>
  <c r="V655" i="9"/>
  <c r="T633" i="9"/>
  <c r="K633" i="9"/>
  <c r="U633" i="9" s="1"/>
  <c r="T613" i="9"/>
  <c r="K613" i="9"/>
  <c r="U613" i="9" s="1"/>
  <c r="K564" i="9"/>
  <c r="U564" i="9" s="1"/>
  <c r="T564" i="9"/>
  <c r="L567" i="9"/>
  <c r="W567" i="9"/>
  <c r="K567" i="9"/>
  <c r="U567" i="9" s="1"/>
  <c r="V482" i="9"/>
  <c r="V521" i="9"/>
  <c r="T357" i="9"/>
  <c r="K357" i="9"/>
  <c r="U357" i="9" s="1"/>
  <c r="L357" i="9"/>
  <c r="V539" i="9"/>
  <c r="V250" i="9"/>
  <c r="V352" i="9"/>
  <c r="K258" i="9"/>
  <c r="U258" i="9" s="1"/>
  <c r="T258" i="9"/>
  <c r="V253" i="9"/>
  <c r="V261" i="9"/>
  <c r="V630" i="9"/>
  <c r="W213" i="9"/>
  <c r="L213" i="9"/>
  <c r="V175" i="9"/>
  <c r="T954" i="9"/>
  <c r="K954" i="9"/>
  <c r="U954" i="9" s="1"/>
  <c r="V942" i="9"/>
  <c r="T887" i="9"/>
  <c r="K887" i="9"/>
  <c r="U887" i="9" s="1"/>
  <c r="V629" i="9"/>
  <c r="T495" i="9"/>
  <c r="K495" i="9"/>
  <c r="U495" i="9" s="1"/>
  <c r="V248" i="9"/>
  <c r="V883" i="9"/>
  <c r="K666" i="9"/>
  <c r="U666" i="9" s="1"/>
  <c r="T666" i="9"/>
  <c r="K921" i="9"/>
  <c r="U921" i="9" s="1"/>
  <c r="T921" i="9"/>
  <c r="V894" i="9"/>
  <c r="V926" i="9"/>
  <c r="T957" i="9"/>
  <c r="K957" i="9"/>
  <c r="U957" i="9" s="1"/>
  <c r="T945" i="9"/>
  <c r="K945" i="9"/>
  <c r="U945" i="9" s="1"/>
  <c r="V946" i="9"/>
  <c r="V901" i="9"/>
  <c r="V895" i="9"/>
  <c r="V919" i="9"/>
  <c r="K943" i="9"/>
  <c r="U943" i="9" s="1"/>
  <c r="T943" i="9"/>
  <c r="K966" i="9"/>
  <c r="U966" i="9" s="1"/>
  <c r="T966" i="9"/>
  <c r="V955" i="9"/>
  <c r="V952" i="9"/>
  <c r="L948" i="9"/>
  <c r="V927" i="9"/>
  <c r="L921" i="9"/>
  <c r="V888" i="9"/>
  <c r="V961" i="9"/>
  <c r="V916" i="9"/>
  <c r="W866" i="9"/>
  <c r="L866" i="9"/>
  <c r="T896" i="9"/>
  <c r="K896" i="9"/>
  <c r="U896" i="9" s="1"/>
  <c r="T844" i="9"/>
  <c r="K844" i="9"/>
  <c r="U844" i="9" s="1"/>
  <c r="V779" i="9"/>
  <c r="L839" i="9"/>
  <c r="W839" i="9"/>
  <c r="K752" i="9"/>
  <c r="U752" i="9" s="1"/>
  <c r="T752" i="9"/>
  <c r="L752" i="9"/>
  <c r="V790" i="9"/>
  <c r="V803" i="9"/>
  <c r="V780" i="9"/>
  <c r="V822" i="9"/>
  <c r="V710" i="9"/>
  <c r="T684" i="9"/>
  <c r="K684" i="9"/>
  <c r="U684" i="9" s="1"/>
  <c r="L684" i="9"/>
  <c r="V673" i="9"/>
  <c r="V592" i="9"/>
  <c r="L573" i="9"/>
  <c r="W573" i="9"/>
  <c r="K573" i="9"/>
  <c r="U573" i="9" s="1"/>
  <c r="V631" i="9"/>
  <c r="V563" i="9"/>
  <c r="V697" i="9"/>
  <c r="W572" i="9"/>
  <c r="L572" i="9"/>
  <c r="V546" i="9"/>
  <c r="V486" i="9"/>
  <c r="V530" i="9"/>
  <c r="T327" i="9"/>
  <c r="K327" i="9"/>
  <c r="U327" i="9" s="1"/>
  <c r="L327" i="9"/>
  <c r="V465" i="9"/>
  <c r="V260" i="9"/>
  <c r="L258" i="9"/>
  <c r="W258" i="9"/>
  <c r="V206" i="9"/>
  <c r="T847" i="9"/>
  <c r="K847" i="9"/>
  <c r="U847" i="9" s="1"/>
  <c r="V582" i="9"/>
  <c r="T218" i="9"/>
  <c r="K218" i="9"/>
  <c r="U218" i="9" s="1"/>
  <c r="L218" i="9"/>
  <c r="T960" i="9"/>
  <c r="K960" i="9"/>
  <c r="U960" i="9" s="1"/>
  <c r="T937" i="9"/>
  <c r="K937" i="9"/>
  <c r="U937" i="9" s="1"/>
  <c r="V962" i="9"/>
  <c r="K965" i="9"/>
  <c r="U965" i="9" s="1"/>
  <c r="V950" i="9"/>
  <c r="K934" i="9"/>
  <c r="U934" i="9" s="1"/>
  <c r="T934" i="9"/>
  <c r="L934" i="9"/>
  <c r="V925" i="9"/>
  <c r="L907" i="9"/>
  <c r="W907" i="9"/>
  <c r="T897" i="9"/>
  <c r="K897" i="9"/>
  <c r="U897" i="9" s="1"/>
  <c r="K884" i="9"/>
  <c r="U884" i="9" s="1"/>
  <c r="T884" i="9"/>
  <c r="L861" i="9"/>
  <c r="W861" i="9"/>
  <c r="V889" i="9"/>
  <c r="W915" i="9"/>
  <c r="L915" i="9"/>
  <c r="V852" i="9"/>
  <c r="V844" i="9"/>
  <c r="L847" i="9"/>
  <c r="V767" i="9"/>
  <c r="V816" i="9"/>
  <c r="V809" i="9"/>
  <c r="V810" i="9"/>
  <c r="V833" i="9"/>
  <c r="V782" i="9"/>
  <c r="V765" i="9"/>
  <c r="V806" i="9"/>
  <c r="V855" i="9"/>
  <c r="V775" i="9"/>
  <c r="V781" i="9"/>
  <c r="T722" i="9"/>
  <c r="K722" i="9"/>
  <c r="U722" i="9" s="1"/>
  <c r="L722" i="9"/>
  <c r="V706" i="9"/>
  <c r="V797" i="9"/>
  <c r="V723" i="9"/>
  <c r="K669" i="9"/>
  <c r="U669" i="9" s="1"/>
  <c r="T669" i="9"/>
  <c r="L669" i="9"/>
  <c r="V633" i="9"/>
  <c r="V711" i="9"/>
  <c r="V607" i="9"/>
  <c r="V591" i="9"/>
  <c r="V609" i="9"/>
  <c r="L570" i="9"/>
  <c r="W570" i="9"/>
  <c r="V477" i="9"/>
  <c r="V636" i="9"/>
  <c r="V484" i="9"/>
  <c r="L468" i="9"/>
  <c r="W468" i="9"/>
  <c r="V407" i="9"/>
  <c r="V363" i="9"/>
  <c r="V394" i="9"/>
  <c r="W367" i="9"/>
  <c r="L367" i="9"/>
  <c r="V251" i="9"/>
  <c r="T302" i="9"/>
  <c r="K302" i="9"/>
  <c r="U302" i="9" s="1"/>
  <c r="V274" i="9"/>
  <c r="V246" i="9"/>
  <c r="V147" i="9"/>
  <c r="V75" i="9"/>
  <c r="V71" i="9"/>
  <c r="V179" i="9"/>
  <c r="V49" i="9"/>
  <c r="L884" i="9"/>
  <c r="W884" i="9"/>
  <c r="V733" i="9"/>
  <c r="K625" i="9"/>
  <c r="U625" i="9" s="1"/>
  <c r="T625" i="9"/>
  <c r="V621" i="9"/>
  <c r="V699" i="9"/>
  <c r="V693" i="9"/>
  <c r="T509" i="9"/>
  <c r="K509" i="9"/>
  <c r="U509" i="9" s="1"/>
  <c r="L509" i="9"/>
  <c r="V695" i="9"/>
  <c r="V442" i="9"/>
  <c r="V525" i="9"/>
  <c r="V516" i="9"/>
  <c r="V559" i="9"/>
  <c r="V501" i="9"/>
  <c r="V403" i="9"/>
  <c r="V391" i="9"/>
  <c r="V359" i="9"/>
  <c r="V330" i="9"/>
  <c r="V209" i="9"/>
  <c r="V312" i="9"/>
  <c r="V273" i="9"/>
  <c r="V155" i="9"/>
  <c r="V208" i="9"/>
  <c r="V161" i="9"/>
  <c r="V111" i="9"/>
  <c r="W340" i="9"/>
  <c r="L340" i="9"/>
  <c r="V44" i="9"/>
  <c r="K44" i="9"/>
  <c r="U44" i="9" s="1"/>
  <c r="T44" i="9"/>
  <c r="V651" i="9"/>
  <c r="T545" i="9"/>
  <c r="K545" i="9"/>
  <c r="U545" i="9" s="1"/>
  <c r="L545" i="9"/>
  <c r="T536" i="9"/>
  <c r="K536" i="9"/>
  <c r="U536" i="9" s="1"/>
  <c r="L536" i="9"/>
  <c r="V947" i="9"/>
  <c r="V890" i="9"/>
  <c r="V744" i="9"/>
  <c r="V718" i="9"/>
  <c r="V784" i="9"/>
  <c r="V970" i="9"/>
  <c r="V957" i="9"/>
  <c r="V929" i="9"/>
  <c r="V881" i="9"/>
  <c r="V854" i="9"/>
  <c r="V902" i="9"/>
  <c r="V935" i="9"/>
  <c r="T832" i="9"/>
  <c r="K832" i="9"/>
  <c r="U832" i="9" s="1"/>
  <c r="V804" i="9"/>
  <c r="V829" i="9"/>
  <c r="L826" i="9"/>
  <c r="T763" i="9"/>
  <c r="K763" i="9"/>
  <c r="U763" i="9" s="1"/>
  <c r="V756" i="9"/>
  <c r="V714" i="9"/>
  <c r="V716" i="9"/>
  <c r="V757" i="9"/>
  <c r="V691" i="9"/>
  <c r="V648" i="9"/>
  <c r="V696" i="9"/>
  <c r="V645" i="9"/>
  <c r="V604" i="9"/>
  <c r="T491" i="9"/>
  <c r="K491" i="9"/>
  <c r="U491" i="9" s="1"/>
  <c r="L491" i="9"/>
  <c r="V599" i="9"/>
  <c r="V510" i="9"/>
  <c r="K558" i="9"/>
  <c r="U558" i="9" s="1"/>
  <c r="T558" i="9"/>
  <c r="V286" i="9"/>
  <c r="V365" i="9"/>
  <c r="K138" i="9"/>
  <c r="U138" i="9" s="1"/>
  <c r="T138" i="9"/>
  <c r="L302" i="9"/>
  <c r="V180" i="9"/>
  <c r="V54" i="9"/>
  <c r="L138" i="9"/>
  <c r="T64" i="9"/>
  <c r="K64" i="9"/>
  <c r="U64" i="9" s="1"/>
  <c r="V37" i="9"/>
  <c r="K62" i="9"/>
  <c r="U62" i="9" s="1"/>
  <c r="T62" i="9"/>
  <c r="L707" i="9"/>
  <c r="W707" i="9"/>
  <c r="V622" i="9"/>
  <c r="V564" i="9"/>
  <c r="K468" i="9"/>
  <c r="U468" i="9" s="1"/>
  <c r="T468" i="9"/>
  <c r="V372" i="9"/>
  <c r="V303" i="9"/>
  <c r="V203" i="9"/>
  <c r="V156" i="9"/>
  <c r="T951" i="9"/>
  <c r="K951" i="9"/>
  <c r="U951" i="9" s="1"/>
  <c r="V933" i="9"/>
  <c r="V869" i="9"/>
  <c r="L887" i="9"/>
  <c r="V956" i="9"/>
  <c r="V953" i="9"/>
  <c r="V940" i="9"/>
  <c r="W920" i="9"/>
  <c r="L920" i="9"/>
  <c r="K920" i="9"/>
  <c r="U920" i="9" s="1"/>
  <c r="V924" i="9"/>
  <c r="V931" i="9"/>
  <c r="V892" i="9"/>
  <c r="T865" i="9"/>
  <c r="K865" i="9"/>
  <c r="U865" i="9" s="1"/>
  <c r="V846" i="9"/>
  <c r="V820" i="9"/>
  <c r="V768" i="9"/>
  <c r="V828" i="9"/>
  <c r="V682" i="9"/>
  <c r="V726" i="9"/>
  <c r="V662" i="9"/>
  <c r="K707" i="9"/>
  <c r="U707" i="9" s="1"/>
  <c r="T641" i="9"/>
  <c r="K641" i="9"/>
  <c r="U641" i="9" s="1"/>
  <c r="L649" i="9"/>
  <c r="W649" i="9"/>
  <c r="V674" i="9"/>
  <c r="V596" i="9"/>
  <c r="V467" i="9"/>
  <c r="V574" i="9"/>
  <c r="V537" i="9"/>
  <c r="V399" i="9"/>
  <c r="T312" i="9"/>
  <c r="K312" i="9"/>
  <c r="U312" i="9" s="1"/>
  <c r="T299" i="9"/>
  <c r="K299" i="9"/>
  <c r="U299" i="9" s="1"/>
  <c r="L299" i="9"/>
  <c r="V172" i="9"/>
  <c r="T52" i="9"/>
  <c r="K52" i="9"/>
  <c r="U52" i="9" s="1"/>
  <c r="K264" i="9"/>
  <c r="U264" i="9" s="1"/>
  <c r="T264" i="9"/>
  <c r="L62" i="9"/>
  <c r="W62" i="9"/>
  <c r="T915" i="9"/>
  <c r="K915" i="9"/>
  <c r="U915" i="9" s="1"/>
  <c r="T778" i="9"/>
  <c r="K778" i="9"/>
  <c r="U778" i="9" s="1"/>
  <c r="L778" i="9"/>
  <c r="V764" i="9"/>
  <c r="K634" i="9"/>
  <c r="U634" i="9" s="1"/>
  <c r="L634" i="9"/>
  <c r="T634" i="9"/>
  <c r="V590" i="9"/>
  <c r="V748" i="9"/>
  <c r="V963" i="9"/>
  <c r="V966" i="9"/>
  <c r="T885" i="9"/>
  <c r="K885" i="9"/>
  <c r="U885" i="9" s="1"/>
  <c r="K917" i="9"/>
  <c r="U917" i="9" s="1"/>
  <c r="T917" i="9"/>
  <c r="V873" i="9"/>
  <c r="V848" i="9"/>
  <c r="V874" i="9"/>
  <c r="V850" i="9"/>
  <c r="L954" i="9"/>
  <c r="V849" i="9"/>
  <c r="V835" i="9"/>
  <c r="V798" i="9"/>
  <c r="V758" i="9"/>
  <c r="V845" i="9"/>
  <c r="K764" i="9"/>
  <c r="U764" i="9" s="1"/>
  <c r="T764" i="9"/>
  <c r="T698" i="9"/>
  <c r="K698" i="9"/>
  <c r="U698" i="9" s="1"/>
  <c r="V774" i="9"/>
  <c r="T680" i="9"/>
  <c r="K680" i="9"/>
  <c r="U680" i="9" s="1"/>
  <c r="V702" i="9"/>
  <c r="V740" i="9"/>
  <c r="L665" i="9"/>
  <c r="W665" i="9"/>
  <c r="V598" i="9"/>
  <c r="L637" i="9"/>
  <c r="W637" i="9"/>
  <c r="V617" i="9"/>
  <c r="L642" i="9"/>
  <c r="V498" i="9"/>
  <c r="L666" i="9"/>
  <c r="V463" i="9"/>
  <c r="K552" i="9"/>
  <c r="U552" i="9" s="1"/>
  <c r="T552" i="9"/>
  <c r="V462" i="9"/>
  <c r="V198" i="9"/>
  <c r="W85" i="9"/>
  <c r="L85" i="9"/>
  <c r="K776" i="9"/>
  <c r="U776" i="9" s="1"/>
  <c r="T776" i="9"/>
  <c r="V741" i="9"/>
  <c r="V870" i="9"/>
  <c r="L937" i="9"/>
  <c r="V877" i="9"/>
  <c r="V875" i="9"/>
  <c r="V830" i="9"/>
  <c r="V789" i="9"/>
  <c r="V747" i="9"/>
  <c r="V763" i="9"/>
  <c r="V836" i="9"/>
  <c r="V824" i="9"/>
  <c r="V834" i="9"/>
  <c r="K678" i="9"/>
  <c r="U678" i="9" s="1"/>
  <c r="T678" i="9"/>
  <c r="L678" i="9"/>
  <c r="L769" i="9"/>
  <c r="W769" i="9"/>
  <c r="V686" i="9"/>
  <c r="V745" i="9"/>
  <c r="K693" i="9"/>
  <c r="U693" i="9" s="1"/>
  <c r="T693" i="9"/>
  <c r="V701" i="9"/>
  <c r="K637" i="9"/>
  <c r="U637" i="9" s="1"/>
  <c r="T637" i="9"/>
  <c r="L698" i="9"/>
  <c r="V628" i="9"/>
  <c r="V588" i="9"/>
  <c r="T629" i="9"/>
  <c r="K629" i="9"/>
  <c r="U629" i="9" s="1"/>
  <c r="K615" i="9"/>
  <c r="U615" i="9" s="1"/>
  <c r="T615" i="9"/>
  <c r="L615" i="9"/>
  <c r="K665" i="9"/>
  <c r="U665" i="9" s="1"/>
  <c r="V635" i="9"/>
  <c r="V632" i="9"/>
  <c r="V497" i="9"/>
  <c r="T501" i="9"/>
  <c r="K501" i="9"/>
  <c r="U501" i="9" s="1"/>
  <c r="T458" i="9"/>
  <c r="K458" i="9"/>
  <c r="U458" i="9" s="1"/>
  <c r="L458" i="9"/>
  <c r="T551" i="9"/>
  <c r="K551" i="9"/>
  <c r="U551" i="9" s="1"/>
  <c r="L551" i="9"/>
  <c r="V507" i="9"/>
  <c r="V408" i="9"/>
  <c r="V383" i="9"/>
  <c r="W239" i="9"/>
  <c r="L239" i="9"/>
  <c r="K239" i="9"/>
  <c r="U239" i="9" s="1"/>
  <c r="V331" i="9"/>
  <c r="T358" i="9"/>
  <c r="K358" i="9"/>
  <c r="U358" i="9" s="1"/>
  <c r="V342" i="9"/>
  <c r="V320" i="9"/>
  <c r="V362" i="9"/>
  <c r="V52" i="9"/>
  <c r="V73" i="9"/>
  <c r="T85" i="9"/>
  <c r="K85" i="9"/>
  <c r="U85" i="9" s="1"/>
  <c r="W896" i="9"/>
  <c r="L896" i="9"/>
  <c r="V586" i="9"/>
  <c r="V15" i="9"/>
  <c r="V972" i="9"/>
  <c r="V904" i="9"/>
  <c r="V856" i="9"/>
  <c r="V755" i="9"/>
  <c r="K913" i="9"/>
  <c r="U913" i="9" s="1"/>
  <c r="T913" i="9"/>
  <c r="L913" i="9"/>
  <c r="V968" i="9"/>
  <c r="K938" i="9"/>
  <c r="U938" i="9" s="1"/>
  <c r="V943" i="9"/>
  <c r="V932" i="9"/>
  <c r="V864" i="9"/>
  <c r="V842" i="9"/>
  <c r="L865" i="9"/>
  <c r="V812" i="9"/>
  <c r="L832" i="9"/>
  <c r="V792" i="9"/>
  <c r="V794" i="9"/>
  <c r="L821" i="9"/>
  <c r="W821" i="9"/>
  <c r="T769" i="9"/>
  <c r="K769" i="9"/>
  <c r="U769" i="9" s="1"/>
  <c r="V805" i="9"/>
  <c r="K735" i="9"/>
  <c r="U735" i="9" s="1"/>
  <c r="T735" i="9"/>
  <c r="V773" i="9"/>
  <c r="V712" i="9"/>
  <c r="V734" i="9"/>
  <c r="V770" i="9"/>
  <c r="T695" i="9"/>
  <c r="K695" i="9"/>
  <c r="U695" i="9" s="1"/>
  <c r="V672" i="9"/>
  <c r="V620" i="9"/>
  <c r="V690" i="9"/>
  <c r="V623" i="9"/>
  <c r="V663" i="9"/>
  <c r="V583" i="9"/>
  <c r="T609" i="9"/>
  <c r="K609" i="9"/>
  <c r="U609" i="9" s="1"/>
  <c r="V456" i="9"/>
  <c r="V653" i="9"/>
  <c r="T494" i="9"/>
  <c r="K494" i="9"/>
  <c r="U494" i="9" s="1"/>
  <c r="L558" i="9"/>
  <c r="V438" i="9"/>
  <c r="T336" i="9"/>
  <c r="K336" i="9"/>
  <c r="U336" i="9" s="1"/>
  <c r="L336" i="9"/>
  <c r="V267" i="9"/>
  <c r="K242" i="9"/>
  <c r="U242" i="9" s="1"/>
  <c r="T242" i="9"/>
  <c r="L242" i="9"/>
  <c r="L82" i="9"/>
  <c r="W82" i="9"/>
  <c r="V969" i="9"/>
  <c r="V739" i="9"/>
  <c r="V705" i="9"/>
  <c r="V306" i="9"/>
  <c r="V928" i="9"/>
  <c r="K941" i="9"/>
  <c r="U941" i="9" s="1"/>
  <c r="T941" i="9"/>
  <c r="V936" i="9"/>
  <c r="V898" i="9"/>
  <c r="T862" i="9"/>
  <c r="K862" i="9"/>
  <c r="U862" i="9" s="1"/>
  <c r="L917" i="9"/>
  <c r="V867" i="9"/>
  <c r="L857" i="9"/>
  <c r="W857" i="9"/>
  <c r="V841" i="9"/>
  <c r="V788" i="9"/>
  <c r="V801" i="9"/>
  <c r="T820" i="9"/>
  <c r="K820" i="9"/>
  <c r="U820" i="9" s="1"/>
  <c r="V851" i="9"/>
  <c r="K821" i="9"/>
  <c r="U821" i="9" s="1"/>
  <c r="T821" i="9"/>
  <c r="V675" i="9"/>
  <c r="K723" i="9"/>
  <c r="U723" i="9" s="1"/>
  <c r="T723" i="9"/>
  <c r="V771" i="9"/>
  <c r="V657" i="9"/>
  <c r="V580" i="9"/>
  <c r="V603" i="9"/>
  <c r="V646" i="9"/>
  <c r="V488" i="9"/>
  <c r="K540" i="9"/>
  <c r="U540" i="9" s="1"/>
  <c r="T540" i="9"/>
  <c r="L540" i="9"/>
  <c r="L552" i="9"/>
  <c r="V479" i="9"/>
  <c r="V435" i="9"/>
  <c r="K333" i="9"/>
  <c r="U333" i="9" s="1"/>
  <c r="T333" i="9"/>
  <c r="L333" i="9"/>
  <c r="K315" i="9"/>
  <c r="U315" i="9" s="1"/>
  <c r="T315" i="9"/>
  <c r="L315" i="9"/>
  <c r="V113" i="9"/>
  <c r="V86" i="9"/>
  <c r="V165" i="9"/>
  <c r="T82" i="9"/>
  <c r="K82" i="9"/>
  <c r="U82" i="9" s="1"/>
  <c r="T802" i="9"/>
  <c r="K802" i="9"/>
  <c r="U802" i="9" s="1"/>
  <c r="L802" i="9"/>
  <c r="V724" i="9"/>
  <c r="V859" i="9"/>
  <c r="V818" i="9"/>
  <c r="V945" i="9"/>
  <c r="V882" i="9"/>
  <c r="K861" i="9"/>
  <c r="U861" i="9" s="1"/>
  <c r="V868" i="9"/>
  <c r="T838" i="9"/>
  <c r="K838" i="9"/>
  <c r="U838" i="9" s="1"/>
  <c r="L838" i="9"/>
  <c r="L776" i="9"/>
  <c r="L827" i="9"/>
  <c r="W827" i="9"/>
  <c r="V786" i="9"/>
  <c r="L815" i="9"/>
  <c r="W815" i="9"/>
  <c r="L791" i="9"/>
  <c r="W791" i="9"/>
  <c r="V753" i="9"/>
  <c r="V732" i="9"/>
  <c r="K654" i="9"/>
  <c r="U654" i="9" s="1"/>
  <c r="T654" i="9"/>
  <c r="V708" i="9"/>
  <c r="V738" i="9"/>
  <c r="V692" i="9"/>
  <c r="L680" i="9"/>
  <c r="N647" i="9" s="1"/>
  <c r="L654" i="9"/>
  <c r="V577" i="9"/>
  <c r="V643" i="9"/>
  <c r="V601" i="9"/>
  <c r="V568" i="9"/>
  <c r="V533" i="9"/>
  <c r="V360" i="9"/>
  <c r="W385" i="9"/>
  <c r="L385" i="9"/>
  <c r="V429" i="9"/>
  <c r="V355" i="9"/>
  <c r="V389" i="9"/>
  <c r="V432" i="9"/>
  <c r="V376" i="9"/>
  <c r="V282" i="9"/>
  <c r="V309" i="9"/>
  <c r="V375" i="9"/>
  <c r="V201" i="9"/>
  <c r="V817" i="9"/>
  <c r="T751" i="9"/>
  <c r="L751" i="9"/>
  <c r="K751" i="9"/>
  <c r="U751" i="9" s="1"/>
  <c r="V720" i="9"/>
  <c r="K675" i="9"/>
  <c r="U675" i="9" s="1"/>
  <c r="T675" i="9"/>
  <c r="V729" i="9"/>
  <c r="L625" i="9"/>
  <c r="W625" i="9"/>
  <c r="T621" i="9"/>
  <c r="K621" i="9"/>
  <c r="U621" i="9" s="1"/>
  <c r="V658" i="9"/>
  <c r="V737" i="9"/>
  <c r="K649" i="9"/>
  <c r="U649" i="9" s="1"/>
  <c r="T649" i="9"/>
  <c r="V600" i="9"/>
  <c r="V656" i="9"/>
  <c r="L613" i="9"/>
  <c r="W613" i="9"/>
  <c r="T569" i="9"/>
  <c r="K569" i="9"/>
  <c r="U569" i="9" s="1"/>
  <c r="L683" i="9"/>
  <c r="W683" i="9"/>
  <c r="T387" i="9"/>
  <c r="K387" i="9"/>
  <c r="U387" i="9" s="1"/>
  <c r="T539" i="9"/>
  <c r="K539" i="9"/>
  <c r="U539" i="9" s="1"/>
  <c r="V777" i="9"/>
  <c r="V485" i="9"/>
  <c r="K447" i="9"/>
  <c r="U447" i="9" s="1"/>
  <c r="T447" i="9"/>
  <c r="V500" i="9"/>
  <c r="T513" i="9"/>
  <c r="K513" i="9"/>
  <c r="U513" i="9" s="1"/>
  <c r="AA579" i="9"/>
  <c r="T473" i="9"/>
  <c r="K473" i="9"/>
  <c r="U473" i="9" s="1"/>
  <c r="V561" i="9"/>
  <c r="V393" i="9"/>
  <c r="V455" i="9"/>
  <c r="T337" i="9"/>
  <c r="K337" i="9"/>
  <c r="U337" i="9" s="1"/>
  <c r="T284" i="9"/>
  <c r="K284" i="9"/>
  <c r="U284" i="9" s="1"/>
  <c r="V316" i="9"/>
  <c r="K519" i="9"/>
  <c r="U519" i="9" s="1"/>
  <c r="T519" i="9"/>
  <c r="V379" i="9"/>
  <c r="V430" i="9"/>
  <c r="W446" i="9"/>
  <c r="L446" i="9"/>
  <c r="L373" i="9"/>
  <c r="W373" i="9"/>
  <c r="V487" i="9"/>
  <c r="V382" i="9"/>
  <c r="K370" i="9"/>
  <c r="U370" i="9" s="1"/>
  <c r="T370" i="9"/>
  <c r="V490" i="9"/>
  <c r="K276" i="9"/>
  <c r="U276" i="9" s="1"/>
  <c r="T276" i="9"/>
  <c r="V262" i="9"/>
  <c r="V207" i="9"/>
  <c r="V287" i="9"/>
  <c r="V397" i="9"/>
  <c r="V418" i="9"/>
  <c r="L326" i="9"/>
  <c r="W326" i="9"/>
  <c r="V290" i="9"/>
  <c r="V222" i="9"/>
  <c r="V33" i="9"/>
  <c r="V166" i="9"/>
  <c r="V119" i="9"/>
  <c r="V83" i="9"/>
  <c r="V60" i="9"/>
  <c r="V191" i="9"/>
  <c r="K50" i="9"/>
  <c r="U50" i="9" s="1"/>
  <c r="T50" i="9"/>
  <c r="AA66" i="9"/>
  <c r="V30" i="9"/>
  <c r="V173" i="9"/>
  <c r="T109" i="9"/>
  <c r="K109" i="9"/>
  <c r="U109" i="9" s="1"/>
  <c r="V26" i="9"/>
  <c r="V93" i="9"/>
  <c r="V45" i="9"/>
  <c r="V772" i="9"/>
  <c r="V717" i="9"/>
  <c r="Y817" i="9"/>
  <c r="V785" i="9"/>
  <c r="T784" i="9"/>
  <c r="K784" i="9"/>
  <c r="U784" i="9" s="1"/>
  <c r="V719" i="9"/>
  <c r="V749" i="9"/>
  <c r="V736" i="9"/>
  <c r="V614" i="9"/>
  <c r="K653" i="9"/>
  <c r="U653" i="9" s="1"/>
  <c r="T653" i="9"/>
  <c r="V671" i="9"/>
  <c r="T683" i="9"/>
  <c r="K683" i="9"/>
  <c r="U683" i="9" s="1"/>
  <c r="V606" i="9"/>
  <c r="V555" i="9"/>
  <c r="V503" i="9"/>
  <c r="V489" i="9"/>
  <c r="V579" i="9"/>
  <c r="Y502" i="9"/>
  <c r="V470" i="9"/>
  <c r="T385" i="9"/>
  <c r="K385" i="9"/>
  <c r="U385" i="9" s="1"/>
  <c r="V483" i="9"/>
  <c r="L337" i="9"/>
  <c r="W337" i="9"/>
  <c r="L447" i="9"/>
  <c r="V433" i="9"/>
  <c r="L519" i="9"/>
  <c r="W519" i="9"/>
  <c r="V292" i="9"/>
  <c r="V469" i="9"/>
  <c r="K362" i="9"/>
  <c r="U362" i="9" s="1"/>
  <c r="T362" i="9"/>
  <c r="V414" i="9"/>
  <c r="T308" i="9"/>
  <c r="K308" i="9"/>
  <c r="U308" i="9" s="1"/>
  <c r="K367" i="9"/>
  <c r="U367" i="9" s="1"/>
  <c r="T367" i="9"/>
  <c r="K316" i="9"/>
  <c r="U316" i="9" s="1"/>
  <c r="T316" i="9"/>
  <c r="V371" i="9"/>
  <c r="T283" i="9"/>
  <c r="K283" i="9"/>
  <c r="U283" i="9" s="1"/>
  <c r="V217" i="9"/>
  <c r="V257" i="9"/>
  <c r="V189" i="9"/>
  <c r="T326" i="9"/>
  <c r="K326" i="9"/>
  <c r="U326" i="9" s="1"/>
  <c r="L473" i="9"/>
  <c r="K210" i="9"/>
  <c r="U210" i="9" s="1"/>
  <c r="T210" i="9"/>
  <c r="T213" i="9"/>
  <c r="K213" i="9"/>
  <c r="U213" i="9" s="1"/>
  <c r="V215" i="9"/>
  <c r="V167" i="9"/>
  <c r="V115" i="9"/>
  <c r="T340" i="9"/>
  <c r="K340" i="9"/>
  <c r="U340" i="9" s="1"/>
  <c r="AA191" i="9"/>
  <c r="V69" i="9"/>
  <c r="V53" i="9"/>
  <c r="W64" i="9"/>
  <c r="L64" i="9"/>
  <c r="V47" i="9"/>
  <c r="AA161" i="9"/>
  <c r="V32" i="9"/>
  <c r="V84" i="9"/>
  <c r="V42" i="9"/>
  <c r="W46" i="9"/>
  <c r="L46" i="9"/>
  <c r="V534" i="9"/>
  <c r="V560" i="9"/>
  <c r="V426" i="9"/>
  <c r="V441" i="9"/>
  <c r="V474" i="9"/>
  <c r="V478" i="9"/>
  <c r="T476" i="9"/>
  <c r="K476" i="9"/>
  <c r="U476" i="9" s="1"/>
  <c r="L476" i="9"/>
  <c r="K330" i="9"/>
  <c r="U330" i="9" s="1"/>
  <c r="T330" i="9"/>
  <c r="V387" i="9"/>
  <c r="V395" i="9"/>
  <c r="V396" i="9"/>
  <c r="K300" i="9"/>
  <c r="U300" i="9" s="1"/>
  <c r="T300" i="9"/>
  <c r="L495" i="9"/>
  <c r="W495" i="9"/>
  <c r="V386" i="9"/>
  <c r="V255" i="9"/>
  <c r="V454" i="9"/>
  <c r="V289" i="9"/>
  <c r="K212" i="9"/>
  <c r="U212" i="9" s="1"/>
  <c r="T212" i="9"/>
  <c r="L358" i="9"/>
  <c r="W358" i="9"/>
  <c r="V366" i="9"/>
  <c r="V238" i="9"/>
  <c r="V308" i="9"/>
  <c r="V143" i="9"/>
  <c r="V178" i="9"/>
  <c r="V100" i="9"/>
  <c r="V205" i="9"/>
  <c r="N205" i="9"/>
  <c r="V159" i="9"/>
  <c r="V107" i="9"/>
  <c r="T134" i="9"/>
  <c r="K134" i="9"/>
  <c r="U134" i="9" s="1"/>
  <c r="V170" i="9"/>
  <c r="V35" i="9"/>
  <c r="V220" i="9"/>
  <c r="V164" i="9"/>
  <c r="V29" i="9"/>
  <c r="W97" i="9"/>
  <c r="L97" i="9"/>
  <c r="W133" i="9"/>
  <c r="L133" i="9"/>
  <c r="V43" i="9"/>
  <c r="V24" i="9"/>
  <c r="V79" i="9"/>
  <c r="W149" i="9"/>
  <c r="AA149" i="9" s="1"/>
  <c r="L149" i="9"/>
  <c r="L264" i="9"/>
  <c r="W264" i="9"/>
  <c r="V22" i="9"/>
  <c r="V214" i="9"/>
  <c r="V144" i="9"/>
  <c r="V610" i="9"/>
  <c r="V659" i="9"/>
  <c r="K630" i="9"/>
  <c r="U630" i="9" s="1"/>
  <c r="T630" i="9"/>
  <c r="V639" i="9"/>
  <c r="V594" i="9"/>
  <c r="V575" i="9"/>
  <c r="T572" i="9"/>
  <c r="K572" i="9"/>
  <c r="U572" i="9" s="1"/>
  <c r="V431" i="9"/>
  <c r="T557" i="9"/>
  <c r="K557" i="9"/>
  <c r="U557" i="9" s="1"/>
  <c r="V480" i="9"/>
  <c r="N480" i="9"/>
  <c r="V549" i="9"/>
  <c r="V492" i="9"/>
  <c r="V543" i="9"/>
  <c r="V569" i="9"/>
  <c r="K459" i="9"/>
  <c r="U459" i="9" s="1"/>
  <c r="T459" i="9"/>
  <c r="T542" i="9"/>
  <c r="K542" i="9"/>
  <c r="U542" i="9" s="1"/>
  <c r="T303" i="9"/>
  <c r="K303" i="9"/>
  <c r="U303" i="9" s="1"/>
  <c r="V571" i="9"/>
  <c r="N571" i="9"/>
  <c r="T329" i="9"/>
  <c r="K329" i="9"/>
  <c r="U329" i="9" s="1"/>
  <c r="K369" i="9"/>
  <c r="U369" i="9" s="1"/>
  <c r="T369" i="9"/>
  <c r="V323" i="9"/>
  <c r="T410" i="9"/>
  <c r="K410" i="9"/>
  <c r="U410" i="9" s="1"/>
  <c r="V249" i="9"/>
  <c r="V288" i="9"/>
  <c r="V256" i="9"/>
  <c r="K193" i="9"/>
  <c r="U193" i="9" s="1"/>
  <c r="T193" i="9"/>
  <c r="V276" i="9"/>
  <c r="T390" i="9"/>
  <c r="K390" i="9"/>
  <c r="U390" i="9" s="1"/>
  <c r="W356" i="9"/>
  <c r="L356" i="9"/>
  <c r="V254" i="9"/>
  <c r="K256" i="9"/>
  <c r="U256" i="9" s="1"/>
  <c r="T256" i="9"/>
  <c r="V192" i="9"/>
  <c r="V186" i="9"/>
  <c r="V150" i="9"/>
  <c r="V103" i="9"/>
  <c r="T122" i="9"/>
  <c r="K122" i="9"/>
  <c r="U122" i="9" s="1"/>
  <c r="K225" i="9"/>
  <c r="U225" i="9" s="1"/>
  <c r="T225" i="9"/>
  <c r="K162" i="9"/>
  <c r="U162" i="9" s="1"/>
  <c r="T162" i="9"/>
  <c r="V57" i="9"/>
  <c r="V72" i="9"/>
  <c r="V17" i="9"/>
  <c r="V154" i="9"/>
  <c r="V74" i="9"/>
  <c r="V31" i="9"/>
  <c r="T97" i="9"/>
  <c r="X97" i="9" s="1"/>
  <c r="K97" i="9"/>
  <c r="U97" i="9" s="1"/>
  <c r="T133" i="9"/>
  <c r="K133" i="9"/>
  <c r="U133" i="9" s="1"/>
  <c r="V176" i="9"/>
  <c r="V68" i="9"/>
  <c r="K149" i="9"/>
  <c r="U149" i="9" s="1"/>
  <c r="T149" i="9"/>
  <c r="Y292" i="9"/>
  <c r="V557" i="9"/>
  <c r="K322" i="9"/>
  <c r="U322" i="9" s="1"/>
  <c r="T322" i="9"/>
  <c r="V518" i="9"/>
  <c r="V513" i="9"/>
  <c r="T248" i="9"/>
  <c r="K248" i="9"/>
  <c r="U248" i="9" s="1"/>
  <c r="V277" i="9"/>
  <c r="V244" i="9"/>
  <c r="V390" i="9"/>
  <c r="V341" i="9"/>
  <c r="V270" i="9"/>
  <c r="V245" i="9"/>
  <c r="V266" i="9"/>
  <c r="V425" i="9"/>
  <c r="T356" i="9"/>
  <c r="K356" i="9"/>
  <c r="U356" i="9" s="1"/>
  <c r="V231" i="9"/>
  <c r="L190" i="9"/>
  <c r="W190" i="9"/>
  <c r="V145" i="9"/>
  <c r="V174" i="9"/>
  <c r="V94" i="9"/>
  <c r="L196" i="9"/>
  <c r="W196" i="9"/>
  <c r="V135" i="9"/>
  <c r="T110" i="9"/>
  <c r="K110" i="9"/>
  <c r="U110" i="9" s="1"/>
  <c r="W225" i="9"/>
  <c r="L225" i="9"/>
  <c r="V36" i="9"/>
  <c r="V153" i="9"/>
  <c r="V77" i="9"/>
  <c r="V38" i="9"/>
  <c r="V195" i="9"/>
  <c r="V81" i="9"/>
  <c r="L162" i="9"/>
  <c r="V12" i="9"/>
  <c r="T570" i="9"/>
  <c r="K570" i="9"/>
  <c r="U570" i="9" s="1"/>
  <c r="T477" i="9"/>
  <c r="K477" i="9"/>
  <c r="U477" i="9" s="1"/>
  <c r="V471" i="9"/>
  <c r="V541" i="9"/>
  <c r="K534" i="9"/>
  <c r="U534" i="9" s="1"/>
  <c r="T534" i="9"/>
  <c r="K486" i="9"/>
  <c r="U486" i="9" s="1"/>
  <c r="T486" i="9"/>
  <c r="V444" i="9"/>
  <c r="V556" i="9"/>
  <c r="V413" i="9"/>
  <c r="V422" i="9"/>
  <c r="V370" i="9"/>
  <c r="L322" i="9"/>
  <c r="W322" i="9"/>
  <c r="T389" i="9"/>
  <c r="K389" i="9"/>
  <c r="U389" i="9" s="1"/>
  <c r="V405" i="9"/>
  <c r="K301" i="9"/>
  <c r="U301" i="9" s="1"/>
  <c r="T301" i="9"/>
  <c r="V272" i="9"/>
  <c r="V241" i="9"/>
  <c r="V229" i="9"/>
  <c r="L300" i="9"/>
  <c r="V291" i="9"/>
  <c r="V240" i="9"/>
  <c r="V188" i="9"/>
  <c r="K190" i="9"/>
  <c r="U190" i="9" s="1"/>
  <c r="T190" i="9"/>
  <c r="V92" i="9"/>
  <c r="T196" i="9"/>
  <c r="K196" i="9"/>
  <c r="U196" i="9" s="1"/>
  <c r="V131" i="9"/>
  <c r="V99" i="9"/>
  <c r="V187" i="9"/>
  <c r="T98" i="9"/>
  <c r="K98" i="9"/>
  <c r="U98" i="9" s="1"/>
  <c r="V39" i="9"/>
  <c r="V18" i="9"/>
  <c r="V151" i="9"/>
  <c r="V59" i="9"/>
  <c r="L134" i="9"/>
  <c r="L122" i="9"/>
  <c r="V137" i="9"/>
  <c r="V13" i="9"/>
  <c r="V70" i="9"/>
  <c r="L98" i="9"/>
  <c r="V27" i="9"/>
  <c r="V506" i="9"/>
  <c r="V531" i="9"/>
  <c r="K516" i="9"/>
  <c r="U516" i="9" s="1"/>
  <c r="T516" i="9"/>
  <c r="V451" i="9"/>
  <c r="T533" i="9"/>
  <c r="K533" i="9"/>
  <c r="U533" i="9" s="1"/>
  <c r="V443" i="9"/>
  <c r="N443" i="9"/>
  <c r="K531" i="9"/>
  <c r="U531" i="9" s="1"/>
  <c r="T531" i="9"/>
  <c r="V457" i="9"/>
  <c r="V416" i="9"/>
  <c r="V532" i="9"/>
  <c r="V472" i="9"/>
  <c r="T306" i="9"/>
  <c r="K306" i="9"/>
  <c r="U306" i="9" s="1"/>
  <c r="T321" i="9"/>
  <c r="K321" i="9"/>
  <c r="U321" i="9" s="1"/>
  <c r="V378" i="9"/>
  <c r="K278" i="9"/>
  <c r="U278" i="9" s="1"/>
  <c r="T278" i="9"/>
  <c r="V544" i="9"/>
  <c r="V381" i="9"/>
  <c r="V508" i="9"/>
  <c r="L542" i="9"/>
  <c r="L301" i="9"/>
  <c r="W301" i="9"/>
  <c r="V243" i="9"/>
  <c r="V398" i="9"/>
  <c r="V211" i="9"/>
  <c r="L329" i="9"/>
  <c r="V298" i="9"/>
  <c r="V233" i="9"/>
  <c r="V259" i="9"/>
  <c r="K365" i="9"/>
  <c r="U365" i="9" s="1"/>
  <c r="T365" i="9"/>
  <c r="V346" i="9"/>
  <c r="V401" i="9"/>
  <c r="L284" i="9"/>
  <c r="V236" i="9"/>
  <c r="L369" i="9"/>
  <c r="V307" i="9"/>
  <c r="V227" i="9"/>
  <c r="V184" i="9"/>
  <c r="V157" i="9"/>
  <c r="V89" i="9"/>
  <c r="T130" i="9"/>
  <c r="K130" i="9"/>
  <c r="U130" i="9" s="1"/>
  <c r="V95" i="9"/>
  <c r="T86" i="9"/>
  <c r="K86" i="9"/>
  <c r="U86" i="9" s="1"/>
  <c r="V223" i="9"/>
  <c r="V142" i="9"/>
  <c r="V41" i="9"/>
  <c r="N61" i="9"/>
  <c r="V61" i="9"/>
  <c r="K80" i="9"/>
  <c r="U80" i="9" s="1"/>
  <c r="T80" i="9"/>
  <c r="V63" i="9"/>
  <c r="V200" i="9"/>
  <c r="W121" i="9"/>
  <c r="L121" i="9"/>
  <c r="Y27" i="9"/>
  <c r="V504" i="9"/>
  <c r="V584" i="9"/>
  <c r="V624" i="9"/>
  <c r="V522" i="9"/>
  <c r="V453" i="9"/>
  <c r="V528" i="9"/>
  <c r="V608" i="9"/>
  <c r="V585" i="9"/>
  <c r="V450" i="9"/>
  <c r="V464" i="9"/>
  <c r="V421" i="9"/>
  <c r="T521" i="9"/>
  <c r="K521" i="9"/>
  <c r="U521" i="9" s="1"/>
  <c r="V576" i="9"/>
  <c r="K360" i="9"/>
  <c r="U360" i="9" s="1"/>
  <c r="T360" i="9"/>
  <c r="T530" i="9"/>
  <c r="K530" i="9"/>
  <c r="U530" i="9" s="1"/>
  <c r="V411" i="9"/>
  <c r="K309" i="9"/>
  <c r="U309" i="9" s="1"/>
  <c r="T309" i="9"/>
  <c r="V419" i="9"/>
  <c r="V400" i="9"/>
  <c r="V293" i="9"/>
  <c r="V461" i="9"/>
  <c r="N461" i="9"/>
  <c r="W380" i="9"/>
  <c r="L380" i="9"/>
  <c r="V406" i="9"/>
  <c r="V345" i="9"/>
  <c r="T313" i="9"/>
  <c r="K313" i="9"/>
  <c r="U313" i="9" s="1"/>
  <c r="K267" i="9"/>
  <c r="U267" i="9" s="1"/>
  <c r="T267" i="9"/>
  <c r="K209" i="9"/>
  <c r="U209" i="9" s="1"/>
  <c r="T209" i="9"/>
  <c r="L321" i="9"/>
  <c r="V232" i="9"/>
  <c r="V283" i="9"/>
  <c r="V268" i="9"/>
  <c r="V216" i="9"/>
  <c r="L410" i="9"/>
  <c r="V271" i="9"/>
  <c r="V234" i="9"/>
  <c r="X184" i="9"/>
  <c r="K155" i="9"/>
  <c r="U155" i="9" s="1"/>
  <c r="T155" i="9"/>
  <c r="V210" i="9"/>
  <c r="V88" i="9"/>
  <c r="V127" i="9"/>
  <c r="V91" i="9"/>
  <c r="V139" i="9"/>
  <c r="V21" i="9"/>
  <c r="V125" i="9"/>
  <c r="V50" i="9"/>
  <c r="V16" i="9"/>
  <c r="L80" i="9"/>
  <c r="W80" i="9"/>
  <c r="V28" i="9"/>
  <c r="V169" i="9"/>
  <c r="L130" i="9"/>
  <c r="T121" i="9"/>
  <c r="K121" i="9"/>
  <c r="U121" i="9" s="1"/>
  <c r="V67" i="9"/>
  <c r="AA647" i="9"/>
  <c r="AA511" i="9"/>
  <c r="AA51" i="9"/>
  <c r="AA112" i="9"/>
  <c r="T467" i="9"/>
  <c r="K467" i="9"/>
  <c r="U467" i="9" s="1"/>
  <c r="V449" i="9"/>
  <c r="V499" i="9"/>
  <c r="V517" i="9"/>
  <c r="V527" i="9"/>
  <c r="T324" i="9"/>
  <c r="L324" i="9"/>
  <c r="K324" i="9"/>
  <c r="U324" i="9" s="1"/>
  <c r="T537" i="9"/>
  <c r="K537" i="9"/>
  <c r="U537" i="9" s="1"/>
  <c r="V459" i="9"/>
  <c r="V524" i="9"/>
  <c r="X430" i="9"/>
  <c r="V351" i="9"/>
  <c r="V526" i="9"/>
  <c r="V547" i="9"/>
  <c r="V388" i="9"/>
  <c r="L296" i="9"/>
  <c r="W296" i="9"/>
  <c r="T372" i="9"/>
  <c r="K372" i="9"/>
  <c r="U372" i="9" s="1"/>
  <c r="V374" i="9"/>
  <c r="W313" i="9"/>
  <c r="L313" i="9"/>
  <c r="N136" i="9" s="1"/>
  <c r="V265" i="9"/>
  <c r="T319" i="9"/>
  <c r="K319" i="9"/>
  <c r="U319" i="9" s="1"/>
  <c r="K238" i="9"/>
  <c r="U238" i="9" s="1"/>
  <c r="T238" i="9"/>
  <c r="K338" i="9"/>
  <c r="U338" i="9" s="1"/>
  <c r="T338" i="9"/>
  <c r="AA216" i="9"/>
  <c r="V377" i="9"/>
  <c r="V280" i="9"/>
  <c r="T208" i="9"/>
  <c r="K208" i="9"/>
  <c r="U208" i="9" s="1"/>
  <c r="T364" i="9"/>
  <c r="K364" i="9"/>
  <c r="U364" i="9" s="1"/>
  <c r="K227" i="9"/>
  <c r="U227" i="9" s="1"/>
  <c r="T227" i="9"/>
  <c r="V66" i="9"/>
  <c r="L212" i="9"/>
  <c r="V182" i="9"/>
  <c r="V78" i="9"/>
  <c r="V23" i="9"/>
  <c r="V56" i="9"/>
  <c r="Y188" i="9"/>
  <c r="V51" i="9"/>
  <c r="V177" i="9"/>
  <c r="V55" i="9"/>
  <c r="AA56" i="9"/>
  <c r="Y19" i="9"/>
  <c r="N731" i="9"/>
  <c r="N667" i="9"/>
  <c r="V11" i="9"/>
  <c r="X47" i="9"/>
  <c r="X416" i="9"/>
  <c r="X487" i="9"/>
  <c r="V529" i="9"/>
  <c r="V344" i="9"/>
  <c r="V285" i="9"/>
  <c r="T383" i="9"/>
  <c r="K383" i="9"/>
  <c r="U383" i="9" s="1"/>
  <c r="W295" i="9"/>
  <c r="L295" i="9"/>
  <c r="V417" i="9"/>
  <c r="N417" i="9"/>
  <c r="K363" i="9"/>
  <c r="U363" i="9" s="1"/>
  <c r="T363" i="9"/>
  <c r="V538" i="9"/>
  <c r="T446" i="9"/>
  <c r="K446" i="9"/>
  <c r="U446" i="9" s="1"/>
  <c r="K373" i="9"/>
  <c r="U373" i="9" s="1"/>
  <c r="T373" i="9"/>
  <c r="AA383" i="9"/>
  <c r="K331" i="9"/>
  <c r="U331" i="9" s="1"/>
  <c r="T331" i="9"/>
  <c r="V475" i="9"/>
  <c r="W319" i="9"/>
  <c r="L319" i="9"/>
  <c r="L278" i="9"/>
  <c r="V235" i="9"/>
  <c r="AA357" i="9"/>
  <c r="Y287" i="9"/>
  <c r="V402" i="9"/>
  <c r="V275" i="9"/>
  <c r="W338" i="9"/>
  <c r="L338" i="9"/>
  <c r="V279" i="9"/>
  <c r="K261" i="9"/>
  <c r="U261" i="9" s="1"/>
  <c r="T261" i="9"/>
  <c r="T201" i="9"/>
  <c r="K201" i="9"/>
  <c r="U201" i="9" s="1"/>
  <c r="L364" i="9"/>
  <c r="W364" i="9"/>
  <c r="V181" i="9"/>
  <c r="X137" i="9"/>
  <c r="K175" i="9"/>
  <c r="U175" i="9" s="1"/>
  <c r="T175" i="9"/>
  <c r="V123" i="9"/>
  <c r="V87" i="9"/>
  <c r="L193" i="9"/>
  <c r="N117" i="9" s="1"/>
  <c r="V163" i="9"/>
  <c r="V20" i="9"/>
  <c r="V141" i="9"/>
  <c r="L110" i="9"/>
  <c r="V14" i="9"/>
  <c r="N14" i="9"/>
  <c r="X73" i="9"/>
  <c r="T49" i="9"/>
  <c r="K49" i="9"/>
  <c r="U49" i="9" s="1"/>
  <c r="W109" i="9"/>
  <c r="AA557" i="9" s="1"/>
  <c r="L109" i="9"/>
  <c r="N201" i="9" s="1"/>
  <c r="V34" i="9"/>
  <c r="K46" i="9"/>
  <c r="U46" i="9" s="1"/>
  <c r="Y263" i="9" s="1"/>
  <c r="V48" i="9"/>
  <c r="Y742" i="9"/>
  <c r="Y718" i="9"/>
  <c r="Y266" i="9" l="1"/>
  <c r="X84" i="9"/>
  <c r="Y760" i="9"/>
  <c r="Y720" i="9"/>
  <c r="AA173" i="9"/>
  <c r="X446" i="9"/>
  <c r="X746" i="9"/>
  <c r="Y48" i="9"/>
  <c r="X364" i="9"/>
  <c r="Y353" i="9"/>
  <c r="X18" i="9"/>
  <c r="AA490" i="9"/>
  <c r="AA174" i="9"/>
  <c r="Y201" i="9"/>
  <c r="X323" i="9"/>
  <c r="X304" i="9"/>
  <c r="Y411" i="9"/>
  <c r="X100" i="9"/>
  <c r="X49" i="9"/>
  <c r="X855" i="9"/>
  <c r="X571" i="9"/>
  <c r="X607" i="9"/>
  <c r="X265" i="9"/>
  <c r="X664" i="9"/>
  <c r="X924" i="9"/>
  <c r="X703" i="9"/>
  <c r="X475" i="9"/>
  <c r="X690" i="9"/>
  <c r="X893" i="9"/>
  <c r="X670" i="9"/>
  <c r="X688" i="9"/>
  <c r="X944" i="9"/>
  <c r="X886" i="9"/>
  <c r="X756" i="9"/>
  <c r="X651" i="9"/>
  <c r="X538" i="9"/>
  <c r="X465" i="9"/>
  <c r="X797" i="9"/>
  <c r="X926" i="9"/>
  <c r="X768" i="9"/>
  <c r="X673" i="9"/>
  <c r="X22" i="9"/>
  <c r="X922" i="9"/>
  <c r="X933" i="9"/>
  <c r="X585" i="9"/>
  <c r="X874" i="9"/>
  <c r="X616" i="9"/>
  <c r="X596" i="9"/>
  <c r="X689" i="9"/>
  <c r="X462" i="9"/>
  <c r="X692" i="9"/>
  <c r="X581" i="9"/>
  <c r="X697" i="9"/>
  <c r="X817" i="9"/>
  <c r="X667" i="9"/>
  <c r="X575" i="9"/>
  <c r="X541" i="9"/>
  <c r="X835" i="9"/>
  <c r="X622" i="9"/>
  <c r="X277" i="9"/>
  <c r="X161" i="9"/>
  <c r="X852" i="9"/>
  <c r="X787" i="9"/>
  <c r="X554" i="9"/>
  <c r="X798" i="9"/>
  <c r="X849" i="9"/>
  <c r="X279" i="9"/>
  <c r="X656" i="9"/>
  <c r="X892" i="9"/>
  <c r="X786" i="9"/>
  <c r="X587" i="9"/>
  <c r="X959" i="9"/>
  <c r="X854" i="9"/>
  <c r="X715" i="9"/>
  <c r="X511" i="9"/>
  <c r="X950" i="9"/>
  <c r="X762" i="9"/>
  <c r="X594" i="9"/>
  <c r="X940" i="9"/>
  <c r="X806" i="9"/>
  <c r="X935" i="9"/>
  <c r="X856" i="9"/>
  <c r="X694" i="9"/>
  <c r="X834" i="9"/>
  <c r="X399" i="9"/>
  <c r="X245" i="9"/>
  <c r="X535" i="9"/>
  <c r="X185" i="9"/>
  <c r="X274" i="9"/>
  <c r="X562" i="9"/>
  <c r="X449" i="9"/>
  <c r="X377" i="9"/>
  <c r="X382" i="9"/>
  <c r="X682" i="9"/>
  <c r="X555" i="9"/>
  <c r="X964" i="9"/>
  <c r="X774" i="9"/>
  <c r="X745" i="9"/>
  <c r="X777" i="9"/>
  <c r="X929" i="9"/>
  <c r="X793" i="9"/>
  <c r="X598" i="9"/>
  <c r="X583" i="9"/>
  <c r="X916" i="9"/>
  <c r="X830" i="9"/>
  <c r="X702" i="9"/>
  <c r="X251" i="9"/>
  <c r="X870" i="9"/>
  <c r="X956" i="9"/>
  <c r="X928" i="9"/>
  <c r="X910" i="9"/>
  <c r="X843" i="9"/>
  <c r="X795" i="9"/>
  <c r="X293" i="9"/>
  <c r="X233" i="9"/>
  <c r="X268" i="9"/>
  <c r="X461" i="9"/>
  <c r="X517" i="9"/>
  <c r="X423" i="9"/>
  <c r="X285" i="9"/>
  <c r="X789" i="9"/>
  <c r="X662" i="9"/>
  <c r="X879" i="9"/>
  <c r="X801" i="9"/>
  <c r="X719" i="9"/>
  <c r="X658" i="9"/>
  <c r="X810" i="9"/>
  <c r="X489" i="9"/>
  <c r="X216" i="9"/>
  <c r="X646" i="9"/>
  <c r="X661" i="9"/>
  <c r="X755" i="9"/>
  <c r="X640" i="9"/>
  <c r="X883" i="9"/>
  <c r="X720" i="9"/>
  <c r="X650" i="9"/>
  <c r="X381" i="9"/>
  <c r="X819" i="9"/>
  <c r="X724" i="9"/>
  <c r="X631" i="9"/>
  <c r="X624" i="9"/>
  <c r="X403" i="9"/>
  <c r="X334" i="9"/>
  <c r="X269" i="9"/>
  <c r="X229" i="9"/>
  <c r="X40" i="9"/>
  <c r="X187" i="9"/>
  <c r="X704" i="9"/>
  <c r="X700" i="9"/>
  <c r="X809" i="9"/>
  <c r="X527" i="9"/>
  <c r="X904" i="9"/>
  <c r="X480" i="9"/>
  <c r="X781" i="9"/>
  <c r="X813" i="9"/>
  <c r="X846" i="9"/>
  <c r="X747" i="9"/>
  <c r="X445" i="9"/>
  <c r="X406" i="9"/>
  <c r="X875" i="9"/>
  <c r="X202" i="9"/>
  <c r="X183" i="9"/>
  <c r="X553" i="9"/>
  <c r="X345" i="9"/>
  <c r="X204" i="9"/>
  <c r="X158" i="9"/>
  <c r="X749" i="9"/>
  <c r="X655" i="9"/>
  <c r="X963" i="9"/>
  <c r="X628" i="9"/>
  <c r="X733" i="9"/>
  <c r="X965" i="9"/>
  <c r="X203" i="9"/>
  <c r="X872" i="9"/>
  <c r="X638" i="9"/>
  <c r="X867" i="9"/>
  <c r="X748" i="9"/>
  <c r="X882" i="9"/>
  <c r="X342" i="9"/>
  <c r="X226" i="9"/>
  <c r="X221" i="9"/>
  <c r="X434" i="9"/>
  <c r="X305" i="9"/>
  <c r="X182" i="9"/>
  <c r="X339" i="9"/>
  <c r="X753" i="9"/>
  <c r="X706" i="9"/>
  <c r="X946" i="9"/>
  <c r="X818" i="9"/>
  <c r="X721" i="9"/>
  <c r="X577" i="9"/>
  <c r="X550" i="9"/>
  <c r="X94" i="9"/>
  <c r="X932" i="9"/>
  <c r="X860" i="9"/>
  <c r="X26" i="9"/>
  <c r="X967" i="9"/>
  <c r="X936" i="9"/>
  <c r="X400" i="9"/>
  <c r="X685" i="9"/>
  <c r="X707" i="9"/>
  <c r="X54" i="9"/>
  <c r="X848" i="9"/>
  <c r="X829" i="9"/>
  <c r="X593" i="9"/>
  <c r="X282" i="9"/>
  <c r="X361" i="9"/>
  <c r="X344" i="9"/>
  <c r="X499" i="9"/>
  <c r="X412" i="9"/>
  <c r="X317" i="9"/>
  <c r="X318" i="9"/>
  <c r="X871" i="9"/>
  <c r="X691" i="9"/>
  <c r="X565" i="9"/>
  <c r="X263" i="9"/>
  <c r="X901" i="9"/>
  <c r="X601" i="9"/>
  <c r="X816" i="9"/>
  <c r="X912" i="9"/>
  <c r="X157" i="9"/>
  <c r="X453" i="9"/>
  <c r="X496" i="9"/>
  <c r="X444" i="9"/>
  <c r="X176" i="9"/>
  <c r="X244" i="9"/>
  <c r="X314" i="9"/>
  <c r="X170" i="9"/>
  <c r="X828" i="9"/>
  <c r="X739" i="9"/>
  <c r="X709" i="9"/>
  <c r="X578" i="9"/>
  <c r="X961" i="9"/>
  <c r="X840" i="9"/>
  <c r="X891" i="9"/>
  <c r="X464" i="9"/>
  <c r="X839" i="9"/>
  <c r="X773" i="9"/>
  <c r="X970" i="9"/>
  <c r="X597" i="9"/>
  <c r="X79" i="9"/>
  <c r="X881" i="9"/>
  <c r="X140" i="9"/>
  <c r="X388" i="9"/>
  <c r="X523" i="9"/>
  <c r="X194" i="9"/>
  <c r="X240" i="9"/>
  <c r="X411" i="9"/>
  <c r="X328" i="9"/>
  <c r="X92" i="9"/>
  <c r="X618" i="9"/>
  <c r="X603" i="9"/>
  <c r="X70" i="9"/>
  <c r="X823" i="9"/>
  <c r="X771" i="9"/>
  <c r="X439" i="9"/>
  <c r="X211" i="9"/>
  <c r="X580" i="9"/>
  <c r="X103" i="9"/>
  <c r="X490" i="9"/>
  <c r="X518" i="9"/>
  <c r="X112" i="9"/>
  <c r="X857" i="9"/>
  <c r="X730" i="9"/>
  <c r="X737" i="9"/>
  <c r="X696" i="9"/>
  <c r="X579" i="9"/>
  <c r="X217" i="9"/>
  <c r="X547" i="9"/>
  <c r="X371" i="9"/>
  <c r="X507" i="9"/>
  <c r="X247" i="9"/>
  <c r="X426" i="9"/>
  <c r="X272" i="9"/>
  <c r="X29" i="9"/>
  <c r="X850" i="9"/>
  <c r="X668" i="9"/>
  <c r="X909" i="9"/>
  <c r="X808" i="9"/>
  <c r="X799" i="9"/>
  <c r="X947" i="9"/>
  <c r="X770" i="9"/>
  <c r="X727" i="9"/>
  <c r="X463" i="9"/>
  <c r="X873" i="9"/>
  <c r="X298" i="9"/>
  <c r="X436" i="9"/>
  <c r="X417" i="9"/>
  <c r="X429" i="9"/>
  <c r="X526" i="9"/>
  <c r="X448" i="9"/>
  <c r="X320" i="9"/>
  <c r="X743" i="9"/>
  <c r="X942" i="9"/>
  <c r="X880" i="9"/>
  <c r="X783" i="9"/>
  <c r="X567" i="9"/>
  <c r="X731" i="9"/>
  <c r="X878" i="9"/>
  <c r="X620" i="9"/>
  <c r="X734" i="9"/>
  <c r="X485" i="9"/>
  <c r="X483" i="9"/>
  <c r="X460" i="9"/>
  <c r="X686" i="9"/>
  <c r="X16" i="9"/>
  <c r="X502" i="9"/>
  <c r="X712" i="9"/>
  <c r="X266" i="9"/>
  <c r="X420" i="9"/>
  <c r="X532" i="9"/>
  <c r="X725" i="9"/>
  <c r="X220" i="9"/>
  <c r="X822" i="9"/>
  <c r="X714" i="9"/>
  <c r="X576" i="9"/>
  <c r="X895" i="9"/>
  <c r="X736" i="9"/>
  <c r="X890" i="9"/>
  <c r="X780" i="9"/>
  <c r="X681" i="9"/>
  <c r="X437" i="9"/>
  <c r="X868" i="9"/>
  <c r="X824" i="9"/>
  <c r="X146" i="9"/>
  <c r="X422" i="9"/>
  <c r="X614" i="9"/>
  <c r="X325" i="9"/>
  <c r="X525" i="9"/>
  <c r="X442" i="9"/>
  <c r="X713" i="9"/>
  <c r="X310" i="9"/>
  <c r="X898" i="9"/>
  <c r="X805" i="9"/>
  <c r="X705" i="9"/>
  <c r="X939" i="9"/>
  <c r="X591" i="9"/>
  <c r="X971" i="9"/>
  <c r="X295" i="9"/>
  <c r="X409" i="9"/>
  <c r="X23" i="9"/>
  <c r="X432" i="9"/>
  <c r="X493" i="9"/>
  <c r="X481" i="9"/>
  <c r="X652" i="9"/>
  <c r="X433" i="9"/>
  <c r="X380" i="9"/>
  <c r="X617" i="9"/>
  <c r="X859" i="9"/>
  <c r="X825" i="9"/>
  <c r="X676" i="9"/>
  <c r="X574" i="9"/>
  <c r="X228" i="9"/>
  <c r="X757" i="9"/>
  <c r="X560" i="9"/>
  <c r="X172" i="9"/>
  <c r="X12" i="9"/>
  <c r="X148" i="9"/>
  <c r="X378" i="9"/>
  <c r="X732" i="9"/>
  <c r="X595" i="9"/>
  <c r="X741" i="9"/>
  <c r="X573" i="9"/>
  <c r="X96" i="9"/>
  <c r="X582" i="9"/>
  <c r="X546" i="9"/>
  <c r="X297" i="9"/>
  <c r="X41" i="9"/>
  <c r="X15" i="9"/>
  <c r="X38" i="9"/>
  <c r="X484" i="9"/>
  <c r="X19" i="9"/>
  <c r="X28" i="9"/>
  <c r="X782" i="9"/>
  <c r="X665" i="9"/>
  <c r="X639" i="9"/>
  <c r="X234" i="9"/>
  <c r="X728" i="9"/>
  <c r="X503" i="9"/>
  <c r="X159" i="9"/>
  <c r="X466" i="9"/>
  <c r="X474" i="9"/>
  <c r="X151" i="9"/>
  <c r="X452" i="9"/>
  <c r="X14" i="9"/>
  <c r="X48" i="9"/>
  <c r="X435" i="9"/>
  <c r="X145" i="9"/>
  <c r="X131" i="9"/>
  <c r="X167" i="9"/>
  <c r="X479" i="9"/>
  <c r="X119" i="9"/>
  <c r="X150" i="9"/>
  <c r="X178" i="9"/>
  <c r="X288" i="9"/>
  <c r="X102" i="9"/>
  <c r="X286" i="9"/>
  <c r="X55" i="9"/>
  <c r="X89" i="9"/>
  <c r="X353" i="9"/>
  <c r="X232" i="9"/>
  <c r="X72" i="9"/>
  <c r="X510" i="9"/>
  <c r="X275" i="9"/>
  <c r="X200" i="9"/>
  <c r="X88" i="9"/>
  <c r="X359" i="9"/>
  <c r="X195" i="9"/>
  <c r="X99" i="9"/>
  <c r="X32" i="9"/>
  <c r="X548" i="9"/>
  <c r="X230" i="9"/>
  <c r="X115" i="9"/>
  <c r="X619" i="9"/>
  <c r="X589" i="9"/>
  <c r="X169" i="9"/>
  <c r="X78" i="9"/>
  <c r="X246" i="9"/>
  <c r="X427" i="9"/>
  <c r="X376" i="9"/>
  <c r="X289" i="9"/>
  <c r="X36" i="9"/>
  <c r="X287" i="9"/>
  <c r="X249" i="9"/>
  <c r="X198" i="9"/>
  <c r="X51" i="9"/>
  <c r="X255" i="9"/>
  <c r="X610" i="9"/>
  <c r="X56" i="9"/>
  <c r="X281" i="9"/>
  <c r="X853" i="9"/>
  <c r="X164" i="9"/>
  <c r="X740" i="9"/>
  <c r="X33" i="9"/>
  <c r="X404" i="9"/>
  <c r="X393" i="9"/>
  <c r="X114" i="9"/>
  <c r="X45" i="9"/>
  <c r="X120" i="9"/>
  <c r="X75" i="9"/>
  <c r="X142" i="9"/>
  <c r="X25" i="9"/>
  <c r="X351" i="9"/>
  <c r="X219" i="9"/>
  <c r="X156" i="9"/>
  <c r="X500" i="9"/>
  <c r="X472" i="9"/>
  <c r="X451" i="9"/>
  <c r="X20" i="9"/>
  <c r="X744" i="9"/>
  <c r="X701" i="9"/>
  <c r="X758" i="9"/>
  <c r="X105" i="9"/>
  <c r="X43" i="9"/>
  <c r="X543" i="9"/>
  <c r="X214" i="9"/>
  <c r="X46" i="9"/>
  <c r="X154" i="9"/>
  <c r="X471" i="9"/>
  <c r="X197" i="9"/>
  <c r="X144" i="9"/>
  <c r="X61" i="9"/>
  <c r="X512" i="9"/>
  <c r="X127" i="9"/>
  <c r="X173" i="9"/>
  <c r="X384" i="9"/>
  <c r="X74" i="9"/>
  <c r="X93" i="9"/>
  <c r="X470" i="9"/>
  <c r="X563" i="9"/>
  <c r="X143" i="9"/>
  <c r="X710" i="9"/>
  <c r="X627" i="9"/>
  <c r="X76" i="9"/>
  <c r="X505" i="9"/>
  <c r="X419" i="9"/>
  <c r="X368" i="9"/>
  <c r="X415" i="9"/>
  <c r="X192" i="9"/>
  <c r="X42" i="9"/>
  <c r="X726" i="9"/>
  <c r="X394" i="9"/>
  <c r="X81" i="9"/>
  <c r="X90" i="9"/>
  <c r="X524" i="9"/>
  <c r="X236" i="9"/>
  <c r="X231" i="9"/>
  <c r="X556" i="9"/>
  <c r="X21" i="9"/>
  <c r="X522" i="9"/>
  <c r="X441" i="9"/>
  <c r="X108" i="9"/>
  <c r="X59" i="9"/>
  <c r="X63" i="9"/>
  <c r="X53" i="9"/>
  <c r="X899" i="9"/>
  <c r="X592" i="9"/>
  <c r="X186" i="9"/>
  <c r="X95" i="9"/>
  <c r="X425" i="9"/>
  <c r="X296" i="9"/>
  <c r="X165" i="9"/>
  <c r="X125" i="9"/>
  <c r="X604" i="9"/>
  <c r="X352" i="9"/>
  <c r="X391" i="9"/>
  <c r="X69" i="9"/>
  <c r="X35" i="9"/>
  <c r="X291" i="9"/>
  <c r="X332" i="9"/>
  <c r="X67" i="9"/>
  <c r="X259" i="9"/>
  <c r="X311" i="9"/>
  <c r="X401" i="9"/>
  <c r="X181" i="9"/>
  <c r="X57" i="9"/>
  <c r="X600" i="9"/>
  <c r="X492" i="9"/>
  <c r="X395" i="9"/>
  <c r="X199" i="9"/>
  <c r="X223" i="9"/>
  <c r="X455" i="9"/>
  <c r="X147" i="9"/>
  <c r="X876" i="9"/>
  <c r="X766" i="9"/>
  <c r="X498" i="9"/>
  <c r="X11" i="9"/>
  <c r="X163" i="9"/>
  <c r="X902" i="9"/>
  <c r="X792" i="9"/>
  <c r="X586" i="9"/>
  <c r="X253" i="9"/>
  <c r="X443" i="9"/>
  <c r="X294" i="9"/>
  <c r="X718" i="9"/>
  <c r="X520" i="9"/>
  <c r="X438" i="9"/>
  <c r="X66" i="9"/>
  <c r="X796" i="9"/>
  <c r="X584" i="9"/>
  <c r="X623" i="9"/>
  <c r="X101" i="9"/>
  <c r="X91" i="9"/>
  <c r="X273" i="9"/>
  <c r="X135" i="9"/>
  <c r="X469" i="9"/>
  <c r="X488" i="9"/>
  <c r="X128" i="9"/>
  <c r="X141" i="9"/>
  <c r="X270" i="9"/>
  <c r="X132" i="9"/>
  <c r="X716" i="9"/>
  <c r="X528" i="9"/>
  <c r="X366" i="9"/>
  <c r="X222" i="9"/>
  <c r="X87" i="9"/>
  <c r="X117" i="9"/>
  <c r="X160" i="9"/>
  <c r="X842" i="9"/>
  <c r="X657" i="9"/>
  <c r="X307" i="9"/>
  <c r="X207" i="9"/>
  <c r="X254" i="9"/>
  <c r="X77" i="9"/>
  <c r="X129" i="9"/>
  <c r="X508" i="9"/>
  <c r="X346" i="9"/>
  <c r="X606" i="9"/>
  <c r="X612" i="9"/>
  <c r="X413" i="9"/>
  <c r="X206" i="9"/>
  <c r="X224" i="9"/>
  <c r="X679" i="9"/>
  <c r="X440" i="9"/>
  <c r="X529" i="9"/>
  <c r="X398" i="9"/>
  <c r="X237" i="9"/>
  <c r="X116" i="9"/>
  <c r="X152" i="9"/>
  <c r="X106" i="9"/>
  <c r="X497" i="9"/>
  <c r="X65" i="9"/>
  <c r="X235" i="9"/>
  <c r="X386" i="9"/>
  <c r="X350" i="9"/>
  <c r="X83" i="9"/>
  <c r="X506" i="9"/>
  <c r="X124" i="9"/>
  <c r="X13" i="9"/>
  <c r="X243" i="9"/>
  <c r="X189" i="9"/>
  <c r="X191" i="9"/>
  <c r="X27" i="9"/>
  <c r="X402" i="9"/>
  <c r="X397" i="9"/>
  <c r="X800" i="9"/>
  <c r="X648" i="9"/>
  <c r="X408" i="9"/>
  <c r="X349" i="9"/>
  <c r="X549" i="9"/>
  <c r="X421" i="9"/>
  <c r="X812" i="9"/>
  <c r="X354" i="9"/>
  <c r="X674" i="9"/>
  <c r="AA126" i="9"/>
  <c r="X392" i="9"/>
  <c r="X375" i="9"/>
  <c r="X836" i="9"/>
  <c r="N481" i="9"/>
  <c r="Y24" i="9"/>
  <c r="AA183" i="9"/>
  <c r="Y224" i="9"/>
  <c r="N351" i="9"/>
  <c r="AA100" i="9"/>
  <c r="AA437" i="9"/>
  <c r="X118" i="9"/>
  <c r="AA116" i="9"/>
  <c r="X457" i="9"/>
  <c r="X590" i="9"/>
  <c r="X130" i="9"/>
  <c r="N284" i="9"/>
  <c r="V284" i="9"/>
  <c r="N398" i="9"/>
  <c r="N378" i="9"/>
  <c r="N322" i="9"/>
  <c r="V322" i="9"/>
  <c r="N12" i="9"/>
  <c r="Y110" i="9"/>
  <c r="X405" i="9"/>
  <c r="Y343" i="9"/>
  <c r="V495" i="9"/>
  <c r="N495" i="9"/>
  <c r="X271" i="9"/>
  <c r="Y276" i="9"/>
  <c r="Y644" i="9"/>
  <c r="AA785" i="9"/>
  <c r="X174" i="9"/>
  <c r="X180" i="9"/>
  <c r="Y65" i="9"/>
  <c r="Y717" i="9"/>
  <c r="Y154" i="9"/>
  <c r="Y103" i="9"/>
  <c r="X188" i="9"/>
  <c r="X280" i="9"/>
  <c r="Y253" i="9"/>
  <c r="AA430" i="9"/>
  <c r="X428" i="9"/>
  <c r="X908" i="9"/>
  <c r="N578" i="9"/>
  <c r="Y191" i="9"/>
  <c r="Y164" i="9"/>
  <c r="N212" i="9"/>
  <c r="V212" i="9"/>
  <c r="N377" i="9"/>
  <c r="Y319" i="9"/>
  <c r="Y451" i="9"/>
  <c r="Y522" i="9"/>
  <c r="AA415" i="9"/>
  <c r="AA124" i="9"/>
  <c r="AA440" i="9"/>
  <c r="AA380" i="9"/>
  <c r="Y549" i="9"/>
  <c r="Y581" i="9"/>
  <c r="Y198" i="9"/>
  <c r="AA419" i="9"/>
  <c r="X341" i="9"/>
  <c r="X252" i="9"/>
  <c r="AA479" i="9"/>
  <c r="N478" i="9"/>
  <c r="Y439" i="9"/>
  <c r="N124" i="9"/>
  <c r="X519" i="9"/>
  <c r="V680" i="9"/>
  <c r="N680" i="9"/>
  <c r="N602" i="9"/>
  <c r="Y700" i="9"/>
  <c r="N19" i="9"/>
  <c r="X111" i="9"/>
  <c r="Y346" i="9"/>
  <c r="AA36" i="9"/>
  <c r="AA529" i="9"/>
  <c r="X166" i="9"/>
  <c r="N234" i="9"/>
  <c r="Y166" i="9"/>
  <c r="X153" i="9"/>
  <c r="X177" i="9"/>
  <c r="N413" i="9"/>
  <c r="X454" i="9"/>
  <c r="AA339" i="9"/>
  <c r="AA50" i="9"/>
  <c r="AA27" i="9"/>
  <c r="N254" i="9"/>
  <c r="N249" i="9"/>
  <c r="AA606" i="9"/>
  <c r="Y192" i="9"/>
  <c r="X456" i="9"/>
  <c r="Y205" i="9"/>
  <c r="Y503" i="9"/>
  <c r="V313" i="9"/>
  <c r="N313" i="9"/>
  <c r="Y606" i="9"/>
  <c r="X407" i="9"/>
  <c r="Y87" i="9"/>
  <c r="V193" i="9"/>
  <c r="N193" i="9"/>
  <c r="Y438" i="9"/>
  <c r="X677" i="9"/>
  <c r="N171" i="9"/>
  <c r="N795" i="9"/>
  <c r="AA16" i="9"/>
  <c r="N23" i="9"/>
  <c r="Y222" i="9"/>
  <c r="AA283" i="9"/>
  <c r="AA313" i="9"/>
  <c r="N459" i="9"/>
  <c r="N449" i="9"/>
  <c r="AA69" i="9"/>
  <c r="AA742" i="9"/>
  <c r="X568" i="9"/>
  <c r="Y22" i="9"/>
  <c r="Y231" i="9"/>
  <c r="X190" i="9"/>
  <c r="X149" i="9"/>
  <c r="X122" i="9"/>
  <c r="AA577" i="9"/>
  <c r="X17" i="9"/>
  <c r="X431" i="9"/>
  <c r="N426" i="9"/>
  <c r="N189" i="9"/>
  <c r="Y308" i="9"/>
  <c r="AA680" i="9"/>
  <c r="AA129" i="9"/>
  <c r="N247" i="9"/>
  <c r="Y428" i="9"/>
  <c r="X588" i="9"/>
  <c r="Y139" i="9"/>
  <c r="Y142" i="9"/>
  <c r="Y11" i="9"/>
  <c r="Y789" i="9"/>
  <c r="X113" i="9"/>
  <c r="N110" i="9"/>
  <c r="V110" i="9"/>
  <c r="AA175" i="9"/>
  <c r="X107" i="9"/>
  <c r="V319" i="9"/>
  <c r="N319" i="9"/>
  <c r="AA295" i="9"/>
  <c r="X58" i="9"/>
  <c r="X644" i="9"/>
  <c r="N709" i="9"/>
  <c r="Y71" i="9"/>
  <c r="X290" i="9"/>
  <c r="Y528" i="9"/>
  <c r="AA142" i="9"/>
  <c r="AA831" i="9"/>
  <c r="X39" i="9"/>
  <c r="X123" i="9"/>
  <c r="X396" i="9"/>
  <c r="N38" i="9"/>
  <c r="N266" i="9"/>
  <c r="Y200" i="9"/>
  <c r="AA480" i="9"/>
  <c r="X308" i="9"/>
  <c r="N555" i="9"/>
  <c r="N93" i="9"/>
  <c r="AA432" i="9"/>
  <c r="Y51" i="9"/>
  <c r="X635" i="9"/>
  <c r="AA68" i="9"/>
  <c r="Y261" i="9"/>
  <c r="Y107" i="9"/>
  <c r="V109" i="9"/>
  <c r="N109" i="9"/>
  <c r="N279" i="9"/>
  <c r="N157" i="9"/>
  <c r="N293" i="9"/>
  <c r="N271" i="9"/>
  <c r="N517" i="9"/>
  <c r="N50" i="9"/>
  <c r="N181" i="9"/>
  <c r="N128" i="9"/>
  <c r="N210" i="9"/>
  <c r="N419" i="9"/>
  <c r="N527" i="9"/>
  <c r="N34" i="9"/>
  <c r="N355" i="9"/>
  <c r="N304" i="9"/>
  <c r="N475" i="9"/>
  <c r="N20" i="9"/>
  <c r="N108" i="9"/>
  <c r="N535" i="9"/>
  <c r="N750" i="9"/>
  <c r="N538" i="9"/>
  <c r="N235" i="9"/>
  <c r="N66" i="9"/>
  <c r="N677" i="9"/>
  <c r="AA319" i="9"/>
  <c r="Y373" i="9"/>
  <c r="Y383" i="9"/>
  <c r="X171" i="9"/>
  <c r="X636" i="9"/>
  <c r="N11" i="9"/>
  <c r="N783" i="9"/>
  <c r="Y59" i="9"/>
  <c r="Y227" i="9"/>
  <c r="Y392" i="9"/>
  <c r="N547" i="9"/>
  <c r="X537" i="9"/>
  <c r="AA11" i="9"/>
  <c r="AA777" i="9"/>
  <c r="AA423" i="9"/>
  <c r="N576" i="9"/>
  <c r="N233" i="9"/>
  <c r="Y349" i="9"/>
  <c r="N174" i="9"/>
  <c r="N154" i="9"/>
  <c r="X260" i="9"/>
  <c r="X355" i="9"/>
  <c r="X450" i="9"/>
  <c r="Y725" i="9"/>
  <c r="Y560" i="9"/>
  <c r="X261" i="9"/>
  <c r="Y813" i="9"/>
  <c r="AA215" i="9"/>
  <c r="X215" i="9"/>
  <c r="Y761" i="9"/>
  <c r="Y33" i="9"/>
  <c r="X168" i="9"/>
  <c r="Y323" i="9"/>
  <c r="Y84" i="9"/>
  <c r="AA109" i="9"/>
  <c r="AA524" i="9"/>
  <c r="AA268" i="9"/>
  <c r="AA547" i="9"/>
  <c r="N141" i="9"/>
  <c r="N87" i="9"/>
  <c r="X239" i="9"/>
  <c r="AA338" i="9"/>
  <c r="AA265" i="9"/>
  <c r="Y446" i="9"/>
  <c r="X383" i="9"/>
  <c r="X262" i="9"/>
  <c r="X717" i="9"/>
  <c r="N349" i="9"/>
  <c r="N879" i="9"/>
  <c r="Y18" i="9"/>
  <c r="AA91" i="9"/>
  <c r="Y364" i="9"/>
  <c r="AA402" i="9"/>
  <c r="Y345" i="9"/>
  <c r="AA280" i="9"/>
  <c r="AA863" i="9"/>
  <c r="AA123" i="9"/>
  <c r="N268" i="9"/>
  <c r="X347" i="9"/>
  <c r="AA45" i="9"/>
  <c r="N532" i="9"/>
  <c r="X60" i="9"/>
  <c r="Y144" i="9"/>
  <c r="AA391" i="9"/>
  <c r="X24" i="9"/>
  <c r="N17" i="9"/>
  <c r="X379" i="9"/>
  <c r="X459" i="9"/>
  <c r="AA73" i="9"/>
  <c r="AA93" i="9"/>
  <c r="N215" i="9"/>
  <c r="Y485" i="9"/>
  <c r="AA723" i="9"/>
  <c r="AA483" i="9"/>
  <c r="Y623" i="9"/>
  <c r="N625" i="9"/>
  <c r="V625" i="9"/>
  <c r="AA646" i="9"/>
  <c r="V356" i="9"/>
  <c r="N356" i="9"/>
  <c r="X241" i="9"/>
  <c r="N182" i="9"/>
  <c r="X515" i="9"/>
  <c r="AA392" i="9"/>
  <c r="AA945" i="9"/>
  <c r="N441" i="9"/>
  <c r="N88" i="9"/>
  <c r="Y265" i="9"/>
  <c r="N624" i="9"/>
  <c r="X34" i="9"/>
  <c r="Y434" i="9"/>
  <c r="Y470" i="9"/>
  <c r="N187" i="9"/>
  <c r="N240" i="9"/>
  <c r="X561" i="9"/>
  <c r="AA198" i="9"/>
  <c r="Y479" i="9"/>
  <c r="X68" i="9"/>
  <c r="N186" i="9"/>
  <c r="N276" i="9"/>
  <c r="Y459" i="9"/>
  <c r="Y25" i="9"/>
  <c r="N656" i="9"/>
  <c r="Y143" i="9"/>
  <c r="Y109" i="9"/>
  <c r="X37" i="9"/>
  <c r="N828" i="9"/>
  <c r="Y477" i="9"/>
  <c r="Y69" i="9"/>
  <c r="Y230" i="9"/>
  <c r="X292" i="9"/>
  <c r="X257" i="9"/>
  <c r="Y124" i="9"/>
  <c r="AA526" i="9"/>
  <c r="X761" i="9"/>
  <c r="N437" i="9"/>
  <c r="AA113" i="9"/>
  <c r="N55" i="9"/>
  <c r="AA461" i="9"/>
  <c r="N526" i="9"/>
  <c r="X324" i="9"/>
  <c r="Y93" i="9"/>
  <c r="AA347" i="9"/>
  <c r="N531" i="9"/>
  <c r="X126" i="9"/>
  <c r="X374" i="9"/>
  <c r="AA420" i="9"/>
  <c r="Y145" i="9"/>
  <c r="X193" i="9"/>
  <c r="N575" i="9"/>
  <c r="AA74" i="9"/>
  <c r="AA19" i="9"/>
  <c r="AA262" i="9"/>
  <c r="N794" i="9"/>
  <c r="N596" i="9"/>
  <c r="Y46" i="9"/>
  <c r="Y745" i="9"/>
  <c r="Y593" i="9"/>
  <c r="Y247" i="9"/>
  <c r="Y244" i="9"/>
  <c r="Y598" i="9"/>
  <c r="Y465" i="9"/>
  <c r="Y199" i="9"/>
  <c r="Y436" i="9"/>
  <c r="Y771" i="9"/>
  <c r="Y914" i="9"/>
  <c r="Y868" i="9"/>
  <c r="Y743" i="9"/>
  <c r="Y958" i="9"/>
  <c r="Y840" i="9"/>
  <c r="Y757" i="9"/>
  <c r="Y843" i="9"/>
  <c r="Y790" i="9"/>
  <c r="Y351" i="9"/>
  <c r="Y359" i="9"/>
  <c r="Y78" i="9"/>
  <c r="Y235" i="9"/>
  <c r="Y377" i="9"/>
  <c r="Y525" i="9"/>
  <c r="Y587" i="9"/>
  <c r="Y970" i="9"/>
  <c r="Y714" i="9"/>
  <c r="Y912" i="9"/>
  <c r="Y483" i="9"/>
  <c r="Y739" i="9"/>
  <c r="Y417" i="9"/>
  <c r="Y705" i="9"/>
  <c r="Y584" i="9"/>
  <c r="Y874" i="9"/>
  <c r="Y806" i="9"/>
  <c r="Y792" i="9"/>
  <c r="Y848" i="9"/>
  <c r="Y251" i="9"/>
  <c r="Y348" i="9"/>
  <c r="Y571" i="9"/>
  <c r="Y328" i="9"/>
  <c r="Y361" i="9"/>
  <c r="Y449" i="9"/>
  <c r="Y310" i="9"/>
  <c r="Y490" i="9"/>
  <c r="Y852" i="9"/>
  <c r="Y808" i="9"/>
  <c r="Y780" i="9"/>
  <c r="Y822" i="9"/>
  <c r="Y711" i="9"/>
  <c r="Y317" i="9"/>
  <c r="Y645" i="9"/>
  <c r="Y286" i="9"/>
  <c r="Y412" i="9"/>
  <c r="Y406" i="9"/>
  <c r="Y607" i="9"/>
  <c r="Y657" i="9"/>
  <c r="Y973" i="9"/>
  <c r="Y898" i="9"/>
  <c r="Y759" i="9"/>
  <c r="Y696" i="9"/>
  <c r="Y314" i="9"/>
  <c r="Y692" i="9"/>
  <c r="Y853" i="9"/>
  <c r="Y112" i="9"/>
  <c r="Y354" i="9"/>
  <c r="Y368" i="9"/>
  <c r="Y388" i="9"/>
  <c r="Y277" i="9"/>
  <c r="Y270" i="9"/>
  <c r="Y940" i="9"/>
  <c r="Y29" i="9"/>
  <c r="Y894" i="9"/>
  <c r="Y719" i="9"/>
  <c r="Y304" i="9"/>
  <c r="Y221" i="9"/>
  <c r="Y706" i="9"/>
  <c r="Y514" i="9"/>
  <c r="Y520" i="9"/>
  <c r="Y352" i="9"/>
  <c r="Y423" i="9"/>
  <c r="Y850" i="9"/>
  <c r="Y699" i="9"/>
  <c r="Y875" i="9"/>
  <c r="Y788" i="9"/>
  <c r="Y681" i="9"/>
  <c r="Y157" i="9"/>
  <c r="Y565" i="9"/>
  <c r="Y729" i="9"/>
  <c r="Y518" i="9"/>
  <c r="Y279" i="9"/>
  <c r="Y90" i="9"/>
  <c r="Y41" i="9"/>
  <c r="Y676" i="9"/>
  <c r="Y269" i="9"/>
  <c r="Y320" i="9"/>
  <c r="Y31" i="9"/>
  <c r="Y399" i="9"/>
  <c r="Y839" i="9"/>
  <c r="Y710" i="9"/>
  <c r="Y842" i="9"/>
  <c r="Y245" i="9"/>
  <c r="Y217" i="9"/>
  <c r="Y206" i="9"/>
  <c r="Y541" i="9"/>
  <c r="Y481" i="9"/>
  <c r="Y293" i="9"/>
  <c r="Y160" i="9"/>
  <c r="Y781" i="9"/>
  <c r="Y892" i="9"/>
  <c r="Y800" i="9"/>
  <c r="Y250" i="9"/>
  <c r="Y148" i="9"/>
  <c r="Y437" i="9"/>
  <c r="Y294" i="9"/>
  <c r="Y344" i="9"/>
  <c r="Y184" i="9"/>
  <c r="Y603" i="9"/>
  <c r="Y158" i="9"/>
  <c r="Y612" i="9"/>
  <c r="Y902" i="9"/>
  <c r="Y626" i="9"/>
  <c r="Y427" i="9"/>
  <c r="Y75" i="9"/>
  <c r="Y622" i="9"/>
  <c r="Y713" i="9"/>
  <c r="Y829" i="9"/>
  <c r="Y456" i="9"/>
  <c r="Y289" i="9"/>
  <c r="Y378" i="9"/>
  <c r="Y688" i="9"/>
  <c r="Y202" i="9"/>
  <c r="Y620" i="9"/>
  <c r="Y37" i="9"/>
  <c r="Y818" i="9"/>
  <c r="Y721" i="9"/>
  <c r="Y668" i="9"/>
  <c r="Y635" i="9"/>
  <c r="Y70" i="9"/>
  <c r="Y916" i="9"/>
  <c r="Y860" i="9"/>
  <c r="Y214" i="9"/>
  <c r="Y474" i="9"/>
  <c r="Y431" i="9"/>
  <c r="Y393" i="9"/>
  <c r="Y220" i="9"/>
  <c r="Y576" i="9"/>
  <c r="Y285" i="9"/>
  <c r="Y355" i="9"/>
  <c r="Y92" i="9"/>
  <c r="Y268" i="9"/>
  <c r="Y691" i="9"/>
  <c r="Y627" i="9"/>
  <c r="Y578" i="9"/>
  <c r="Y968" i="9"/>
  <c r="Y631" i="9"/>
  <c r="Y16" i="9"/>
  <c r="Y21" i="9"/>
  <c r="Y325" i="9"/>
  <c r="Y211" i="9"/>
  <c r="Y396" i="9"/>
  <c r="Y288" i="9"/>
  <c r="Y616" i="9"/>
  <c r="Y682" i="9"/>
  <c r="Y123" i="9"/>
  <c r="Y215" i="9"/>
  <c r="Y686" i="9"/>
  <c r="Y608" i="9"/>
  <c r="Y765" i="9"/>
  <c r="Y471" i="9"/>
  <c r="Y697" i="9"/>
  <c r="Y371" i="9"/>
  <c r="Y127" i="9"/>
  <c r="Y232" i="9"/>
  <c r="Y259" i="9"/>
  <c r="Y203" i="9"/>
  <c r="Y104" i="9"/>
  <c r="Y424" i="9"/>
  <c r="Y350" i="9"/>
  <c r="Y332" i="9"/>
  <c r="Y532" i="9"/>
  <c r="Y167" i="9"/>
  <c r="Y115" i="9"/>
  <c r="Y53" i="9"/>
  <c r="Y111" i="9"/>
  <c r="Y663" i="9"/>
  <c r="Y602" i="9"/>
  <c r="Y450" i="9"/>
  <c r="Y768" i="9"/>
  <c r="Y489" i="9"/>
  <c r="Y375" i="9"/>
  <c r="Y585" i="9"/>
  <c r="Y96" i="9"/>
  <c r="Y422" i="9"/>
  <c r="Y36" i="9"/>
  <c r="Y42" i="9"/>
  <c r="Y374" i="9"/>
  <c r="Y574" i="9"/>
  <c r="Y517" i="9"/>
  <c r="Y413" i="9"/>
  <c r="Y419" i="9"/>
  <c r="Y298" i="9"/>
  <c r="Y79" i="9"/>
  <c r="Y32" i="9"/>
  <c r="Y636" i="9"/>
  <c r="Y183" i="9"/>
  <c r="Y440" i="9"/>
  <c r="Y687" i="9"/>
  <c r="Y595" i="9"/>
  <c r="Y108" i="9"/>
  <c r="Y580" i="9"/>
  <c r="Y54" i="9"/>
  <c r="Y185" i="9"/>
  <c r="Y195" i="9"/>
  <c r="Y120" i="9"/>
  <c r="Y524" i="9"/>
  <c r="Y341" i="9"/>
  <c r="Y126" i="9"/>
  <c r="Y454" i="9"/>
  <c r="Y395" i="9"/>
  <c r="Y74" i="9"/>
  <c r="Y118" i="9"/>
  <c r="Y959" i="9"/>
  <c r="Y726" i="9"/>
  <c r="Y618" i="9"/>
  <c r="Y488" i="9"/>
  <c r="Y81" i="9"/>
  <c r="Y67" i="9"/>
  <c r="Y445" i="9"/>
  <c r="Y401" i="9"/>
  <c r="Y506" i="9"/>
  <c r="Y469" i="9"/>
  <c r="Y63" i="9"/>
  <c r="Y590" i="9"/>
  <c r="Y318" i="9"/>
  <c r="Y347" i="9"/>
  <c r="Y219" i="9"/>
  <c r="Y189" i="9"/>
  <c r="Y177" i="9"/>
  <c r="Y397" i="9"/>
  <c r="Y441" i="9"/>
  <c r="Y204" i="9"/>
  <c r="Y740" i="9"/>
  <c r="Y527" i="9"/>
  <c r="Y466" i="9"/>
  <c r="Y809" i="9"/>
  <c r="Y658" i="9"/>
  <c r="Y777" i="9"/>
  <c r="Y526" i="9"/>
  <c r="Y339" i="9"/>
  <c r="Y307" i="9"/>
  <c r="Y236" i="9"/>
  <c r="Y15" i="9"/>
  <c r="Y181" i="9"/>
  <c r="Y34" i="9"/>
  <c r="Y168" i="9"/>
  <c r="Y60" i="9"/>
  <c r="Y141" i="9"/>
  <c r="Y617" i="9"/>
  <c r="Y515" i="9"/>
  <c r="Y280" i="9"/>
  <c r="Y129" i="9"/>
  <c r="Y461" i="9"/>
  <c r="Y89" i="9"/>
  <c r="Y611" i="9"/>
  <c r="Y592" i="9"/>
  <c r="Y432" i="9"/>
  <c r="Y433" i="9"/>
  <c r="Y273" i="9"/>
  <c r="Y216" i="9"/>
  <c r="Y311" i="9"/>
  <c r="Y68" i="9"/>
  <c r="Y444" i="9"/>
  <c r="Y57" i="9"/>
  <c r="Y484" i="9"/>
  <c r="Y430" i="9"/>
  <c r="Y384" i="9"/>
  <c r="Y153" i="9"/>
  <c r="Y366" i="9"/>
  <c r="Y12" i="9"/>
  <c r="Y727" i="9"/>
  <c r="Y335" i="9"/>
  <c r="Y944" i="9"/>
  <c r="Y240" i="9"/>
  <c r="Y796" i="9"/>
  <c r="Y404" i="9"/>
  <c r="Y237" i="9"/>
  <c r="Y182" i="9"/>
  <c r="Y624" i="9"/>
  <c r="Y394" i="9"/>
  <c r="Y165" i="9"/>
  <c r="Y17" i="9"/>
  <c r="Y100" i="9"/>
  <c r="Y386" i="9"/>
  <c r="Y391" i="9"/>
  <c r="Y106" i="9"/>
  <c r="Y544" i="9"/>
  <c r="Y548" i="9"/>
  <c r="Y249" i="9"/>
  <c r="Y187" i="9"/>
  <c r="Y156" i="9"/>
  <c r="Y591" i="9"/>
  <c r="Y563" i="9"/>
  <c r="Y556" i="9"/>
  <c r="Y233" i="9"/>
  <c r="Y137" i="9"/>
  <c r="Y586" i="9"/>
  <c r="Y58" i="9"/>
  <c r="Y297" i="9"/>
  <c r="Y254" i="9"/>
  <c r="Y435" i="9"/>
  <c r="Y66" i="9"/>
  <c r="Y409" i="9"/>
  <c r="Y140" i="9"/>
  <c r="Y13" i="9"/>
  <c r="Y472" i="9"/>
  <c r="Y114" i="9"/>
  <c r="Y135" i="9"/>
  <c r="Y575" i="9"/>
  <c r="Y455" i="9"/>
  <c r="Y547" i="9"/>
  <c r="Y281" i="9"/>
  <c r="Y170" i="9"/>
  <c r="Y538" i="9"/>
  <c r="Y243" i="9"/>
  <c r="Y223" i="9"/>
  <c r="Y398" i="9"/>
  <c r="Y421" i="9"/>
  <c r="Y117" i="9"/>
  <c r="Y61" i="9"/>
  <c r="Y159" i="9"/>
  <c r="Y762" i="9"/>
  <c r="Y186" i="9"/>
  <c r="Y543" i="9"/>
  <c r="Y207" i="9"/>
  <c r="Y274" i="9"/>
  <c r="Y736" i="9"/>
  <c r="Y577" i="9"/>
  <c r="Y463" i="9"/>
  <c r="Y487" i="9"/>
  <c r="Y178" i="9"/>
  <c r="Y640" i="9"/>
  <c r="Y475" i="9"/>
  <c r="Y418" i="9"/>
  <c r="Y197" i="9"/>
  <c r="Y597" i="9"/>
  <c r="Y272" i="9"/>
  <c r="Y252" i="9"/>
  <c r="Y83" i="9"/>
  <c r="Y173" i="9"/>
  <c r="Y290" i="9"/>
  <c r="Y99" i="9"/>
  <c r="Y492" i="9"/>
  <c r="Y229" i="9"/>
  <c r="Y56" i="9"/>
  <c r="Y116" i="9"/>
  <c r="Y113" i="9"/>
  <c r="Y47" i="9"/>
  <c r="Y660" i="9"/>
  <c r="Y147" i="9"/>
  <c r="Y40" i="9"/>
  <c r="Y291" i="9"/>
  <c r="Y23" i="9"/>
  <c r="Y599" i="9"/>
  <c r="Y478" i="9"/>
  <c r="Y508" i="9"/>
  <c r="Y408" i="9"/>
  <c r="Y125" i="9"/>
  <c r="Y799" i="9"/>
  <c r="Y811" i="9"/>
  <c r="Y101" i="9"/>
  <c r="Y497" i="9"/>
  <c r="Y163" i="9"/>
  <c r="Y105" i="9"/>
  <c r="Y376" i="9"/>
  <c r="Y282" i="9"/>
  <c r="Y659" i="9"/>
  <c r="Y482" i="9"/>
  <c r="Y407" i="9"/>
  <c r="Y246" i="9"/>
  <c r="Y14" i="9"/>
  <c r="Y72" i="9"/>
  <c r="Y379" i="9"/>
  <c r="Y226" i="9"/>
  <c r="Y152" i="9"/>
  <c r="Y35" i="9"/>
  <c r="Y500" i="9"/>
  <c r="Y405" i="9"/>
  <c r="Y38" i="9"/>
  <c r="Y77" i="9"/>
  <c r="Y402" i="9"/>
  <c r="Y255" i="9"/>
  <c r="Y443" i="9"/>
  <c r="Y529" i="9"/>
  <c r="Y146" i="9"/>
  <c r="Y73" i="9"/>
  <c r="Y20" i="9"/>
  <c r="Y172" i="9"/>
  <c r="Y43" i="9"/>
  <c r="Y55" i="9"/>
  <c r="Y45" i="9"/>
  <c r="Y504" i="9"/>
  <c r="Y234" i="9"/>
  <c r="Y119" i="9"/>
  <c r="Y480" i="9"/>
  <c r="Y180" i="9"/>
  <c r="Y150" i="9"/>
  <c r="Y846" i="9"/>
  <c r="Y496" i="9"/>
  <c r="Y457" i="9"/>
  <c r="Y331" i="9"/>
  <c r="N499" i="9"/>
  <c r="N368" i="9"/>
  <c r="N48" i="9"/>
  <c r="N123" i="9"/>
  <c r="N364" i="9"/>
  <c r="V364" i="9"/>
  <c r="X335" i="9"/>
  <c r="Y429" i="9"/>
  <c r="Y179" i="9"/>
  <c r="N275" i="9"/>
  <c r="N344" i="9"/>
  <c r="X754" i="9"/>
  <c r="N460" i="9"/>
  <c r="Y102" i="9"/>
  <c r="Y238" i="9"/>
  <c r="AA484" i="9"/>
  <c r="X139" i="9"/>
  <c r="AA348" i="9"/>
  <c r="N67" i="9"/>
  <c r="X71" i="9"/>
  <c r="N232" i="9"/>
  <c r="N236" i="9"/>
  <c r="AA12" i="9"/>
  <c r="AA322" i="9"/>
  <c r="AA181" i="9"/>
  <c r="AA225" i="9"/>
  <c r="AA327" i="9"/>
  <c r="AA695" i="9"/>
  <c r="AA495" i="9"/>
  <c r="X136" i="9"/>
  <c r="N371" i="9"/>
  <c r="N292" i="9"/>
  <c r="N671" i="9"/>
  <c r="N119" i="9"/>
  <c r="X319" i="9"/>
  <c r="AA153" i="9"/>
  <c r="X175" i="9"/>
  <c r="AA197" i="9"/>
  <c r="AA516" i="9"/>
  <c r="AA57" i="9"/>
  <c r="AA342" i="9"/>
  <c r="AA776" i="9"/>
  <c r="X155" i="9"/>
  <c r="X313" i="9"/>
  <c r="AA544" i="9"/>
  <c r="N608" i="9"/>
  <c r="N259" i="9"/>
  <c r="X516" i="9"/>
  <c r="N13" i="9"/>
  <c r="X301" i="9"/>
  <c r="AA134" i="9"/>
  <c r="V196" i="9"/>
  <c r="N196" i="9"/>
  <c r="N513" i="9"/>
  <c r="AA26" i="9"/>
  <c r="N163" i="9"/>
  <c r="Y175" i="9"/>
  <c r="X363" i="9"/>
  <c r="AA533" i="9"/>
  <c r="N102" i="9"/>
  <c r="N523" i="9"/>
  <c r="N754" i="9"/>
  <c r="N177" i="9"/>
  <c r="N78" i="9"/>
  <c r="N280" i="9"/>
  <c r="N265" i="9"/>
  <c r="Y324" i="9"/>
  <c r="AA157" i="9"/>
  <c r="AA24" i="9"/>
  <c r="AA140" i="9"/>
  <c r="AA409" i="9"/>
  <c r="AA457" i="9"/>
  <c r="AA685" i="9"/>
  <c r="AA750" i="9"/>
  <c r="AA952" i="9"/>
  <c r="N91" i="9"/>
  <c r="Y155" i="9"/>
  <c r="N410" i="9"/>
  <c r="V410" i="9"/>
  <c r="N400" i="9"/>
  <c r="X360" i="9"/>
  <c r="N522" i="9"/>
  <c r="AA638" i="9"/>
  <c r="N200" i="9"/>
  <c r="AA151" i="9"/>
  <c r="N95" i="9"/>
  <c r="N184" i="9"/>
  <c r="N369" i="9"/>
  <c r="V369" i="9"/>
  <c r="Y278" i="9"/>
  <c r="X531" i="9"/>
  <c r="Y516" i="9"/>
  <c r="N98" i="9"/>
  <c r="V98" i="9"/>
  <c r="N59" i="9"/>
  <c r="X98" i="9"/>
  <c r="N92" i="9"/>
  <c r="N300" i="9"/>
  <c r="V300" i="9"/>
  <c r="Y301" i="9"/>
  <c r="X486" i="9"/>
  <c r="AA137" i="9"/>
  <c r="N195" i="9"/>
  <c r="N341" i="9"/>
  <c r="N277" i="9"/>
  <c r="AA90" i="9"/>
  <c r="Y225" i="9"/>
  <c r="N323" i="9"/>
  <c r="Y542" i="9"/>
  <c r="N549" i="9"/>
  <c r="X630" i="9"/>
  <c r="N24" i="9"/>
  <c r="AA97" i="9"/>
  <c r="N159" i="9"/>
  <c r="N395" i="9"/>
  <c r="Y476" i="9"/>
  <c r="AA549" i="9"/>
  <c r="AA64" i="9"/>
  <c r="AA800" i="9"/>
  <c r="AA597" i="9"/>
  <c r="AA22" i="9"/>
  <c r="AA593" i="9"/>
  <c r="AA111" i="9"/>
  <c r="AA559" i="9"/>
  <c r="AA486" i="9"/>
  <c r="N69" i="9"/>
  <c r="Y326" i="9"/>
  <c r="AA207" i="9"/>
  <c r="Y362" i="9"/>
  <c r="AA337" i="9"/>
  <c r="X683" i="9"/>
  <c r="X784" i="9"/>
  <c r="N83" i="9"/>
  <c r="AA275" i="9"/>
  <c r="N379" i="9"/>
  <c r="Y387" i="9"/>
  <c r="N600" i="9"/>
  <c r="AA724" i="9"/>
  <c r="Y675" i="9"/>
  <c r="N432" i="9"/>
  <c r="N753" i="9"/>
  <c r="AA914" i="9"/>
  <c r="Y358" i="9"/>
  <c r="Y64" i="9"/>
  <c r="AA139" i="9"/>
  <c r="X338" i="9"/>
  <c r="AA218" i="9"/>
  <c r="AA17" i="9"/>
  <c r="Y338" i="9"/>
  <c r="AA355" i="9"/>
  <c r="AA598" i="9"/>
  <c r="AA963" i="9"/>
  <c r="N464" i="9"/>
  <c r="N211" i="9"/>
  <c r="X278" i="9"/>
  <c r="Y98" i="9"/>
  <c r="AA366" i="9"/>
  <c r="AA256" i="9"/>
  <c r="Y49" i="9"/>
  <c r="AA364" i="9"/>
  <c r="V338" i="9"/>
  <c r="N338" i="9"/>
  <c r="N278" i="9"/>
  <c r="V278" i="9"/>
  <c r="X331" i="9"/>
  <c r="Y363" i="9"/>
  <c r="N285" i="9"/>
  <c r="AA393" i="9"/>
  <c r="N420" i="9"/>
  <c r="N825" i="9"/>
  <c r="AA143" i="9"/>
  <c r="N51" i="9"/>
  <c r="N374" i="9"/>
  <c r="N388" i="9"/>
  <c r="N324" i="9"/>
  <c r="V324" i="9"/>
  <c r="AA88" i="9"/>
  <c r="AA128" i="9"/>
  <c r="AA60" i="9"/>
  <c r="AA424" i="9"/>
  <c r="AA610" i="9"/>
  <c r="AA667" i="9"/>
  <c r="AA753" i="9"/>
  <c r="N169" i="9"/>
  <c r="N16" i="9"/>
  <c r="N127" i="9"/>
  <c r="N216" i="9"/>
  <c r="V380" i="9"/>
  <c r="N380" i="9"/>
  <c r="N411" i="9"/>
  <c r="Y360" i="9"/>
  <c r="AA499" i="9"/>
  <c r="AA67" i="9"/>
  <c r="Y130" i="9"/>
  <c r="N508" i="9"/>
  <c r="Y531" i="9"/>
  <c r="N137" i="9"/>
  <c r="N151" i="9"/>
  <c r="N229" i="9"/>
  <c r="AA518" i="9"/>
  <c r="N422" i="9"/>
  <c r="Y486" i="9"/>
  <c r="AA98" i="9"/>
  <c r="AA63" i="9"/>
  <c r="V225" i="9"/>
  <c r="N225" i="9"/>
  <c r="N94" i="9"/>
  <c r="AA242" i="9"/>
  <c r="AA372" i="9"/>
  <c r="AA208" i="9"/>
  <c r="AA167" i="9"/>
  <c r="Y97" i="9"/>
  <c r="Y122" i="9"/>
  <c r="AA454" i="9"/>
  <c r="X542" i="9"/>
  <c r="Y630" i="9"/>
  <c r="N144" i="9"/>
  <c r="V149" i="9"/>
  <c r="N149" i="9"/>
  <c r="N29" i="9"/>
  <c r="N35" i="9"/>
  <c r="N289" i="9"/>
  <c r="X476" i="9"/>
  <c r="AA99" i="9"/>
  <c r="AA166" i="9"/>
  <c r="X326" i="9"/>
  <c r="AA267" i="9"/>
  <c r="N470" i="9"/>
  <c r="N785" i="9"/>
  <c r="AA48" i="9"/>
  <c r="AA59" i="9"/>
  <c r="N222" i="9"/>
  <c r="N397" i="9"/>
  <c r="X276" i="9"/>
  <c r="N106" i="9"/>
  <c r="N713" i="9"/>
  <c r="Y519" i="9"/>
  <c r="Y513" i="9"/>
  <c r="AA683" i="9"/>
  <c r="X649" i="9"/>
  <c r="Y242" i="9"/>
  <c r="Y609" i="9"/>
  <c r="N226" i="9"/>
  <c r="Y629" i="9"/>
  <c r="X896" i="9"/>
  <c r="AA373" i="9"/>
  <c r="X201" i="9"/>
  <c r="N219" i="9"/>
  <c r="N640" i="9"/>
  <c r="N766" i="9"/>
  <c r="AA130" i="9"/>
  <c r="AA127" i="9"/>
  <c r="AA271" i="9"/>
  <c r="X238" i="9"/>
  <c r="N524" i="9"/>
  <c r="AA18" i="9"/>
  <c r="AA388" i="9"/>
  <c r="AA379" i="9"/>
  <c r="AA359" i="9"/>
  <c r="AA562" i="9"/>
  <c r="AA703" i="9"/>
  <c r="AA876" i="9"/>
  <c r="AA35" i="9"/>
  <c r="AA28" i="9"/>
  <c r="N450" i="9"/>
  <c r="V121" i="9"/>
  <c r="N121" i="9"/>
  <c r="N63" i="9"/>
  <c r="N142" i="9"/>
  <c r="N401" i="9"/>
  <c r="N298" i="9"/>
  <c r="N243" i="9"/>
  <c r="N381" i="9"/>
  <c r="Y533" i="9"/>
  <c r="AA61" i="9"/>
  <c r="Y190" i="9"/>
  <c r="AA445" i="9"/>
  <c r="AA467" i="9"/>
  <c r="X534" i="9"/>
  <c r="X477" i="9"/>
  <c r="N96" i="9"/>
  <c r="N77" i="9"/>
  <c r="X110" i="9"/>
  <c r="N145" i="9"/>
  <c r="N390" i="9"/>
  <c r="Y149" i="9"/>
  <c r="AA43" i="9"/>
  <c r="AA356" i="9"/>
  <c r="Y193" i="9"/>
  <c r="N569" i="9"/>
  <c r="Y557" i="9"/>
  <c r="AA52" i="9"/>
  <c r="N100" i="9"/>
  <c r="X300" i="9"/>
  <c r="X330" i="9"/>
  <c r="AA569" i="9"/>
  <c r="N560" i="9"/>
  <c r="N42" i="9"/>
  <c r="AA30" i="9"/>
  <c r="AA118" i="9"/>
  <c r="Y340" i="9"/>
  <c r="AA465" i="9"/>
  <c r="AA408" i="9"/>
  <c r="N483" i="9"/>
  <c r="AA693" i="9"/>
  <c r="AA658" i="9"/>
  <c r="AA797" i="9"/>
  <c r="N717" i="9"/>
  <c r="N25" i="9"/>
  <c r="N173" i="9"/>
  <c r="AA110" i="9"/>
  <c r="N290" i="9"/>
  <c r="N490" i="9"/>
  <c r="V373" i="9"/>
  <c r="N373" i="9"/>
  <c r="N455" i="9"/>
  <c r="N683" i="9"/>
  <c r="V683" i="9"/>
  <c r="Y649" i="9"/>
  <c r="AA752" i="9"/>
  <c r="X802" i="9"/>
  <c r="Y820" i="9"/>
  <c r="N334" i="9"/>
  <c r="N686" i="9"/>
  <c r="N830" i="9"/>
  <c r="Y491" i="9"/>
  <c r="AA254" i="9"/>
  <c r="AA439" i="9"/>
  <c r="AA837" i="9"/>
  <c r="AA299" i="9"/>
  <c r="AA259" i="9"/>
  <c r="N321" i="9"/>
  <c r="V321" i="9"/>
  <c r="AA527" i="9"/>
  <c r="AA121" i="9"/>
  <c r="N223" i="9"/>
  <c r="Y321" i="9"/>
  <c r="X533" i="9"/>
  <c r="N506" i="9"/>
  <c r="AA200" i="9"/>
  <c r="AA162" i="9"/>
  <c r="N18" i="9"/>
  <c r="N99" i="9"/>
  <c r="AA315" i="9"/>
  <c r="Y534" i="9"/>
  <c r="AA531" i="9"/>
  <c r="AA37" i="9"/>
  <c r="N162" i="9"/>
  <c r="V162" i="9"/>
  <c r="AA365" i="9"/>
  <c r="Y248" i="9"/>
  <c r="N72" i="9"/>
  <c r="N103" i="9"/>
  <c r="N256" i="9"/>
  <c r="Y410" i="9"/>
  <c r="AA429" i="9"/>
  <c r="X557" i="9"/>
  <c r="N214" i="9"/>
  <c r="N79" i="9"/>
  <c r="AA176" i="9"/>
  <c r="N366" i="9"/>
  <c r="Y300" i="9"/>
  <c r="Y330" i="9"/>
  <c r="N474" i="9"/>
  <c r="X340" i="9"/>
  <c r="AA418" i="9"/>
  <c r="AA394" i="9"/>
  <c r="AA519" i="9"/>
  <c r="AA500" i="9"/>
  <c r="AA653" i="9"/>
  <c r="X653" i="9"/>
  <c r="N749" i="9"/>
  <c r="AA150" i="9"/>
  <c r="AA163" i="9"/>
  <c r="AA473" i="9"/>
  <c r="N287" i="9"/>
  <c r="AA636" i="9"/>
  <c r="N485" i="9"/>
  <c r="Y569" i="9"/>
  <c r="AA772" i="9"/>
  <c r="N601" i="9"/>
  <c r="N657" i="9"/>
  <c r="N409" i="9"/>
  <c r="Y372" i="9"/>
  <c r="AA21" i="9"/>
  <c r="AA54" i="9"/>
  <c r="AA281" i="9"/>
  <c r="AA734" i="9"/>
  <c r="Y121" i="9"/>
  <c r="AA55" i="9"/>
  <c r="AA377" i="9"/>
  <c r="N402" i="9"/>
  <c r="AA371" i="9"/>
  <c r="X373" i="9"/>
  <c r="V295" i="9"/>
  <c r="N295" i="9"/>
  <c r="N529" i="9"/>
  <c r="AA49" i="9"/>
  <c r="N116" i="9"/>
  <c r="N679" i="9"/>
  <c r="N872" i="9"/>
  <c r="AA169" i="9"/>
  <c r="N56" i="9"/>
  <c r="X227" i="9"/>
  <c r="AA410" i="9"/>
  <c r="X372" i="9"/>
  <c r="AA75" i="9"/>
  <c r="AA72" i="9"/>
  <c r="AA311" i="9"/>
  <c r="AA345" i="9"/>
  <c r="AA466" i="9"/>
  <c r="AA764" i="9"/>
  <c r="AA951" i="9"/>
  <c r="X121" i="9"/>
  <c r="N105" i="9"/>
  <c r="N21" i="9"/>
  <c r="AA369" i="9"/>
  <c r="N283" i="9"/>
  <c r="X209" i="9"/>
  <c r="AA542" i="9"/>
  <c r="Y521" i="9"/>
  <c r="N528" i="9"/>
  <c r="N584" i="9"/>
  <c r="AA13" i="9"/>
  <c r="AA107" i="9"/>
  <c r="N346" i="9"/>
  <c r="AA301" i="9"/>
  <c r="X321" i="9"/>
  <c r="AA464" i="9"/>
  <c r="N70" i="9"/>
  <c r="AA425" i="9"/>
  <c r="N241" i="9"/>
  <c r="N405" i="9"/>
  <c r="N370" i="9"/>
  <c r="N556" i="9"/>
  <c r="N153" i="9"/>
  <c r="AA103" i="9"/>
  <c r="AA190" i="9"/>
  <c r="N244" i="9"/>
  <c r="X248" i="9"/>
  <c r="N518" i="9"/>
  <c r="AA79" i="9"/>
  <c r="N176" i="9"/>
  <c r="AA270" i="9"/>
  <c r="X410" i="9"/>
  <c r="X369" i="9"/>
  <c r="Y303" i="9"/>
  <c r="AA558" i="9"/>
  <c r="AA643" i="9"/>
  <c r="N659" i="9"/>
  <c r="N170" i="9"/>
  <c r="N178" i="9"/>
  <c r="AA276" i="9"/>
  <c r="N454" i="9"/>
  <c r="N396" i="9"/>
  <c r="N47" i="9"/>
  <c r="N217" i="9"/>
  <c r="AA330" i="9"/>
  <c r="N489" i="9"/>
  <c r="Y653" i="9"/>
  <c r="N101" i="9"/>
  <c r="AA326" i="9"/>
  <c r="N207" i="9"/>
  <c r="Y370" i="9"/>
  <c r="AA446" i="9"/>
  <c r="Y284" i="9"/>
  <c r="X569" i="9"/>
  <c r="N729" i="9"/>
  <c r="Y751" i="9"/>
  <c r="V385" i="9"/>
  <c r="N385" i="9"/>
  <c r="N786" i="9"/>
  <c r="Y861" i="9"/>
  <c r="AA333" i="9"/>
  <c r="Y467" i="9"/>
  <c r="AA172" i="9"/>
  <c r="AA42" i="9"/>
  <c r="AA154" i="9"/>
  <c r="AA384" i="9"/>
  <c r="AA244" i="9"/>
  <c r="AA586" i="9"/>
  <c r="AA736" i="9"/>
  <c r="AA905" i="9"/>
  <c r="Y209" i="9"/>
  <c r="Y530" i="9"/>
  <c r="X521" i="9"/>
  <c r="AA32" i="9"/>
  <c r="AA125" i="9"/>
  <c r="Y86" i="9"/>
  <c r="N89" i="9"/>
  <c r="N227" i="9"/>
  <c r="AA229" i="9"/>
  <c r="V301" i="9"/>
  <c r="N301" i="9"/>
  <c r="AA509" i="9"/>
  <c r="Y306" i="9"/>
  <c r="N416" i="9"/>
  <c r="AA585" i="9"/>
  <c r="N39" i="9"/>
  <c r="N131" i="9"/>
  <c r="AA472" i="9"/>
  <c r="AA122" i="9"/>
  <c r="AA158" i="9"/>
  <c r="N135" i="9"/>
  <c r="V190" i="9"/>
  <c r="N190" i="9"/>
  <c r="N245" i="9"/>
  <c r="X322" i="9"/>
  <c r="N31" i="9"/>
  <c r="N57" i="9"/>
  <c r="N192" i="9"/>
  <c r="Y390" i="9"/>
  <c r="AA513" i="9"/>
  <c r="Y369" i="9"/>
  <c r="X303" i="9"/>
  <c r="N543" i="9"/>
  <c r="N431" i="9"/>
  <c r="AA612" i="9"/>
  <c r="N43" i="9"/>
  <c r="AA302" i="9"/>
  <c r="N308" i="9"/>
  <c r="AA358" i="9"/>
  <c r="AA458" i="9"/>
  <c r="AA543" i="9"/>
  <c r="N84" i="9"/>
  <c r="AA92" i="9"/>
  <c r="X213" i="9"/>
  <c r="AA584" i="9"/>
  <c r="AA802" i="9"/>
  <c r="N26" i="9"/>
  <c r="N30" i="9"/>
  <c r="AA475" i="9"/>
  <c r="AA538" i="9"/>
  <c r="X284" i="9"/>
  <c r="N500" i="9"/>
  <c r="N777" i="9"/>
  <c r="N658" i="9"/>
  <c r="N751" i="9"/>
  <c r="V751" i="9"/>
  <c r="N309" i="9"/>
  <c r="AA385" i="9"/>
  <c r="N408" i="9"/>
  <c r="Y161" i="9"/>
  <c r="AA193" i="9"/>
  <c r="AA417" i="9"/>
  <c r="Y537" i="9"/>
  <c r="X467" i="9"/>
  <c r="AA33" i="9"/>
  <c r="AA78" i="9"/>
  <c r="AA164" i="9"/>
  <c r="AA202" i="9"/>
  <c r="AA344" i="9"/>
  <c r="AA553" i="9"/>
  <c r="AA783" i="9"/>
  <c r="AA901" i="9"/>
  <c r="N28" i="9"/>
  <c r="N139" i="9"/>
  <c r="AA184" i="9"/>
  <c r="AA401" i="9"/>
  <c r="X267" i="9"/>
  <c r="N345" i="9"/>
  <c r="X309" i="9"/>
  <c r="X530" i="9"/>
  <c r="N421" i="9"/>
  <c r="AA506" i="9"/>
  <c r="N453" i="9"/>
  <c r="AA119" i="9"/>
  <c r="X80" i="9"/>
  <c r="X86" i="9"/>
  <c r="AA188" i="9"/>
  <c r="X306" i="9"/>
  <c r="N27" i="9"/>
  <c r="N134" i="9"/>
  <c r="V134" i="9"/>
  <c r="Y389" i="9"/>
  <c r="N541" i="9"/>
  <c r="Y570" i="9"/>
  <c r="AA70" i="9"/>
  <c r="AA31" i="9"/>
  <c r="N231" i="9"/>
  <c r="Y356" i="9"/>
  <c r="AA300" i="9"/>
  <c r="Y322" i="9"/>
  <c r="N68" i="9"/>
  <c r="AA40" i="9"/>
  <c r="N150" i="9"/>
  <c r="X390" i="9"/>
  <c r="AA507" i="9"/>
  <c r="N594" i="9"/>
  <c r="N610" i="9"/>
  <c r="N22" i="9"/>
  <c r="N152" i="9"/>
  <c r="V133" i="9"/>
  <c r="N133" i="9"/>
  <c r="Y134" i="9"/>
  <c r="N358" i="9"/>
  <c r="V358" i="9"/>
  <c r="N255" i="9"/>
  <c r="AA530" i="9"/>
  <c r="AA477" i="9"/>
  <c r="AA38" i="9"/>
  <c r="AA145" i="9"/>
  <c r="N53" i="9"/>
  <c r="X210" i="9"/>
  <c r="AA397" i="9"/>
  <c r="X316" i="9"/>
  <c r="N433" i="9"/>
  <c r="Y385" i="9"/>
  <c r="AA546" i="9"/>
  <c r="AA510" i="9"/>
  <c r="AA656" i="9"/>
  <c r="N45" i="9"/>
  <c r="N191" i="9"/>
  <c r="N166" i="9"/>
  <c r="AA199" i="9"/>
  <c r="AA278" i="9"/>
  <c r="N382" i="9"/>
  <c r="Y337" i="9"/>
  <c r="N561" i="9"/>
  <c r="AA489" i="9"/>
  <c r="V613" i="9"/>
  <c r="N613" i="9"/>
  <c r="AA749" i="9"/>
  <c r="N282" i="9"/>
  <c r="AA594" i="9"/>
  <c r="AA552" i="9"/>
  <c r="AA427" i="9"/>
  <c r="AA80" i="9"/>
  <c r="Y267" i="9"/>
  <c r="Y309" i="9"/>
  <c r="AA58" i="9"/>
  <c r="Y80" i="9"/>
  <c r="AA187" i="9"/>
  <c r="AA234" i="9"/>
  <c r="X365" i="9"/>
  <c r="AA241" i="9"/>
  <c r="AA413" i="9"/>
  <c r="AA576" i="9"/>
  <c r="AA135" i="9"/>
  <c r="N122" i="9"/>
  <c r="V122" i="9"/>
  <c r="AA146" i="9"/>
  <c r="Y196" i="9"/>
  <c r="AA227" i="9"/>
  <c r="N291" i="9"/>
  <c r="X389" i="9"/>
  <c r="AA378" i="9"/>
  <c r="N444" i="9"/>
  <c r="X570" i="9"/>
  <c r="N58" i="9"/>
  <c r="AA86" i="9"/>
  <c r="N81" i="9"/>
  <c r="N36" i="9"/>
  <c r="X356" i="9"/>
  <c r="X162" i="9"/>
  <c r="X256" i="9"/>
  <c r="N288" i="9"/>
  <c r="AA386" i="9"/>
  <c r="Y329" i="9"/>
  <c r="AA525" i="9"/>
  <c r="Y572" i="9"/>
  <c r="AA629" i="9"/>
  <c r="AA133" i="9"/>
  <c r="X134" i="9"/>
  <c r="N143" i="9"/>
  <c r="X212" i="9"/>
  <c r="AA286" i="9"/>
  <c r="N120" i="9"/>
  <c r="Y210" i="9"/>
  <c r="N414" i="9"/>
  <c r="X385" i="9"/>
  <c r="AA442" i="9"/>
  <c r="N606" i="9"/>
  <c r="N719" i="9"/>
  <c r="N60" i="9"/>
  <c r="AA257" i="9"/>
  <c r="N262" i="9"/>
  <c r="N430" i="9"/>
  <c r="X337" i="9"/>
  <c r="X447" i="9"/>
  <c r="Y539" i="9"/>
  <c r="N619" i="9"/>
  <c r="N827" i="9"/>
  <c r="V827" i="9"/>
  <c r="AA857" i="9"/>
  <c r="AA896" i="9"/>
  <c r="N662" i="9"/>
  <c r="N434" i="9"/>
  <c r="AA165" i="9"/>
  <c r="Y208" i="9"/>
  <c r="AA296" i="9"/>
  <c r="AA608" i="9"/>
  <c r="AA136" i="9"/>
  <c r="AA39" i="9"/>
  <c r="AA152" i="9"/>
  <c r="AA341" i="9"/>
  <c r="AA508" i="9"/>
  <c r="AA628" i="9"/>
  <c r="AA789" i="9"/>
  <c r="AA929" i="9"/>
  <c r="V80" i="9"/>
  <c r="N80" i="9"/>
  <c r="N125" i="9"/>
  <c r="AA298" i="9"/>
  <c r="Y313" i="9"/>
  <c r="N406" i="9"/>
  <c r="N585" i="9"/>
  <c r="N504" i="9"/>
  <c r="N132" i="9"/>
  <c r="N307" i="9"/>
  <c r="Y365" i="9"/>
  <c r="V329" i="9"/>
  <c r="N329" i="9"/>
  <c r="N542" i="9"/>
  <c r="V542" i="9"/>
  <c r="N544" i="9"/>
  <c r="N457" i="9"/>
  <c r="N451" i="9"/>
  <c r="AA223" i="9"/>
  <c r="X196" i="9"/>
  <c r="N188" i="9"/>
  <c r="AA266" i="9"/>
  <c r="N272" i="9"/>
  <c r="N471" i="9"/>
  <c r="AA609" i="9"/>
  <c r="AA147" i="9"/>
  <c r="AA196" i="9"/>
  <c r="N425" i="9"/>
  <c r="AA272" i="9"/>
  <c r="AA405" i="9"/>
  <c r="N202" i="9"/>
  <c r="Y133" i="9"/>
  <c r="N74" i="9"/>
  <c r="Y162" i="9"/>
  <c r="Y256" i="9"/>
  <c r="AA390" i="9"/>
  <c r="X329" i="9"/>
  <c r="X572" i="9"/>
  <c r="N639" i="9"/>
  <c r="AA264" i="9"/>
  <c r="AA352" i="9"/>
  <c r="N164" i="9"/>
  <c r="Y212" i="9"/>
  <c r="AA539" i="9"/>
  <c r="N185" i="9"/>
  <c r="AA179" i="9"/>
  <c r="AA114" i="9"/>
  <c r="N167" i="9"/>
  <c r="N473" i="9"/>
  <c r="V473" i="9"/>
  <c r="X283" i="9"/>
  <c r="X367" i="9"/>
  <c r="AA407" i="9"/>
  <c r="AA738" i="9"/>
  <c r="AA81" i="9"/>
  <c r="AA47" i="9"/>
  <c r="X50" i="9"/>
  <c r="Y473" i="9"/>
  <c r="Y447" i="9"/>
  <c r="X539" i="9"/>
  <c r="X621" i="9"/>
  <c r="AA106" i="9"/>
  <c r="AA937" i="9"/>
  <c r="AA406" i="9"/>
  <c r="AA455" i="9"/>
  <c r="X208" i="9"/>
  <c r="N296" i="9"/>
  <c r="V296" i="9"/>
  <c r="AA15" i="9"/>
  <c r="AA651" i="9"/>
  <c r="N130" i="9"/>
  <c r="V130" i="9"/>
  <c r="AA363" i="9"/>
  <c r="N41" i="9"/>
  <c r="N472" i="9"/>
  <c r="N270" i="9"/>
  <c r="N557" i="9"/>
  <c r="AA209" i="9"/>
  <c r="X133" i="9"/>
  <c r="X225" i="9"/>
  <c r="AA178" i="9"/>
  <c r="AA462" i="9"/>
  <c r="N492" i="9"/>
  <c r="N264" i="9"/>
  <c r="V264" i="9"/>
  <c r="V97" i="9"/>
  <c r="N97" i="9"/>
  <c r="N220" i="9"/>
  <c r="N107" i="9"/>
  <c r="N238" i="9"/>
  <c r="AA260" i="9"/>
  <c r="N386" i="9"/>
  <c r="N476" i="9"/>
  <c r="V476" i="9"/>
  <c r="AA492" i="9"/>
  <c r="N46" i="9"/>
  <c r="V46" i="9"/>
  <c r="Z101" i="9" s="1"/>
  <c r="N910" i="9"/>
  <c r="N715" i="9"/>
  <c r="N893" i="9"/>
  <c r="N885" i="9"/>
  <c r="N949" i="9"/>
  <c r="N878" i="9"/>
  <c r="N799" i="9"/>
  <c r="N942" i="9"/>
  <c r="N883" i="9"/>
  <c r="N922" i="9"/>
  <c r="N822" i="9"/>
  <c r="N520" i="9"/>
  <c r="N889" i="9"/>
  <c r="N703" i="9"/>
  <c r="N609" i="9"/>
  <c r="N484" i="9"/>
  <c r="N246" i="9"/>
  <c r="N501" i="9"/>
  <c r="N651" i="9"/>
  <c r="N890" i="9"/>
  <c r="N908" i="9"/>
  <c r="N716" i="9"/>
  <c r="N37" i="9"/>
  <c r="N956" i="9"/>
  <c r="N743" i="9"/>
  <c r="N172" i="9"/>
  <c r="N590" i="9"/>
  <c r="N966" i="9"/>
  <c r="N798" i="9"/>
  <c r="N741" i="9"/>
  <c r="N897" i="9"/>
  <c r="N746" i="9"/>
  <c r="N687" i="9"/>
  <c r="N539" i="9"/>
  <c r="N894" i="9"/>
  <c r="N486" i="9"/>
  <c r="N206" i="9"/>
  <c r="N962" i="9"/>
  <c r="N833" i="9"/>
  <c r="N427" i="9"/>
  <c r="N147" i="9"/>
  <c r="N179" i="9"/>
  <c r="N784" i="9"/>
  <c r="N902" i="9"/>
  <c r="N224" i="9"/>
  <c r="N180" i="9"/>
  <c r="N372" i="9"/>
  <c r="N846" i="9"/>
  <c r="N820" i="9"/>
  <c r="N939" i="9"/>
  <c r="N914" i="9"/>
  <c r="N702" i="9"/>
  <c r="N664" i="9"/>
  <c r="N498" i="9"/>
  <c r="N735" i="9"/>
  <c r="N494" i="9"/>
  <c r="N899" i="9"/>
  <c r="N65" i="9"/>
  <c r="N597" i="9"/>
  <c r="N946" i="9"/>
  <c r="N888" i="9"/>
  <c r="N790" i="9"/>
  <c r="N592" i="9"/>
  <c r="N638" i="9"/>
  <c r="N465" i="9"/>
  <c r="N782" i="9"/>
  <c r="N775" i="9"/>
  <c r="N706" i="9"/>
  <c r="N633" i="9"/>
  <c r="N733" i="9"/>
  <c r="N670" i="9"/>
  <c r="N793" i="9"/>
  <c r="N482" i="9"/>
  <c r="N250" i="9"/>
  <c r="N175" i="9"/>
  <c r="N260" i="9"/>
  <c r="N582" i="9"/>
  <c r="N767" i="9"/>
  <c r="N49" i="9"/>
  <c r="N621" i="9"/>
  <c r="N359" i="9"/>
  <c r="N935" i="9"/>
  <c r="N574" i="9"/>
  <c r="N873" i="9"/>
  <c r="N758" i="9"/>
  <c r="N404" i="9"/>
  <c r="N941" i="9"/>
  <c r="N951" i="9"/>
  <c r="N906" i="9"/>
  <c r="N352" i="9"/>
  <c r="N253" i="9"/>
  <c r="N901" i="9"/>
  <c r="N955" i="9"/>
  <c r="N779" i="9"/>
  <c r="N673" i="9"/>
  <c r="N530" i="9"/>
  <c r="N950" i="9"/>
  <c r="N797" i="9"/>
  <c r="N330" i="9"/>
  <c r="N44" i="9"/>
  <c r="N744" i="9"/>
  <c r="N970" i="9"/>
  <c r="N804" i="9"/>
  <c r="N756" i="9"/>
  <c r="N691" i="9"/>
  <c r="N627" i="9"/>
  <c r="N365" i="9"/>
  <c r="N54" i="9"/>
  <c r="N303" i="9"/>
  <c r="N940" i="9"/>
  <c r="N931" i="9"/>
  <c r="N768" i="9"/>
  <c r="N726" i="9"/>
  <c r="N850" i="9"/>
  <c r="N617" i="9"/>
  <c r="N281" i="9"/>
  <c r="N863" i="9"/>
  <c r="N967" i="9"/>
  <c r="N728" i="9"/>
  <c r="N796" i="9"/>
  <c r="N521" i="9"/>
  <c r="N126" i="9"/>
  <c r="N248" i="9"/>
  <c r="N926" i="9"/>
  <c r="N961" i="9"/>
  <c r="N765" i="9"/>
  <c r="N723" i="9"/>
  <c r="N711" i="9"/>
  <c r="N607" i="9"/>
  <c r="N477" i="9"/>
  <c r="N251" i="9"/>
  <c r="N525" i="9"/>
  <c r="N515" i="9"/>
  <c r="N208" i="9"/>
  <c r="N957" i="9"/>
  <c r="N871" i="9"/>
  <c r="N203" i="9"/>
  <c r="N682" i="9"/>
  <c r="N848" i="9"/>
  <c r="N548" i="9"/>
  <c r="N875" i="9"/>
  <c r="N789" i="9"/>
  <c r="N862" i="9"/>
  <c r="N964" i="9"/>
  <c r="N655" i="9"/>
  <c r="N493" i="9"/>
  <c r="N803" i="9"/>
  <c r="N710" i="9"/>
  <c r="N631" i="9"/>
  <c r="N129" i="9"/>
  <c r="N852" i="9"/>
  <c r="N816" i="9"/>
  <c r="N699" i="9"/>
  <c r="N403" i="9"/>
  <c r="N209" i="9"/>
  <c r="N221" i="9"/>
  <c r="N881" i="9"/>
  <c r="N829" i="9"/>
  <c r="N648" i="9"/>
  <c r="N76" i="9"/>
  <c r="N622" i="9"/>
  <c r="N612" i="9"/>
  <c r="N537" i="9"/>
  <c r="N764" i="9"/>
  <c r="N761" i="9"/>
  <c r="N598" i="9"/>
  <c r="N959" i="9"/>
  <c r="N973" i="9"/>
  <c r="N800" i="9"/>
  <c r="N807" i="9"/>
  <c r="N261" i="9"/>
  <c r="N563" i="9"/>
  <c r="N781" i="9"/>
  <c r="N591" i="9"/>
  <c r="N407" i="9"/>
  <c r="N384" i="9"/>
  <c r="N912" i="9"/>
  <c r="N923" i="9"/>
  <c r="N903" i="9"/>
  <c r="N860" i="9"/>
  <c r="N759" i="9"/>
  <c r="N652" i="9"/>
  <c r="N895" i="9"/>
  <c r="N952" i="9"/>
  <c r="N546" i="9"/>
  <c r="N809" i="9"/>
  <c r="N806" i="9"/>
  <c r="N636" i="9"/>
  <c r="N704" i="9"/>
  <c r="N312" i="9"/>
  <c r="N161" i="9"/>
  <c r="N104" i="9"/>
  <c r="N718" i="9"/>
  <c r="N696" i="9"/>
  <c r="N510" i="9"/>
  <c r="N900" i="9"/>
  <c r="N689" i="9"/>
  <c r="N674" i="9"/>
  <c r="N399" i="9"/>
  <c r="N874" i="9"/>
  <c r="N740" i="9"/>
  <c r="N676" i="9"/>
  <c r="N342" i="9"/>
  <c r="N40" i="9"/>
  <c r="N593" i="9"/>
  <c r="N335" i="9"/>
  <c r="N440" i="9"/>
  <c r="N114" i="9"/>
  <c r="N230" i="9"/>
  <c r="N690" i="9"/>
  <c r="N867" i="9"/>
  <c r="N668" i="9"/>
  <c r="N905" i="9"/>
  <c r="N891" i="9"/>
  <c r="N919" i="9"/>
  <c r="N927" i="9"/>
  <c r="N855" i="9"/>
  <c r="N274" i="9"/>
  <c r="N71" i="9"/>
  <c r="N693" i="9"/>
  <c r="N559" i="9"/>
  <c r="N929" i="9"/>
  <c r="N854" i="9"/>
  <c r="N645" i="9"/>
  <c r="N616" i="9"/>
  <c r="N286" i="9"/>
  <c r="N963" i="9"/>
  <c r="N918" i="9"/>
  <c r="N353" i="9"/>
  <c r="N834" i="9"/>
  <c r="N727" i="9"/>
  <c r="N635" i="9"/>
  <c r="N318" i="9"/>
  <c r="N263" i="9"/>
  <c r="N644" i="9"/>
  <c r="N146" i="9"/>
  <c r="N347" i="9"/>
  <c r="N317" i="9"/>
  <c r="N712" i="9"/>
  <c r="N660" i="9"/>
  <c r="N623" i="9"/>
  <c r="N438" i="9"/>
  <c r="N969" i="9"/>
  <c r="N306" i="9"/>
  <c r="N936" i="9"/>
  <c r="N960" i="9"/>
  <c r="N876" i="9"/>
  <c r="N930" i="9"/>
  <c r="N840" i="9"/>
  <c r="N496" i="9"/>
  <c r="N629" i="9"/>
  <c r="N886" i="9"/>
  <c r="N916" i="9"/>
  <c r="N813" i="9"/>
  <c r="N697" i="9"/>
  <c r="N844" i="9"/>
  <c r="N810" i="9"/>
  <c r="N837" i="9"/>
  <c r="N412" i="9"/>
  <c r="N394" i="9"/>
  <c r="N780" i="9"/>
  <c r="N835" i="9"/>
  <c r="N183" i="9"/>
  <c r="N428" i="9"/>
  <c r="N252" i="9"/>
  <c r="N325" i="9"/>
  <c r="N808" i="9"/>
  <c r="N904" i="9"/>
  <c r="N841" i="9"/>
  <c r="N646" i="9"/>
  <c r="N514" i="9"/>
  <c r="N165" i="9"/>
  <c r="N882" i="9"/>
  <c r="N738" i="9"/>
  <c r="N577" i="9"/>
  <c r="N568" i="9"/>
  <c r="N389" i="9"/>
  <c r="N375" i="9"/>
  <c r="N817" i="9"/>
  <c r="N630" i="9"/>
  <c r="N892" i="9"/>
  <c r="N774" i="9"/>
  <c r="N463" i="9"/>
  <c r="N198" i="9"/>
  <c r="N836" i="9"/>
  <c r="N383" i="9"/>
  <c r="N52" i="9"/>
  <c r="N297" i="9"/>
  <c r="N618" i="9"/>
  <c r="N294" i="9"/>
  <c r="N566" i="9"/>
  <c r="N237" i="9"/>
  <c r="N773" i="9"/>
  <c r="N760" i="9"/>
  <c r="N112" i="9"/>
  <c r="N818" i="9"/>
  <c r="N858" i="9"/>
  <c r="N742" i="9"/>
  <c r="N360" i="9"/>
  <c r="N516" i="9"/>
  <c r="N599" i="9"/>
  <c r="N156" i="9"/>
  <c r="N332" i="9"/>
  <c r="N562" i="9"/>
  <c r="N168" i="9"/>
  <c r="N343" i="9"/>
  <c r="N512" i="9"/>
  <c r="N392" i="9"/>
  <c r="N812" i="9"/>
  <c r="N672" i="9"/>
  <c r="N456" i="9"/>
  <c r="N928" i="9"/>
  <c r="N675" i="9"/>
  <c r="N580" i="9"/>
  <c r="N823" i="9"/>
  <c r="N925" i="9"/>
  <c r="N273" i="9"/>
  <c r="N953" i="9"/>
  <c r="N467" i="9"/>
  <c r="N870" i="9"/>
  <c r="N824" i="9"/>
  <c r="N497" i="9"/>
  <c r="N328" i="9"/>
  <c r="N73" i="9"/>
  <c r="N586" i="9"/>
  <c r="N311" i="9"/>
  <c r="N158" i="9"/>
  <c r="N415" i="9"/>
  <c r="N511" i="9"/>
  <c r="N605" i="9"/>
  <c r="N856" i="9"/>
  <c r="N968" i="9"/>
  <c r="N663" i="9"/>
  <c r="N581" i="9"/>
  <c r="N626" i="9"/>
  <c r="N479" i="9"/>
  <c r="N724" i="9"/>
  <c r="N641" i="9"/>
  <c r="N155" i="9"/>
  <c r="N947" i="9"/>
  <c r="N958" i="9"/>
  <c r="N714" i="9"/>
  <c r="N748" i="9"/>
  <c r="N745" i="9"/>
  <c r="N628" i="9"/>
  <c r="N160" i="9"/>
  <c r="N197" i="9"/>
  <c r="N550" i="9"/>
  <c r="N118" i="9"/>
  <c r="N587" i="9"/>
  <c r="N944" i="9"/>
  <c r="N842" i="9"/>
  <c r="N734" i="9"/>
  <c r="N620" i="9"/>
  <c r="N650" i="9"/>
  <c r="N653" i="9"/>
  <c r="N788" i="9"/>
  <c r="N851" i="9"/>
  <c r="N488" i="9"/>
  <c r="N350" i="9"/>
  <c r="N877" i="9"/>
  <c r="N747" i="9"/>
  <c r="N439" i="9"/>
  <c r="N148" i="9"/>
  <c r="N361" i="9"/>
  <c r="N448" i="9"/>
  <c r="N314" i="9"/>
  <c r="N700" i="9"/>
  <c r="N755" i="9"/>
  <c r="N589" i="9"/>
  <c r="N843" i="9"/>
  <c r="N945" i="9"/>
  <c r="N393" i="9"/>
  <c r="N579" i="9"/>
  <c r="N534" i="9"/>
  <c r="N933" i="9"/>
  <c r="N845" i="9"/>
  <c r="N462" i="9"/>
  <c r="N320" i="9"/>
  <c r="N348" i="9"/>
  <c r="N445" i="9"/>
  <c r="N90" i="9"/>
  <c r="N305" i="9"/>
  <c r="N685" i="9"/>
  <c r="N770" i="9"/>
  <c r="N739" i="9"/>
  <c r="N603" i="9"/>
  <c r="N435" i="9"/>
  <c r="N708" i="9"/>
  <c r="N692" i="9"/>
  <c r="N643" i="9"/>
  <c r="N720" i="9"/>
  <c r="N695" i="9"/>
  <c r="N787" i="9"/>
  <c r="N595" i="9"/>
  <c r="N507" i="9"/>
  <c r="N331" i="9"/>
  <c r="N505" i="9"/>
  <c r="N228" i="9"/>
  <c r="N199" i="9"/>
  <c r="N554" i="9"/>
  <c r="N725" i="9"/>
  <c r="N943" i="9"/>
  <c r="N805" i="9"/>
  <c r="N583" i="9"/>
  <c r="N705" i="9"/>
  <c r="N113" i="9"/>
  <c r="N721" i="9"/>
  <c r="N429" i="9"/>
  <c r="N694" i="9"/>
  <c r="N363" i="9"/>
  <c r="N75" i="9"/>
  <c r="N391" i="9"/>
  <c r="N111" i="9"/>
  <c r="N762" i="9"/>
  <c r="N757" i="9"/>
  <c r="N564" i="9"/>
  <c r="N869" i="9"/>
  <c r="N819" i="9"/>
  <c r="N701" i="9"/>
  <c r="N632" i="9"/>
  <c r="N362" i="9"/>
  <c r="N15" i="9"/>
  <c r="N354" i="9"/>
  <c r="N452" i="9"/>
  <c r="N269" i="9"/>
  <c r="N553" i="9"/>
  <c r="N811" i="9"/>
  <c r="N932" i="9"/>
  <c r="N792" i="9"/>
  <c r="N423" i="9"/>
  <c r="N604" i="9"/>
  <c r="N924" i="9"/>
  <c r="N681" i="9"/>
  <c r="N880" i="9"/>
  <c r="N588" i="9"/>
  <c r="N339" i="9"/>
  <c r="N466" i="9"/>
  <c r="N502" i="9"/>
  <c r="N194" i="9"/>
  <c r="N688" i="9"/>
  <c r="N972" i="9"/>
  <c r="N864" i="9"/>
  <c r="N898" i="9"/>
  <c r="N801" i="9"/>
  <c r="N771" i="9"/>
  <c r="N86" i="9"/>
  <c r="N868" i="9"/>
  <c r="N730" i="9"/>
  <c r="N442" i="9"/>
  <c r="N140" i="9"/>
  <c r="N849" i="9"/>
  <c r="N763" i="9"/>
  <c r="N436" i="9"/>
  <c r="N204" i="9"/>
  <c r="N565" i="9"/>
  <c r="N310" i="9"/>
  <c r="N611" i="9"/>
  <c r="N831" i="9"/>
  <c r="N661" i="9"/>
  <c r="N267" i="9"/>
  <c r="N424" i="9"/>
  <c r="N859" i="9"/>
  <c r="N732" i="9"/>
  <c r="N533" i="9"/>
  <c r="N737" i="9"/>
  <c r="N316" i="9"/>
  <c r="N772" i="9"/>
  <c r="N503" i="9"/>
  <c r="N469" i="9"/>
  <c r="N257" i="9"/>
  <c r="N115" i="9"/>
  <c r="N387" i="9"/>
  <c r="N32" i="9"/>
  <c r="AA180" i="9"/>
  <c r="Y367" i="9"/>
  <c r="X362" i="9"/>
  <c r="N447" i="9"/>
  <c r="V447" i="9"/>
  <c r="AA438" i="9"/>
  <c r="Y683" i="9"/>
  <c r="N614" i="9"/>
  <c r="N736" i="9"/>
  <c r="AA34" i="9"/>
  <c r="AA94" i="9"/>
  <c r="Y50" i="9"/>
  <c r="N33" i="9"/>
  <c r="N418" i="9"/>
  <c r="N487" i="9"/>
  <c r="AA521" i="9"/>
  <c r="X473" i="9"/>
  <c r="X675" i="9"/>
  <c r="N376" i="9"/>
  <c r="N909" i="9"/>
  <c r="AA46" i="9"/>
  <c r="AA255" i="9"/>
  <c r="AA596" i="9"/>
  <c r="AA728" i="9"/>
  <c r="AA687" i="9"/>
  <c r="AA662" i="9"/>
  <c r="AA716" i="9"/>
  <c r="AA843" i="9"/>
  <c r="AA909" i="9"/>
  <c r="AA903" i="9"/>
  <c r="AA23" i="9"/>
  <c r="AA714" i="9"/>
  <c r="AA706" i="9"/>
  <c r="AA581" i="9"/>
  <c r="AA709" i="9"/>
  <c r="AA627" i="9"/>
  <c r="AA617" i="9"/>
  <c r="AA720" i="9"/>
  <c r="AA681" i="9"/>
  <c r="AA670" i="9"/>
  <c r="AA760" i="9"/>
  <c r="AA922" i="9"/>
  <c r="AA887" i="9"/>
  <c r="AA924" i="9"/>
  <c r="AA967" i="9"/>
  <c r="AA745" i="9"/>
  <c r="AA731" i="9"/>
  <c r="AA825" i="9"/>
  <c r="AA883" i="9"/>
  <c r="AA551" i="9"/>
  <c r="AA382" i="9"/>
  <c r="AA448" i="9"/>
  <c r="AA494" i="9"/>
  <c r="AA604" i="9"/>
  <c r="AA587" i="9"/>
  <c r="AA632" i="9"/>
  <c r="AA727" i="9"/>
  <c r="AA688" i="9"/>
  <c r="AA682" i="9"/>
  <c r="AA855" i="9"/>
  <c r="AA805" i="9"/>
  <c r="AA917" i="9"/>
  <c r="AA948" i="9"/>
  <c r="AA912" i="9"/>
  <c r="AA959" i="9"/>
  <c r="AA916" i="9"/>
  <c r="AA304" i="9"/>
  <c r="AA946" i="9"/>
  <c r="AA626" i="9"/>
  <c r="AA730" i="9"/>
  <c r="AA740" i="9"/>
  <c r="AA700" i="9"/>
  <c r="AA823" i="9"/>
  <c r="AA763" i="9"/>
  <c r="AA942" i="9"/>
  <c r="AA314" i="9"/>
  <c r="AA849" i="9"/>
  <c r="AA236" i="9"/>
  <c r="AA306" i="9"/>
  <c r="AA194" i="9"/>
  <c r="AA520" i="9"/>
  <c r="AA686" i="9"/>
  <c r="AA644" i="9"/>
  <c r="AA634" i="9"/>
  <c r="AA660" i="9"/>
  <c r="AA761" i="9"/>
  <c r="AA751" i="9"/>
  <c r="AA747" i="9"/>
  <c r="AA759" i="9"/>
  <c r="AA767" i="9"/>
  <c r="AA874" i="9"/>
  <c r="AA906" i="9"/>
  <c r="AA889" i="9"/>
  <c r="AA923" i="9"/>
  <c r="AA934" i="9"/>
  <c r="AA949" i="9"/>
  <c r="AA838" i="9"/>
  <c r="AA933" i="9"/>
  <c r="AA599" i="9"/>
  <c r="AA704" i="9"/>
  <c r="AA694" i="9"/>
  <c r="AA717" i="9"/>
  <c r="AA765" i="9"/>
  <c r="AA869" i="9"/>
  <c r="AA778" i="9"/>
  <c r="AA755" i="9"/>
  <c r="AA891" i="9"/>
  <c r="AA899" i="9"/>
  <c r="AA858" i="9"/>
  <c r="AA880" i="9"/>
  <c r="AA927" i="9"/>
  <c r="AA879" i="9"/>
  <c r="AA944" i="9"/>
  <c r="AA900" i="9"/>
  <c r="AA955" i="9"/>
  <c r="AA718" i="9"/>
  <c r="AA844" i="9"/>
  <c r="AA671" i="9"/>
  <c r="AA819" i="9"/>
  <c r="AA360" i="9"/>
  <c r="AA332" i="9"/>
  <c r="AA451" i="9"/>
  <c r="AA502" i="9"/>
  <c r="AA640" i="9"/>
  <c r="AA663" i="9"/>
  <c r="AA719" i="9"/>
  <c r="AA713" i="9"/>
  <c r="AA725" i="9"/>
  <c r="AA814" i="9"/>
  <c r="AA886" i="9"/>
  <c r="AA771" i="9"/>
  <c r="AA868" i="9"/>
  <c r="AA888" i="9"/>
  <c r="AA885" i="9"/>
  <c r="AA881" i="9"/>
  <c r="AA913" i="9"/>
  <c r="AA939" i="9"/>
  <c r="AA875" i="9"/>
  <c r="AA956" i="9"/>
  <c r="AA715" i="9"/>
  <c r="AA170" i="9"/>
  <c r="AA95" i="9"/>
  <c r="AA248" i="9"/>
  <c r="AA633" i="9"/>
  <c r="AA619" i="9"/>
  <c r="AA664" i="9"/>
  <c r="AA726" i="9"/>
  <c r="AA762" i="9"/>
  <c r="AA53" i="9"/>
  <c r="AA144" i="9"/>
  <c r="AA318" i="9"/>
  <c r="AA601" i="9"/>
  <c r="AA698" i="9"/>
  <c r="AA618" i="9"/>
  <c r="AA623" i="9"/>
  <c r="AA673" i="9"/>
  <c r="AA650" i="9"/>
  <c r="AA668" i="9"/>
  <c r="AA746" i="9"/>
  <c r="AA722" i="9"/>
  <c r="AA799" i="9"/>
  <c r="AA787" i="9"/>
  <c r="AA766" i="9"/>
  <c r="AA894" i="9"/>
  <c r="AA908" i="9"/>
  <c r="AA904" i="9"/>
  <c r="AA871" i="9"/>
  <c r="AA941" i="9"/>
  <c r="AA203" i="9"/>
  <c r="AA210" i="9"/>
  <c r="AA305" i="9"/>
  <c r="AA592" i="9"/>
  <c r="AA710" i="9"/>
  <c r="AA677" i="9"/>
  <c r="AA712" i="9"/>
  <c r="AA743" i="9"/>
  <c r="AA820" i="9"/>
  <c r="AA796" i="9"/>
  <c r="AA808" i="9"/>
  <c r="AA779" i="9"/>
  <c r="AA850" i="9"/>
  <c r="AA859" i="9"/>
  <c r="AA890" i="9"/>
  <c r="AA893" i="9"/>
  <c r="AA878" i="9"/>
  <c r="AA910" i="9"/>
  <c r="AA970" i="9"/>
  <c r="AA950" i="9"/>
  <c r="AA957" i="9"/>
  <c r="AA968" i="9"/>
  <c r="AA841" i="9"/>
  <c r="AA186" i="9"/>
  <c r="AA566" i="9"/>
  <c r="AA497" i="9"/>
  <c r="AA514" i="9"/>
  <c r="AA813" i="9"/>
  <c r="AA701" i="9"/>
  <c r="AA721" i="9"/>
  <c r="AA744" i="9"/>
  <c r="AA856" i="9"/>
  <c r="AA902" i="9"/>
  <c r="AA918" i="9"/>
  <c r="AA925" i="9"/>
  <c r="AA930" i="9"/>
  <c r="AA873" i="9"/>
  <c r="AA973" i="9"/>
  <c r="AA790" i="9"/>
  <c r="AA936" i="9"/>
  <c r="AA775" i="9"/>
  <c r="AA534" i="9"/>
  <c r="AA803" i="9"/>
  <c r="AA561" i="9"/>
  <c r="AA224" i="9"/>
  <c r="AA818" i="9"/>
  <c r="AA44" i="9"/>
  <c r="AA284" i="9"/>
  <c r="AA252" i="9"/>
  <c r="AA261" i="9"/>
  <c r="AA14" i="9"/>
  <c r="AA120" i="9"/>
  <c r="AA310" i="9"/>
  <c r="AA232" i="9"/>
  <c r="AA285" i="9"/>
  <c r="AA245" i="9"/>
  <c r="AA71" i="9"/>
  <c r="AA243" i="9"/>
  <c r="AA657" i="9"/>
  <c r="AA307" i="9"/>
  <c r="AA892" i="9"/>
  <c r="AA642" i="9"/>
  <c r="AA877" i="9"/>
  <c r="AA395" i="9"/>
  <c r="AA83" i="9"/>
  <c r="AA780" i="9"/>
  <c r="AA655" i="9"/>
  <c r="AA582" i="9"/>
  <c r="AA29" i="9"/>
  <c r="AA515" i="9"/>
  <c r="AA487" i="9"/>
  <c r="AA321" i="9"/>
  <c r="AA422" i="9"/>
  <c r="AA226" i="9"/>
  <c r="AA436" i="9"/>
  <c r="AA403" i="9"/>
  <c r="AA400" i="9"/>
  <c r="AA398" i="9"/>
  <c r="AA84" i="9"/>
  <c r="AA282" i="9"/>
  <c r="AA739" i="9"/>
  <c r="AA324" i="9"/>
  <c r="AA274" i="9"/>
  <c r="AA947" i="9"/>
  <c r="AA828" i="9"/>
  <c r="AA102" i="9"/>
  <c r="AA836" i="9"/>
  <c r="AA921" i="9"/>
  <c r="AA895" i="9"/>
  <c r="AA375" i="9"/>
  <c r="AA960" i="9"/>
  <c r="AA591" i="9"/>
  <c r="AA928" i="9"/>
  <c r="AA504" i="9"/>
  <c r="AA77" i="9"/>
  <c r="AA328" i="9"/>
  <c r="AA443" i="9"/>
  <c r="AA303" i="9"/>
  <c r="AA329" i="9"/>
  <c r="AA240" i="9"/>
  <c r="AA505" i="9"/>
  <c r="AA279" i="9"/>
  <c r="AA481" i="9"/>
  <c r="AA294" i="9"/>
  <c r="AA212" i="9"/>
  <c r="AA517" i="9"/>
  <c r="AA221" i="9"/>
  <c r="AA361" i="9"/>
  <c r="AA185" i="9"/>
  <c r="AA872" i="9"/>
  <c r="AA919" i="9"/>
  <c r="AA729" i="9"/>
  <c r="AA926" i="9"/>
  <c r="AA590" i="9"/>
  <c r="AA192" i="9"/>
  <c r="AA159" i="9"/>
  <c r="AA416" i="9"/>
  <c r="AA287" i="9"/>
  <c r="AA496" i="9"/>
  <c r="AA370" i="9"/>
  <c r="AA336" i="9"/>
  <c r="AA580" i="9"/>
  <c r="AA368" i="9"/>
  <c r="AA648" i="9"/>
  <c r="AA535" i="9"/>
  <c r="AA41" i="9"/>
  <c r="AA434" i="9"/>
  <c r="AA168" i="9"/>
  <c r="AA249" i="9"/>
  <c r="AA571" i="9"/>
  <c r="AA654" i="9"/>
  <c r="AA574" i="9"/>
  <c r="AA845" i="9"/>
  <c r="AA702" i="9"/>
  <c r="AA834" i="9"/>
  <c r="AA835" i="9"/>
  <c r="AA794" i="9"/>
  <c r="AA692" i="9"/>
  <c r="AA756" i="9"/>
  <c r="AA741" i="9"/>
  <c r="AA177" i="9"/>
  <c r="AA115" i="9"/>
  <c r="AA253" i="9"/>
  <c r="AA548" i="9"/>
  <c r="AA550" i="9"/>
  <c r="AA583" i="9"/>
  <c r="AA450" i="9"/>
  <c r="AA343" i="9"/>
  <c r="AA523" i="9"/>
  <c r="AA211" i="9"/>
  <c r="AA578" i="9"/>
  <c r="AA346" i="9"/>
  <c r="AA228" i="9"/>
  <c r="AA565" i="9"/>
  <c r="AA323" i="9"/>
  <c r="AA493" i="9"/>
  <c r="AA782" i="9"/>
  <c r="AA931" i="9"/>
  <c r="AA20" i="9"/>
  <c r="AA770" i="9"/>
  <c r="AA969" i="9"/>
  <c r="AA793" i="9"/>
  <c r="AA705" i="9"/>
  <c r="AA491" i="9"/>
  <c r="AA96" i="9"/>
  <c r="AA131" i="9"/>
  <c r="AA554" i="9"/>
  <c r="AA485" i="9"/>
  <c r="AA431" i="9"/>
  <c r="AA411" i="9"/>
  <c r="AA189" i="9"/>
  <c r="AA132" i="9"/>
  <c r="AA611" i="9"/>
  <c r="AA435" i="9"/>
  <c r="AA277" i="9"/>
  <c r="AA541" i="9"/>
  <c r="AA222" i="9"/>
  <c r="AA616" i="9"/>
  <c r="AA691" i="9"/>
  <c r="AA138" i="9"/>
  <c r="AA659" i="9"/>
  <c r="AA389" i="9"/>
  <c r="AA104" i="9"/>
  <c r="AA826" i="9"/>
  <c r="AA848" i="9"/>
  <c r="AA935" i="9"/>
  <c r="AA953" i="9"/>
  <c r="AA669" i="9"/>
  <c r="AA867" i="9"/>
  <c r="AA810" i="9"/>
  <c r="AA882" i="9"/>
  <c r="AA852" i="9"/>
  <c r="AA449" i="9"/>
  <c r="AA471" i="9"/>
  <c r="AA362" i="9"/>
  <c r="AA201" i="9"/>
  <c r="AA470" i="9"/>
  <c r="AA512" i="9"/>
  <c r="AA463" i="9"/>
  <c r="AA350" i="9"/>
  <c r="AA204" i="9"/>
  <c r="AA238" i="9"/>
  <c r="AA605" i="9"/>
  <c r="AA452" i="9"/>
  <c r="AA269" i="9"/>
  <c r="AA641" i="9"/>
  <c r="AA374" i="9"/>
  <c r="AA679" i="9"/>
  <c r="AA263" i="9"/>
  <c r="AA954" i="9"/>
  <c r="AA757" i="9"/>
  <c r="AA804" i="9"/>
  <c r="AA830" i="9"/>
  <c r="AA532" i="9"/>
  <c r="AA816" i="9"/>
  <c r="AA822" i="9"/>
  <c r="AA600" i="9"/>
  <c r="AA155" i="9"/>
  <c r="AA833" i="9"/>
  <c r="AA735" i="9"/>
  <c r="AA376" i="9"/>
  <c r="AA807" i="9"/>
  <c r="AA614" i="9"/>
  <c r="AA101" i="9"/>
  <c r="AA335" i="9"/>
  <c r="AA231" i="9"/>
  <c r="AA195" i="9"/>
  <c r="AA621" i="9"/>
  <c r="AA404" i="9"/>
  <c r="AA387" i="9"/>
  <c r="AA233" i="9"/>
  <c r="AA237" i="9"/>
  <c r="AA733" i="9"/>
  <c r="AA460" i="9"/>
  <c r="AA351" i="9"/>
  <c r="AA615" i="9"/>
  <c r="AA331" i="9"/>
  <c r="AA801" i="9"/>
  <c r="AA292" i="9"/>
  <c r="AA205" i="9"/>
  <c r="AA798" i="9"/>
  <c r="AA556" i="9"/>
  <c r="AA308" i="9"/>
  <c r="AA522" i="9"/>
  <c r="AA962" i="9"/>
  <c r="AA540" i="9"/>
  <c r="AA250" i="9"/>
  <c r="AA501" i="9"/>
  <c r="AA334" i="9"/>
  <c r="AA289" i="9"/>
  <c r="AA217" i="9"/>
  <c r="AA661" i="9"/>
  <c r="AA421" i="9"/>
  <c r="AA273" i="9"/>
  <c r="AA447" i="9"/>
  <c r="AA247" i="9"/>
  <c r="AA156" i="9"/>
  <c r="AA536" i="9"/>
  <c r="AA309" i="9"/>
  <c r="AA675" i="9"/>
  <c r="AA354" i="9"/>
  <c r="AA811" i="9"/>
  <c r="AA696" i="9"/>
  <c r="AA758" i="9"/>
  <c r="AA774" i="9"/>
  <c r="AA773" i="9"/>
  <c r="AA603" i="9"/>
  <c r="AA631" i="9"/>
  <c r="AA568" i="9"/>
  <c r="AA854" i="9"/>
  <c r="AA684" i="9"/>
  <c r="AA630" i="9"/>
  <c r="AA699" i="9"/>
  <c r="AA219" i="9"/>
  <c r="AA381" i="9"/>
  <c r="AA230" i="9"/>
  <c r="AA76" i="9"/>
  <c r="AA25" i="9"/>
  <c r="AA288" i="9"/>
  <c r="AA459" i="9"/>
  <c r="AA291" i="9"/>
  <c r="AA297" i="9"/>
  <c r="AA563" i="9"/>
  <c r="AA428" i="9"/>
  <c r="AA674" i="9"/>
  <c r="AA412" i="9"/>
  <c r="AA754" i="9"/>
  <c r="AA607" i="9"/>
  <c r="N64" i="9"/>
  <c r="V64" i="9"/>
  <c r="AA117" i="9"/>
  <c r="Y213" i="9"/>
  <c r="N337" i="9"/>
  <c r="V337" i="9"/>
  <c r="AA672" i="9"/>
  <c r="X109" i="9"/>
  <c r="AA160" i="9"/>
  <c r="V326" i="9"/>
  <c r="N326" i="9"/>
  <c r="AA235" i="9"/>
  <c r="X370" i="9"/>
  <c r="N446" i="9"/>
  <c r="V446" i="9"/>
  <c r="AA545" i="9"/>
  <c r="AA503" i="9"/>
  <c r="AA697" i="9"/>
  <c r="AA613" i="9"/>
  <c r="AA689" i="9"/>
  <c r="N654" i="9"/>
  <c r="V654" i="9"/>
  <c r="AA932" i="9"/>
  <c r="N552" i="9"/>
  <c r="V552" i="9"/>
  <c r="AA708" i="9"/>
  <c r="X821" i="9"/>
  <c r="X820" i="9"/>
  <c r="V857" i="9"/>
  <c r="N857" i="9"/>
  <c r="Y695" i="9"/>
  <c r="AA870" i="9"/>
  <c r="Y913" i="9"/>
  <c r="AA89" i="9"/>
  <c r="X358" i="9"/>
  <c r="N458" i="9"/>
  <c r="V458" i="9"/>
  <c r="X629" i="9"/>
  <c r="AA769" i="9"/>
  <c r="AA711" i="9"/>
  <c r="AA433" i="9"/>
  <c r="X264" i="9"/>
  <c r="AA678" i="9"/>
  <c r="Y890" i="9"/>
  <c r="AA784" i="9"/>
  <c r="X763" i="9"/>
  <c r="X625" i="9"/>
  <c r="AA399" i="9"/>
  <c r="AA171" i="9"/>
  <c r="AA293" i="9"/>
  <c r="Y746" i="9"/>
  <c r="V861" i="9"/>
  <c r="N861" i="9"/>
  <c r="AA564" i="9"/>
  <c r="Y728" i="9"/>
  <c r="AA958" i="9"/>
  <c r="AA827" i="9"/>
  <c r="V776" i="9"/>
  <c r="N776" i="9"/>
  <c r="AA964" i="9"/>
  <c r="N333" i="9"/>
  <c r="V333" i="9"/>
  <c r="V540" i="9"/>
  <c r="N540" i="9"/>
  <c r="AA453" i="9"/>
  <c r="AA589" i="9"/>
  <c r="Y821" i="9"/>
  <c r="N82" i="9"/>
  <c r="V82" i="9"/>
  <c r="X695" i="9"/>
  <c r="X735" i="9"/>
  <c r="AA788" i="9"/>
  <c r="AA966" i="9"/>
  <c r="AA214" i="9"/>
  <c r="Y458" i="9"/>
  <c r="AA639" i="9"/>
  <c r="AA824" i="9"/>
  <c r="Y885" i="9"/>
  <c r="N634" i="9"/>
  <c r="V634" i="9"/>
  <c r="Y468" i="9"/>
  <c r="N138" i="9"/>
  <c r="V138" i="9"/>
  <c r="AA444" i="9"/>
  <c r="Y512" i="9"/>
  <c r="AA635" i="9"/>
  <c r="AA476" i="9"/>
  <c r="AA624" i="9"/>
  <c r="Y895" i="9"/>
  <c r="AA482" i="9"/>
  <c r="Y971" i="9"/>
  <c r="AA965" i="9"/>
  <c r="X333" i="9"/>
  <c r="X540" i="9"/>
  <c r="Y494" i="9"/>
  <c r="Y735" i="9"/>
  <c r="X458" i="9"/>
  <c r="N678" i="9"/>
  <c r="V678" i="9"/>
  <c r="AA842" i="9"/>
  <c r="V642" i="9"/>
  <c r="N642" i="9"/>
  <c r="N954" i="9"/>
  <c r="V954" i="9"/>
  <c r="AA441" i="9"/>
  <c r="Y545" i="9"/>
  <c r="Y600" i="9"/>
  <c r="AA602" i="9"/>
  <c r="AA246" i="9"/>
  <c r="N911" i="9"/>
  <c r="V911" i="9"/>
  <c r="AA840" i="9"/>
  <c r="AA943" i="9"/>
  <c r="Y82" i="9"/>
  <c r="Y333" i="9"/>
  <c r="Y540" i="9"/>
  <c r="X723" i="9"/>
  <c r="AA786" i="9"/>
  <c r="AA865" i="9"/>
  <c r="X494" i="9"/>
  <c r="AA781" i="9"/>
  <c r="Y85" i="9"/>
  <c r="AA690" i="9"/>
  <c r="X678" i="9"/>
  <c r="AA812" i="9"/>
  <c r="Y776" i="9"/>
  <c r="Y764" i="9"/>
  <c r="AA862" i="9"/>
  <c r="Y920" i="9"/>
  <c r="AA396" i="9"/>
  <c r="AA353" i="9"/>
  <c r="AA560" i="9"/>
  <c r="X722" i="9"/>
  <c r="Y380" i="9"/>
  <c r="X752" i="9"/>
  <c r="Y878" i="9"/>
  <c r="Y262" i="9"/>
  <c r="Y601" i="9"/>
  <c r="AA488" i="9"/>
  <c r="V838" i="9"/>
  <c r="N838" i="9"/>
  <c r="X82" i="9"/>
  <c r="AA426" i="9"/>
  <c r="Y723" i="9"/>
  <c r="AA832" i="9"/>
  <c r="X941" i="9"/>
  <c r="AA220" i="9"/>
  <c r="N336" i="9"/>
  <c r="V336" i="9"/>
  <c r="V832" i="9"/>
  <c r="N832" i="9"/>
  <c r="N865" i="9"/>
  <c r="V865" i="9"/>
  <c r="X85" i="9"/>
  <c r="Y678" i="9"/>
  <c r="AA897" i="9"/>
  <c r="AA87" i="9"/>
  <c r="AA940" i="9"/>
  <c r="AA251" i="9"/>
  <c r="AA317" i="9"/>
  <c r="AA622" i="9"/>
  <c r="Y836" i="9"/>
  <c r="Y283" i="9"/>
  <c r="Y316" i="9"/>
  <c r="V519" i="9"/>
  <c r="N519" i="9"/>
  <c r="AA737" i="9"/>
  <c r="Y784" i="9"/>
  <c r="AA414" i="9"/>
  <c r="X513" i="9"/>
  <c r="AA555" i="9"/>
  <c r="X387" i="9"/>
  <c r="Y621" i="9"/>
  <c r="AA791" i="9"/>
  <c r="Y838" i="9"/>
  <c r="AA860" i="9"/>
  <c r="AA469" i="9"/>
  <c r="Y941" i="9"/>
  <c r="AA320" i="9"/>
  <c r="Y336" i="9"/>
  <c r="AA851" i="9"/>
  <c r="Y938" i="9"/>
  <c r="X501" i="9"/>
  <c r="Y693" i="9"/>
  <c r="AA792" i="9"/>
  <c r="AA588" i="9"/>
  <c r="Y689" i="9"/>
  <c r="AA920" i="9"/>
  <c r="V302" i="9"/>
  <c r="N302" i="9"/>
  <c r="AA528" i="9"/>
  <c r="X927" i="9"/>
  <c r="AA595" i="9"/>
  <c r="AA676" i="9"/>
  <c r="Y960" i="9"/>
  <c r="X954" i="9"/>
  <c r="Y642" i="9"/>
  <c r="V791" i="9"/>
  <c r="N791" i="9"/>
  <c r="X838" i="9"/>
  <c r="AA575" i="9"/>
  <c r="AA829" i="9"/>
  <c r="AA806" i="9"/>
  <c r="X336" i="9"/>
  <c r="Y665" i="9"/>
  <c r="V937" i="9"/>
  <c r="N937" i="9"/>
  <c r="AA85" i="9"/>
  <c r="Y778" i="9"/>
  <c r="Y865" i="9"/>
  <c r="X951" i="9"/>
  <c r="Y44" i="9"/>
  <c r="Y511" i="9"/>
  <c r="Y671" i="9"/>
  <c r="Y709" i="9"/>
  <c r="Y816" i="9"/>
  <c r="Y910" i="9"/>
  <c r="Y901" i="9"/>
  <c r="Y963" i="9"/>
  <c r="Y795" i="9"/>
  <c r="Y650" i="9"/>
  <c r="Y694" i="9"/>
  <c r="Y824" i="9"/>
  <c r="Y906" i="9"/>
  <c r="Y933" i="9"/>
  <c r="Y685" i="9"/>
  <c r="Y562" i="9"/>
  <c r="Y661" i="9"/>
  <c r="Y747" i="9"/>
  <c r="Y849" i="9"/>
  <c r="Y924" i="9"/>
  <c r="Y748" i="9"/>
  <c r="Y241" i="9"/>
  <c r="Y632" i="9"/>
  <c r="Y628" i="9"/>
  <c r="Y749" i="9"/>
  <c r="Y828" i="9"/>
  <c r="Y750" i="9"/>
  <c r="Y872" i="9"/>
  <c r="Y448" i="9"/>
  <c r="Y701" i="9"/>
  <c r="Y772" i="9"/>
  <c r="Y830" i="9"/>
  <c r="Y871" i="9"/>
  <c r="Y888" i="9"/>
  <c r="Y946" i="9"/>
  <c r="Y553" i="9"/>
  <c r="Y712" i="9"/>
  <c r="Y702" i="9"/>
  <c r="Y667" i="9"/>
  <c r="Y775" i="9"/>
  <c r="Y908" i="9"/>
  <c r="Y132" i="9"/>
  <c r="Y670" i="9"/>
  <c r="Y662" i="9"/>
  <c r="Y798" i="9"/>
  <c r="Y927" i="9"/>
  <c r="Y942" i="9"/>
  <c r="Y955" i="9"/>
  <c r="Y260" i="9"/>
  <c r="Y704" i="9"/>
  <c r="Y275" i="9"/>
  <c r="Y460" i="9"/>
  <c r="Y656" i="9"/>
  <c r="Y703" i="9"/>
  <c r="Y730" i="9"/>
  <c r="Y794" i="9"/>
  <c r="Y785" i="9"/>
  <c r="Y744" i="9"/>
  <c r="Y804" i="9"/>
  <c r="Y949" i="9"/>
  <c r="Y652" i="9"/>
  <c r="Y442" i="9"/>
  <c r="Y305" i="9"/>
  <c r="Y535" i="9"/>
  <c r="Y664" i="9"/>
  <c r="Y754" i="9"/>
  <c r="Y964" i="9"/>
  <c r="Y904" i="9"/>
  <c r="Y932" i="9"/>
  <c r="Y936" i="9"/>
  <c r="Y523" i="9"/>
  <c r="Y589" i="9"/>
  <c r="Y588" i="9"/>
  <c r="Y679" i="9"/>
  <c r="Y715" i="9"/>
  <c r="Y837" i="9"/>
  <c r="Y876" i="9"/>
  <c r="Y909" i="9"/>
  <c r="Y922" i="9"/>
  <c r="Y929" i="9"/>
  <c r="Y950" i="9"/>
  <c r="Y967" i="9"/>
  <c r="Y257" i="9"/>
  <c r="Y732" i="9"/>
  <c r="Y783" i="9"/>
  <c r="Y873" i="9"/>
  <c r="Y880" i="9"/>
  <c r="Y648" i="9"/>
  <c r="Y825" i="9"/>
  <c r="Y947" i="9"/>
  <c r="Y774" i="9"/>
  <c r="Y582" i="9"/>
  <c r="Y855" i="9"/>
  <c r="Y773" i="9"/>
  <c r="Y867" i="9"/>
  <c r="Y737" i="9"/>
  <c r="Y194" i="9"/>
  <c r="Y864" i="9"/>
  <c r="Y858" i="9"/>
  <c r="Y786" i="9"/>
  <c r="Y935" i="9"/>
  <c r="Y499" i="9"/>
  <c r="Y546" i="9"/>
  <c r="Y425" i="9"/>
  <c r="Y770" i="9"/>
  <c r="Y555" i="9"/>
  <c r="Y28" i="9"/>
  <c r="Y819" i="9"/>
  <c r="Y647" i="9"/>
  <c r="Y561" i="9"/>
  <c r="Y851" i="9"/>
  <c r="Y803" i="9"/>
  <c r="Y834" i="9"/>
  <c r="Y464" i="9"/>
  <c r="Y128" i="9"/>
  <c r="Y930" i="9"/>
  <c r="Y841" i="9"/>
  <c r="Y905" i="9"/>
  <c r="Y925" i="9"/>
  <c r="Y610" i="9"/>
  <c r="Y169" i="9"/>
  <c r="Y782" i="9"/>
  <c r="Y596" i="9"/>
  <c r="Y854" i="9"/>
  <c r="Y734" i="9"/>
  <c r="Y677" i="9"/>
  <c r="Y594" i="9"/>
  <c r="Y452" i="9"/>
  <c r="Y961" i="9"/>
  <c r="Y899" i="9"/>
  <c r="Y889" i="9"/>
  <c r="Y891" i="9"/>
  <c r="Y755" i="9"/>
  <c r="Y646" i="9"/>
  <c r="Y554" i="9"/>
  <c r="Y793" i="9"/>
  <c r="Y733" i="9"/>
  <c r="Y462" i="9"/>
  <c r="Y879" i="9"/>
  <c r="Y956" i="9"/>
  <c r="Y893" i="9"/>
  <c r="Y845" i="9"/>
  <c r="Y414" i="9"/>
  <c r="Y859" i="9"/>
  <c r="Y295" i="9"/>
  <c r="Y39" i="9"/>
  <c r="Y857" i="9"/>
  <c r="Y779" i="9"/>
  <c r="Y171" i="9"/>
  <c r="Y88" i="9"/>
  <c r="Y926" i="9"/>
  <c r="Y30" i="9"/>
  <c r="Y856" i="9"/>
  <c r="Y708" i="9"/>
  <c r="Y583" i="9"/>
  <c r="Y271" i="9"/>
  <c r="Y833" i="9"/>
  <c r="Y131" i="9"/>
  <c r="Y863" i="9"/>
  <c r="Y928" i="9"/>
  <c r="Y758" i="9"/>
  <c r="Y94" i="9"/>
  <c r="Y900" i="9"/>
  <c r="Y651" i="9"/>
  <c r="Y639" i="9"/>
  <c r="Y176" i="9"/>
  <c r="Y787" i="9"/>
  <c r="Y604" i="9"/>
  <c r="Y939" i="9"/>
  <c r="Y507" i="9"/>
  <c r="Y91" i="9"/>
  <c r="Y882" i="9"/>
  <c r="Y95" i="9"/>
  <c r="Y766" i="9"/>
  <c r="Y903" i="9"/>
  <c r="Y810" i="9"/>
  <c r="Y643" i="9"/>
  <c r="Y151" i="9"/>
  <c r="Y801" i="9"/>
  <c r="Y674" i="9"/>
  <c r="Y883" i="9"/>
  <c r="Y731" i="9"/>
  <c r="Y690" i="9"/>
  <c r="Y400" i="9"/>
  <c r="Y918" i="9"/>
  <c r="Y505" i="9"/>
  <c r="Y76" i="9"/>
  <c r="Y886" i="9"/>
  <c r="Y756" i="9"/>
  <c r="Y831" i="9"/>
  <c r="Y812" i="9"/>
  <c r="Y797" i="9"/>
  <c r="Y741" i="9"/>
  <c r="Y498" i="9"/>
  <c r="Y342" i="9"/>
  <c r="Y403" i="9"/>
  <c r="Y426" i="9"/>
  <c r="Y453" i="9"/>
  <c r="Y416" i="9"/>
  <c r="Y579" i="9"/>
  <c r="Y753" i="9"/>
  <c r="Y907" i="9"/>
  <c r="Y923" i="9"/>
  <c r="Y870" i="9"/>
  <c r="Y807" i="9"/>
  <c r="Y823" i="9"/>
  <c r="Y962" i="9"/>
  <c r="Y738" i="9"/>
  <c r="Y605" i="9"/>
  <c r="Y228" i="9"/>
  <c r="Y767" i="9"/>
  <c r="Y724" i="9"/>
  <c r="Y550" i="9"/>
  <c r="Y568" i="9"/>
  <c r="Y835" i="9"/>
  <c r="Y26" i="9"/>
  <c r="Y296" i="9"/>
  <c r="Y382" i="9"/>
  <c r="Y638" i="9"/>
  <c r="Y619" i="9"/>
  <c r="Y493" i="9"/>
  <c r="Y420" i="9"/>
  <c r="Y334" i="9"/>
  <c r="Y136" i="9"/>
  <c r="Y614" i="9"/>
  <c r="Y415" i="9"/>
  <c r="Y655" i="9"/>
  <c r="Y381" i="9"/>
  <c r="Y174" i="9"/>
  <c r="Y805" i="9"/>
  <c r="Y881" i="9"/>
  <c r="Y952" i="9"/>
  <c r="Y716" i="9"/>
  <c r="Y510" i="9"/>
  <c r="Y672" i="9"/>
  <c r="Y566" i="9"/>
  <c r="AA65" i="9"/>
  <c r="AA325" i="9"/>
  <c r="AA620" i="9"/>
  <c r="Y877" i="9"/>
  <c r="X654" i="9"/>
  <c r="AA817" i="9"/>
  <c r="AA732" i="9"/>
  <c r="N917" i="9"/>
  <c r="V917" i="9"/>
  <c r="AA847" i="9"/>
  <c r="AA809" i="9"/>
  <c r="X769" i="9"/>
  <c r="AA898" i="9"/>
  <c r="N239" i="9"/>
  <c r="V239" i="9"/>
  <c r="Y551" i="9"/>
  <c r="V615" i="9"/>
  <c r="N615" i="9"/>
  <c r="Y552" i="9"/>
  <c r="X680" i="9"/>
  <c r="AA206" i="9"/>
  <c r="Y138" i="9"/>
  <c r="X832" i="9"/>
  <c r="X509" i="9"/>
  <c r="AA141" i="9"/>
  <c r="AA108" i="9"/>
  <c r="Y559" i="9"/>
  <c r="AA972" i="9"/>
  <c r="V814" i="9"/>
  <c r="N814" i="9"/>
  <c r="Y654" i="9"/>
  <c r="N315" i="9"/>
  <c r="V315" i="9"/>
  <c r="AA821" i="9"/>
  <c r="AA239" i="9"/>
  <c r="X551" i="9"/>
  <c r="X637" i="9"/>
  <c r="AA666" i="9"/>
  <c r="Y62" i="9"/>
  <c r="AA645" i="9"/>
  <c r="AA148" i="9"/>
  <c r="X302" i="9"/>
  <c r="X669" i="9"/>
  <c r="N327" i="9"/>
  <c r="V327" i="9"/>
  <c r="N948" i="9"/>
  <c r="V948" i="9"/>
  <c r="Y357" i="9"/>
  <c r="AA625" i="9"/>
  <c r="X751" i="9"/>
  <c r="AA815" i="9"/>
  <c r="V802" i="9"/>
  <c r="N802" i="9"/>
  <c r="X315" i="9"/>
  <c r="Y862" i="9"/>
  <c r="AA961" i="9"/>
  <c r="N242" i="9"/>
  <c r="V242" i="9"/>
  <c r="AA537" i="9"/>
  <c r="V821" i="9"/>
  <c r="N821" i="9"/>
  <c r="AA864" i="9"/>
  <c r="AA456" i="9"/>
  <c r="Y615" i="9"/>
  <c r="Y637" i="9"/>
  <c r="N637" i="9"/>
  <c r="V637" i="9"/>
  <c r="AA478" i="9"/>
  <c r="X915" i="9"/>
  <c r="AA498" i="9"/>
  <c r="AA846" i="9"/>
  <c r="AA105" i="9"/>
  <c r="AA795" i="9"/>
  <c r="AA290" i="9"/>
  <c r="AA349" i="9"/>
  <c r="V815" i="9"/>
  <c r="N815" i="9"/>
  <c r="Y802" i="9"/>
  <c r="Y315" i="9"/>
  <c r="X862" i="9"/>
  <c r="X242" i="9"/>
  <c r="V913" i="9"/>
  <c r="N913" i="9"/>
  <c r="AA474" i="9"/>
  <c r="X917" i="9"/>
  <c r="AA62" i="9"/>
  <c r="X299" i="9"/>
  <c r="AA652" i="9"/>
  <c r="AA312" i="9"/>
  <c r="AA768" i="9"/>
  <c r="AA748" i="9"/>
  <c r="AA316" i="9"/>
  <c r="AA182" i="9"/>
  <c r="X957" i="9"/>
  <c r="Y673" i="9"/>
  <c r="AA884" i="9"/>
  <c r="N722" i="9"/>
  <c r="V722" i="9"/>
  <c r="AA907" i="9"/>
  <c r="Y937" i="9"/>
  <c r="Y847" i="9"/>
  <c r="N573" i="9"/>
  <c r="V573" i="9"/>
  <c r="X684" i="9"/>
  <c r="X844" i="9"/>
  <c r="Y943" i="9"/>
  <c r="X945" i="9"/>
  <c r="N213" i="9"/>
  <c r="V213" i="9"/>
  <c r="Y791" i="9"/>
  <c r="X969" i="9"/>
  <c r="Y826" i="9"/>
  <c r="Y769" i="9"/>
  <c r="Y501" i="9"/>
  <c r="X776" i="9"/>
  <c r="X552" i="9"/>
  <c r="Y917" i="9"/>
  <c r="X634" i="9"/>
  <c r="Y707" i="9"/>
  <c r="X865" i="9"/>
  <c r="Y951" i="9"/>
  <c r="X138" i="9"/>
  <c r="X491" i="9"/>
  <c r="Y763" i="9"/>
  <c r="X44" i="9"/>
  <c r="X864" i="9"/>
  <c r="X788" i="9"/>
  <c r="X888" i="9"/>
  <c r="X785" i="9"/>
  <c r="X544" i="9"/>
  <c r="X632" i="9"/>
  <c r="X750" i="9"/>
  <c r="X949" i="9"/>
  <c r="X179" i="9"/>
  <c r="X514" i="9"/>
  <c r="X672" i="9"/>
  <c r="X807" i="9"/>
  <c r="X918" i="9"/>
  <c r="N884" i="9"/>
  <c r="V884" i="9"/>
  <c r="X599" i="9"/>
  <c r="X660" i="9"/>
  <c r="V669" i="9"/>
  <c r="N669" i="9"/>
  <c r="Y722" i="9"/>
  <c r="AA861" i="9"/>
  <c r="N907" i="9"/>
  <c r="V907" i="9"/>
  <c r="X937" i="9"/>
  <c r="X847" i="9"/>
  <c r="X414" i="9"/>
  <c r="X647" i="9"/>
  <c r="X687" i="9"/>
  <c r="V752" i="9"/>
  <c r="N752" i="9"/>
  <c r="Y896" i="9"/>
  <c r="Y957" i="9"/>
  <c r="X914" i="9"/>
  <c r="X643" i="9"/>
  <c r="Y954" i="9"/>
  <c r="AA213" i="9"/>
  <c r="N357" i="9"/>
  <c r="V357" i="9"/>
  <c r="X708" i="9"/>
  <c r="X642" i="9"/>
  <c r="X791" i="9"/>
  <c r="AA911" i="9"/>
  <c r="Y969" i="9"/>
  <c r="X826" i="9"/>
  <c r="V965" i="9"/>
  <c r="N965" i="9"/>
  <c r="AA82" i="9"/>
  <c r="V558" i="9"/>
  <c r="N558" i="9"/>
  <c r="X609" i="9"/>
  <c r="X913" i="9"/>
  <c r="N896" i="9"/>
  <c r="V896" i="9"/>
  <c r="Y239" i="9"/>
  <c r="N551" i="9"/>
  <c r="V551" i="9"/>
  <c r="AA637" i="9"/>
  <c r="Y634" i="9"/>
  <c r="N62" i="9"/>
  <c r="V62" i="9"/>
  <c r="N920" i="9"/>
  <c r="V920" i="9"/>
  <c r="X64" i="9"/>
  <c r="N826" i="9"/>
  <c r="V826" i="9"/>
  <c r="X566" i="9"/>
  <c r="X711" i="9"/>
  <c r="Y302" i="9"/>
  <c r="Y669" i="9"/>
  <c r="X863" i="9"/>
  <c r="X905" i="9"/>
  <c r="X960" i="9"/>
  <c r="X952" i="9"/>
  <c r="X348" i="9"/>
  <c r="Y327" i="9"/>
  <c r="X645" i="9"/>
  <c r="Y752" i="9"/>
  <c r="V866" i="9"/>
  <c r="N866" i="9"/>
  <c r="X907" i="9"/>
  <c r="X921" i="9"/>
  <c r="X767" i="9"/>
  <c r="X973" i="9"/>
  <c r="X357" i="9"/>
  <c r="X564" i="9"/>
  <c r="Y814" i="9"/>
  <c r="X955" i="9"/>
  <c r="X869" i="9"/>
  <c r="X900" i="9"/>
  <c r="V934" i="9"/>
  <c r="N934" i="9"/>
  <c r="N218" i="9"/>
  <c r="V218" i="9"/>
  <c r="AA258" i="9"/>
  <c r="X327" i="9"/>
  <c r="X833" i="9"/>
  <c r="AA866" i="9"/>
  <c r="X903" i="9"/>
  <c r="Y921" i="9"/>
  <c r="X104" i="9"/>
  <c r="X418" i="9"/>
  <c r="X478" i="9"/>
  <c r="Y564" i="9"/>
  <c r="X611" i="9"/>
  <c r="X803" i="9"/>
  <c r="X814" i="9"/>
  <c r="X894" i="9"/>
  <c r="X925" i="9"/>
  <c r="Y869" i="9"/>
  <c r="X30" i="9"/>
  <c r="X885" i="9"/>
  <c r="Y264" i="9"/>
  <c r="AA649" i="9"/>
  <c r="N536" i="9"/>
  <c r="V536" i="9"/>
  <c r="Y625" i="9"/>
  <c r="X884" i="9"/>
  <c r="X934" i="9"/>
  <c r="Y218" i="9"/>
  <c r="V258" i="9"/>
  <c r="N258" i="9"/>
  <c r="X424" i="9"/>
  <c r="X605" i="9"/>
  <c r="X738" i="9"/>
  <c r="AA839" i="9"/>
  <c r="X962" i="9"/>
  <c r="X666" i="9"/>
  <c r="Y613" i="9"/>
  <c r="X815" i="9"/>
  <c r="X858" i="9"/>
  <c r="X919" i="9"/>
  <c r="Y931" i="9"/>
  <c r="Y698" i="9"/>
  <c r="N649" i="9"/>
  <c r="V649" i="9"/>
  <c r="AA707" i="9"/>
  <c r="Y536" i="9"/>
  <c r="X482" i="9"/>
  <c r="Y884" i="9"/>
  <c r="Y934" i="9"/>
  <c r="X218" i="9"/>
  <c r="X504" i="9"/>
  <c r="X699" i="9"/>
  <c r="V839" i="9"/>
  <c r="N839" i="9"/>
  <c r="Y666" i="9"/>
  <c r="X851" i="9"/>
  <c r="X613" i="9"/>
  <c r="Z655" i="9"/>
  <c r="Y815" i="9"/>
  <c r="AA853" i="9"/>
  <c r="Y919" i="9"/>
  <c r="X931" i="9"/>
  <c r="X938" i="9"/>
  <c r="Y948" i="9"/>
  <c r="X615" i="9"/>
  <c r="V769" i="9"/>
  <c r="N769" i="9"/>
  <c r="Z836" i="9"/>
  <c r="V666" i="9"/>
  <c r="N666" i="9"/>
  <c r="AA665" i="9"/>
  <c r="X698" i="9"/>
  <c r="Y52" i="9"/>
  <c r="V299" i="9"/>
  <c r="N299" i="9"/>
  <c r="N887" i="9"/>
  <c r="V887" i="9"/>
  <c r="N707" i="9"/>
  <c r="V707" i="9"/>
  <c r="X536" i="9"/>
  <c r="V509" i="9"/>
  <c r="N509" i="9"/>
  <c r="X250" i="9"/>
  <c r="AA468" i="9"/>
  <c r="X794" i="9"/>
  <c r="X831" i="9"/>
  <c r="Y897" i="9"/>
  <c r="V572" i="9"/>
  <c r="N572" i="9"/>
  <c r="X671" i="9"/>
  <c r="X920" i="9"/>
  <c r="Y495" i="9"/>
  <c r="X602" i="9"/>
  <c r="X772" i="9"/>
  <c r="X790" i="9"/>
  <c r="N853" i="9"/>
  <c r="V853" i="9"/>
  <c r="Z967" i="9"/>
  <c r="X968" i="9"/>
  <c r="X948" i="9"/>
  <c r="X31" i="9"/>
  <c r="N698" i="9"/>
  <c r="V698" i="9"/>
  <c r="X693" i="9"/>
  <c r="V85" i="9"/>
  <c r="Z260" i="9" s="1"/>
  <c r="N85" i="9"/>
  <c r="Z462" i="9"/>
  <c r="V665" i="9"/>
  <c r="N665" i="9"/>
  <c r="V778" i="9"/>
  <c r="N778" i="9"/>
  <c r="X52" i="9"/>
  <c r="Y299" i="9"/>
  <c r="Z869" i="9"/>
  <c r="X62" i="9"/>
  <c r="V545" i="9"/>
  <c r="N545" i="9"/>
  <c r="Z155" i="9"/>
  <c r="Y509" i="9"/>
  <c r="V367" i="9"/>
  <c r="N367" i="9"/>
  <c r="V468" i="9"/>
  <c r="N468" i="9"/>
  <c r="AA570" i="9"/>
  <c r="X663" i="9"/>
  <c r="X804" i="9"/>
  <c r="V915" i="9"/>
  <c r="Z915" i="9" s="1"/>
  <c r="N915" i="9"/>
  <c r="X897" i="9"/>
  <c r="AA572" i="9"/>
  <c r="X775" i="9"/>
  <c r="X930" i="9"/>
  <c r="Z888" i="9"/>
  <c r="X765" i="9"/>
  <c r="X495" i="9"/>
  <c r="X626" i="9"/>
  <c r="X827" i="9"/>
  <c r="X866" i="9"/>
  <c r="V971" i="9"/>
  <c r="N971" i="9"/>
  <c r="Z65" i="9"/>
  <c r="AA367" i="9"/>
  <c r="V570" i="9"/>
  <c r="N570" i="9"/>
  <c r="AA915" i="9"/>
  <c r="Y965" i="9"/>
  <c r="X759" i="9"/>
  <c r="X889" i="9"/>
  <c r="X966" i="9"/>
  <c r="X877" i="9"/>
  <c r="Y887" i="9"/>
  <c r="Y567" i="9"/>
  <c r="X729" i="9"/>
  <c r="Y827" i="9"/>
  <c r="Y866" i="9"/>
  <c r="Y911" i="9"/>
  <c r="AA971" i="9"/>
  <c r="N938" i="9"/>
  <c r="V938" i="9"/>
  <c r="X778" i="9"/>
  <c r="Y312" i="9"/>
  <c r="Y641" i="9"/>
  <c r="X558" i="9"/>
  <c r="X545" i="9"/>
  <c r="V340" i="9"/>
  <c r="N340" i="9"/>
  <c r="X559" i="9"/>
  <c r="Z706" i="9"/>
  <c r="N847" i="9"/>
  <c r="V847" i="9"/>
  <c r="X958" i="9"/>
  <c r="Y573" i="9"/>
  <c r="N684" i="9"/>
  <c r="V684" i="9"/>
  <c r="X845" i="9"/>
  <c r="V921" i="9"/>
  <c r="N921" i="9"/>
  <c r="Y966" i="9"/>
  <c r="X659" i="9"/>
  <c r="X887" i="9"/>
  <c r="X258" i="9"/>
  <c r="AA567" i="9"/>
  <c r="Y633" i="9"/>
  <c r="X760" i="9"/>
  <c r="X861" i="9"/>
  <c r="Y953" i="9"/>
  <c r="X911" i="9"/>
  <c r="X972" i="9"/>
  <c r="AA938" i="9"/>
  <c r="X779" i="9"/>
  <c r="X343" i="9"/>
  <c r="Y680" i="9"/>
  <c r="X764" i="9"/>
  <c r="Y915" i="9"/>
  <c r="X312" i="9"/>
  <c r="X641" i="9"/>
  <c r="X468" i="9"/>
  <c r="Y558" i="9"/>
  <c r="V491" i="9"/>
  <c r="N491" i="9"/>
  <c r="Y832" i="9"/>
  <c r="AA340" i="9"/>
  <c r="Z391" i="9"/>
  <c r="X608" i="9"/>
  <c r="X837" i="9"/>
  <c r="AA573" i="9"/>
  <c r="Y684" i="9"/>
  <c r="X841" i="9"/>
  <c r="Y844" i="9"/>
  <c r="X923" i="9"/>
  <c r="X943" i="9"/>
  <c r="Y945" i="9"/>
  <c r="X205" i="9"/>
  <c r="Y258" i="9"/>
  <c r="V567" i="9"/>
  <c r="N567" i="9"/>
  <c r="X633" i="9"/>
  <c r="X811" i="9"/>
  <c r="X953" i="9"/>
  <c r="X906" i="9"/>
  <c r="Y972" i="9"/>
  <c r="X742" i="9"/>
  <c r="Z768" i="9" l="1"/>
  <c r="Z780" i="9"/>
  <c r="Z62" i="9"/>
  <c r="Z357" i="9"/>
  <c r="Z733" i="9"/>
  <c r="Z728" i="9"/>
  <c r="Z901" i="9"/>
  <c r="Z698" i="9"/>
  <c r="Z796" i="9"/>
  <c r="Z767" i="9"/>
  <c r="Z208" i="9"/>
  <c r="Z748" i="9"/>
  <c r="Z778" i="9"/>
  <c r="Z839" i="9"/>
  <c r="Z744" i="9"/>
  <c r="Z598" i="9"/>
  <c r="Z248" i="9"/>
  <c r="Z957" i="9"/>
  <c r="Z849" i="9"/>
  <c r="Z907" i="9"/>
  <c r="Z320" i="9"/>
  <c r="Z942" i="9"/>
  <c r="Z580" i="9"/>
  <c r="Z692" i="9"/>
  <c r="Z753" i="9"/>
  <c r="Z530" i="9"/>
  <c r="Z803" i="9"/>
  <c r="Z765" i="9"/>
  <c r="Z203" i="9"/>
  <c r="Z912" i="9"/>
  <c r="Z934" i="9"/>
  <c r="Z273" i="9"/>
  <c r="Z52" i="9"/>
  <c r="Z643" i="9"/>
  <c r="Z32" i="9"/>
  <c r="Z933" i="9"/>
  <c r="Z883" i="9"/>
  <c r="Z847" i="9"/>
  <c r="Z890" i="9"/>
  <c r="Z147" i="9"/>
  <c r="Z711" i="9"/>
  <c r="Z707" i="9"/>
  <c r="Z666" i="9"/>
  <c r="Z876" i="9"/>
  <c r="Z956" i="9"/>
  <c r="Z814" i="9"/>
  <c r="Z917" i="9"/>
  <c r="Z376" i="9"/>
  <c r="Z946" i="9"/>
  <c r="Z757" i="9"/>
  <c r="Z938" i="9"/>
  <c r="Z735" i="9"/>
  <c r="Z665" i="9"/>
  <c r="Z607" i="9"/>
  <c r="Z875" i="9"/>
  <c r="Z631" i="9"/>
  <c r="Z648" i="9"/>
  <c r="Z973" i="9"/>
  <c r="Z723" i="9"/>
  <c r="Z662" i="9"/>
  <c r="Z903" i="9"/>
  <c r="Z952" i="9"/>
  <c r="Z809" i="9"/>
  <c r="Z925" i="9"/>
  <c r="Z564" i="9"/>
  <c r="Z463" i="9"/>
  <c r="Z930" i="9"/>
  <c r="Z916" i="9"/>
  <c r="Z844" i="9"/>
  <c r="Z904" i="9"/>
  <c r="Z927" i="9"/>
  <c r="Z821" i="9"/>
  <c r="Z327" i="9"/>
  <c r="Z702" i="9"/>
  <c r="Z720" i="9"/>
  <c r="Z671" i="9"/>
  <c r="Z403" i="9"/>
  <c r="Z865" i="9"/>
  <c r="Z678" i="9"/>
  <c r="Z614" i="9"/>
  <c r="Z379" i="9"/>
  <c r="Z447" i="9"/>
  <c r="Z441" i="9"/>
  <c r="Z288" i="9"/>
  <c r="Z13" i="9"/>
  <c r="Z41" i="9"/>
  <c r="Z382" i="9"/>
  <c r="Z167" i="9"/>
  <c r="Z504" i="9"/>
  <c r="Z729" i="9"/>
  <c r="Z584" i="9"/>
  <c r="Z309" i="9"/>
  <c r="Z256" i="9"/>
  <c r="Z48" i="9"/>
  <c r="Z737" i="9"/>
  <c r="Z571" i="9"/>
  <c r="Z149" i="9"/>
  <c r="Z236" i="9"/>
  <c r="Z324" i="9"/>
  <c r="Z608" i="9"/>
  <c r="Z117" i="9"/>
  <c r="Z397" i="9"/>
  <c r="Z381" i="9"/>
  <c r="Z445" i="9"/>
  <c r="Z199" i="9"/>
  <c r="Z436" i="9"/>
  <c r="Z721" i="9"/>
  <c r="Z964" i="9"/>
  <c r="Z831" i="9"/>
  <c r="Z819" i="9"/>
  <c r="Z762" i="9"/>
  <c r="Z783" i="9"/>
  <c r="Z688" i="9"/>
  <c r="Z667" i="9"/>
  <c r="Z647" i="9"/>
  <c r="Z118" i="9"/>
  <c r="Z58" i="9"/>
  <c r="Z294" i="9"/>
  <c r="Z23" i="9"/>
  <c r="Z193" i="9"/>
  <c r="Z181" i="9"/>
  <c r="Z232" i="9"/>
  <c r="Z55" i="9"/>
  <c r="Z953" i="9"/>
  <c r="Z49" i="9"/>
  <c r="Z352" i="9"/>
  <c r="Z669" i="9"/>
  <c r="Z299" i="9"/>
  <c r="Z896" i="9"/>
  <c r="Z641" i="9"/>
  <c r="Z539" i="9"/>
  <c r="Z507" i="9"/>
  <c r="Z897" i="9"/>
  <c r="Z962" i="9"/>
  <c r="Z590" i="9"/>
  <c r="Z826" i="9"/>
  <c r="Z884" i="9"/>
  <c r="Z960" i="9"/>
  <c r="Z468" i="9"/>
  <c r="Z691" i="9"/>
  <c r="Z773" i="9"/>
  <c r="Z722" i="9"/>
  <c r="Z510" i="9"/>
  <c r="Z755" i="9"/>
  <c r="Z620" i="9"/>
  <c r="Z770" i="9"/>
  <c r="Z629" i="9"/>
  <c r="Z798" i="9"/>
  <c r="Z175" i="9"/>
  <c r="Z253" i="9"/>
  <c r="Z172" i="9"/>
  <c r="Z653" i="9"/>
  <c r="Z408" i="9"/>
  <c r="Z894" i="9"/>
  <c r="Z950" i="9"/>
  <c r="Z367" i="9"/>
  <c r="Z54" i="9"/>
  <c r="Z781" i="9"/>
  <c r="Z895" i="9"/>
  <c r="Z111" i="9"/>
  <c r="Z586" i="9"/>
  <c r="Z246" i="9"/>
  <c r="Z745" i="9"/>
  <c r="Z501" i="9"/>
  <c r="Z943" i="9"/>
  <c r="Z919" i="9"/>
  <c r="Z860" i="9"/>
  <c r="Z394" i="9"/>
  <c r="Z179" i="9"/>
  <c r="Z467" i="9"/>
  <c r="Z775" i="9"/>
  <c r="Z599" i="9"/>
  <c r="Z899" i="9"/>
  <c r="Z955" i="9"/>
  <c r="Z442" i="9"/>
  <c r="Z303" i="9"/>
  <c r="Z617" i="9"/>
  <c r="Z961" i="9"/>
  <c r="Z477" i="9"/>
  <c r="Z887" i="9"/>
  <c r="Z789" i="9"/>
  <c r="Z407" i="9"/>
  <c r="Z806" i="9"/>
  <c r="Z156" i="9"/>
  <c r="Z497" i="9"/>
  <c r="Z558" i="9"/>
  <c r="Z840" i="9"/>
  <c r="Z810" i="9"/>
  <c r="Z835" i="9"/>
  <c r="Z818" i="9"/>
  <c r="Z456" i="9"/>
  <c r="Z802" i="9"/>
  <c r="Z615" i="9"/>
  <c r="Z874" i="9"/>
  <c r="Z867" i="9"/>
  <c r="Z929" i="9"/>
  <c r="Z739" i="9"/>
  <c r="Z555" i="9"/>
  <c r="Z651" i="9"/>
  <c r="Z113" i="9"/>
  <c r="Z820" i="9"/>
  <c r="Z932" i="9"/>
  <c r="Z540" i="9"/>
  <c r="Z861" i="9"/>
  <c r="Z972" i="9"/>
  <c r="Z657" i="9"/>
  <c r="Z606" i="9"/>
  <c r="Z639" i="9"/>
  <c r="Z307" i="9"/>
  <c r="Z36" i="9"/>
  <c r="Z53" i="9"/>
  <c r="Z27" i="9"/>
  <c r="Z453" i="9"/>
  <c r="Z360" i="9"/>
  <c r="Z57" i="9"/>
  <c r="Z50" i="9"/>
  <c r="Z351" i="9"/>
  <c r="Z153" i="9"/>
  <c r="Z454" i="9"/>
  <c r="Z243" i="9"/>
  <c r="Z683" i="9"/>
  <c r="Z600" i="9"/>
  <c r="Z184" i="9"/>
  <c r="Z422" i="9"/>
  <c r="Z508" i="9"/>
  <c r="Z464" i="9"/>
  <c r="Z425" i="9"/>
  <c r="Z625" i="9"/>
  <c r="Z93" i="9"/>
  <c r="Z174" i="9"/>
  <c r="Z565" i="9"/>
  <c r="Z496" i="9"/>
  <c r="Z415" i="9"/>
  <c r="Z493" i="9"/>
  <c r="Z90" i="9"/>
  <c r="Z918" i="9"/>
  <c r="Z281" i="9"/>
  <c r="Z914" i="9"/>
  <c r="Z910" i="9"/>
  <c r="Z593" i="9"/>
  <c r="Z640" i="9"/>
  <c r="Z689" i="9"/>
  <c r="Z703" i="9"/>
  <c r="Z420" i="9"/>
  <c r="Z106" i="9"/>
  <c r="Z34" i="9"/>
  <c r="Z124" i="9"/>
  <c r="Z251" i="9"/>
  <c r="Z851" i="9"/>
  <c r="Z686" i="9"/>
  <c r="Z856" i="9"/>
  <c r="Z479" i="9"/>
  <c r="Z645" i="9"/>
  <c r="Z674" i="9"/>
  <c r="Z333" i="9"/>
  <c r="Z552" i="9"/>
  <c r="Z470" i="9"/>
  <c r="Z476" i="9"/>
  <c r="Z533" i="9"/>
  <c r="Z503" i="9"/>
  <c r="Z81" i="9"/>
  <c r="Z451" i="9"/>
  <c r="Z585" i="9"/>
  <c r="Z133" i="9"/>
  <c r="Z291" i="9"/>
  <c r="Z489" i="9"/>
  <c r="Z178" i="9"/>
  <c r="Z772" i="9"/>
  <c r="Z103" i="9"/>
  <c r="Z527" i="9"/>
  <c r="Z298" i="9"/>
  <c r="Z69" i="9"/>
  <c r="Z457" i="9"/>
  <c r="Z177" i="9"/>
  <c r="Z211" i="9"/>
  <c r="Z398" i="9"/>
  <c r="Z14" i="9"/>
  <c r="Z186" i="9"/>
  <c r="Z20" i="9"/>
  <c r="Z226" i="9"/>
  <c r="Z384" i="9"/>
  <c r="Z548" i="9"/>
  <c r="Z112" i="9"/>
  <c r="Z554" i="9"/>
  <c r="Z880" i="9"/>
  <c r="Z858" i="9"/>
  <c r="Z939" i="9"/>
  <c r="Z871" i="9"/>
  <c r="Z219" i="9"/>
  <c r="Z148" i="9"/>
  <c r="Z511" i="9"/>
  <c r="Z535" i="9"/>
  <c r="Z440" i="9"/>
  <c r="Z317" i="9"/>
  <c r="Z56" i="9"/>
  <c r="Z322" i="9"/>
  <c r="Z402" i="9"/>
  <c r="Z636" i="9"/>
  <c r="Z920" i="9"/>
  <c r="Z551" i="9"/>
  <c r="Z947" i="9"/>
  <c r="Z687" i="9"/>
  <c r="Z878" i="9"/>
  <c r="Z921" i="9"/>
  <c r="Z633" i="9"/>
  <c r="Z37" i="9"/>
  <c r="Z906" i="9"/>
  <c r="Z782" i="9"/>
  <c r="Z44" i="9"/>
  <c r="Z940" i="9"/>
  <c r="Z853" i="9"/>
  <c r="Z682" i="9"/>
  <c r="Z726" i="9"/>
  <c r="Z800" i="9"/>
  <c r="Z75" i="9"/>
  <c r="Z710" i="9"/>
  <c r="Z866" i="9"/>
  <c r="Z788" i="9"/>
  <c r="Z752" i="9"/>
  <c r="Z573" i="9"/>
  <c r="Z815" i="9"/>
  <c r="Z873" i="9"/>
  <c r="Z242" i="9"/>
  <c r="Z738" i="9"/>
  <c r="Z968" i="9"/>
  <c r="Z239" i="9"/>
  <c r="Z488" i="9"/>
  <c r="Z519" i="9"/>
  <c r="Z716" i="9"/>
  <c r="Z832" i="9"/>
  <c r="Z945" i="9"/>
  <c r="Z632" i="9"/>
  <c r="Z603" i="9"/>
  <c r="Z634" i="9"/>
  <c r="Z446" i="9"/>
  <c r="Z337" i="9"/>
  <c r="Z426" i="9"/>
  <c r="Z143" i="9"/>
  <c r="Z472" i="9"/>
  <c r="Z827" i="9"/>
  <c r="Z421" i="9"/>
  <c r="Z39" i="9"/>
  <c r="Z217" i="9"/>
  <c r="Z150" i="9"/>
  <c r="Z345" i="9"/>
  <c r="Z658" i="9"/>
  <c r="Z749" i="9"/>
  <c r="Z72" i="9"/>
  <c r="Z227" i="9"/>
  <c r="Z210" i="9"/>
  <c r="Z459" i="9"/>
  <c r="Z483" i="9"/>
  <c r="Z100" i="9"/>
  <c r="Z556" i="9"/>
  <c r="Z401" i="9"/>
  <c r="Z17" i="9"/>
  <c r="Z121" i="9"/>
  <c r="Z575" i="9"/>
  <c r="Z277" i="9"/>
  <c r="Z61" i="9"/>
  <c r="Z67" i="9"/>
  <c r="Z278" i="9"/>
  <c r="Z300" i="9"/>
  <c r="Z259" i="9"/>
  <c r="Z411" i="9"/>
  <c r="Z196" i="9"/>
  <c r="Z566" i="9"/>
  <c r="Z350" i="9"/>
  <c r="Z725" i="9"/>
  <c r="Z823" i="9"/>
  <c r="Z900" i="9"/>
  <c r="Z434" i="9"/>
  <c r="Z129" i="9"/>
  <c r="Z325" i="9"/>
  <c r="Z750" i="9"/>
  <c r="Z263" i="9"/>
  <c r="Z626" i="9"/>
  <c r="Z361" i="9"/>
  <c r="Z347" i="9"/>
  <c r="Z502" i="9"/>
  <c r="Z11" i="9"/>
  <c r="Z319" i="9"/>
  <c r="Z266" i="9"/>
  <c r="Z189" i="9"/>
  <c r="Z204" i="9"/>
  <c r="Z529" i="9"/>
  <c r="Z649" i="9"/>
  <c r="Z747" i="9"/>
  <c r="Z383" i="9"/>
  <c r="Z637" i="9"/>
  <c r="Z568" i="9"/>
  <c r="Z923" i="9"/>
  <c r="Z937" i="9"/>
  <c r="Z628" i="9"/>
  <c r="Z435" i="9"/>
  <c r="Z622" i="9"/>
  <c r="Z805" i="9"/>
  <c r="Z362" i="9"/>
  <c r="Z71" i="9"/>
  <c r="Z794" i="9"/>
  <c r="Z86" i="9"/>
  <c r="Z83" i="9"/>
  <c r="Z130" i="9"/>
  <c r="Z107" i="9"/>
  <c r="Z45" i="9"/>
  <c r="Z134" i="9"/>
  <c r="Z541" i="9"/>
  <c r="Z301" i="9"/>
  <c r="Z43" i="9"/>
  <c r="Z31" i="9"/>
  <c r="Z223" i="9"/>
  <c r="Z526" i="9"/>
  <c r="Z455" i="9"/>
  <c r="Z170" i="9"/>
  <c r="Z518" i="9"/>
  <c r="Z316" i="9"/>
  <c r="Z99" i="9"/>
  <c r="Z344" i="9"/>
  <c r="Z549" i="9"/>
  <c r="Z341" i="9"/>
  <c r="Z265" i="9"/>
  <c r="Z369" i="9"/>
  <c r="Z285" i="9"/>
  <c r="Z374" i="9"/>
  <c r="Z215" i="9"/>
  <c r="Z216" i="9"/>
  <c r="Z120" i="9"/>
  <c r="Z644" i="9"/>
  <c r="Z409" i="9"/>
  <c r="Z339" i="9"/>
  <c r="Z105" i="9"/>
  <c r="Z108" i="9"/>
  <c r="Z886" i="9"/>
  <c r="Z664" i="9"/>
  <c r="Z715" i="9"/>
  <c r="Z713" i="9"/>
  <c r="Z761" i="9"/>
  <c r="Z872" i="9"/>
  <c r="Z661" i="9"/>
  <c r="Z224" i="9"/>
  <c r="Z368" i="9"/>
  <c r="Z353" i="9"/>
  <c r="Z709" i="9"/>
  <c r="Z38" i="9"/>
  <c r="Z229" i="9"/>
  <c r="Z931" i="9"/>
  <c r="Z848" i="9"/>
  <c r="Z675" i="9"/>
  <c r="Z971" i="9"/>
  <c r="Z797" i="9"/>
  <c r="Z596" i="9"/>
  <c r="Z877" i="9"/>
  <c r="Z663" i="9"/>
  <c r="Z559" i="9"/>
  <c r="Z834" i="9"/>
  <c r="Z302" i="9"/>
  <c r="Z583" i="9"/>
  <c r="Z838" i="9"/>
  <c r="Z705" i="9"/>
  <c r="Z267" i="9"/>
  <c r="Z859" i="9"/>
  <c r="Z830" i="9"/>
  <c r="Z371" i="9"/>
  <c r="Z732" i="9"/>
  <c r="Z542" i="9"/>
  <c r="Z272" i="9"/>
  <c r="Z544" i="9"/>
  <c r="Z406" i="9"/>
  <c r="Z613" i="9"/>
  <c r="Z719" i="9"/>
  <c r="Z115" i="9"/>
  <c r="Z22" i="9"/>
  <c r="Z283" i="9"/>
  <c r="Z759" i="9"/>
  <c r="Z485" i="9"/>
  <c r="Z214" i="9"/>
  <c r="Z295" i="9"/>
  <c r="Z63" i="9"/>
  <c r="Z579" i="9"/>
  <c r="Z461" i="9"/>
  <c r="Z417" i="9"/>
  <c r="Z201" i="9"/>
  <c r="Z119" i="9"/>
  <c r="Z395" i="9"/>
  <c r="Z187" i="9"/>
  <c r="Z522" i="9"/>
  <c r="Z280" i="9"/>
  <c r="Z200" i="9"/>
  <c r="Z386" i="9"/>
  <c r="Z410" i="9"/>
  <c r="Z240" i="9"/>
  <c r="Z233" i="9"/>
  <c r="Z19" i="9"/>
  <c r="Z799" i="9"/>
  <c r="Z102" i="9"/>
  <c r="Z104" i="9"/>
  <c r="Z704" i="9"/>
  <c r="Z581" i="9"/>
  <c r="Z676" i="9"/>
  <c r="Z891" i="9"/>
  <c r="Z908" i="9"/>
  <c r="Z602" i="9"/>
  <c r="Z754" i="9"/>
  <c r="Z460" i="9"/>
  <c r="Z171" i="9"/>
  <c r="Z304" i="9"/>
  <c r="Z194" i="9"/>
  <c r="Z677" i="9"/>
  <c r="Z205" i="9"/>
  <c r="Z443" i="9"/>
  <c r="Z12" i="9"/>
  <c r="Z292" i="9"/>
  <c r="Z85" i="9"/>
  <c r="Z572" i="9"/>
  <c r="Z769" i="9"/>
  <c r="Z546" i="9"/>
  <c r="Z828" i="9"/>
  <c r="Z714" i="9"/>
  <c r="Z375" i="9"/>
  <c r="Z567" i="9"/>
  <c r="Z498" i="9"/>
  <c r="Z684" i="9"/>
  <c r="Z484" i="9"/>
  <c r="Z793" i="9"/>
  <c r="Z970" i="9"/>
  <c r="Z763" i="9"/>
  <c r="Z582" i="9"/>
  <c r="Z509" i="9"/>
  <c r="Z941" i="9"/>
  <c r="Z537" i="9"/>
  <c r="Z258" i="9"/>
  <c r="Z516" i="9"/>
  <c r="Z198" i="9"/>
  <c r="Z621" i="9"/>
  <c r="Z913" i="9"/>
  <c r="Z928" i="9"/>
  <c r="Z693" i="9"/>
  <c r="Z315" i="9"/>
  <c r="Z842" i="9"/>
  <c r="Z855" i="9"/>
  <c r="Z791" i="9"/>
  <c r="Z487" i="9"/>
  <c r="Z42" i="9"/>
  <c r="Z740" i="9"/>
  <c r="Z336" i="9"/>
  <c r="Z15" i="9"/>
  <c r="Z399" i="9"/>
  <c r="Z801" i="9"/>
  <c r="Z82" i="9"/>
  <c r="Z438" i="9"/>
  <c r="Z868" i="9"/>
  <c r="Z577" i="9"/>
  <c r="Z74" i="9"/>
  <c r="Z473" i="9"/>
  <c r="Z444" i="9"/>
  <c r="Z817" i="9"/>
  <c r="Z68" i="9"/>
  <c r="Z777" i="9"/>
  <c r="Z165" i="9"/>
  <c r="Z176" i="9"/>
  <c r="Z370" i="9"/>
  <c r="Z346" i="9"/>
  <c r="Z21" i="9"/>
  <c r="Z500" i="9"/>
  <c r="Z524" i="9"/>
  <c r="Z390" i="9"/>
  <c r="Z373" i="9"/>
  <c r="Z366" i="9"/>
  <c r="Z531" i="9"/>
  <c r="Z268" i="9"/>
  <c r="Z449" i="9"/>
  <c r="Z275" i="9"/>
  <c r="Z323" i="9"/>
  <c r="Z78" i="9"/>
  <c r="Z338" i="9"/>
  <c r="Z238" i="9"/>
  <c r="Z513" i="9"/>
  <c r="Z475" i="9"/>
  <c r="Z92" i="9"/>
  <c r="Z230" i="9"/>
  <c r="Z428" i="9"/>
  <c r="Z132" i="9"/>
  <c r="Z168" i="9"/>
  <c r="Z185" i="9"/>
  <c r="Z550" i="9"/>
  <c r="Z944" i="9"/>
  <c r="Z314" i="9"/>
  <c r="Z893" i="9"/>
  <c r="Z760" i="9"/>
  <c r="Z183" i="9"/>
  <c r="Z746" i="9"/>
  <c r="Z515" i="9"/>
  <c r="Z40" i="9"/>
  <c r="Z269" i="9"/>
  <c r="Z512" i="9"/>
  <c r="Z681" i="9"/>
  <c r="Z110" i="9"/>
  <c r="Z29" i="9"/>
  <c r="Z136" i="9"/>
  <c r="Z591" i="9"/>
  <c r="Z588" i="9"/>
  <c r="Z758" i="9"/>
  <c r="Z951" i="9"/>
  <c r="Z330" i="9"/>
  <c r="Z764" i="9"/>
  <c r="Z521" i="9"/>
  <c r="Z536" i="9"/>
  <c r="Z218" i="9"/>
  <c r="Z363" i="9"/>
  <c r="Z213" i="9"/>
  <c r="Z209" i="9"/>
  <c r="Z623" i="9"/>
  <c r="Z699" i="9"/>
  <c r="Z274" i="9"/>
  <c r="Z342" i="9"/>
  <c r="Z846" i="9"/>
  <c r="Z262" i="9"/>
  <c r="Z474" i="9"/>
  <c r="Z429" i="9"/>
  <c r="Z161" i="9"/>
  <c r="Z954" i="9"/>
  <c r="Z771" i="9"/>
  <c r="Z741" i="9"/>
  <c r="Z776" i="9"/>
  <c r="Z359" i="9"/>
  <c r="Z898" i="9"/>
  <c r="Z786" i="9"/>
  <c r="Z557" i="9"/>
  <c r="Z271" i="9"/>
  <c r="Z164" i="9"/>
  <c r="Z139" i="9"/>
  <c r="Z431" i="9"/>
  <c r="Z416" i="9"/>
  <c r="Z293" i="9"/>
  <c r="Z882" i="9"/>
  <c r="Z207" i="9"/>
  <c r="Z594" i="9"/>
  <c r="Z405" i="9"/>
  <c r="Z28" i="9"/>
  <c r="Z393" i="9"/>
  <c r="Z131" i="9"/>
  <c r="Z528" i="9"/>
  <c r="Z234" i="9"/>
  <c r="Z159" i="9"/>
  <c r="Z400" i="9"/>
  <c r="Z538" i="9"/>
  <c r="Z388" i="9"/>
  <c r="Z235" i="9"/>
  <c r="Z59" i="9"/>
  <c r="Z343" i="9"/>
  <c r="Z126" i="9"/>
  <c r="Z35" i="9"/>
  <c r="Z142" i="9"/>
  <c r="Z197" i="9"/>
  <c r="Z466" i="9"/>
  <c r="Z348" i="9"/>
  <c r="Z843" i="9"/>
  <c r="Z114" i="9"/>
  <c r="Z589" i="9"/>
  <c r="Z152" i="9"/>
  <c r="Z146" i="9"/>
  <c r="Z578" i="9"/>
  <c r="Z424" i="9"/>
  <c r="Z587" i="9"/>
  <c r="Z437" i="9"/>
  <c r="Z412" i="9"/>
  <c r="Z228" i="9"/>
  <c r="Z334" i="9"/>
  <c r="Z742" i="9"/>
  <c r="Z313" i="9"/>
  <c r="Z480" i="9"/>
  <c r="Z680" i="9"/>
  <c r="Z478" i="9"/>
  <c r="Z284" i="9"/>
  <c r="Z784" i="9"/>
  <c r="Z486" i="9"/>
  <c r="Z822" i="9"/>
  <c r="Z790" i="9"/>
  <c r="Z673" i="9"/>
  <c r="Z592" i="9"/>
  <c r="Z924" i="9"/>
  <c r="Z331" i="9"/>
  <c r="Z889" i="9"/>
  <c r="Z312" i="9"/>
  <c r="Z841" i="9"/>
  <c r="Z668" i="9"/>
  <c r="Z724" i="9"/>
  <c r="Z712" i="9"/>
  <c r="Z696" i="9"/>
  <c r="Z73" i="9"/>
  <c r="Z734" i="9"/>
  <c r="Z30" i="9"/>
  <c r="Z282" i="9"/>
  <c r="Z792" i="9"/>
  <c r="Z718" i="9"/>
  <c r="Z701" i="9"/>
  <c r="Z306" i="9"/>
  <c r="Z854" i="9"/>
  <c r="Z458" i="9"/>
  <c r="Z654" i="9"/>
  <c r="Z326" i="9"/>
  <c r="Z64" i="9"/>
  <c r="Z296" i="9"/>
  <c r="Z418" i="9"/>
  <c r="Z329" i="9"/>
  <c r="Z231" i="9"/>
  <c r="Z543" i="9"/>
  <c r="Z135" i="9"/>
  <c r="Z166" i="9"/>
  <c r="Z244" i="9"/>
  <c r="Z241" i="9"/>
  <c r="Z18" i="9"/>
  <c r="Z182" i="9"/>
  <c r="Z47" i="9"/>
  <c r="Z659" i="9"/>
  <c r="Z145" i="9"/>
  <c r="Z287" i="9"/>
  <c r="Z88" i="9"/>
  <c r="Z547" i="9"/>
  <c r="Z141" i="9"/>
  <c r="Z276" i="9"/>
  <c r="Z163" i="9"/>
  <c r="Z91" i="9"/>
  <c r="Z902" i="9"/>
  <c r="Z33" i="9"/>
  <c r="Z220" i="9"/>
  <c r="Z98" i="9"/>
  <c r="Z279" i="9"/>
  <c r="Z66" i="9"/>
  <c r="Z364" i="9"/>
  <c r="Z624" i="9"/>
  <c r="Z356" i="9"/>
  <c r="Z328" i="9"/>
  <c r="Z109" i="9"/>
  <c r="Z576" i="9"/>
  <c r="Z427" i="9"/>
  <c r="Z452" i="9"/>
  <c r="Z202" i="9"/>
  <c r="Z247" i="9"/>
  <c r="Z160" i="9"/>
  <c r="Z730" i="9"/>
  <c r="Z837" i="9"/>
  <c r="Z619" i="9"/>
  <c r="Z553" i="9"/>
  <c r="Z679" i="9"/>
  <c r="Z660" i="9"/>
  <c r="Z297" i="9"/>
  <c r="Z404" i="9"/>
  <c r="Z116" i="9"/>
  <c r="Z523" i="9"/>
  <c r="Z766" i="9"/>
  <c r="Z222" i="9"/>
  <c r="Z389" i="9"/>
  <c r="Z212" i="9"/>
  <c r="Z51" i="9"/>
  <c r="Z609" i="9"/>
  <c r="Z206" i="9"/>
  <c r="Z545" i="9"/>
  <c r="Z697" i="9"/>
  <c r="Z491" i="9"/>
  <c r="Z494" i="9"/>
  <c r="Z804" i="9"/>
  <c r="Z525" i="9"/>
  <c r="Z965" i="9"/>
  <c r="Z180" i="9"/>
  <c r="Z969" i="9"/>
  <c r="Z656" i="9"/>
  <c r="Z60" i="9"/>
  <c r="Z561" i="9"/>
  <c r="Z433" i="9"/>
  <c r="Z610" i="9"/>
  <c r="Z358" i="9"/>
  <c r="Z191" i="9"/>
  <c r="Z601" i="9"/>
  <c r="Z84" i="9"/>
  <c r="Z173" i="9"/>
  <c r="Z560" i="9"/>
  <c r="Z77" i="9"/>
  <c r="Z70" i="9"/>
  <c r="Z321" i="9"/>
  <c r="Z257" i="9"/>
  <c r="Z79" i="9"/>
  <c r="Z254" i="9"/>
  <c r="Z225" i="9"/>
  <c r="Z532" i="9"/>
  <c r="Z125" i="9"/>
  <c r="Z94" i="9"/>
  <c r="Z16" i="9"/>
  <c r="Z413" i="9"/>
  <c r="Z249" i="9"/>
  <c r="Z387" i="9"/>
  <c r="Z318" i="9"/>
  <c r="Z700" i="9"/>
  <c r="Z616" i="9"/>
  <c r="Z128" i="9"/>
  <c r="Z520" i="9"/>
  <c r="Z423" i="9"/>
  <c r="Z514" i="9"/>
  <c r="Z787" i="9"/>
  <c r="Z727" i="9"/>
  <c r="Z909" i="9"/>
  <c r="Z158" i="9"/>
  <c r="Z922" i="9"/>
  <c r="Z481" i="9"/>
  <c r="Z335" i="9"/>
  <c r="Z252" i="9"/>
  <c r="Z448" i="9"/>
  <c r="Z813" i="9"/>
  <c r="Z169" i="9"/>
  <c r="Z517" i="9"/>
  <c r="Z495" i="9"/>
  <c r="Z807" i="9"/>
  <c r="Z774" i="9"/>
  <c r="Z862" i="9"/>
  <c r="Z563" i="9"/>
  <c r="Z597" i="9"/>
  <c r="Z756" i="9"/>
  <c r="Z261" i="9"/>
  <c r="Z465" i="9"/>
  <c r="Z966" i="9"/>
  <c r="Z250" i="9"/>
  <c r="Z630" i="9"/>
  <c r="Z870" i="9"/>
  <c r="Z574" i="9"/>
  <c r="Z26" i="9"/>
  <c r="Z635" i="9"/>
  <c r="Z365" i="9"/>
  <c r="Z850" i="9"/>
  <c r="Z863" i="9"/>
  <c r="Z482" i="9"/>
  <c r="Z935" i="9"/>
  <c r="Z959" i="9"/>
  <c r="Z604" i="9"/>
  <c r="Z672" i="9"/>
  <c r="Z646" i="9"/>
  <c r="Z824" i="9"/>
  <c r="Z708" i="9"/>
  <c r="Z642" i="9"/>
  <c r="Z138" i="9"/>
  <c r="Z97" i="9"/>
  <c r="Z492" i="9"/>
  <c r="Z270" i="9"/>
  <c r="Z80" i="9"/>
  <c r="Z122" i="9"/>
  <c r="Z690" i="9"/>
  <c r="Z430" i="9"/>
  <c r="Z89" i="9"/>
  <c r="Z751" i="9"/>
  <c r="Z396" i="9"/>
  <c r="Z534" i="9"/>
  <c r="Z245" i="9"/>
  <c r="Z506" i="9"/>
  <c r="Z419" i="9"/>
  <c r="Z87" i="9"/>
  <c r="Z717" i="9"/>
  <c r="Z569" i="9"/>
  <c r="Z162" i="9"/>
  <c r="Z355" i="9"/>
  <c r="Z490" i="9"/>
  <c r="Z469" i="9"/>
  <c r="Z24" i="9"/>
  <c r="Z195" i="9"/>
  <c r="Z378" i="9"/>
  <c r="Z380" i="9"/>
  <c r="Z123" i="9"/>
  <c r="Z505" i="9"/>
  <c r="Z151" i="9"/>
  <c r="Z289" i="9"/>
  <c r="Z595" i="9"/>
  <c r="Z605" i="9"/>
  <c r="Z618" i="9"/>
  <c r="Z638" i="9"/>
  <c r="Z650" i="9"/>
  <c r="Z958" i="9"/>
  <c r="Z612" i="9"/>
  <c r="Z627" i="9"/>
  <c r="Z949" i="9"/>
  <c r="Z731" i="9"/>
  <c r="Z825" i="9"/>
  <c r="Z332" i="9"/>
  <c r="Z237" i="9"/>
  <c r="Z354" i="9"/>
  <c r="Z439" i="9"/>
  <c r="Z811" i="9"/>
  <c r="Z140" i="9"/>
  <c r="Z450" i="9"/>
  <c r="Z779" i="9"/>
  <c r="Z816" i="9"/>
  <c r="Z695" i="9"/>
  <c r="Z905" i="9"/>
  <c r="Z885" i="9"/>
  <c r="Z864" i="9"/>
  <c r="Z340" i="9"/>
  <c r="Z570" i="9"/>
  <c r="Z857" i="9"/>
  <c r="Z833" i="9"/>
  <c r="Z881" i="9"/>
  <c r="Z845" i="9"/>
  <c r="Z812" i="9"/>
  <c r="Z948" i="9"/>
  <c r="Z670" i="9"/>
  <c r="Z829" i="9"/>
  <c r="Z926" i="9"/>
  <c r="Z892" i="9"/>
  <c r="Z852" i="9"/>
  <c r="Z963" i="9"/>
  <c r="Z936" i="9"/>
  <c r="Z911" i="9"/>
  <c r="Z286" i="9"/>
  <c r="Z46" i="9"/>
  <c r="Z25" i="9"/>
  <c r="Z264" i="9"/>
  <c r="Z188" i="9"/>
  <c r="Z157" i="9"/>
  <c r="Z414" i="9"/>
  <c r="Z308" i="9"/>
  <c r="Z192" i="9"/>
  <c r="Z255" i="9"/>
  <c r="Z190" i="9"/>
  <c r="Z385" i="9"/>
  <c r="Z290" i="9"/>
  <c r="Z432" i="9"/>
  <c r="Z154" i="9"/>
  <c r="Z499" i="9"/>
  <c r="Z471" i="9"/>
  <c r="Z736" i="9"/>
  <c r="Z144" i="9"/>
  <c r="Z95" i="9"/>
  <c r="Z372" i="9"/>
  <c r="Z127" i="9"/>
  <c r="Z377" i="9"/>
  <c r="Z137" i="9"/>
  <c r="Z311" i="9"/>
  <c r="Z562" i="9"/>
  <c r="Z652" i="9"/>
  <c r="Z96" i="9"/>
  <c r="Z221" i="9"/>
  <c r="Z611" i="9"/>
  <c r="Z305" i="9"/>
  <c r="Z743" i="9"/>
  <c r="Z694" i="9"/>
  <c r="Z879" i="9"/>
  <c r="Z685" i="9"/>
  <c r="Z808" i="9"/>
  <c r="Z795" i="9"/>
  <c r="Z76" i="9"/>
  <c r="Z349" i="9"/>
  <c r="Z310" i="9"/>
  <c r="Z785" i="9"/>
  <c r="Z392" i="9"/>
  <c r="D135" i="73" l="1"/>
  <c r="F19" i="57"/>
  <c r="B97" i="73" l="1"/>
  <c r="B153" i="73"/>
  <c r="E125" i="88"/>
  <c r="E129" i="88"/>
  <c r="D98" i="67" l="1"/>
  <c r="D97" i="67"/>
  <c r="Z124" i="55" l="1"/>
  <c r="Z8" i="57"/>
  <c r="W12" i="57" s="1"/>
  <c r="W28" i="57"/>
  <c r="C217" i="73" s="1"/>
  <c r="W29" i="57"/>
  <c r="W27" i="57"/>
  <c r="C220" i="88" l="1"/>
  <c r="C151" i="50"/>
  <c r="B217" i="73"/>
  <c r="B220" i="88"/>
  <c r="C143" i="84"/>
  <c r="W11" i="57"/>
  <c r="B153" i="70" s="1"/>
  <c r="W13" i="57"/>
  <c r="B143" i="84" s="1"/>
  <c r="D85" i="66"/>
  <c r="C87" i="67"/>
  <c r="C153" i="70"/>
  <c r="B136" i="59"/>
  <c r="C136" i="59"/>
  <c r="J41" i="89"/>
  <c r="I41" i="89"/>
  <c r="H41" i="89"/>
  <c r="J40" i="89"/>
  <c r="I40" i="89"/>
  <c r="H40" i="89"/>
  <c r="J39" i="89"/>
  <c r="I39" i="89"/>
  <c r="H39" i="89"/>
  <c r="J38" i="89"/>
  <c r="I38" i="89"/>
  <c r="H38" i="89"/>
  <c r="J37" i="89"/>
  <c r="I37" i="89"/>
  <c r="H37" i="89"/>
  <c r="J36" i="89"/>
  <c r="I36" i="89"/>
  <c r="H36" i="89"/>
  <c r="J35" i="89"/>
  <c r="I35" i="89"/>
  <c r="H35" i="89"/>
  <c r="J34" i="89"/>
  <c r="I34" i="89"/>
  <c r="H34" i="89"/>
  <c r="J33" i="89"/>
  <c r="I33" i="89"/>
  <c r="H33" i="89"/>
  <c r="J32" i="89"/>
  <c r="I32" i="89"/>
  <c r="H32" i="89"/>
  <c r="J31" i="89"/>
  <c r="I31" i="89"/>
  <c r="H31" i="89"/>
  <c r="J30" i="89"/>
  <c r="I30" i="89"/>
  <c r="H30" i="89"/>
  <c r="J29" i="89"/>
  <c r="I29" i="89"/>
  <c r="H29" i="89"/>
  <c r="J28" i="89"/>
  <c r="I28" i="89"/>
  <c r="H28" i="89"/>
  <c r="J27" i="89"/>
  <c r="I27" i="89"/>
  <c r="H27" i="89"/>
  <c r="J26" i="89"/>
  <c r="I26" i="89"/>
  <c r="H26" i="89"/>
  <c r="J25" i="89"/>
  <c r="I25" i="89"/>
  <c r="H25" i="89"/>
  <c r="J24" i="89"/>
  <c r="I24" i="89"/>
  <c r="H24" i="89"/>
  <c r="J23" i="89"/>
  <c r="I23" i="89"/>
  <c r="H23" i="89"/>
  <c r="J22" i="89"/>
  <c r="I22" i="89"/>
  <c r="H22" i="89"/>
  <c r="J21" i="89"/>
  <c r="I21" i="89"/>
  <c r="H21" i="89"/>
  <c r="J20" i="89"/>
  <c r="I20" i="89"/>
  <c r="H20" i="89"/>
  <c r="J19" i="89"/>
  <c r="I19" i="89"/>
  <c r="H19" i="89"/>
  <c r="J18" i="89"/>
  <c r="I18" i="89"/>
  <c r="H18" i="89"/>
  <c r="J17" i="89"/>
  <c r="I17" i="89"/>
  <c r="H17" i="89"/>
  <c r="J16" i="89"/>
  <c r="I16" i="89"/>
  <c r="H16" i="89"/>
  <c r="J15" i="89"/>
  <c r="I15" i="89"/>
  <c r="H15" i="89"/>
  <c r="J14" i="89"/>
  <c r="I14" i="89"/>
  <c r="H14" i="89"/>
  <c r="J13" i="89"/>
  <c r="I13" i="89"/>
  <c r="H13" i="89"/>
  <c r="J12" i="89"/>
  <c r="I12" i="89"/>
  <c r="H12" i="89"/>
  <c r="J11" i="89"/>
  <c r="I11" i="89"/>
  <c r="H11" i="89"/>
  <c r="J10" i="89"/>
  <c r="I10" i="89"/>
  <c r="H10" i="89"/>
  <c r="J9" i="89"/>
  <c r="I9" i="89"/>
  <c r="H9" i="89"/>
  <c r="K8" i="89"/>
  <c r="M8" i="89" s="1"/>
  <c r="M9" i="89" s="1"/>
  <c r="E4" i="89"/>
  <c r="F41" i="89" s="1"/>
  <c r="B151" i="50" l="1"/>
  <c r="G20" i="89"/>
  <c r="F13" i="89"/>
  <c r="E10" i="89"/>
  <c r="F10" i="89"/>
  <c r="F17" i="89"/>
  <c r="G33" i="89"/>
  <c r="G7" i="89"/>
  <c r="F26" i="89"/>
  <c r="E30" i="89"/>
  <c r="G9" i="89"/>
  <c r="G12" i="89"/>
  <c r="G24" i="89"/>
  <c r="E27" i="89"/>
  <c r="E18" i="89"/>
  <c r="F21" i="89"/>
  <c r="F9" i="89"/>
  <c r="F18" i="89"/>
  <c r="C85" i="66"/>
  <c r="G16" i="89"/>
  <c r="G32" i="89"/>
  <c r="B87" i="67"/>
  <c r="E35" i="89"/>
  <c r="E26" i="89"/>
  <c r="F29" i="89"/>
  <c r="Y124" i="55"/>
  <c r="F25" i="89"/>
  <c r="G41" i="89"/>
  <c r="E19" i="89"/>
  <c r="E22" i="89"/>
  <c r="G25" i="89"/>
  <c r="F34" i="89"/>
  <c r="G28" i="89"/>
  <c r="E8" i="89"/>
  <c r="E11" i="89"/>
  <c r="E14" i="89"/>
  <c r="G17" i="89"/>
  <c r="M10" i="89"/>
  <c r="AB34" i="34"/>
  <c r="F8" i="89"/>
  <c r="G10" i="89"/>
  <c r="F11" i="89"/>
  <c r="E12" i="89"/>
  <c r="G18" i="89"/>
  <c r="F19" i="89"/>
  <c r="E20" i="89"/>
  <c r="G26" i="89"/>
  <c r="F27" i="89"/>
  <c r="E28" i="89"/>
  <c r="G34" i="89"/>
  <c r="F35" i="89"/>
  <c r="E36" i="89"/>
  <c r="G8" i="89"/>
  <c r="G11" i="89"/>
  <c r="F12" i="89"/>
  <c r="E13" i="89"/>
  <c r="G19" i="89"/>
  <c r="F20" i="89"/>
  <c r="E21" i="89"/>
  <c r="G27" i="89"/>
  <c r="F28" i="89"/>
  <c r="E29" i="89"/>
  <c r="G35" i="89"/>
  <c r="F36" i="89"/>
  <c r="E37" i="89"/>
  <c r="F37" i="89"/>
  <c r="E38" i="89"/>
  <c r="G36" i="89"/>
  <c r="L8" i="89"/>
  <c r="L9" i="89" s="1"/>
  <c r="F14" i="89"/>
  <c r="E15" i="89"/>
  <c r="G21" i="89"/>
  <c r="F30" i="89"/>
  <c r="E39" i="89"/>
  <c r="E7" i="89"/>
  <c r="G14" i="89"/>
  <c r="F15" i="89"/>
  <c r="E16" i="89"/>
  <c r="G22" i="89"/>
  <c r="F23" i="89"/>
  <c r="E24" i="89"/>
  <c r="G30" i="89"/>
  <c r="F31" i="89"/>
  <c r="E32" i="89"/>
  <c r="G38" i="89"/>
  <c r="F39" i="89"/>
  <c r="E40" i="89"/>
  <c r="K9" i="89"/>
  <c r="K10" i="89" s="1"/>
  <c r="G13" i="89"/>
  <c r="F22" i="89"/>
  <c r="E23" i="89"/>
  <c r="G29" i="89"/>
  <c r="E31" i="89"/>
  <c r="G37" i="89"/>
  <c r="F38" i="89"/>
  <c r="F7" i="89"/>
  <c r="E9" i="89"/>
  <c r="G15" i="89"/>
  <c r="F16" i="89"/>
  <c r="E17" i="89"/>
  <c r="G23" i="89"/>
  <c r="F24" i="89"/>
  <c r="E25" i="89"/>
  <c r="G31" i="89"/>
  <c r="F32" i="89"/>
  <c r="E33" i="89"/>
  <c r="G39" i="89"/>
  <c r="F40" i="89"/>
  <c r="E41" i="89"/>
  <c r="F33" i="89"/>
  <c r="E34" i="89"/>
  <c r="G40" i="89"/>
  <c r="D138" i="88"/>
  <c r="B100" i="88"/>
  <c r="B5" i="88"/>
  <c r="C61" i="88" s="1"/>
  <c r="Z35" i="34" l="1"/>
  <c r="G9" i="57" s="1"/>
  <c r="K11" i="89"/>
  <c r="M11" i="89"/>
  <c r="AB35" i="34"/>
  <c r="AA34" i="34"/>
  <c r="L10" i="89"/>
  <c r="R124" i="55" l="1"/>
  <c r="H90" i="59"/>
  <c r="I120" i="50"/>
  <c r="H89" i="59"/>
  <c r="I109" i="84"/>
  <c r="N187" i="73"/>
  <c r="H88" i="59"/>
  <c r="I120" i="84"/>
  <c r="G123" i="73"/>
  <c r="N190" i="88"/>
  <c r="Q78" i="66"/>
  <c r="G126" i="88"/>
  <c r="I131" i="50"/>
  <c r="J80" i="67"/>
  <c r="R146" i="70"/>
  <c r="L11" i="89"/>
  <c r="AA35" i="34"/>
  <c r="AB36" i="34"/>
  <c r="M12" i="89"/>
  <c r="K12" i="89"/>
  <c r="Z36" i="34"/>
  <c r="H9" i="57" s="1"/>
  <c r="K13" i="89" l="1"/>
  <c r="Z37" i="34"/>
  <c r="I9" i="57" s="1"/>
  <c r="AB37" i="34"/>
  <c r="M13" i="89"/>
  <c r="AA36" i="34"/>
  <c r="L12" i="89"/>
  <c r="AA37" i="34" l="1"/>
  <c r="L13" i="89"/>
  <c r="M14" i="89"/>
  <c r="AB38" i="34"/>
  <c r="K14" i="89"/>
  <c r="Z38" i="34"/>
  <c r="J9" i="57" s="1"/>
  <c r="Z39" i="34" l="1"/>
  <c r="K9" i="57" s="1"/>
  <c r="K15" i="89"/>
  <c r="M15" i="89"/>
  <c r="AB39" i="34"/>
  <c r="L14" i="89"/>
  <c r="AA38" i="34"/>
  <c r="AA39" i="34" l="1"/>
  <c r="L15" i="89"/>
  <c r="M16" i="89"/>
  <c r="AB40" i="34"/>
  <c r="Z40" i="34"/>
  <c r="L9" i="57" s="1"/>
  <c r="K16" i="89"/>
  <c r="K17" i="89" l="1"/>
  <c r="Z41" i="34"/>
  <c r="M17" i="89"/>
  <c r="AB41" i="34"/>
  <c r="AA40" i="34"/>
  <c r="L16" i="89"/>
  <c r="M18" i="89" l="1"/>
  <c r="M19" i="89" s="1"/>
  <c r="M20" i="89" s="1"/>
  <c r="M21" i="89" s="1"/>
  <c r="M22" i="89" s="1"/>
  <c r="M23" i="89" s="1"/>
  <c r="M24" i="89" s="1"/>
  <c r="M25" i="89" s="1"/>
  <c r="M26" i="89" s="1"/>
  <c r="M27" i="89" s="1"/>
  <c r="M28" i="89" s="1"/>
  <c r="M29" i="89" s="1"/>
  <c r="M30" i="89" s="1"/>
  <c r="M31" i="89" s="1"/>
  <c r="M32" i="89" s="1"/>
  <c r="M33" i="89" s="1"/>
  <c r="M34" i="89" s="1"/>
  <c r="M35" i="89" s="1"/>
  <c r="M36" i="89" s="1"/>
  <c r="M37" i="89" s="1"/>
  <c r="M38" i="89" s="1"/>
  <c r="M39" i="89" s="1"/>
  <c r="M40" i="89" s="1"/>
  <c r="M41" i="89" s="1"/>
  <c r="AB42" i="34"/>
  <c r="L17" i="89"/>
  <c r="AA41" i="34"/>
  <c r="Z42" i="34"/>
  <c r="K18" i="89"/>
  <c r="K19" i="89" s="1"/>
  <c r="K20" i="89" s="1"/>
  <c r="K21" i="89" s="1"/>
  <c r="K22" i="89" s="1"/>
  <c r="K23" i="89" s="1"/>
  <c r="K24" i="89" s="1"/>
  <c r="K25" i="89" s="1"/>
  <c r="K26" i="89" s="1"/>
  <c r="K27" i="89" s="1"/>
  <c r="K28" i="89" s="1"/>
  <c r="K29" i="89" s="1"/>
  <c r="K30" i="89" s="1"/>
  <c r="K31" i="89" s="1"/>
  <c r="K32" i="89" s="1"/>
  <c r="K33" i="89" s="1"/>
  <c r="K34" i="89" s="1"/>
  <c r="K35" i="89" s="1"/>
  <c r="K36" i="89" s="1"/>
  <c r="K37" i="89" s="1"/>
  <c r="K38" i="89" s="1"/>
  <c r="K39" i="89" s="1"/>
  <c r="K40" i="89" s="1"/>
  <c r="K41" i="89" s="1"/>
  <c r="L18" i="89" l="1"/>
  <c r="L19" i="89" s="1"/>
  <c r="L20" i="89" s="1"/>
  <c r="L21" i="89" s="1"/>
  <c r="L22" i="89" s="1"/>
  <c r="L23" i="89" s="1"/>
  <c r="L24" i="89" s="1"/>
  <c r="L25" i="89" s="1"/>
  <c r="L26" i="89" s="1"/>
  <c r="L27" i="89" s="1"/>
  <c r="L28" i="89" s="1"/>
  <c r="L29" i="89" s="1"/>
  <c r="L30" i="89" s="1"/>
  <c r="L31" i="89" s="1"/>
  <c r="L32" i="89" s="1"/>
  <c r="L33" i="89" s="1"/>
  <c r="L34" i="89" s="1"/>
  <c r="L35" i="89" s="1"/>
  <c r="L36" i="89" s="1"/>
  <c r="L37" i="89" s="1"/>
  <c r="L38" i="89" s="1"/>
  <c r="L39" i="89" s="1"/>
  <c r="L40" i="89" s="1"/>
  <c r="L41" i="89" s="1"/>
  <c r="AA42" i="34"/>
  <c r="D231" i="88" l="1"/>
  <c r="D230" i="88"/>
  <c r="T209" i="88"/>
  <c r="T208" i="88"/>
  <c r="T191" i="88"/>
  <c r="B191" i="88"/>
  <c r="U191" i="88" s="1"/>
  <c r="T190" i="88"/>
  <c r="N208" i="88"/>
  <c r="N209" i="88" s="1"/>
  <c r="D184" i="88"/>
  <c r="B192" i="88" s="1"/>
  <c r="B210" i="88" s="1"/>
  <c r="D183" i="88"/>
  <c r="B190" i="88" s="1"/>
  <c r="B208" i="88" s="1"/>
  <c r="U208" i="88" s="1"/>
  <c r="A174" i="88"/>
  <c r="A173" i="88"/>
  <c r="A172" i="88"/>
  <c r="A171" i="88"/>
  <c r="A170" i="88"/>
  <c r="A169" i="88"/>
  <c r="A168" i="88"/>
  <c r="B140" i="88"/>
  <c r="D119" i="88"/>
  <c r="D121" i="88"/>
  <c r="D91" i="88"/>
  <c r="D89" i="88"/>
  <c r="B85" i="88"/>
  <c r="B68" i="88"/>
  <c r="B22" i="88"/>
  <c r="D19" i="88"/>
  <c r="D18" i="88"/>
  <c r="C60" i="88" s="1"/>
  <c r="D162" i="50"/>
  <c r="D161" i="50"/>
  <c r="F138" i="88" l="1"/>
  <c r="B209" i="88"/>
  <c r="U209" i="88" s="1"/>
  <c r="U211" i="88" s="1"/>
  <c r="U190" i="88"/>
  <c r="U193" i="88" s="1"/>
  <c r="B79" i="50"/>
  <c r="B87" i="50"/>
  <c r="B8" i="50"/>
  <c r="H40" i="50" s="1"/>
  <c r="B7" i="50"/>
  <c r="B6" i="50"/>
  <c r="B77" i="50" l="1"/>
  <c r="C125" i="50"/>
  <c r="D154" i="84" l="1"/>
  <c r="D153" i="84"/>
  <c r="T35" i="43"/>
  <c r="AA35" i="43" l="1"/>
  <c r="Y35" i="43"/>
  <c r="X35" i="43"/>
  <c r="V35" i="43"/>
  <c r="U35" i="43"/>
  <c r="S9" i="57"/>
  <c r="I50" i="34" l="1"/>
  <c r="H50" i="34"/>
  <c r="H51" i="34"/>
  <c r="I51" i="34"/>
  <c r="G51" i="34" l="1"/>
  <c r="G50" i="34"/>
  <c r="G136" i="84" l="1"/>
  <c r="C127" i="84"/>
  <c r="C131" i="84" s="1"/>
  <c r="C136" i="84" s="1"/>
  <c r="J120" i="84"/>
  <c r="F120" i="84"/>
  <c r="F109" i="84"/>
  <c r="A92" i="84"/>
  <c r="A91" i="84"/>
  <c r="A90" i="84"/>
  <c r="A89" i="84"/>
  <c r="A88" i="84"/>
  <c r="A87" i="84"/>
  <c r="A86" i="84"/>
  <c r="B75" i="84"/>
  <c r="B63" i="84"/>
  <c r="B49" i="84"/>
  <c r="B23" i="84"/>
  <c r="D20" i="84"/>
  <c r="D19" i="84"/>
  <c r="D50" i="59"/>
  <c r="C50" i="59"/>
  <c r="B6" i="59"/>
  <c r="D45" i="59" s="1"/>
  <c r="B36" i="26"/>
  <c r="K23" i="59"/>
  <c r="K20" i="59"/>
  <c r="K19" i="59"/>
  <c r="K28" i="59"/>
  <c r="K32" i="59"/>
  <c r="K33" i="59"/>
  <c r="K31" i="59"/>
  <c r="K25" i="59"/>
  <c r="K22" i="59"/>
  <c r="K29" i="59"/>
  <c r="K21" i="59"/>
  <c r="K30" i="59"/>
  <c r="K24" i="59"/>
  <c r="K26" i="59"/>
  <c r="K27" i="59"/>
  <c r="K37" i="59" l="1"/>
  <c r="G114" i="55" l="1"/>
  <c r="F114" i="55"/>
  <c r="N136" i="70"/>
  <c r="N135" i="70"/>
  <c r="X58" i="74"/>
  <c r="X57" i="74"/>
  <c r="G134" i="70"/>
  <c r="F134" i="70"/>
  <c r="G136" i="70"/>
  <c r="F136" i="70"/>
  <c r="G135" i="70"/>
  <c r="F135" i="70"/>
  <c r="I136" i="70"/>
  <c r="I135" i="70"/>
  <c r="D138" i="70"/>
  <c r="D134" i="70"/>
  <c r="D136" i="70"/>
  <c r="E136" i="70" s="1"/>
  <c r="D135" i="70"/>
  <c r="E135" i="70" s="1"/>
  <c r="B90" i="70"/>
  <c r="B89" i="70"/>
  <c r="C44" i="70"/>
  <c r="C45" i="70"/>
  <c r="H135" i="70" l="1"/>
  <c r="H136" i="70"/>
  <c r="AG299" i="44" l="1"/>
  <c r="AF299" i="44"/>
  <c r="AE299" i="44"/>
  <c r="AD299" i="44"/>
  <c r="AC299" i="44"/>
  <c r="AB299" i="44"/>
  <c r="AG298" i="44"/>
  <c r="AF298" i="44"/>
  <c r="AE298" i="44"/>
  <c r="AD298" i="44"/>
  <c r="AC298" i="44"/>
  <c r="AB298" i="44"/>
  <c r="AG297" i="44"/>
  <c r="AF297" i="44"/>
  <c r="AE297" i="44"/>
  <c r="AD297" i="44"/>
  <c r="AC297" i="44"/>
  <c r="AB297" i="44"/>
  <c r="AG296" i="44"/>
  <c r="AF296" i="44"/>
  <c r="AE296" i="44"/>
  <c r="AD296" i="44"/>
  <c r="AC296" i="44"/>
  <c r="AB296" i="44"/>
  <c r="V299" i="44"/>
  <c r="U299" i="44"/>
  <c r="T299" i="44"/>
  <c r="S299" i="44"/>
  <c r="R299" i="44"/>
  <c r="Q299" i="44"/>
  <c r="P299" i="44"/>
  <c r="O299" i="44"/>
  <c r="V298" i="44"/>
  <c r="U298" i="44"/>
  <c r="T298" i="44"/>
  <c r="S298" i="44"/>
  <c r="R298" i="44"/>
  <c r="Q298" i="44"/>
  <c r="P298" i="44"/>
  <c r="O298" i="44"/>
  <c r="V297" i="44"/>
  <c r="U297" i="44"/>
  <c r="T297" i="44"/>
  <c r="S297" i="44"/>
  <c r="R297" i="44"/>
  <c r="Q297" i="44"/>
  <c r="P297" i="44"/>
  <c r="O297" i="44"/>
  <c r="V296" i="44"/>
  <c r="U296" i="44"/>
  <c r="T296" i="44"/>
  <c r="S296" i="44"/>
  <c r="R296" i="44"/>
  <c r="Q296" i="44"/>
  <c r="P296" i="44"/>
  <c r="O296" i="44"/>
  <c r="B71" i="66" l="1"/>
  <c r="A7" i="66" l="1"/>
  <c r="D20" i="66"/>
  <c r="D135" i="55" l="1"/>
  <c r="D134" i="55"/>
  <c r="B5" i="59"/>
  <c r="K38" i="59" s="1"/>
  <c r="K39" i="59" s="1"/>
  <c r="D44" i="59" s="1"/>
  <c r="D46" i="59" s="1"/>
  <c r="D166" i="70"/>
  <c r="D165" i="70"/>
  <c r="A13" i="67"/>
  <c r="A22" i="66"/>
  <c r="D96" i="66"/>
  <c r="D95" i="66"/>
  <c r="S38" i="57"/>
  <c r="C51" i="59" l="1"/>
  <c r="D51" i="59"/>
  <c r="A12" i="59"/>
  <c r="E14" i="57" l="1"/>
  <c r="E13" i="57"/>
  <c r="E12" i="57"/>
  <c r="E11" i="57"/>
  <c r="E10" i="57"/>
  <c r="E9" i="57"/>
  <c r="D127" i="88" s="1"/>
  <c r="E8" i="57"/>
  <c r="E7" i="57"/>
  <c r="E6" i="57"/>
  <c r="N25" i="34"/>
  <c r="N26" i="34" s="1"/>
  <c r="E18" i="57" s="1"/>
  <c r="Z33" i="34"/>
  <c r="Z34" i="34"/>
  <c r="V35" i="34" s="1"/>
  <c r="D130" i="88" l="1"/>
  <c r="D128" i="88"/>
  <c r="H18" i="57"/>
  <c r="E16" i="57"/>
  <c r="H16" i="57" s="1"/>
  <c r="E15" i="57"/>
  <c r="R136" i="70"/>
  <c r="R135" i="70"/>
  <c r="D228" i="73" l="1"/>
  <c r="D227" i="73"/>
  <c r="T206" i="73"/>
  <c r="T205" i="73"/>
  <c r="T188" i="73"/>
  <c r="T187" i="73"/>
  <c r="S37" i="57" l="1"/>
  <c r="S36" i="57"/>
  <c r="F94" i="59" l="1"/>
  <c r="K94" i="59" s="1"/>
  <c r="F93" i="59"/>
  <c r="E94" i="59"/>
  <c r="E93" i="59"/>
  <c r="B64" i="50"/>
  <c r="B17" i="59"/>
  <c r="B95" i="70"/>
  <c r="B66" i="70"/>
  <c r="B77" i="55"/>
  <c r="B51" i="55"/>
  <c r="D113" i="59"/>
  <c r="G144" i="50"/>
  <c r="D114" i="59"/>
  <c r="A143" i="70"/>
  <c r="A127" i="70"/>
  <c r="A75" i="66"/>
  <c r="A121" i="55"/>
  <c r="A107" i="55"/>
  <c r="H71" i="66"/>
  <c r="I39" i="57" l="1"/>
  <c r="H39" i="57"/>
  <c r="G39" i="57"/>
  <c r="F39" i="57"/>
  <c r="E39" i="57"/>
  <c r="D39" i="57"/>
  <c r="C138" i="50" l="1"/>
  <c r="C144" i="50" s="1"/>
  <c r="F131" i="50"/>
  <c r="F120" i="50"/>
  <c r="J131" i="50"/>
  <c r="G92" i="59" l="1"/>
  <c r="D92" i="59"/>
  <c r="F92" i="59" s="1"/>
  <c r="G91" i="59"/>
  <c r="D91" i="59"/>
  <c r="F91" i="59" s="1"/>
  <c r="G90" i="59"/>
  <c r="D90" i="59"/>
  <c r="F90" i="59" s="1"/>
  <c r="K90" i="59" s="1"/>
  <c r="G89" i="59"/>
  <c r="D89" i="59"/>
  <c r="F89" i="59" s="1"/>
  <c r="K89" i="59" s="1"/>
  <c r="C92" i="59"/>
  <c r="E92" i="59" s="1"/>
  <c r="C91" i="59"/>
  <c r="E91" i="59" s="1"/>
  <c r="C90" i="59"/>
  <c r="E90" i="59" s="1"/>
  <c r="C89" i="59"/>
  <c r="E89" i="59" s="1"/>
  <c r="G88" i="59"/>
  <c r="D88" i="59"/>
  <c r="F88" i="59" s="1"/>
  <c r="K88" i="59" s="1"/>
  <c r="C88" i="59"/>
  <c r="E88" i="59" s="1"/>
  <c r="G87" i="59"/>
  <c r="D87" i="59"/>
  <c r="F87" i="59" s="1"/>
  <c r="C87" i="59"/>
  <c r="E87" i="59" s="1"/>
  <c r="G86" i="59"/>
  <c r="D86" i="59"/>
  <c r="F86" i="59" s="1"/>
  <c r="C86" i="59"/>
  <c r="E86" i="59" s="1"/>
  <c r="G85" i="59"/>
  <c r="D85" i="59"/>
  <c r="F85" i="59" s="1"/>
  <c r="C85" i="59"/>
  <c r="E85" i="59" s="1"/>
  <c r="G84" i="59"/>
  <c r="D84" i="59"/>
  <c r="F84" i="59" s="1"/>
  <c r="C84" i="59"/>
  <c r="E84" i="59" s="1"/>
  <c r="G83" i="59"/>
  <c r="D83" i="59"/>
  <c r="F83" i="59" s="1"/>
  <c r="C83" i="59"/>
  <c r="E83" i="59" s="1"/>
  <c r="G82" i="59"/>
  <c r="D82" i="59"/>
  <c r="F82" i="59" s="1"/>
  <c r="C82" i="59"/>
  <c r="E82" i="59" s="1"/>
  <c r="G81" i="59"/>
  <c r="D81" i="59"/>
  <c r="F81" i="59" s="1"/>
  <c r="C81" i="59"/>
  <c r="E81" i="59" s="1"/>
  <c r="G80" i="59"/>
  <c r="D80" i="59"/>
  <c r="F80" i="59" s="1"/>
  <c r="C80" i="59"/>
  <c r="E80" i="59" s="1"/>
  <c r="G79" i="59"/>
  <c r="D79" i="59"/>
  <c r="F79" i="59" s="1"/>
  <c r="C79" i="59"/>
  <c r="E79" i="59" s="1"/>
  <c r="G78" i="59"/>
  <c r="D78" i="59"/>
  <c r="F78" i="59" s="1"/>
  <c r="C78" i="59"/>
  <c r="E78" i="59" s="1"/>
  <c r="B188" i="73"/>
  <c r="AC33" i="34" l="1"/>
  <c r="V41" i="34"/>
  <c r="AC32" i="34"/>
  <c r="Z32" i="34"/>
  <c r="AC31" i="34"/>
  <c r="Z31" i="34"/>
  <c r="AC30" i="34"/>
  <c r="Z30" i="34"/>
  <c r="AC29" i="34"/>
  <c r="Z29" i="34"/>
  <c r="AC28" i="34"/>
  <c r="Z28" i="34"/>
  <c r="AC27" i="34"/>
  <c r="Z27" i="34"/>
  <c r="AC26" i="34"/>
  <c r="Z26" i="34"/>
  <c r="AC25" i="34"/>
  <c r="Z25" i="34"/>
  <c r="AC24" i="34"/>
  <c r="Z24" i="34"/>
  <c r="AC23" i="34"/>
  <c r="Z23" i="34"/>
  <c r="AC22" i="34"/>
  <c r="Z22" i="34"/>
  <c r="AC21" i="34"/>
  <c r="Z21" i="34"/>
  <c r="AC20" i="34"/>
  <c r="Z20" i="34"/>
  <c r="AC19" i="34"/>
  <c r="Z19" i="34"/>
  <c r="AC18" i="34"/>
  <c r="Z18" i="34"/>
  <c r="AC17" i="34"/>
  <c r="Z17" i="34"/>
  <c r="AC16" i="34"/>
  <c r="Z16" i="34"/>
  <c r="X35" i="34"/>
  <c r="X41" i="34" l="1"/>
  <c r="AC41" i="34" s="1"/>
  <c r="X42" i="34"/>
  <c r="V42" i="34"/>
  <c r="X37" i="34"/>
  <c r="V38" i="34"/>
  <c r="V39" i="34"/>
  <c r="X39" i="34"/>
  <c r="V40" i="34"/>
  <c r="X36" i="34"/>
  <c r="X40" i="34"/>
  <c r="V36" i="34"/>
  <c r="V37" i="34"/>
  <c r="X38" i="34"/>
  <c r="AC35" i="34"/>
  <c r="N191" i="88" s="1"/>
  <c r="AC36" i="34" l="1"/>
  <c r="AC34" i="34"/>
  <c r="AC39" i="34"/>
  <c r="AC37" i="34"/>
  <c r="AC38" i="34"/>
  <c r="AC42" i="34"/>
  <c r="AC40" i="34"/>
  <c r="N188" i="73" l="1"/>
  <c r="B206" i="73"/>
  <c r="D181" i="73"/>
  <c r="D180" i="73"/>
  <c r="B187" i="73" s="1"/>
  <c r="B205" i="73" s="1"/>
  <c r="E126" i="73"/>
  <c r="D124" i="73"/>
  <c r="D127" i="73" s="1"/>
  <c r="E122" i="73"/>
  <c r="B67" i="73"/>
  <c r="C60" i="73"/>
  <c r="U80" i="79"/>
  <c r="T80" i="79"/>
  <c r="S80" i="79"/>
  <c r="R80" i="79"/>
  <c r="Q80" i="79"/>
  <c r="P80" i="79"/>
  <c r="O80" i="79"/>
  <c r="N80" i="79"/>
  <c r="V79" i="79"/>
  <c r="V83" i="79" s="1"/>
  <c r="U79" i="79"/>
  <c r="T79" i="79"/>
  <c r="S79" i="79"/>
  <c r="R79" i="79"/>
  <c r="Q79" i="79"/>
  <c r="P79" i="79"/>
  <c r="O79" i="79"/>
  <c r="N79" i="79"/>
  <c r="V78" i="79"/>
  <c r="U78" i="79"/>
  <c r="T78" i="79"/>
  <c r="S78" i="79"/>
  <c r="R78" i="79"/>
  <c r="Q78" i="79"/>
  <c r="P78" i="79"/>
  <c r="O78" i="79"/>
  <c r="N78" i="79"/>
  <c r="U77" i="79"/>
  <c r="T77" i="79"/>
  <c r="S77" i="79"/>
  <c r="R77" i="79"/>
  <c r="Q77" i="79"/>
  <c r="P77" i="79"/>
  <c r="O77" i="79"/>
  <c r="N77" i="79"/>
  <c r="V76" i="79"/>
  <c r="U76" i="79"/>
  <c r="T76" i="79"/>
  <c r="S76" i="79"/>
  <c r="R76" i="79"/>
  <c r="Q76" i="79"/>
  <c r="P76" i="79"/>
  <c r="O76" i="79"/>
  <c r="N76" i="79"/>
  <c r="U75" i="79"/>
  <c r="T75" i="79"/>
  <c r="S75" i="79"/>
  <c r="R75" i="79"/>
  <c r="Q75" i="79"/>
  <c r="P75" i="79"/>
  <c r="O75" i="79"/>
  <c r="N75" i="79"/>
  <c r="U74" i="79"/>
  <c r="T74" i="79"/>
  <c r="S74" i="79"/>
  <c r="R74" i="79"/>
  <c r="Q74" i="79"/>
  <c r="P74" i="79"/>
  <c r="O74" i="79"/>
  <c r="N74" i="79"/>
  <c r="U71" i="79"/>
  <c r="U72" i="79" s="1"/>
  <c r="AE70" i="79"/>
  <c r="AD70" i="79"/>
  <c r="AC70" i="79"/>
  <c r="AB70" i="79"/>
  <c r="AA70" i="79"/>
  <c r="Z70" i="79"/>
  <c r="Y70" i="79"/>
  <c r="AE69" i="79"/>
  <c r="AD69" i="79"/>
  <c r="AC69" i="79"/>
  <c r="AB69" i="79"/>
  <c r="AA69" i="79"/>
  <c r="Z69" i="79"/>
  <c r="Y69" i="79"/>
  <c r="AE66" i="79"/>
  <c r="AD66" i="79"/>
  <c r="AC66" i="79"/>
  <c r="AB66" i="79"/>
  <c r="AA66" i="79"/>
  <c r="Z66" i="79"/>
  <c r="Y66" i="79"/>
  <c r="AE65" i="79"/>
  <c r="AD65" i="79"/>
  <c r="AC65" i="79"/>
  <c r="AB65" i="79"/>
  <c r="AA65" i="79"/>
  <c r="Z65" i="79"/>
  <c r="Y65" i="79"/>
  <c r="AE64" i="79"/>
  <c r="AD64" i="79"/>
  <c r="AC64" i="79"/>
  <c r="AB64" i="79"/>
  <c r="AA64" i="79"/>
  <c r="Z64" i="79"/>
  <c r="Y64" i="79"/>
  <c r="AE63" i="79"/>
  <c r="AD63" i="79"/>
  <c r="AC63" i="79"/>
  <c r="AB63" i="79"/>
  <c r="AA63" i="79"/>
  <c r="Z63" i="79"/>
  <c r="Y63" i="79"/>
  <c r="AE62" i="79"/>
  <c r="AD62" i="79"/>
  <c r="AC62" i="79"/>
  <c r="AB62" i="79"/>
  <c r="AA62" i="79"/>
  <c r="Z62" i="79"/>
  <c r="Y62" i="79"/>
  <c r="AE61" i="79"/>
  <c r="AD61" i="79"/>
  <c r="AC61" i="79"/>
  <c r="AB61" i="79"/>
  <c r="AA61" i="79"/>
  <c r="Z61" i="79"/>
  <c r="Y61" i="79"/>
  <c r="AE60" i="79"/>
  <c r="AD60" i="79"/>
  <c r="AC60" i="79"/>
  <c r="AB60" i="79"/>
  <c r="AA60" i="79"/>
  <c r="Z60" i="79"/>
  <c r="Y60" i="79"/>
  <c r="AE59" i="79"/>
  <c r="AD59" i="79"/>
  <c r="AC59" i="79"/>
  <c r="AB59" i="79"/>
  <c r="AA59" i="79"/>
  <c r="Z59" i="79"/>
  <c r="Y59" i="79"/>
  <c r="AE58" i="79"/>
  <c r="AD58" i="79"/>
  <c r="AC58" i="79"/>
  <c r="AB58" i="79"/>
  <c r="AA58" i="79"/>
  <c r="Z58" i="79"/>
  <c r="Y58" i="79"/>
  <c r="AE57" i="79"/>
  <c r="AD57" i="79"/>
  <c r="AC57" i="79"/>
  <c r="AB57" i="79"/>
  <c r="AA57" i="79"/>
  <c r="Z57" i="79"/>
  <c r="Y57" i="79"/>
  <c r="AE56" i="79"/>
  <c r="AD56" i="79"/>
  <c r="AC56" i="79"/>
  <c r="AB56" i="79"/>
  <c r="AA56" i="79"/>
  <c r="Z56" i="79"/>
  <c r="Y56" i="79"/>
  <c r="AE55" i="79"/>
  <c r="AD55" i="79"/>
  <c r="AC55" i="79"/>
  <c r="AB55" i="79"/>
  <c r="AA55" i="79"/>
  <c r="Z55" i="79"/>
  <c r="Y55" i="79"/>
  <c r="AE54" i="79"/>
  <c r="AD54" i="79"/>
  <c r="AC54" i="79"/>
  <c r="AB54" i="79"/>
  <c r="AA54" i="79"/>
  <c r="Z54" i="79"/>
  <c r="Y54" i="79"/>
  <c r="AE53" i="79"/>
  <c r="AD53" i="79"/>
  <c r="AC53" i="79"/>
  <c r="AB53" i="79"/>
  <c r="AA53" i="79"/>
  <c r="Z53" i="79"/>
  <c r="Y53" i="79"/>
  <c r="AE52" i="79"/>
  <c r="AD52" i="79"/>
  <c r="AC52" i="79"/>
  <c r="AB52" i="79"/>
  <c r="AA52" i="79"/>
  <c r="Z52" i="79"/>
  <c r="Y52" i="79"/>
  <c r="AE51" i="79"/>
  <c r="AD51" i="79"/>
  <c r="AC51" i="79"/>
  <c r="AB51" i="79"/>
  <c r="AA51" i="79"/>
  <c r="Z51" i="79"/>
  <c r="Y51" i="79"/>
  <c r="AE50" i="79"/>
  <c r="AD50" i="79"/>
  <c r="AC50" i="79"/>
  <c r="AB50" i="79"/>
  <c r="AA50" i="79"/>
  <c r="Z50" i="79"/>
  <c r="Y50" i="79"/>
  <c r="U80" i="78"/>
  <c r="T80" i="78"/>
  <c r="S80" i="78"/>
  <c r="R80" i="78"/>
  <c r="Q80" i="78"/>
  <c r="P80" i="78"/>
  <c r="O80" i="78"/>
  <c r="N80" i="78"/>
  <c r="U79" i="78"/>
  <c r="T79" i="78"/>
  <c r="S79" i="78"/>
  <c r="R79" i="78"/>
  <c r="Q79" i="78"/>
  <c r="P79" i="78"/>
  <c r="O79" i="78"/>
  <c r="N79" i="78"/>
  <c r="V78" i="78"/>
  <c r="U78" i="78"/>
  <c r="T78" i="78"/>
  <c r="S78" i="78"/>
  <c r="R78" i="78"/>
  <c r="Q78" i="78"/>
  <c r="P78" i="78"/>
  <c r="O78" i="78"/>
  <c r="N78" i="78"/>
  <c r="U77" i="78"/>
  <c r="T77" i="78"/>
  <c r="S77" i="78"/>
  <c r="R77" i="78"/>
  <c r="Q77" i="78"/>
  <c r="P77" i="78"/>
  <c r="O77" i="78"/>
  <c r="N77" i="78"/>
  <c r="V76" i="78"/>
  <c r="U76" i="78"/>
  <c r="T76" i="78"/>
  <c r="S76" i="78"/>
  <c r="R76" i="78"/>
  <c r="Q76" i="78"/>
  <c r="P76" i="78"/>
  <c r="O76" i="78"/>
  <c r="N76" i="78"/>
  <c r="U75" i="78"/>
  <c r="T75" i="78"/>
  <c r="S75" i="78"/>
  <c r="R75" i="78"/>
  <c r="Q75" i="78"/>
  <c r="P75" i="78"/>
  <c r="O75" i="78"/>
  <c r="N75" i="78"/>
  <c r="U74" i="78"/>
  <c r="T74" i="78"/>
  <c r="S74" i="78"/>
  <c r="R74" i="78"/>
  <c r="Q74" i="78"/>
  <c r="P74" i="78"/>
  <c r="AA74" i="78" s="1"/>
  <c r="O74" i="78"/>
  <c r="N74" i="78"/>
  <c r="AE70" i="78"/>
  <c r="AD70" i="78"/>
  <c r="AC70" i="78"/>
  <c r="AB70" i="78"/>
  <c r="AA70" i="78"/>
  <c r="Z70" i="78"/>
  <c r="Y70" i="78"/>
  <c r="AE69" i="78"/>
  <c r="AD69" i="78"/>
  <c r="AC69" i="78"/>
  <c r="AB69" i="78"/>
  <c r="AA69" i="78"/>
  <c r="Z69" i="78"/>
  <c r="Y69" i="78"/>
  <c r="AE66" i="78"/>
  <c r="AD66" i="78"/>
  <c r="AC66" i="78"/>
  <c r="AB66" i="78"/>
  <c r="AA66" i="78"/>
  <c r="Z66" i="78"/>
  <c r="Y66" i="78"/>
  <c r="AE65" i="78"/>
  <c r="AD65" i="78"/>
  <c r="AC65" i="78"/>
  <c r="AB65" i="78"/>
  <c r="AA65" i="78"/>
  <c r="Z65" i="78"/>
  <c r="Y65" i="78"/>
  <c r="AE64" i="78"/>
  <c r="AD64" i="78"/>
  <c r="AC64" i="78"/>
  <c r="AB64" i="78"/>
  <c r="AA64" i="78"/>
  <c r="Z64" i="78"/>
  <c r="Y64" i="78"/>
  <c r="AE63" i="78"/>
  <c r="AD63" i="78"/>
  <c r="AC63" i="78"/>
  <c r="AB63" i="78"/>
  <c r="AA63" i="78"/>
  <c r="Z63" i="78"/>
  <c r="Y63" i="78"/>
  <c r="AE62" i="78"/>
  <c r="AD62" i="78"/>
  <c r="AC62" i="78"/>
  <c r="AB62" i="78"/>
  <c r="AA62" i="78"/>
  <c r="Z62" i="78"/>
  <c r="Y62" i="78"/>
  <c r="AE61" i="78"/>
  <c r="AD61" i="78"/>
  <c r="AC61" i="78"/>
  <c r="AB61" i="78"/>
  <c r="AA61" i="78"/>
  <c r="Z61" i="78"/>
  <c r="Y61" i="78"/>
  <c r="AE60" i="78"/>
  <c r="AD60" i="78"/>
  <c r="AC60" i="78"/>
  <c r="AB60" i="78"/>
  <c r="AA60" i="78"/>
  <c r="Z60" i="78"/>
  <c r="Y60" i="78"/>
  <c r="AE59" i="78"/>
  <c r="AD59" i="78"/>
  <c r="AC59" i="78"/>
  <c r="AB59" i="78"/>
  <c r="AA59" i="78"/>
  <c r="Z59" i="78"/>
  <c r="Y59" i="78"/>
  <c r="AE58" i="78"/>
  <c r="AD58" i="78"/>
  <c r="AC58" i="78"/>
  <c r="AB58" i="78"/>
  <c r="AA58" i="78"/>
  <c r="Z58" i="78"/>
  <c r="Y58" i="78"/>
  <c r="AE57" i="78"/>
  <c r="AD57" i="78"/>
  <c r="AC57" i="78"/>
  <c r="AB57" i="78"/>
  <c r="AA57" i="78"/>
  <c r="Z57" i="78"/>
  <c r="Y57" i="78"/>
  <c r="AE56" i="78"/>
  <c r="AD56" i="78"/>
  <c r="AC56" i="78"/>
  <c r="AB56" i="78"/>
  <c r="AA56" i="78"/>
  <c r="Z56" i="78"/>
  <c r="Y56" i="78"/>
  <c r="AE55" i="78"/>
  <c r="AD55" i="78"/>
  <c r="AC55" i="78"/>
  <c r="AB55" i="78"/>
  <c r="AA55" i="78"/>
  <c r="Z55" i="78"/>
  <c r="Y55" i="78"/>
  <c r="AE54" i="78"/>
  <c r="AD54" i="78"/>
  <c r="AC54" i="78"/>
  <c r="AB54" i="78"/>
  <c r="AA54" i="78"/>
  <c r="Z54" i="78"/>
  <c r="Y54" i="78"/>
  <c r="AE53" i="78"/>
  <c r="AD53" i="78"/>
  <c r="AC53" i="78"/>
  <c r="AB53" i="78"/>
  <c r="AA53" i="78"/>
  <c r="Z53" i="78"/>
  <c r="Y53" i="78"/>
  <c r="AE52" i="78"/>
  <c r="AD52" i="78"/>
  <c r="AC52" i="78"/>
  <c r="AB52" i="78"/>
  <c r="AA52" i="78"/>
  <c r="Z52" i="78"/>
  <c r="Y52" i="78"/>
  <c r="AE51" i="78"/>
  <c r="AD51" i="78"/>
  <c r="AC51" i="78"/>
  <c r="AB51" i="78"/>
  <c r="AA51" i="78"/>
  <c r="Z51" i="78"/>
  <c r="Y51" i="78"/>
  <c r="AE50" i="78"/>
  <c r="AD50" i="78"/>
  <c r="AC50" i="78"/>
  <c r="AB50" i="78"/>
  <c r="AA50" i="78"/>
  <c r="Z50" i="78"/>
  <c r="Y50" i="78"/>
  <c r="U80" i="77"/>
  <c r="T80" i="77"/>
  <c r="S80" i="77"/>
  <c r="R80" i="77"/>
  <c r="Q80" i="77"/>
  <c r="P80" i="77"/>
  <c r="O80" i="77"/>
  <c r="N80" i="77"/>
  <c r="U79" i="77"/>
  <c r="T79" i="77"/>
  <c r="S79" i="77"/>
  <c r="R79" i="77"/>
  <c r="Q79" i="77"/>
  <c r="P79" i="77"/>
  <c r="O79" i="77"/>
  <c r="N79" i="77"/>
  <c r="V78" i="77"/>
  <c r="U78" i="77"/>
  <c r="T78" i="77"/>
  <c r="S78" i="77"/>
  <c r="R78" i="77"/>
  <c r="Q78" i="77"/>
  <c r="P78" i="77"/>
  <c r="O78" i="77"/>
  <c r="N78" i="77"/>
  <c r="U77" i="77"/>
  <c r="T77" i="77"/>
  <c r="S77" i="77"/>
  <c r="R77" i="77"/>
  <c r="Q77" i="77"/>
  <c r="P77" i="77"/>
  <c r="O77" i="77"/>
  <c r="N77" i="77"/>
  <c r="V76" i="77"/>
  <c r="U76" i="77"/>
  <c r="T76" i="77"/>
  <c r="S76" i="77"/>
  <c r="R76" i="77"/>
  <c r="Q76" i="77"/>
  <c r="P76" i="77"/>
  <c r="O76" i="77"/>
  <c r="N76" i="77"/>
  <c r="U75" i="77"/>
  <c r="T75" i="77"/>
  <c r="AE75" i="77" s="1"/>
  <c r="S75" i="77"/>
  <c r="R75" i="77"/>
  <c r="Q75" i="77"/>
  <c r="P75" i="77"/>
  <c r="O75" i="77"/>
  <c r="N75" i="77"/>
  <c r="U74" i="77"/>
  <c r="T74" i="77"/>
  <c r="S74" i="77"/>
  <c r="R74" i="77"/>
  <c r="Q74" i="77"/>
  <c r="P74" i="77"/>
  <c r="O74" i="77"/>
  <c r="N74" i="77"/>
  <c r="AE70" i="77"/>
  <c r="AD70" i="77"/>
  <c r="AC70" i="77"/>
  <c r="AB70" i="77"/>
  <c r="AA70" i="77"/>
  <c r="Z70" i="77"/>
  <c r="Y70" i="77"/>
  <c r="AE69" i="77"/>
  <c r="AD69" i="77"/>
  <c r="AC69" i="77"/>
  <c r="AB69" i="77"/>
  <c r="AA69" i="77"/>
  <c r="Z69" i="77"/>
  <c r="Y69" i="77"/>
  <c r="AE66" i="77"/>
  <c r="AD66" i="77"/>
  <c r="AC66" i="77"/>
  <c r="AB66" i="77"/>
  <c r="AA66" i="77"/>
  <c r="Z66" i="77"/>
  <c r="Y66" i="77"/>
  <c r="AE65" i="77"/>
  <c r="AD65" i="77"/>
  <c r="AC65" i="77"/>
  <c r="AB65" i="77"/>
  <c r="AA65" i="77"/>
  <c r="Z65" i="77"/>
  <c r="Y65" i="77"/>
  <c r="AE64" i="77"/>
  <c r="AD64" i="77"/>
  <c r="AC64" i="77"/>
  <c r="AB64" i="77"/>
  <c r="AA64" i="77"/>
  <c r="Z64" i="77"/>
  <c r="Y64" i="77"/>
  <c r="AE63" i="77"/>
  <c r="AD63" i="77"/>
  <c r="AC63" i="77"/>
  <c r="AB63" i="77"/>
  <c r="AA63" i="77"/>
  <c r="Z63" i="77"/>
  <c r="Y63" i="77"/>
  <c r="AE62" i="77"/>
  <c r="AD62" i="77"/>
  <c r="AC62" i="77"/>
  <c r="AB62" i="77"/>
  <c r="AA62" i="77"/>
  <c r="Z62" i="77"/>
  <c r="Y62" i="77"/>
  <c r="AE61" i="77"/>
  <c r="AD61" i="77"/>
  <c r="AC61" i="77"/>
  <c r="AB61" i="77"/>
  <c r="AA61" i="77"/>
  <c r="Z61" i="77"/>
  <c r="Y61" i="77"/>
  <c r="AE60" i="77"/>
  <c r="AD60" i="77"/>
  <c r="AC60" i="77"/>
  <c r="AB60" i="77"/>
  <c r="AA60" i="77"/>
  <c r="Z60" i="77"/>
  <c r="Y60" i="77"/>
  <c r="AE59" i="77"/>
  <c r="AD59" i="77"/>
  <c r="AC59" i="77"/>
  <c r="AB59" i="77"/>
  <c r="AA59" i="77"/>
  <c r="Z59" i="77"/>
  <c r="Y59" i="77"/>
  <c r="AE58" i="77"/>
  <c r="AD58" i="77"/>
  <c r="AC58" i="77"/>
  <c r="AB58" i="77"/>
  <c r="AA58" i="77"/>
  <c r="Z58" i="77"/>
  <c r="Y58" i="77"/>
  <c r="AE57" i="77"/>
  <c r="AD57" i="77"/>
  <c r="AC57" i="77"/>
  <c r="AB57" i="77"/>
  <c r="AA57" i="77"/>
  <c r="Z57" i="77"/>
  <c r="Y57" i="77"/>
  <c r="AE56" i="77"/>
  <c r="AD56" i="77"/>
  <c r="AC56" i="77"/>
  <c r="AB56" i="77"/>
  <c r="AA56" i="77"/>
  <c r="Z56" i="77"/>
  <c r="Y56" i="77"/>
  <c r="AE55" i="77"/>
  <c r="AD55" i="77"/>
  <c r="AC55" i="77"/>
  <c r="AB55" i="77"/>
  <c r="AA55" i="77"/>
  <c r="Z55" i="77"/>
  <c r="Y55" i="77"/>
  <c r="AE54" i="77"/>
  <c r="AD54" i="77"/>
  <c r="AC54" i="77"/>
  <c r="AB54" i="77"/>
  <c r="AA54" i="77"/>
  <c r="Z54" i="77"/>
  <c r="Y54" i="77"/>
  <c r="AE53" i="77"/>
  <c r="AD53" i="77"/>
  <c r="AC53" i="77"/>
  <c r="AB53" i="77"/>
  <c r="AA53" i="77"/>
  <c r="Z53" i="77"/>
  <c r="Y53" i="77"/>
  <c r="AE52" i="77"/>
  <c r="AD52" i="77"/>
  <c r="AC52" i="77"/>
  <c r="AB52" i="77"/>
  <c r="AA52" i="77"/>
  <c r="Z52" i="77"/>
  <c r="Y52" i="77"/>
  <c r="AE51" i="77"/>
  <c r="AD51" i="77"/>
  <c r="AC51" i="77"/>
  <c r="AB51" i="77"/>
  <c r="AA51" i="77"/>
  <c r="Z51" i="77"/>
  <c r="Y51" i="77"/>
  <c r="AE50" i="77"/>
  <c r="AD50" i="77"/>
  <c r="AC50" i="77"/>
  <c r="AB50" i="77"/>
  <c r="AA50" i="77"/>
  <c r="Z50" i="77"/>
  <c r="Y50" i="77"/>
  <c r="U80" i="76"/>
  <c r="T80" i="76"/>
  <c r="S80" i="76"/>
  <c r="R80" i="76"/>
  <c r="Q80" i="76"/>
  <c r="P80" i="76"/>
  <c r="O80" i="76"/>
  <c r="N80" i="76"/>
  <c r="U79" i="76"/>
  <c r="T79" i="76"/>
  <c r="S79" i="76"/>
  <c r="R79" i="76"/>
  <c r="Q79" i="76"/>
  <c r="P79" i="76"/>
  <c r="O79" i="76"/>
  <c r="N79" i="76"/>
  <c r="V78" i="76"/>
  <c r="U78" i="76"/>
  <c r="T78" i="76"/>
  <c r="S78" i="76"/>
  <c r="R78" i="76"/>
  <c r="Q78" i="76"/>
  <c r="P78" i="76"/>
  <c r="O78" i="76"/>
  <c r="N78" i="76"/>
  <c r="U77" i="76"/>
  <c r="T77" i="76"/>
  <c r="S77" i="76"/>
  <c r="R77" i="76"/>
  <c r="Q77" i="76"/>
  <c r="P77" i="76"/>
  <c r="O77" i="76"/>
  <c r="N77" i="76"/>
  <c r="V76" i="76"/>
  <c r="U76" i="76"/>
  <c r="T76" i="76"/>
  <c r="S76" i="76"/>
  <c r="R76" i="76"/>
  <c r="Q76" i="76"/>
  <c r="P76" i="76"/>
  <c r="O76" i="76"/>
  <c r="N76" i="76"/>
  <c r="U75" i="76"/>
  <c r="T75" i="76"/>
  <c r="S75" i="76"/>
  <c r="R75" i="76"/>
  <c r="Q75" i="76"/>
  <c r="P75" i="76"/>
  <c r="O75" i="76"/>
  <c r="N75" i="76"/>
  <c r="U74" i="76"/>
  <c r="T74" i="76"/>
  <c r="S74" i="76"/>
  <c r="R74" i="76"/>
  <c r="Q74" i="76"/>
  <c r="P74" i="76"/>
  <c r="O74" i="76"/>
  <c r="N74" i="76"/>
  <c r="AE70" i="76"/>
  <c r="AD70" i="76"/>
  <c r="AC70" i="76"/>
  <c r="AB70" i="76"/>
  <c r="AA70" i="76"/>
  <c r="Z70" i="76"/>
  <c r="Y70" i="76"/>
  <c r="AE69" i="76"/>
  <c r="AD69" i="76"/>
  <c r="AC69" i="76"/>
  <c r="AB69" i="76"/>
  <c r="AA69" i="76"/>
  <c r="Z69" i="76"/>
  <c r="Y69" i="76"/>
  <c r="AE66" i="76"/>
  <c r="AD66" i="76"/>
  <c r="AC66" i="76"/>
  <c r="AB66" i="76"/>
  <c r="AA66" i="76"/>
  <c r="Z66" i="76"/>
  <c r="Y66" i="76"/>
  <c r="AE65" i="76"/>
  <c r="AD65" i="76"/>
  <c r="AC65" i="76"/>
  <c r="AB65" i="76"/>
  <c r="AA65" i="76"/>
  <c r="Z65" i="76"/>
  <c r="Y65" i="76"/>
  <c r="AE64" i="76"/>
  <c r="AD64" i="76"/>
  <c r="AC64" i="76"/>
  <c r="AB64" i="76"/>
  <c r="AA64" i="76"/>
  <c r="Z64" i="76"/>
  <c r="Y64" i="76"/>
  <c r="AE63" i="76"/>
  <c r="AD63" i="76"/>
  <c r="AC63" i="76"/>
  <c r="AB63" i="76"/>
  <c r="AA63" i="76"/>
  <c r="Z63" i="76"/>
  <c r="Y63" i="76"/>
  <c r="AE62" i="76"/>
  <c r="AD62" i="76"/>
  <c r="AC62" i="76"/>
  <c r="AB62" i="76"/>
  <c r="AA62" i="76"/>
  <c r="Z62" i="76"/>
  <c r="Y62" i="76"/>
  <c r="AE61" i="76"/>
  <c r="AD61" i="76"/>
  <c r="AC61" i="76"/>
  <c r="AB61" i="76"/>
  <c r="AA61" i="76"/>
  <c r="Z61" i="76"/>
  <c r="Y61" i="76"/>
  <c r="AE60" i="76"/>
  <c r="AD60" i="76"/>
  <c r="AC60" i="76"/>
  <c r="AB60" i="76"/>
  <c r="AA60" i="76"/>
  <c r="Z60" i="76"/>
  <c r="Y60" i="76"/>
  <c r="AE59" i="76"/>
  <c r="AD59" i="76"/>
  <c r="AC59" i="76"/>
  <c r="AB59" i="76"/>
  <c r="AA59" i="76"/>
  <c r="Z59" i="76"/>
  <c r="Y59" i="76"/>
  <c r="AE58" i="76"/>
  <c r="AD58" i="76"/>
  <c r="AC58" i="76"/>
  <c r="AB58" i="76"/>
  <c r="AA58" i="76"/>
  <c r="Z58" i="76"/>
  <c r="Y58" i="76"/>
  <c r="AE57" i="76"/>
  <c r="AD57" i="76"/>
  <c r="AC57" i="76"/>
  <c r="AB57" i="76"/>
  <c r="AA57" i="76"/>
  <c r="Z57" i="76"/>
  <c r="Y57" i="76"/>
  <c r="AE56" i="76"/>
  <c r="AD56" i="76"/>
  <c r="AC56" i="76"/>
  <c r="AB56" i="76"/>
  <c r="AA56" i="76"/>
  <c r="Z56" i="76"/>
  <c r="Y56" i="76"/>
  <c r="AE55" i="76"/>
  <c r="AD55" i="76"/>
  <c r="AC55" i="76"/>
  <c r="AB55" i="76"/>
  <c r="AA55" i="76"/>
  <c r="Z55" i="76"/>
  <c r="Y55" i="76"/>
  <c r="AE54" i="76"/>
  <c r="AD54" i="76"/>
  <c r="AC54" i="76"/>
  <c r="AB54" i="76"/>
  <c r="AA54" i="76"/>
  <c r="Z54" i="76"/>
  <c r="Y54" i="76"/>
  <c r="AE53" i="76"/>
  <c r="AD53" i="76"/>
  <c r="AC53" i="76"/>
  <c r="AB53" i="76"/>
  <c r="AA53" i="76"/>
  <c r="Z53" i="76"/>
  <c r="Y53" i="76"/>
  <c r="AE52" i="76"/>
  <c r="AD52" i="76"/>
  <c r="AC52" i="76"/>
  <c r="AB52" i="76"/>
  <c r="AA52" i="76"/>
  <c r="Z52" i="76"/>
  <c r="Y52" i="76"/>
  <c r="AE51" i="76"/>
  <c r="AD51" i="76"/>
  <c r="AC51" i="76"/>
  <c r="AB51" i="76"/>
  <c r="AA51" i="76"/>
  <c r="Z51" i="76"/>
  <c r="Y51" i="76"/>
  <c r="AE50" i="76"/>
  <c r="AD50" i="76"/>
  <c r="AC50" i="76"/>
  <c r="AB50" i="76"/>
  <c r="AA50" i="76"/>
  <c r="Z50" i="76"/>
  <c r="Y50" i="76"/>
  <c r="U80" i="75"/>
  <c r="T80" i="75"/>
  <c r="S80" i="75"/>
  <c r="R80" i="75"/>
  <c r="Q80" i="75"/>
  <c r="P80" i="75"/>
  <c r="O80" i="75"/>
  <c r="N80" i="75"/>
  <c r="U79" i="75"/>
  <c r="T79" i="75"/>
  <c r="S79" i="75"/>
  <c r="R79" i="75"/>
  <c r="Q79" i="75"/>
  <c r="P79" i="75"/>
  <c r="O79" i="75"/>
  <c r="N79" i="75"/>
  <c r="V78" i="75"/>
  <c r="U78" i="75"/>
  <c r="T78" i="75"/>
  <c r="S78" i="75"/>
  <c r="AD78" i="75" s="1"/>
  <c r="R78" i="75"/>
  <c r="Q78" i="75"/>
  <c r="P78" i="75"/>
  <c r="O78" i="75"/>
  <c r="N78" i="75"/>
  <c r="U77" i="75"/>
  <c r="T77" i="75"/>
  <c r="S77" i="75"/>
  <c r="R77" i="75"/>
  <c r="Q77" i="75"/>
  <c r="P77" i="75"/>
  <c r="O77" i="75"/>
  <c r="N77" i="75"/>
  <c r="V76" i="75"/>
  <c r="U76" i="75"/>
  <c r="T76" i="75"/>
  <c r="S76" i="75"/>
  <c r="R76" i="75"/>
  <c r="Q76" i="75"/>
  <c r="P76" i="75"/>
  <c r="O76" i="75"/>
  <c r="N76" i="75"/>
  <c r="U75" i="75"/>
  <c r="T75" i="75"/>
  <c r="S75" i="75"/>
  <c r="R75" i="75"/>
  <c r="Q75" i="75"/>
  <c r="P75" i="75"/>
  <c r="O75" i="75"/>
  <c r="N75" i="75"/>
  <c r="U74" i="75"/>
  <c r="T74" i="75"/>
  <c r="S74" i="75"/>
  <c r="R74" i="75"/>
  <c r="Q74" i="75"/>
  <c r="P74" i="75"/>
  <c r="O74" i="75"/>
  <c r="N74" i="75"/>
  <c r="AE70" i="75"/>
  <c r="AD70" i="75"/>
  <c r="AC70" i="75"/>
  <c r="AB70" i="75"/>
  <c r="AA70" i="75"/>
  <c r="Z70" i="75"/>
  <c r="Y70" i="75"/>
  <c r="AE69" i="75"/>
  <c r="AD69" i="75"/>
  <c r="AC69" i="75"/>
  <c r="AB69" i="75"/>
  <c r="AA69" i="75"/>
  <c r="Z69" i="75"/>
  <c r="Y69" i="75"/>
  <c r="AE66" i="75"/>
  <c r="AD66" i="75"/>
  <c r="AC66" i="75"/>
  <c r="AB66" i="75"/>
  <c r="AA66" i="75"/>
  <c r="Z66" i="75"/>
  <c r="Y66" i="75"/>
  <c r="AE65" i="75"/>
  <c r="AD65" i="75"/>
  <c r="AC65" i="75"/>
  <c r="AB65" i="75"/>
  <c r="AA65" i="75"/>
  <c r="Z65" i="75"/>
  <c r="Y65" i="75"/>
  <c r="AE64" i="75"/>
  <c r="AD64" i="75"/>
  <c r="AC64" i="75"/>
  <c r="AB64" i="75"/>
  <c r="AA64" i="75"/>
  <c r="Z64" i="75"/>
  <c r="Y64" i="75"/>
  <c r="AE63" i="75"/>
  <c r="AD63" i="75"/>
  <c r="AC63" i="75"/>
  <c r="AB63" i="75"/>
  <c r="AA63" i="75"/>
  <c r="Z63" i="75"/>
  <c r="Y63" i="75"/>
  <c r="AE62" i="75"/>
  <c r="AD62" i="75"/>
  <c r="AC62" i="75"/>
  <c r="AB62" i="75"/>
  <c r="AA62" i="75"/>
  <c r="Z62" i="75"/>
  <c r="Y62" i="75"/>
  <c r="AE61" i="75"/>
  <c r="AD61" i="75"/>
  <c r="AC61" i="75"/>
  <c r="AB61" i="75"/>
  <c r="AA61" i="75"/>
  <c r="Z61" i="75"/>
  <c r="Y61" i="75"/>
  <c r="AE60" i="75"/>
  <c r="AD60" i="75"/>
  <c r="AC60" i="75"/>
  <c r="AB60" i="75"/>
  <c r="AA60" i="75"/>
  <c r="Z60" i="75"/>
  <c r="Y60" i="75"/>
  <c r="AE59" i="75"/>
  <c r="AD59" i="75"/>
  <c r="AC59" i="75"/>
  <c r="AB59" i="75"/>
  <c r="AA59" i="75"/>
  <c r="Z59" i="75"/>
  <c r="Y59" i="75"/>
  <c r="AE58" i="75"/>
  <c r="AD58" i="75"/>
  <c r="AC58" i="75"/>
  <c r="AB58" i="75"/>
  <c r="AA58" i="75"/>
  <c r="Z58" i="75"/>
  <c r="Y58" i="75"/>
  <c r="AE57" i="75"/>
  <c r="AD57" i="75"/>
  <c r="AC57" i="75"/>
  <c r="AB57" i="75"/>
  <c r="AA57" i="75"/>
  <c r="Z57" i="75"/>
  <c r="Y57" i="75"/>
  <c r="AE56" i="75"/>
  <c r="AD56" i="75"/>
  <c r="AC56" i="75"/>
  <c r="AB56" i="75"/>
  <c r="AA56" i="75"/>
  <c r="Z56" i="75"/>
  <c r="Y56" i="75"/>
  <c r="AE55" i="75"/>
  <c r="AD55" i="75"/>
  <c r="AC55" i="75"/>
  <c r="AB55" i="75"/>
  <c r="AA55" i="75"/>
  <c r="Z55" i="75"/>
  <c r="Y55" i="75"/>
  <c r="AE54" i="75"/>
  <c r="AD54" i="75"/>
  <c r="AC54" i="75"/>
  <c r="AB54" i="75"/>
  <c r="AA54" i="75"/>
  <c r="Z54" i="75"/>
  <c r="Y54" i="75"/>
  <c r="AE53" i="75"/>
  <c r="AD53" i="75"/>
  <c r="AC53" i="75"/>
  <c r="AB53" i="75"/>
  <c r="AA53" i="75"/>
  <c r="Z53" i="75"/>
  <c r="Y53" i="75"/>
  <c r="AE52" i="75"/>
  <c r="AD52" i="75"/>
  <c r="AC52" i="75"/>
  <c r="AB52" i="75"/>
  <c r="AA52" i="75"/>
  <c r="Z52" i="75"/>
  <c r="Y52" i="75"/>
  <c r="AE51" i="75"/>
  <c r="AD51" i="75"/>
  <c r="AC51" i="75"/>
  <c r="AB51" i="75"/>
  <c r="AA51" i="75"/>
  <c r="Z51" i="75"/>
  <c r="Y51" i="75"/>
  <c r="AE50" i="75"/>
  <c r="AD50" i="75"/>
  <c r="AC50" i="75"/>
  <c r="AB50" i="75"/>
  <c r="AA50" i="75"/>
  <c r="Z50" i="75"/>
  <c r="Y50" i="75"/>
  <c r="U80" i="74"/>
  <c r="T80" i="74"/>
  <c r="S80" i="74"/>
  <c r="R80" i="74"/>
  <c r="Q80" i="74"/>
  <c r="P80" i="74"/>
  <c r="O80" i="74"/>
  <c r="N80" i="74"/>
  <c r="U79" i="74"/>
  <c r="T79" i="74"/>
  <c r="S79" i="74"/>
  <c r="R79" i="74"/>
  <c r="Q79" i="74"/>
  <c r="P79" i="74"/>
  <c r="O79" i="74"/>
  <c r="N79" i="74"/>
  <c r="V78" i="74"/>
  <c r="U78" i="74"/>
  <c r="AD78" i="74" s="1"/>
  <c r="T78" i="74"/>
  <c r="S78" i="74"/>
  <c r="R78" i="74"/>
  <c r="Q78" i="74"/>
  <c r="P78" i="74"/>
  <c r="O78" i="74"/>
  <c r="N78" i="74"/>
  <c r="U77" i="74"/>
  <c r="T77" i="74"/>
  <c r="S77" i="74"/>
  <c r="R77" i="74"/>
  <c r="Q77" i="74"/>
  <c r="P77" i="74"/>
  <c r="O77" i="74"/>
  <c r="N77" i="74"/>
  <c r="V76" i="74"/>
  <c r="U76" i="74"/>
  <c r="AE76" i="74" s="1"/>
  <c r="T76" i="74"/>
  <c r="S76" i="74"/>
  <c r="R76" i="74"/>
  <c r="Q76" i="74"/>
  <c r="P76" i="74"/>
  <c r="O76" i="74"/>
  <c r="N76" i="74"/>
  <c r="U75" i="74"/>
  <c r="T75" i="74"/>
  <c r="S75" i="74"/>
  <c r="R75" i="74"/>
  <c r="Q75" i="74"/>
  <c r="P75" i="74"/>
  <c r="O75" i="74"/>
  <c r="N75" i="74"/>
  <c r="U74" i="74"/>
  <c r="T74" i="74"/>
  <c r="S74" i="74"/>
  <c r="R74" i="74"/>
  <c r="Q74" i="74"/>
  <c r="P74" i="74"/>
  <c r="O74" i="74"/>
  <c r="N74" i="74"/>
  <c r="AE70" i="74"/>
  <c r="AD70" i="74"/>
  <c r="AC70" i="74"/>
  <c r="AB70" i="74"/>
  <c r="AA70" i="74"/>
  <c r="Z70" i="74"/>
  <c r="Y70" i="74"/>
  <c r="AE69" i="74"/>
  <c r="AD69" i="74"/>
  <c r="AC69" i="74"/>
  <c r="AB69" i="74"/>
  <c r="AA69" i="74"/>
  <c r="Z69" i="74"/>
  <c r="Y69" i="74"/>
  <c r="AE66" i="74"/>
  <c r="AD66" i="74"/>
  <c r="AC66" i="74"/>
  <c r="AB66" i="74"/>
  <c r="AA66" i="74"/>
  <c r="Z66" i="74"/>
  <c r="Y66" i="74"/>
  <c r="AE65" i="74"/>
  <c r="AD65" i="74"/>
  <c r="AC65" i="74"/>
  <c r="AB65" i="74"/>
  <c r="AA65" i="74"/>
  <c r="Z65" i="74"/>
  <c r="Y65" i="74"/>
  <c r="AE64" i="74"/>
  <c r="AD64" i="74"/>
  <c r="AC64" i="74"/>
  <c r="AB64" i="74"/>
  <c r="AA64" i="74"/>
  <c r="Z64" i="74"/>
  <c r="Y64" i="74"/>
  <c r="AE63" i="74"/>
  <c r="AD63" i="74"/>
  <c r="AC63" i="74"/>
  <c r="AB63" i="74"/>
  <c r="AA63" i="74"/>
  <c r="Z63" i="74"/>
  <c r="Y63" i="74"/>
  <c r="AE62" i="74"/>
  <c r="AD62" i="74"/>
  <c r="AC62" i="74"/>
  <c r="AB62" i="74"/>
  <c r="AA62" i="74"/>
  <c r="Z62" i="74"/>
  <c r="Y62" i="74"/>
  <c r="AE61" i="74"/>
  <c r="AD61" i="74"/>
  <c r="AC61" i="74"/>
  <c r="AB61" i="74"/>
  <c r="AA61" i="74"/>
  <c r="Z61" i="74"/>
  <c r="Y61" i="74"/>
  <c r="AE60" i="74"/>
  <c r="AD60" i="74"/>
  <c r="AC60" i="74"/>
  <c r="AB60" i="74"/>
  <c r="AA60" i="74"/>
  <c r="Z60" i="74"/>
  <c r="Y60" i="74"/>
  <c r="AE59" i="74"/>
  <c r="AD59" i="74"/>
  <c r="AC59" i="74"/>
  <c r="AB59" i="74"/>
  <c r="AA59" i="74"/>
  <c r="Z59" i="74"/>
  <c r="Y59" i="74"/>
  <c r="AE58" i="74"/>
  <c r="AD58" i="74"/>
  <c r="AC58" i="74"/>
  <c r="AB58" i="74"/>
  <c r="AA58" i="74"/>
  <c r="Z58" i="74"/>
  <c r="Y58" i="74"/>
  <c r="AE57" i="74"/>
  <c r="AD57" i="74"/>
  <c r="AC57" i="74"/>
  <c r="AB57" i="74"/>
  <c r="AA57" i="74"/>
  <c r="Z57" i="74"/>
  <c r="Y57" i="74"/>
  <c r="AE56" i="74"/>
  <c r="AD56" i="74"/>
  <c r="AC56" i="74"/>
  <c r="AB56" i="74"/>
  <c r="AA56" i="74"/>
  <c r="Z56" i="74"/>
  <c r="Y56" i="74"/>
  <c r="AE55" i="74"/>
  <c r="AD55" i="74"/>
  <c r="AC55" i="74"/>
  <c r="AB55" i="74"/>
  <c r="AA55" i="74"/>
  <c r="Z55" i="74"/>
  <c r="Y55" i="74"/>
  <c r="AE54" i="74"/>
  <c r="AD54" i="74"/>
  <c r="AC54" i="74"/>
  <c r="AB54" i="74"/>
  <c r="AA54" i="74"/>
  <c r="Z54" i="74"/>
  <c r="Y54" i="74"/>
  <c r="AE53" i="74"/>
  <c r="AD53" i="74"/>
  <c r="AC53" i="74"/>
  <c r="AB53" i="74"/>
  <c r="AA53" i="74"/>
  <c r="Z53" i="74"/>
  <c r="Y53" i="74"/>
  <c r="AE52" i="74"/>
  <c r="AD52" i="74"/>
  <c r="AC52" i="74"/>
  <c r="AB52" i="74"/>
  <c r="AA52" i="74"/>
  <c r="Z52" i="74"/>
  <c r="Y52" i="74"/>
  <c r="AE51" i="74"/>
  <c r="AD51" i="74"/>
  <c r="AC51" i="74"/>
  <c r="AB51" i="74"/>
  <c r="AA51" i="74"/>
  <c r="Z51" i="74"/>
  <c r="Y51" i="74"/>
  <c r="AE50" i="74"/>
  <c r="AD50" i="74"/>
  <c r="AC50" i="74"/>
  <c r="AB50" i="74"/>
  <c r="AA50" i="74"/>
  <c r="Z50" i="74"/>
  <c r="Y50" i="74"/>
  <c r="C91" i="88"/>
  <c r="G192" i="88"/>
  <c r="G191" i="88"/>
  <c r="C84" i="50"/>
  <c r="C83" i="50"/>
  <c r="C90" i="88"/>
  <c r="C89" i="88"/>
  <c r="G190" i="88"/>
  <c r="AC77" i="74" l="1"/>
  <c r="G195" i="88"/>
  <c r="G194" i="88"/>
  <c r="G193" i="88"/>
  <c r="AB80" i="74"/>
  <c r="AD77" i="75"/>
  <c r="AB79" i="79"/>
  <c r="Z79" i="74"/>
  <c r="AB78" i="78"/>
  <c r="AB79" i="74"/>
  <c r="AD75" i="76"/>
  <c r="AC76" i="76"/>
  <c r="AC79" i="78"/>
  <c r="AA74" i="74"/>
  <c r="AD80" i="74"/>
  <c r="AE76" i="77"/>
  <c r="AE79" i="79"/>
  <c r="AC78" i="74"/>
  <c r="AA78" i="77"/>
  <c r="AE74" i="77"/>
  <c r="C92" i="88"/>
  <c r="E89" i="88"/>
  <c r="B145" i="88" s="1"/>
  <c r="H190" i="88"/>
  <c r="Q190" i="88" s="1"/>
  <c r="V190" i="88" s="1"/>
  <c r="P190" i="88"/>
  <c r="W190" i="88" s="1"/>
  <c r="E91" i="88"/>
  <c r="B147" i="88" s="1"/>
  <c r="E192" i="88" s="1"/>
  <c r="E84" i="50"/>
  <c r="H192" i="88"/>
  <c r="E90" i="88"/>
  <c r="B146" i="88" s="1"/>
  <c r="E83" i="50"/>
  <c r="H191" i="88"/>
  <c r="Q191" i="88" s="1"/>
  <c r="V191" i="88" s="1"/>
  <c r="P191" i="88"/>
  <c r="W191" i="88" s="1"/>
  <c r="S81" i="76"/>
  <c r="AA79" i="74"/>
  <c r="AE80" i="74"/>
  <c r="AE80" i="75"/>
  <c r="AA75" i="76"/>
  <c r="AE76" i="76"/>
  <c r="AD79" i="78"/>
  <c r="AD79" i="79"/>
  <c r="AC78" i="77"/>
  <c r="AC78" i="78"/>
  <c r="Z74" i="76"/>
  <c r="Y77" i="75"/>
  <c r="AC78" i="75"/>
  <c r="AE75" i="76"/>
  <c r="AE78" i="78"/>
  <c r="AB77" i="78"/>
  <c r="AC77" i="78"/>
  <c r="Z76" i="76"/>
  <c r="AB80" i="77"/>
  <c r="AC80" i="78"/>
  <c r="Z80" i="74"/>
  <c r="Y76" i="74"/>
  <c r="AB77" i="74"/>
  <c r="AA80" i="74"/>
  <c r="AA76" i="76"/>
  <c r="AB74" i="78"/>
  <c r="Z79" i="78"/>
  <c r="AB74" i="79"/>
  <c r="AC80" i="74"/>
  <c r="AD74" i="75"/>
  <c r="Y75" i="75"/>
  <c r="AE77" i="75"/>
  <c r="AE78" i="75"/>
  <c r="Y74" i="77"/>
  <c r="Y74" i="78"/>
  <c r="AD77" i="78"/>
  <c r="AD78" i="78"/>
  <c r="Z74" i="77"/>
  <c r="Z75" i="77"/>
  <c r="Z74" i="78"/>
  <c r="AD75" i="79"/>
  <c r="AA74" i="76"/>
  <c r="AA74" i="77"/>
  <c r="AA75" i="77"/>
  <c r="P81" i="77"/>
  <c r="AE79" i="77"/>
  <c r="Y77" i="74"/>
  <c r="AB74" i="77"/>
  <c r="AB75" i="77"/>
  <c r="Y77" i="78"/>
  <c r="AA77" i="75"/>
  <c r="AC74" i="77"/>
  <c r="AC75" i="77"/>
  <c r="AC76" i="77"/>
  <c r="Z77" i="78"/>
  <c r="Z78" i="78"/>
  <c r="AD74" i="77"/>
  <c r="AD76" i="77"/>
  <c r="AA77" i="78"/>
  <c r="AA78" i="78"/>
  <c r="Z77" i="74"/>
  <c r="Y78" i="74"/>
  <c r="AC80" i="77"/>
  <c r="AB78" i="79"/>
  <c r="AB74" i="74"/>
  <c r="AA77" i="74"/>
  <c r="Y79" i="74"/>
  <c r="Y79" i="75"/>
  <c r="N81" i="76"/>
  <c r="AD79" i="77"/>
  <c r="AD80" i="77"/>
  <c r="AA75" i="75"/>
  <c r="AC77" i="76"/>
  <c r="AE79" i="76"/>
  <c r="AE80" i="77"/>
  <c r="AD77" i="74"/>
  <c r="Y79" i="77"/>
  <c r="AD77" i="79"/>
  <c r="AD80" i="79"/>
  <c r="AE77" i="74"/>
  <c r="AB80" i="75"/>
  <c r="AB78" i="77"/>
  <c r="Z79" i="77"/>
  <c r="Z80" i="77"/>
  <c r="AE80" i="79"/>
  <c r="AA80" i="76"/>
  <c r="AA80" i="77"/>
  <c r="AA76" i="78"/>
  <c r="AB76" i="79"/>
  <c r="AA79" i="79"/>
  <c r="AC74" i="74"/>
  <c r="AA80" i="75"/>
  <c r="Y77" i="76"/>
  <c r="AD76" i="79"/>
  <c r="AC78" i="79"/>
  <c r="AA80" i="79"/>
  <c r="T81" i="79"/>
  <c r="AD74" i="74"/>
  <c r="AC75" i="75"/>
  <c r="AC76" i="75"/>
  <c r="Y75" i="76"/>
  <c r="T81" i="76"/>
  <c r="Z78" i="76"/>
  <c r="Y79" i="76"/>
  <c r="Q81" i="77"/>
  <c r="Y75" i="78"/>
  <c r="Y76" i="78"/>
  <c r="Y78" i="78"/>
  <c r="Y76" i="79"/>
  <c r="AD78" i="79"/>
  <c r="AC79" i="79"/>
  <c r="AE74" i="74"/>
  <c r="Z78" i="74"/>
  <c r="AD75" i="75"/>
  <c r="S81" i="75"/>
  <c r="AC77" i="75"/>
  <c r="Z75" i="76"/>
  <c r="AA77" i="76"/>
  <c r="AA78" i="76"/>
  <c r="Z79" i="76"/>
  <c r="Z75" i="78"/>
  <c r="Z76" i="78"/>
  <c r="Z76" i="79"/>
  <c r="AC80" i="79"/>
  <c r="AB75" i="74"/>
  <c r="AB76" i="75"/>
  <c r="AB75" i="76"/>
  <c r="AB79" i="76"/>
  <c r="AB76" i="78"/>
  <c r="Y77" i="79"/>
  <c r="Y78" i="79"/>
  <c r="AE76" i="79"/>
  <c r="Z74" i="74"/>
  <c r="Z77" i="75"/>
  <c r="AD79" i="75"/>
  <c r="AC75" i="76"/>
  <c r="AD77" i="76"/>
  <c r="AD78" i="76"/>
  <c r="AC79" i="76"/>
  <c r="AC80" i="76"/>
  <c r="AE77" i="77"/>
  <c r="AD74" i="78"/>
  <c r="AC76" i="78"/>
  <c r="AA79" i="78"/>
  <c r="AA80" i="78"/>
  <c r="AC74" i="79"/>
  <c r="V84" i="79"/>
  <c r="AB78" i="76"/>
  <c r="Z74" i="75"/>
  <c r="Z75" i="75"/>
  <c r="AE79" i="75"/>
  <c r="AD76" i="76"/>
  <c r="AE78" i="76"/>
  <c r="AD79" i="76"/>
  <c r="AD80" i="76"/>
  <c r="Z77" i="77"/>
  <c r="AD76" i="78"/>
  <c r="AB80" i="78"/>
  <c r="AD74" i="79"/>
  <c r="T81" i="75"/>
  <c r="AE75" i="74"/>
  <c r="AE75" i="75"/>
  <c r="AC80" i="75"/>
  <c r="Y77" i="77"/>
  <c r="AE74" i="79"/>
  <c r="AA78" i="74"/>
  <c r="U81" i="75"/>
  <c r="Y80" i="75"/>
  <c r="Y74" i="76"/>
  <c r="Q81" i="76"/>
  <c r="AE80" i="76"/>
  <c r="U81" i="77"/>
  <c r="Y78" i="77"/>
  <c r="AD80" i="78"/>
  <c r="Z74" i="79"/>
  <c r="P81" i="79"/>
  <c r="AB80" i="79"/>
  <c r="P81" i="76"/>
  <c r="Z76" i="74"/>
  <c r="AB78" i="74"/>
  <c r="Z80" i="75"/>
  <c r="Y80" i="76"/>
  <c r="AD75" i="77"/>
  <c r="O81" i="77"/>
  <c r="AE77" i="78"/>
  <c r="AE79" i="78"/>
  <c r="N81" i="78"/>
  <c r="AA74" i="79"/>
  <c r="Q81" i="79"/>
  <c r="AE78" i="79"/>
  <c r="Y80" i="79"/>
  <c r="AA76" i="74"/>
  <c r="AC79" i="74"/>
  <c r="AE74" i="75"/>
  <c r="AD76" i="75"/>
  <c r="Y78" i="76"/>
  <c r="AA79" i="76"/>
  <c r="Z80" i="76"/>
  <c r="AA79" i="77"/>
  <c r="T81" i="78"/>
  <c r="AB79" i="78"/>
  <c r="R81" i="79"/>
  <c r="AA78" i="79"/>
  <c r="Z80" i="79"/>
  <c r="R81" i="76"/>
  <c r="AB76" i="74"/>
  <c r="AD79" i="74"/>
  <c r="Y76" i="75"/>
  <c r="Z79" i="75"/>
  <c r="AB74" i="76"/>
  <c r="Z75" i="79"/>
  <c r="Y74" i="74"/>
  <c r="AC76" i="74"/>
  <c r="AE78" i="74"/>
  <c r="AE79" i="74"/>
  <c r="U81" i="74"/>
  <c r="Z76" i="75"/>
  <c r="AA79" i="75"/>
  <c r="R81" i="75"/>
  <c r="AC81" i="75" s="1"/>
  <c r="AC74" i="76"/>
  <c r="U81" i="76"/>
  <c r="AD81" i="76" s="1"/>
  <c r="AA77" i="77"/>
  <c r="AC79" i="77"/>
  <c r="AC74" i="78"/>
  <c r="AA75" i="79"/>
  <c r="AE77" i="79"/>
  <c r="AA76" i="75"/>
  <c r="Y78" i="75"/>
  <c r="AB79" i="75"/>
  <c r="AD80" i="75"/>
  <c r="AD74" i="76"/>
  <c r="AE77" i="76"/>
  <c r="N81" i="77"/>
  <c r="AB77" i="77"/>
  <c r="AD78" i="77"/>
  <c r="AE75" i="78"/>
  <c r="AB75" i="79"/>
  <c r="Z75" i="74"/>
  <c r="AD76" i="74"/>
  <c r="T81" i="74"/>
  <c r="AE81" i="74" s="1"/>
  <c r="Q81" i="75"/>
  <c r="AB77" i="75"/>
  <c r="AC79" i="75"/>
  <c r="AE74" i="76"/>
  <c r="Y76" i="76"/>
  <c r="O81" i="76"/>
  <c r="Y75" i="77"/>
  <c r="Z76" i="77"/>
  <c r="AC77" i="77"/>
  <c r="AE78" i="77"/>
  <c r="Y80" i="77"/>
  <c r="AE74" i="78"/>
  <c r="AD75" i="78"/>
  <c r="AE76" i="78"/>
  <c r="Z80" i="78"/>
  <c r="AC75" i="79"/>
  <c r="Y79" i="79"/>
  <c r="AB75" i="75"/>
  <c r="AD77" i="77"/>
  <c r="AA76" i="79"/>
  <c r="Z79" i="79"/>
  <c r="B189" i="73"/>
  <c r="B207" i="73" s="1"/>
  <c r="U206" i="73"/>
  <c r="U188" i="73"/>
  <c r="U205" i="73"/>
  <c r="U187" i="73"/>
  <c r="D125" i="73"/>
  <c r="AE80" i="78"/>
  <c r="AE75" i="79"/>
  <c r="S81" i="79"/>
  <c r="Y74" i="75"/>
  <c r="O81" i="74"/>
  <c r="AE76" i="75"/>
  <c r="AB76" i="76"/>
  <c r="Y76" i="77"/>
  <c r="R81" i="77"/>
  <c r="O81" i="78"/>
  <c r="AC76" i="79"/>
  <c r="Z77" i="79"/>
  <c r="U81" i="79"/>
  <c r="AA81" i="79" s="1"/>
  <c r="Y75" i="74"/>
  <c r="N81" i="74"/>
  <c r="AA75" i="74"/>
  <c r="P81" i="74"/>
  <c r="AA74" i="75"/>
  <c r="Z77" i="76"/>
  <c r="AB80" i="76"/>
  <c r="AB79" i="77"/>
  <c r="S81" i="77"/>
  <c r="AA75" i="78"/>
  <c r="Y79" i="78"/>
  <c r="P81" i="78"/>
  <c r="Y74" i="79"/>
  <c r="AA77" i="79"/>
  <c r="AB74" i="75"/>
  <c r="Z78" i="75"/>
  <c r="N81" i="75"/>
  <c r="AA76" i="77"/>
  <c r="T81" i="77"/>
  <c r="AB75" i="78"/>
  <c r="Q81" i="78"/>
  <c r="AB77" i="79"/>
  <c r="O81" i="75"/>
  <c r="AB77" i="76"/>
  <c r="AB76" i="77"/>
  <c r="AC75" i="78"/>
  <c r="R81" i="78"/>
  <c r="AC77" i="79"/>
  <c r="AC75" i="74"/>
  <c r="AC74" i="75"/>
  <c r="AA78" i="75"/>
  <c r="AD75" i="74"/>
  <c r="Y80" i="74"/>
  <c r="AB78" i="75"/>
  <c r="P81" i="75"/>
  <c r="Y80" i="78"/>
  <c r="S81" i="78"/>
  <c r="Y75" i="79"/>
  <c r="Z78" i="79"/>
  <c r="R81" i="74"/>
  <c r="S81" i="74"/>
  <c r="N81" i="79"/>
  <c r="U81" i="78"/>
  <c r="O81" i="79"/>
  <c r="Q81" i="74"/>
  <c r="AC78" i="76"/>
  <c r="Z78" i="77"/>
  <c r="G188" i="73"/>
  <c r="D23" i="67"/>
  <c r="G27" i="84"/>
  <c r="H26" i="88"/>
  <c r="F24" i="88"/>
  <c r="B60" i="70"/>
  <c r="B26" i="84"/>
  <c r="E27" i="84"/>
  <c r="G26" i="84"/>
  <c r="G24" i="88"/>
  <c r="E25" i="88"/>
  <c r="C53" i="84"/>
  <c r="G60" i="70"/>
  <c r="C26" i="84"/>
  <c r="C55" i="84"/>
  <c r="F60" i="70"/>
  <c r="B26" i="88"/>
  <c r="H25" i="84"/>
  <c r="D25" i="66"/>
  <c r="F26" i="88"/>
  <c r="B25" i="84"/>
  <c r="C60" i="70"/>
  <c r="F25" i="88"/>
  <c r="C25" i="66"/>
  <c r="F61" i="70"/>
  <c r="D27" i="84"/>
  <c r="H27" i="84"/>
  <c r="D26" i="88"/>
  <c r="C23" i="67"/>
  <c r="C61" i="70"/>
  <c r="C24" i="88"/>
  <c r="G187" i="73"/>
  <c r="D46" i="67"/>
  <c r="E26" i="88"/>
  <c r="H24" i="88"/>
  <c r="C54" i="84"/>
  <c r="E25" i="84"/>
  <c r="H26" i="84"/>
  <c r="F25" i="84"/>
  <c r="E61" i="70"/>
  <c r="B61" i="70"/>
  <c r="C26" i="88"/>
  <c r="G189" i="73"/>
  <c r="D24" i="88"/>
  <c r="D25" i="84"/>
  <c r="D26" i="84"/>
  <c r="B27" i="84"/>
  <c r="G61" i="70"/>
  <c r="H60" i="70"/>
  <c r="E24" i="88"/>
  <c r="B24" i="88"/>
  <c r="C27" i="84"/>
  <c r="D61" i="70"/>
  <c r="G26" i="88"/>
  <c r="C46" i="67"/>
  <c r="B25" i="88"/>
  <c r="D60" i="70"/>
  <c r="C42" i="66"/>
  <c r="E60" i="70"/>
  <c r="H25" i="88"/>
  <c r="C25" i="88"/>
  <c r="H61" i="70"/>
  <c r="D25" i="88"/>
  <c r="G25" i="84"/>
  <c r="G25" i="88"/>
  <c r="F26" i="84"/>
  <c r="F27" i="84"/>
  <c r="E26" i="84"/>
  <c r="C25" i="84"/>
  <c r="E190" i="88" l="1"/>
  <c r="C145" i="88"/>
  <c r="G191" i="73"/>
  <c r="G190" i="73"/>
  <c r="G192" i="73"/>
  <c r="E98" i="88"/>
  <c r="E104" i="88" s="1"/>
  <c r="E154" i="88"/>
  <c r="AA81" i="77"/>
  <c r="C146" i="88"/>
  <c r="D146" i="88" s="1"/>
  <c r="E146" i="88" s="1"/>
  <c r="H146" i="88" s="1"/>
  <c r="E209" i="88" s="1"/>
  <c r="E191" i="88"/>
  <c r="H154" i="88"/>
  <c r="H98" i="88"/>
  <c r="H104" i="88" s="1"/>
  <c r="AB81" i="74"/>
  <c r="AD81" i="75"/>
  <c r="AB81" i="77"/>
  <c r="D74" i="88"/>
  <c r="D98" i="88"/>
  <c r="D104" i="88" s="1"/>
  <c r="D154" i="88"/>
  <c r="E96" i="88"/>
  <c r="E102" i="88" s="1"/>
  <c r="E97" i="88"/>
  <c r="E103" i="88" s="1"/>
  <c r="B154" i="88"/>
  <c r="B98" i="88"/>
  <c r="B104" i="88" s="1"/>
  <c r="F96" i="88"/>
  <c r="F102" i="88" s="1"/>
  <c r="C96" i="88"/>
  <c r="C102" i="88" s="1"/>
  <c r="C74" i="88"/>
  <c r="F154" i="88"/>
  <c r="F98" i="88"/>
  <c r="F104" i="88" s="1"/>
  <c r="G97" i="88"/>
  <c r="G103" i="88" s="1"/>
  <c r="B74" i="88"/>
  <c r="B96" i="88"/>
  <c r="B102" i="88" s="1"/>
  <c r="H74" i="88"/>
  <c r="H96" i="88"/>
  <c r="H102" i="88" s="1"/>
  <c r="D97" i="88"/>
  <c r="D103" i="88" s="1"/>
  <c r="B97" i="88"/>
  <c r="B103" i="88" s="1"/>
  <c r="F97" i="88"/>
  <c r="F103" i="88" s="1"/>
  <c r="H97" i="88"/>
  <c r="H103" i="88" s="1"/>
  <c r="G96" i="88"/>
  <c r="G102" i="88" s="1"/>
  <c r="G74" i="88"/>
  <c r="C98" i="88"/>
  <c r="C104" i="88" s="1"/>
  <c r="C154" i="88"/>
  <c r="C97" i="88"/>
  <c r="C103" i="88" s="1"/>
  <c r="D96" i="88"/>
  <c r="D102" i="88" s="1"/>
  <c r="G98" i="88"/>
  <c r="G104" i="88" s="1"/>
  <c r="G154" i="88"/>
  <c r="D147" i="88"/>
  <c r="AC81" i="74"/>
  <c r="AA81" i="74"/>
  <c r="Z81" i="74"/>
  <c r="B148" i="88"/>
  <c r="G145" i="88"/>
  <c r="G148" i="88" s="1"/>
  <c r="E92" i="88"/>
  <c r="Y81" i="74"/>
  <c r="AD81" i="77"/>
  <c r="Y81" i="77"/>
  <c r="AC81" i="77"/>
  <c r="AE81" i="77"/>
  <c r="Z81" i="77"/>
  <c r="H187" i="73"/>
  <c r="E55" i="84"/>
  <c r="C56" i="84"/>
  <c r="E53" i="84"/>
  <c r="C101" i="84" s="1"/>
  <c r="P188" i="73"/>
  <c r="W188" i="73" s="1"/>
  <c r="H188" i="73"/>
  <c r="Q188" i="73" s="1"/>
  <c r="V188" i="73" s="1"/>
  <c r="E54" i="84"/>
  <c r="G61" i="84"/>
  <c r="G66" i="84" s="1"/>
  <c r="G78" i="84" s="1"/>
  <c r="G60" i="84"/>
  <c r="G65" i="84" s="1"/>
  <c r="C61" i="84"/>
  <c r="C66" i="84" s="1"/>
  <c r="C78" i="84" s="1"/>
  <c r="D60" i="84"/>
  <c r="D65" i="84" s="1"/>
  <c r="B60" i="84"/>
  <c r="B65" i="84" s="1"/>
  <c r="F60" i="84"/>
  <c r="F65" i="84" s="1"/>
  <c r="D61" i="84"/>
  <c r="D66" i="84" s="1"/>
  <c r="D78" i="84" s="1"/>
  <c r="H60" i="84"/>
  <c r="H65" i="84" s="1"/>
  <c r="B61" i="84"/>
  <c r="B66" i="84" s="1"/>
  <c r="B78" i="84" s="1"/>
  <c r="C60" i="84"/>
  <c r="C65" i="84" s="1"/>
  <c r="E60" i="84"/>
  <c r="E65" i="84" s="1"/>
  <c r="H61" i="84"/>
  <c r="H66" i="84" s="1"/>
  <c r="H78" i="84" s="1"/>
  <c r="F61" i="84"/>
  <c r="F66" i="84" s="1"/>
  <c r="F78" i="84" s="1"/>
  <c r="E61" i="84"/>
  <c r="E66" i="84" s="1"/>
  <c r="E78" i="84" s="1"/>
  <c r="AE81" i="75"/>
  <c r="Z81" i="75"/>
  <c r="AB81" i="75"/>
  <c r="Y81" i="78"/>
  <c r="AA81" i="75"/>
  <c r="AA81" i="78"/>
  <c r="Y81" i="76"/>
  <c r="AB81" i="76"/>
  <c r="AE81" i="76"/>
  <c r="AA81" i="76"/>
  <c r="AC81" i="76"/>
  <c r="AB81" i="78"/>
  <c r="Z81" i="78"/>
  <c r="AD81" i="74"/>
  <c r="Y81" i="75"/>
  <c r="Z81" i="76"/>
  <c r="U190" i="73"/>
  <c r="U208" i="73"/>
  <c r="H189" i="73"/>
  <c r="AE81" i="79"/>
  <c r="AC81" i="79"/>
  <c r="AE81" i="78"/>
  <c r="Y81" i="79"/>
  <c r="AB81" i="79"/>
  <c r="Z81" i="79"/>
  <c r="AD81" i="79"/>
  <c r="AC81" i="78"/>
  <c r="AD81" i="78"/>
  <c r="C148" i="88" l="1"/>
  <c r="D145" i="88"/>
  <c r="D148" i="88" s="1"/>
  <c r="F209" i="88"/>
  <c r="I146" i="88"/>
  <c r="C105" i="88"/>
  <c r="D105" i="88"/>
  <c r="L191" i="88"/>
  <c r="L209" i="88" s="1"/>
  <c r="F191" i="88"/>
  <c r="C152" i="88"/>
  <c r="C153" i="88"/>
  <c r="C159" i="88" s="1"/>
  <c r="D153" i="88"/>
  <c r="D159" i="88" s="1"/>
  <c r="D152" i="88"/>
  <c r="F105" i="88"/>
  <c r="H105" i="88"/>
  <c r="H153" i="88"/>
  <c r="H159" i="88" s="1"/>
  <c r="H152" i="88"/>
  <c r="B105" i="88"/>
  <c r="B153" i="88"/>
  <c r="B159" i="88" s="1"/>
  <c r="B152" i="88"/>
  <c r="E105" i="88"/>
  <c r="L192" i="88"/>
  <c r="L210" i="88" s="1"/>
  <c r="F192" i="88"/>
  <c r="G152" i="88"/>
  <c r="G153" i="88"/>
  <c r="G159" i="88" s="1"/>
  <c r="F190" i="88"/>
  <c r="E193" i="88"/>
  <c r="L190" i="88"/>
  <c r="L208" i="88" s="1"/>
  <c r="E147" i="88"/>
  <c r="F147" i="88" s="1"/>
  <c r="F148" i="88" s="1"/>
  <c r="G105" i="88"/>
  <c r="E56" i="84"/>
  <c r="C67" i="84"/>
  <c r="H67" i="84"/>
  <c r="B67" i="84"/>
  <c r="D67" i="84"/>
  <c r="F67" i="84"/>
  <c r="E67" i="84"/>
  <c r="G67" i="84"/>
  <c r="A171" i="73"/>
  <c r="A170" i="73"/>
  <c r="A169" i="73"/>
  <c r="A168" i="73"/>
  <c r="A167" i="73"/>
  <c r="A166" i="73"/>
  <c r="A165" i="73"/>
  <c r="B137" i="73"/>
  <c r="D118" i="73"/>
  <c r="D88" i="73"/>
  <c r="D86" i="73"/>
  <c r="B82" i="73"/>
  <c r="B21" i="73"/>
  <c r="D18" i="73"/>
  <c r="D17" i="73"/>
  <c r="C59" i="73" s="1"/>
  <c r="E145" i="88" l="1"/>
  <c r="H145" i="88" s="1"/>
  <c r="I145" i="88" s="1"/>
  <c r="G209" i="88"/>
  <c r="H147" i="88"/>
  <c r="F135" i="73"/>
  <c r="D116" i="73"/>
  <c r="E148" i="88" l="1"/>
  <c r="D158" i="88"/>
  <c r="H209" i="88"/>
  <c r="Q209" i="88" s="1"/>
  <c r="V209" i="88" s="1"/>
  <c r="G212" i="88"/>
  <c r="G158" i="88"/>
  <c r="H158" i="88"/>
  <c r="C158" i="88"/>
  <c r="B158" i="88"/>
  <c r="E208" i="88"/>
  <c r="G208" i="88" s="1"/>
  <c r="G211" i="88" s="1"/>
  <c r="P209" i="88"/>
  <c r="W209" i="88" s="1"/>
  <c r="I147" i="88"/>
  <c r="E210" i="88"/>
  <c r="F210" i="88" s="1"/>
  <c r="E160" i="88"/>
  <c r="H160" i="88"/>
  <c r="G160" i="88"/>
  <c r="D160" i="88"/>
  <c r="C160" i="88"/>
  <c r="F160" i="88"/>
  <c r="B160" i="88"/>
  <c r="H148" i="88"/>
  <c r="I148" i="88" s="1"/>
  <c r="D161" i="88" l="1"/>
  <c r="D168" i="88" s="1"/>
  <c r="D169" i="88" s="1"/>
  <c r="D170" i="88" s="1"/>
  <c r="D171" i="88" s="1"/>
  <c r="D172" i="88" s="1"/>
  <c r="D173" i="88" s="1"/>
  <c r="D174" i="88" s="1"/>
  <c r="G161" i="88"/>
  <c r="G168" i="88" s="1"/>
  <c r="G169" i="88" s="1"/>
  <c r="G170" i="88" s="1"/>
  <c r="G171" i="88" s="1"/>
  <c r="G172" i="88" s="1"/>
  <c r="G173" i="88" s="1"/>
  <c r="G174" i="88" s="1"/>
  <c r="H161" i="88"/>
  <c r="H168" i="88" s="1"/>
  <c r="H169" i="88" s="1"/>
  <c r="H170" i="88" s="1"/>
  <c r="H171" i="88" s="1"/>
  <c r="H172" i="88" s="1"/>
  <c r="H173" i="88" s="1"/>
  <c r="H174" i="88" s="1"/>
  <c r="C161" i="88"/>
  <c r="C168" i="88" s="1"/>
  <c r="C169" i="88" s="1"/>
  <c r="C170" i="88" s="1"/>
  <c r="C171" i="88" s="1"/>
  <c r="C172" i="88" s="1"/>
  <c r="C173" i="88" s="1"/>
  <c r="C174" i="88" s="1"/>
  <c r="F208" i="88"/>
  <c r="B161" i="88"/>
  <c r="B168" i="88" s="1"/>
  <c r="B169" i="88" s="1"/>
  <c r="B170" i="88" s="1"/>
  <c r="B171" i="88" s="1"/>
  <c r="B172" i="88" s="1"/>
  <c r="B173" i="88" s="1"/>
  <c r="B174" i="88" s="1"/>
  <c r="G210" i="88"/>
  <c r="E211" i="88"/>
  <c r="H208" i="88"/>
  <c r="Q208" i="88" s="1"/>
  <c r="V208" i="88" s="1"/>
  <c r="P208" i="88"/>
  <c r="W208" i="88" s="1"/>
  <c r="C231" i="88" l="1"/>
  <c r="H210" i="88"/>
  <c r="G213" i="88"/>
  <c r="N146" i="70"/>
  <c r="I146" i="70"/>
  <c r="G146" i="70"/>
  <c r="F146" i="70"/>
  <c r="D146" i="70"/>
  <c r="E146" i="70" s="1"/>
  <c r="I138" i="70"/>
  <c r="G138" i="70"/>
  <c r="F138" i="70"/>
  <c r="E138" i="70"/>
  <c r="I137" i="70"/>
  <c r="G137" i="70"/>
  <c r="F137" i="70"/>
  <c r="D137" i="70"/>
  <c r="E137" i="70" s="1"/>
  <c r="I134" i="70"/>
  <c r="E134" i="70"/>
  <c r="I133" i="70"/>
  <c r="G133" i="70"/>
  <c r="F133" i="70"/>
  <c r="D133" i="70"/>
  <c r="E133" i="70" s="1"/>
  <c r="I132" i="70"/>
  <c r="G132" i="70"/>
  <c r="F132" i="70"/>
  <c r="D132" i="70"/>
  <c r="E132" i="70" s="1"/>
  <c r="I131" i="70"/>
  <c r="G131" i="70"/>
  <c r="F131" i="70"/>
  <c r="D131" i="70"/>
  <c r="E131" i="70" s="1"/>
  <c r="I130" i="70"/>
  <c r="G130" i="70"/>
  <c r="F130" i="70"/>
  <c r="D130" i="70"/>
  <c r="E130" i="70" s="1"/>
  <c r="A119" i="70"/>
  <c r="A118" i="70"/>
  <c r="A117" i="70"/>
  <c r="A116" i="70"/>
  <c r="A115" i="70"/>
  <c r="A114" i="70"/>
  <c r="A113" i="70"/>
  <c r="B92" i="70"/>
  <c r="B91" i="70"/>
  <c r="B88" i="70"/>
  <c r="B87" i="70"/>
  <c r="B86" i="70"/>
  <c r="B85" i="70"/>
  <c r="B84" i="70"/>
  <c r="B53" i="70"/>
  <c r="B47" i="70"/>
  <c r="B46" i="70"/>
  <c r="A34" i="70"/>
  <c r="J31" i="70"/>
  <c r="D31" i="70" s="1"/>
  <c r="E31" i="70" s="1"/>
  <c r="J28" i="70"/>
  <c r="J27" i="70"/>
  <c r="J26" i="70"/>
  <c r="D26" i="70" s="1"/>
  <c r="G39" i="70" s="1"/>
  <c r="C39" i="70"/>
  <c r="C42" i="70"/>
  <c r="C40" i="70"/>
  <c r="C43" i="70"/>
  <c r="C41" i="70"/>
  <c r="C46" i="70"/>
  <c r="C47" i="70"/>
  <c r="G46" i="70" l="1"/>
  <c r="H146" i="70"/>
  <c r="H132" i="70"/>
  <c r="H138" i="70"/>
  <c r="H131" i="70"/>
  <c r="H137" i="70"/>
  <c r="C48" i="70"/>
  <c r="D47" i="70"/>
  <c r="D46" i="70"/>
  <c r="E26" i="70"/>
  <c r="H133" i="70"/>
  <c r="F31" i="70"/>
  <c r="G47" i="70" s="1"/>
  <c r="H130" i="70"/>
  <c r="H134" i="70"/>
  <c r="J138" i="70" l="1"/>
  <c r="J137" i="70"/>
  <c r="F26" i="70"/>
  <c r="C91" i="67"/>
  <c r="F80" i="67"/>
  <c r="A39" i="67"/>
  <c r="A64" i="67"/>
  <c r="A63" i="67"/>
  <c r="A62" i="67"/>
  <c r="A61" i="67"/>
  <c r="A60" i="67"/>
  <c r="A59" i="67"/>
  <c r="A58" i="67"/>
  <c r="A48" i="67"/>
  <c r="A44" i="67"/>
  <c r="D33" i="67"/>
  <c r="D17" i="67"/>
  <c r="D18" i="67" s="1"/>
  <c r="A25" i="67"/>
  <c r="A21" i="67"/>
  <c r="K137" i="70" l="1"/>
  <c r="K138" i="70"/>
  <c r="D19" i="67"/>
  <c r="C28" i="67"/>
  <c r="C29" i="67" s="1"/>
  <c r="D28" i="67"/>
  <c r="D37" i="67"/>
  <c r="D41" i="67" s="1"/>
  <c r="E52" i="57"/>
  <c r="N71" i="66" s="1"/>
  <c r="O69" i="57"/>
  <c r="O70" i="57" s="1"/>
  <c r="M78" i="66"/>
  <c r="I78" i="66"/>
  <c r="G78" i="66"/>
  <c r="F78" i="66"/>
  <c r="D78" i="66"/>
  <c r="E78" i="66" s="1"/>
  <c r="A59" i="66"/>
  <c r="A58" i="66"/>
  <c r="A57" i="66"/>
  <c r="A56" i="66"/>
  <c r="A55" i="66"/>
  <c r="A54" i="66"/>
  <c r="A53" i="66"/>
  <c r="A44" i="66"/>
  <c r="A39" i="66"/>
  <c r="A27" i="66"/>
  <c r="A15" i="66"/>
  <c r="E11" i="66"/>
  <c r="D11" i="66"/>
  <c r="O71" i="57"/>
  <c r="A9" i="66" s="1"/>
  <c r="B20" i="66" l="1"/>
  <c r="C20" i="66" s="1"/>
  <c r="C37" i="66"/>
  <c r="B80" i="67"/>
  <c r="H80" i="67" s="1"/>
  <c r="C51" i="67"/>
  <c r="C52" i="67" s="1"/>
  <c r="D58" i="67" s="1"/>
  <c r="D51" i="67"/>
  <c r="B37" i="66"/>
  <c r="U78" i="66"/>
  <c r="H78" i="66"/>
  <c r="D42" i="67"/>
  <c r="C80" i="67" s="1"/>
  <c r="I80" i="67" s="1"/>
  <c r="O71" i="66"/>
  <c r="N124" i="55"/>
  <c r="F16" i="57"/>
  <c r="E21" i="57" s="1"/>
  <c r="F18" i="57"/>
  <c r="E22" i="57" s="1"/>
  <c r="F17" i="57"/>
  <c r="F15" i="57"/>
  <c r="F14" i="57"/>
  <c r="F13" i="57"/>
  <c r="F12" i="57"/>
  <c r="F11" i="57"/>
  <c r="F10" i="57"/>
  <c r="F9" i="57"/>
  <c r="F8" i="57"/>
  <c r="F7" i="57"/>
  <c r="O191" i="88" l="1"/>
  <c r="O190" i="88"/>
  <c r="O208" i="88"/>
  <c r="O209" i="88"/>
  <c r="J109" i="84"/>
  <c r="D59" i="67"/>
  <c r="D60" i="67" s="1"/>
  <c r="D61" i="67" s="1"/>
  <c r="D62" i="67" s="1"/>
  <c r="D63" i="67" s="1"/>
  <c r="D64" i="67" s="1"/>
  <c r="C98" i="67"/>
  <c r="J120" i="50"/>
  <c r="O187" i="73"/>
  <c r="O206" i="73"/>
  <c r="O188" i="73"/>
  <c r="O205" i="73"/>
  <c r="S146" i="70"/>
  <c r="O146" i="70"/>
  <c r="K80" i="67"/>
  <c r="G80" i="67"/>
  <c r="K71" i="66"/>
  <c r="G71" i="66"/>
  <c r="N78" i="66"/>
  <c r="R78" i="66"/>
  <c r="O124" i="55"/>
  <c r="I116" i="55" l="1"/>
  <c r="I115" i="55"/>
  <c r="I114" i="55"/>
  <c r="I113" i="55"/>
  <c r="I112" i="55"/>
  <c r="I111" i="55"/>
  <c r="I110" i="55"/>
  <c r="G116" i="55"/>
  <c r="G115" i="55"/>
  <c r="G113" i="55"/>
  <c r="G112" i="55"/>
  <c r="G111" i="55"/>
  <c r="G110" i="55"/>
  <c r="F116" i="55"/>
  <c r="F115" i="55"/>
  <c r="F113" i="55"/>
  <c r="F112" i="55"/>
  <c r="F111" i="55"/>
  <c r="F110" i="55"/>
  <c r="D116" i="55"/>
  <c r="E116" i="55" s="1"/>
  <c r="D115" i="55"/>
  <c r="E115" i="55" s="1"/>
  <c r="D114" i="55"/>
  <c r="E114" i="55" s="1"/>
  <c r="D113" i="55"/>
  <c r="E113" i="55" s="1"/>
  <c r="D112" i="55"/>
  <c r="E112" i="55" s="1"/>
  <c r="D111" i="55"/>
  <c r="E111" i="55" s="1"/>
  <c r="D110" i="55"/>
  <c r="E110" i="55" s="1"/>
  <c r="J22" i="55"/>
  <c r="O42" i="57"/>
  <c r="I63" i="57" l="1"/>
  <c r="I62" i="57"/>
  <c r="B8" i="70" s="1"/>
  <c r="I61" i="57"/>
  <c r="I60" i="57"/>
  <c r="I59" i="57"/>
  <c r="I58" i="57"/>
  <c r="I57" i="57"/>
  <c r="I56" i="57"/>
  <c r="B7" i="70" s="1"/>
  <c r="I55" i="57"/>
  <c r="B5" i="50" l="1"/>
  <c r="B76" i="50" s="1"/>
  <c r="B5" i="84"/>
  <c r="B9" i="70"/>
  <c r="E44" i="70"/>
  <c r="E45" i="70"/>
  <c r="B6" i="70"/>
  <c r="E39" i="70" s="1"/>
  <c r="E40" i="70"/>
  <c r="E41" i="70"/>
  <c r="E42" i="70"/>
  <c r="E43" i="70"/>
  <c r="A77" i="84" l="1"/>
  <c r="E46" i="70"/>
  <c r="F46" i="70" s="1"/>
  <c r="H46" i="70" s="1"/>
  <c r="E47" i="70"/>
  <c r="F47" i="70" s="1"/>
  <c r="H47" i="70" s="1"/>
  <c r="A26" i="55"/>
  <c r="H47" i="14"/>
  <c r="B37" i="55"/>
  <c r="B36" i="55"/>
  <c r="C35" i="55"/>
  <c r="C37" i="55"/>
  <c r="C31" i="55"/>
  <c r="C34" i="55"/>
  <c r="C36" i="55"/>
  <c r="C32" i="55"/>
  <c r="C33" i="55"/>
  <c r="C92" i="70" l="1"/>
  <c r="D92" i="70" s="1"/>
  <c r="E92" i="70" s="1"/>
  <c r="F92" i="70" s="1"/>
  <c r="V138" i="70"/>
  <c r="C91" i="70"/>
  <c r="D91" i="70" s="1"/>
  <c r="E91" i="70" s="1"/>
  <c r="F91" i="70" s="1"/>
  <c r="V137" i="70"/>
  <c r="B47" i="55"/>
  <c r="B62" i="70"/>
  <c r="B75" i="70" s="1"/>
  <c r="C38" i="55"/>
  <c r="D37" i="55"/>
  <c r="D36" i="55"/>
  <c r="S124" i="55"/>
  <c r="I124" i="55"/>
  <c r="G124" i="55"/>
  <c r="F124" i="55"/>
  <c r="D124" i="55"/>
  <c r="E124" i="55" s="1"/>
  <c r="B73" i="55"/>
  <c r="B71" i="55"/>
  <c r="B69" i="55"/>
  <c r="J115" i="55" l="1"/>
  <c r="K115" i="55" s="1"/>
  <c r="J116" i="55"/>
  <c r="K116" i="55" s="1"/>
  <c r="H116" i="55"/>
  <c r="H115" i="55"/>
  <c r="H124" i="55"/>
  <c r="H111" i="55"/>
  <c r="H112" i="55"/>
  <c r="H113" i="55"/>
  <c r="H114" i="55"/>
  <c r="H110" i="55"/>
  <c r="B72" i="55"/>
  <c r="B70" i="55"/>
  <c r="B68" i="55"/>
  <c r="B67" i="55"/>
  <c r="A99" i="55"/>
  <c r="A98" i="55"/>
  <c r="A97" i="55"/>
  <c r="A96" i="55"/>
  <c r="A95" i="55"/>
  <c r="A94" i="55"/>
  <c r="A93" i="55"/>
  <c r="B40" i="55"/>
  <c r="D22" i="55"/>
  <c r="J21" i="55"/>
  <c r="D21" i="55" s="1"/>
  <c r="J20" i="55"/>
  <c r="D20" i="55" s="1"/>
  <c r="J19" i="55"/>
  <c r="D19" i="55" s="1"/>
  <c r="V110" i="55" s="1"/>
  <c r="E21" i="55" l="1"/>
  <c r="C70" i="55" s="1"/>
  <c r="E20" i="55"/>
  <c r="C68" i="55" s="1"/>
  <c r="E22" i="55"/>
  <c r="C72" i="55" s="1"/>
  <c r="D72" i="55" s="1"/>
  <c r="E72" i="55" s="1"/>
  <c r="E19" i="55"/>
  <c r="C67" i="55" s="1"/>
  <c r="F21" i="55" l="1"/>
  <c r="C71" i="55" s="1"/>
  <c r="V113" i="55"/>
  <c r="F72" i="55"/>
  <c r="B58" i="55"/>
  <c r="F22" i="55"/>
  <c r="C73" i="55" s="1"/>
  <c r="D73" i="55" s="1"/>
  <c r="E73" i="55" s="1"/>
  <c r="V115" i="55"/>
  <c r="V111" i="55"/>
  <c r="F20" i="55"/>
  <c r="C69" i="55" s="1"/>
  <c r="F19" i="55"/>
  <c r="V114" i="55" l="1"/>
  <c r="F73" i="55"/>
  <c r="C74" i="55"/>
  <c r="V124" i="55" s="1"/>
  <c r="V112" i="55"/>
  <c r="V116" i="55"/>
  <c r="V117" i="55" l="1"/>
  <c r="D106" i="59" l="1"/>
  <c r="D110" i="59" s="1"/>
  <c r="D116" i="59" l="1"/>
  <c r="A71" i="59"/>
  <c r="A64" i="59"/>
  <c r="A63" i="59"/>
  <c r="A62" i="59"/>
  <c r="A61" i="59"/>
  <c r="A60" i="59"/>
  <c r="A59" i="59"/>
  <c r="A58" i="59"/>
  <c r="N43" i="14"/>
  <c r="M43" i="14"/>
  <c r="L43" i="14"/>
  <c r="F26" i="59"/>
  <c r="G19" i="59"/>
  <c r="D30" i="59"/>
  <c r="H26" i="59"/>
  <c r="H20" i="59"/>
  <c r="C20" i="59"/>
  <c r="B23" i="59"/>
  <c r="F31" i="59"/>
  <c r="G30" i="59"/>
  <c r="F32" i="59"/>
  <c r="E19" i="59"/>
  <c r="F28" i="59"/>
  <c r="B29" i="59"/>
  <c r="B19" i="59"/>
  <c r="G32" i="59"/>
  <c r="C19" i="59"/>
  <c r="D32" i="59"/>
  <c r="E22" i="59"/>
  <c r="H28" i="59"/>
  <c r="H29" i="59"/>
  <c r="D19" i="59"/>
  <c r="F33" i="59"/>
  <c r="D23" i="59"/>
  <c r="C24" i="59"/>
  <c r="E28" i="59"/>
  <c r="E31" i="59"/>
  <c r="G21" i="59"/>
  <c r="B28" i="59"/>
  <c r="D24" i="59"/>
  <c r="C31" i="59"/>
  <c r="H19" i="59"/>
  <c r="E29" i="59"/>
  <c r="G29" i="59"/>
  <c r="H27" i="59"/>
  <c r="B26" i="59"/>
  <c r="H23" i="59"/>
  <c r="B32" i="59"/>
  <c r="C26" i="59"/>
  <c r="D28" i="59"/>
  <c r="E21" i="59"/>
  <c r="B33" i="59"/>
  <c r="F30" i="59"/>
  <c r="B30" i="59"/>
  <c r="G33" i="59"/>
  <c r="H22" i="59"/>
  <c r="H24" i="59"/>
  <c r="F27" i="59"/>
  <c r="G25" i="59"/>
  <c r="B25" i="59"/>
  <c r="B31" i="59"/>
  <c r="E25" i="59"/>
  <c r="E32" i="59"/>
  <c r="C28" i="59"/>
  <c r="C29" i="59"/>
  <c r="D20" i="59"/>
  <c r="E30" i="59"/>
  <c r="H32" i="59"/>
  <c r="B20" i="59"/>
  <c r="H30" i="59"/>
  <c r="G27" i="59"/>
  <c r="E26" i="59"/>
  <c r="B22" i="59"/>
  <c r="C30" i="59"/>
  <c r="G20" i="59"/>
  <c r="D22" i="59"/>
  <c r="C25" i="59"/>
  <c r="C32" i="59"/>
  <c r="D25" i="59"/>
  <c r="F23" i="59"/>
  <c r="G24" i="59"/>
  <c r="D26" i="59"/>
  <c r="E23" i="59"/>
  <c r="D27" i="59"/>
  <c r="B21" i="59"/>
  <c r="H21" i="59"/>
  <c r="F24" i="59"/>
  <c r="E24" i="59"/>
  <c r="E27" i="59"/>
  <c r="B24" i="59"/>
  <c r="C22" i="59"/>
  <c r="C23" i="59"/>
  <c r="G23" i="59"/>
  <c r="D21" i="59"/>
  <c r="G26" i="59"/>
  <c r="F29" i="59"/>
  <c r="C27" i="59"/>
  <c r="C33" i="59"/>
  <c r="B27" i="59"/>
  <c r="E20" i="59"/>
  <c r="D33" i="59"/>
  <c r="G31" i="59"/>
  <c r="D31" i="59"/>
  <c r="F21" i="59"/>
  <c r="F25" i="59"/>
  <c r="C21" i="59"/>
  <c r="G22" i="59"/>
  <c r="D29" i="59"/>
  <c r="H31" i="59"/>
  <c r="F19" i="59"/>
  <c r="H33" i="59"/>
  <c r="E33" i="59"/>
  <c r="H25" i="59"/>
  <c r="F20" i="59"/>
  <c r="F22" i="59"/>
  <c r="G28" i="59"/>
  <c r="D117" i="59" l="1"/>
  <c r="D37" i="59"/>
  <c r="D38" i="59" s="1"/>
  <c r="H37" i="59"/>
  <c r="H38" i="59" s="1"/>
  <c r="E37" i="59"/>
  <c r="E38" i="59" s="1"/>
  <c r="F37" i="59"/>
  <c r="F38" i="59" s="1"/>
  <c r="C37" i="59"/>
  <c r="C38" i="59" s="1"/>
  <c r="G37" i="59"/>
  <c r="G38" i="59" s="1"/>
  <c r="B37" i="59"/>
  <c r="B38" i="59" s="1"/>
  <c r="E73" i="57"/>
  <c r="O38" i="57"/>
  <c r="O37" i="57"/>
  <c r="O36" i="57"/>
  <c r="O35" i="57"/>
  <c r="O34" i="57"/>
  <c r="E71" i="57" l="1"/>
  <c r="F6" i="57"/>
  <c r="E19" i="57"/>
  <c r="H91" i="59"/>
  <c r="K91" i="59" s="1"/>
  <c r="D120" i="59"/>
  <c r="D123" i="59" s="1"/>
  <c r="D124" i="59" s="1"/>
  <c r="D125" i="59" s="1"/>
  <c r="D127" i="59" s="1"/>
  <c r="H93" i="59"/>
  <c r="K93" i="59" s="1"/>
  <c r="D129" i="59" l="1"/>
  <c r="C141" i="59" s="1"/>
  <c r="H92" i="59"/>
  <c r="K92" i="59" s="1"/>
  <c r="H86" i="59"/>
  <c r="K86" i="59" s="1"/>
  <c r="H85" i="59"/>
  <c r="K85" i="59" s="1"/>
  <c r="L80" i="67" l="1"/>
  <c r="M80" i="67"/>
  <c r="L77" i="14"/>
  <c r="L104" i="14" s="1"/>
  <c r="C93" i="67" l="1"/>
  <c r="C95" i="67" l="1"/>
  <c r="C101" i="67" s="1"/>
  <c r="A89" i="50" l="1"/>
  <c r="AA40" i="43"/>
  <c r="Y40" i="43"/>
  <c r="X40" i="43"/>
  <c r="V40" i="43"/>
  <c r="U40" i="43"/>
  <c r="Y39" i="43"/>
  <c r="V39" i="43"/>
  <c r="U39" i="43"/>
  <c r="A104" i="50"/>
  <c r="A103" i="50"/>
  <c r="A102" i="50"/>
  <c r="A101" i="50"/>
  <c r="A100" i="50"/>
  <c r="A99" i="50"/>
  <c r="A98" i="50"/>
  <c r="B51" i="50"/>
  <c r="B26" i="50"/>
  <c r="D23" i="50"/>
  <c r="D22" i="50"/>
  <c r="X39" i="43"/>
  <c r="H38" i="84" l="1"/>
  <c r="C113" i="84" s="1"/>
  <c r="H37" i="84"/>
  <c r="J38" i="35"/>
  <c r="K38" i="35" s="1"/>
  <c r="D77" i="84" l="1"/>
  <c r="D79" i="84" s="1"/>
  <c r="H77" i="84"/>
  <c r="H79" i="84" s="1"/>
  <c r="B77" i="84"/>
  <c r="B79" i="84" s="1"/>
  <c r="C77" i="84"/>
  <c r="C79" i="84" s="1"/>
  <c r="G77" i="84"/>
  <c r="G79" i="84" s="1"/>
  <c r="F77" i="84"/>
  <c r="F79" i="84" s="1"/>
  <c r="E77" i="84"/>
  <c r="E79" i="84" s="1"/>
  <c r="L38" i="35"/>
  <c r="J37" i="35"/>
  <c r="D69" i="35"/>
  <c r="D73" i="35" s="1"/>
  <c r="C69" i="35"/>
  <c r="C73" i="35" s="1"/>
  <c r="B69" i="35"/>
  <c r="B73" i="35" s="1"/>
  <c r="G69" i="35"/>
  <c r="G73" i="35" s="1"/>
  <c r="F69" i="35"/>
  <c r="F73" i="35" s="1"/>
  <c r="E69" i="35"/>
  <c r="E73" i="35" s="1"/>
  <c r="I69" i="35"/>
  <c r="I73" i="35" s="1"/>
  <c r="H69" i="35"/>
  <c r="H73" i="35" s="1"/>
  <c r="E86" i="84" l="1"/>
  <c r="E90" i="84"/>
  <c r="E88" i="84"/>
  <c r="E89" i="84"/>
  <c r="E92" i="84"/>
  <c r="E87" i="84"/>
  <c r="E91" i="84"/>
  <c r="F92" i="84"/>
  <c r="F88" i="84"/>
  <c r="F86" i="84"/>
  <c r="F91" i="84"/>
  <c r="F89" i="84"/>
  <c r="F87" i="84"/>
  <c r="F90" i="84"/>
  <c r="G91" i="84"/>
  <c r="G88" i="84"/>
  <c r="G89" i="84"/>
  <c r="G86" i="84"/>
  <c r="G87" i="84"/>
  <c r="G90" i="84"/>
  <c r="G92" i="84"/>
  <c r="C89" i="84"/>
  <c r="C87" i="84"/>
  <c r="C90" i="84"/>
  <c r="C88" i="84"/>
  <c r="C92" i="84"/>
  <c r="C86" i="84"/>
  <c r="C91" i="84"/>
  <c r="B92" i="84"/>
  <c r="B87" i="84"/>
  <c r="B89" i="84"/>
  <c r="B91" i="84"/>
  <c r="B90" i="84"/>
  <c r="B86" i="84"/>
  <c r="B88" i="84"/>
  <c r="H87" i="84"/>
  <c r="H90" i="84"/>
  <c r="H86" i="84"/>
  <c r="H88" i="84"/>
  <c r="H91" i="84"/>
  <c r="H89" i="84"/>
  <c r="H92" i="84"/>
  <c r="D89" i="84"/>
  <c r="D92" i="84"/>
  <c r="D90" i="84"/>
  <c r="D91" i="84"/>
  <c r="D86" i="84"/>
  <c r="C154" i="84" s="1"/>
  <c r="D87" i="84"/>
  <c r="D88" i="84"/>
  <c r="P38" i="35"/>
  <c r="R38" i="35"/>
  <c r="Q38" i="35"/>
  <c r="B72" i="35"/>
  <c r="D72" i="35"/>
  <c r="C72" i="35"/>
  <c r="E72" i="35"/>
  <c r="F72" i="35"/>
  <c r="G72" i="35"/>
  <c r="H72" i="35"/>
  <c r="I72" i="35"/>
  <c r="C153" i="84" l="1"/>
  <c r="E42" i="55"/>
  <c r="C88" i="73"/>
  <c r="B55" i="70"/>
  <c r="F55" i="70"/>
  <c r="C42" i="55"/>
  <c r="E55" i="70"/>
  <c r="F42" i="55"/>
  <c r="C56" i="50"/>
  <c r="C55" i="70"/>
  <c r="H42" i="55"/>
  <c r="B42" i="55"/>
  <c r="G42" i="55"/>
  <c r="G55" i="70"/>
  <c r="D55" i="70"/>
  <c r="H55" i="70"/>
  <c r="D42" i="55"/>
  <c r="E56" i="50" l="1"/>
  <c r="E88" i="73"/>
  <c r="B144" i="73" s="1"/>
  <c r="E189" i="73" s="1"/>
  <c r="AA299" i="44"/>
  <c r="Z299" i="44"/>
  <c r="Y299" i="44"/>
  <c r="X299" i="44"/>
  <c r="AA298" i="44"/>
  <c r="Z298" i="44"/>
  <c r="G25" i="70" s="1"/>
  <c r="Y298" i="44"/>
  <c r="X298" i="44"/>
  <c r="AA297" i="44"/>
  <c r="Z297" i="44"/>
  <c r="Y297" i="44"/>
  <c r="X297" i="44"/>
  <c r="W297" i="44"/>
  <c r="W299" i="44"/>
  <c r="W298" i="44"/>
  <c r="AA296" i="44"/>
  <c r="Z296" i="44"/>
  <c r="E25" i="70" s="1"/>
  <c r="F25" i="70" s="1"/>
  <c r="Y296" i="44"/>
  <c r="X296" i="44"/>
  <c r="W296" i="44"/>
  <c r="B82" i="26"/>
  <c r="Q39" i="26"/>
  <c r="P39" i="26"/>
  <c r="O39" i="26"/>
  <c r="N39" i="26"/>
  <c r="M39" i="26"/>
  <c r="L39" i="26"/>
  <c r="K39" i="26"/>
  <c r="J39" i="26"/>
  <c r="I39" i="26"/>
  <c r="H39" i="26"/>
  <c r="G39" i="26"/>
  <c r="F39" i="26"/>
  <c r="E39" i="26"/>
  <c r="D39" i="26"/>
  <c r="C39" i="26"/>
  <c r="F40" i="26" l="1"/>
  <c r="H40" i="26"/>
  <c r="Q40" i="26"/>
  <c r="H25" i="70"/>
  <c r="D27" i="70"/>
  <c r="D28" i="70"/>
  <c r="D40" i="26"/>
  <c r="O40" i="26"/>
  <c r="E40" i="26"/>
  <c r="S39" i="26"/>
  <c r="G40" i="26"/>
  <c r="P40" i="26"/>
  <c r="I40" i="26"/>
  <c r="D144" i="73"/>
  <c r="E144" i="73" s="1"/>
  <c r="F144" i="73" s="1"/>
  <c r="F145" i="73" s="1"/>
  <c r="L40" i="26"/>
  <c r="J40" i="26"/>
  <c r="M40" i="26"/>
  <c r="N40" i="26"/>
  <c r="K40" i="26"/>
  <c r="R39" i="26"/>
  <c r="R40" i="26" s="1"/>
  <c r="O20" i="26"/>
  <c r="N20" i="26"/>
  <c r="L20" i="26"/>
  <c r="K20" i="26"/>
  <c r="J20" i="26"/>
  <c r="R20" i="26"/>
  <c r="Q20" i="26"/>
  <c r="P20" i="26"/>
  <c r="M20" i="26"/>
  <c r="I20" i="26"/>
  <c r="H20" i="26"/>
  <c r="G36" i="26"/>
  <c r="F36" i="26"/>
  <c r="E36" i="26"/>
  <c r="D36" i="26"/>
  <c r="C36" i="26"/>
  <c r="G35" i="26"/>
  <c r="F35" i="26"/>
  <c r="E35" i="26"/>
  <c r="D35" i="26"/>
  <c r="C35" i="26"/>
  <c r="G34" i="26"/>
  <c r="F34" i="26"/>
  <c r="E34" i="26"/>
  <c r="D34" i="26"/>
  <c r="C34" i="26"/>
  <c r="G33" i="26"/>
  <c r="F33" i="26"/>
  <c r="E33" i="26"/>
  <c r="D33" i="26"/>
  <c r="C33" i="26"/>
  <c r="G32" i="26"/>
  <c r="F32" i="26"/>
  <c r="E32" i="26"/>
  <c r="D32" i="26"/>
  <c r="C32" i="26"/>
  <c r="G31" i="26"/>
  <c r="F31" i="26"/>
  <c r="E31" i="26"/>
  <c r="D31" i="26"/>
  <c r="C31" i="26"/>
  <c r="G30" i="26"/>
  <c r="F30" i="26"/>
  <c r="E30" i="26"/>
  <c r="D30" i="26"/>
  <c r="C30" i="26"/>
  <c r="G29" i="26"/>
  <c r="F29" i="26"/>
  <c r="E29" i="26"/>
  <c r="D29" i="26"/>
  <c r="C29" i="26"/>
  <c r="G28" i="26"/>
  <c r="F28" i="26"/>
  <c r="E28" i="26"/>
  <c r="D28" i="26"/>
  <c r="C28" i="26"/>
  <c r="G27" i="26"/>
  <c r="F27" i="26"/>
  <c r="E27" i="26"/>
  <c r="D27" i="26"/>
  <c r="C27" i="26"/>
  <c r="G26" i="26"/>
  <c r="F26" i="26"/>
  <c r="E26" i="26"/>
  <c r="D26" i="26"/>
  <c r="C26" i="26"/>
  <c r="G25" i="26"/>
  <c r="F25" i="26"/>
  <c r="E25" i="26"/>
  <c r="D25" i="26"/>
  <c r="C25" i="26"/>
  <c r="G24" i="26"/>
  <c r="F24" i="26"/>
  <c r="E24" i="26"/>
  <c r="D24" i="26"/>
  <c r="C24" i="26"/>
  <c r="G23" i="26"/>
  <c r="F23" i="26"/>
  <c r="E23" i="26"/>
  <c r="D23" i="26"/>
  <c r="C23" i="26"/>
  <c r="G22" i="26"/>
  <c r="F22" i="26"/>
  <c r="E22" i="26"/>
  <c r="D22" i="26"/>
  <c r="C22" i="26"/>
  <c r="G21" i="26"/>
  <c r="F21" i="26"/>
  <c r="E21" i="26"/>
  <c r="D21" i="26"/>
  <c r="C21" i="26"/>
  <c r="G20" i="26"/>
  <c r="F20" i="26"/>
  <c r="E20" i="26"/>
  <c r="D20" i="26"/>
  <c r="C20" i="26"/>
  <c r="G19" i="26"/>
  <c r="F19" i="26"/>
  <c r="E19" i="26"/>
  <c r="D19" i="26"/>
  <c r="C19" i="26"/>
  <c r="G18" i="26"/>
  <c r="F18" i="26"/>
  <c r="E18" i="26"/>
  <c r="D18" i="26"/>
  <c r="C18" i="26"/>
  <c r="G17" i="26"/>
  <c r="F17" i="26"/>
  <c r="E17" i="26"/>
  <c r="D17" i="26"/>
  <c r="C17" i="26"/>
  <c r="G16" i="26"/>
  <c r="F16" i="26"/>
  <c r="E16" i="26"/>
  <c r="D16" i="26"/>
  <c r="C16" i="26"/>
  <c r="G15" i="26"/>
  <c r="F15" i="26"/>
  <c r="E15" i="26"/>
  <c r="D15" i="26"/>
  <c r="C15" i="26"/>
  <c r="G14" i="26"/>
  <c r="F14" i="26"/>
  <c r="E14" i="26"/>
  <c r="D14" i="26"/>
  <c r="C14" i="26"/>
  <c r="G13" i="26"/>
  <c r="F13" i="26"/>
  <c r="E13" i="26"/>
  <c r="D13" i="26"/>
  <c r="C13" i="26"/>
  <c r="G12" i="26"/>
  <c r="F12" i="26"/>
  <c r="E12" i="26"/>
  <c r="D12" i="26"/>
  <c r="C12" i="26"/>
  <c r="G11" i="26"/>
  <c r="F11" i="26"/>
  <c r="E11" i="26"/>
  <c r="D11" i="26"/>
  <c r="C11" i="26"/>
  <c r="G10" i="26"/>
  <c r="F10" i="26"/>
  <c r="E10" i="26"/>
  <c r="D10" i="26"/>
  <c r="C10" i="26"/>
  <c r="G9" i="26"/>
  <c r="F9" i="26"/>
  <c r="E9" i="26"/>
  <c r="D9" i="26"/>
  <c r="C9" i="26"/>
  <c r="G8" i="26"/>
  <c r="F8" i="26"/>
  <c r="E8" i="26"/>
  <c r="D8" i="26"/>
  <c r="C8" i="26"/>
  <c r="G7" i="26"/>
  <c r="F7" i="26"/>
  <c r="E7" i="26"/>
  <c r="D7" i="26"/>
  <c r="C7" i="26"/>
  <c r="G6" i="26"/>
  <c r="F6" i="26"/>
  <c r="E6" i="26"/>
  <c r="D6" i="26"/>
  <c r="C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F40" i="26"/>
  <c r="AP40" i="26"/>
  <c r="AY6" i="26" s="1"/>
  <c r="K6" i="26" l="1"/>
  <c r="E28" i="70"/>
  <c r="G42" i="70" s="1"/>
  <c r="E27" i="70"/>
  <c r="G40" i="70" s="1"/>
  <c r="D30" i="70"/>
  <c r="D29" i="70"/>
  <c r="BC6" i="26"/>
  <c r="AV11" i="26"/>
  <c r="H11" i="26" s="1"/>
  <c r="AY14" i="26"/>
  <c r="K14" i="26" s="1"/>
  <c r="AC14" i="26" s="1"/>
  <c r="AZ23" i="26"/>
  <c r="L23" i="26" s="1"/>
  <c r="L67" i="26" s="1"/>
  <c r="BB17" i="26"/>
  <c r="N17" i="26" s="1"/>
  <c r="AV10" i="26"/>
  <c r="H10" i="26" s="1"/>
  <c r="AZ13" i="26"/>
  <c r="L13" i="26" s="1"/>
  <c r="BC16" i="26"/>
  <c r="O16" i="26" s="1"/>
  <c r="BA22" i="26"/>
  <c r="M22" i="26" s="1"/>
  <c r="BD25" i="26"/>
  <c r="P25" i="26" s="1"/>
  <c r="P69" i="26" s="1"/>
  <c r="AW30" i="26"/>
  <c r="I30" i="26" s="1"/>
  <c r="I74" i="26" s="1"/>
  <c r="AZ33" i="26"/>
  <c r="L33" i="26" s="1"/>
  <c r="L77" i="26" s="1"/>
  <c r="BB6" i="26"/>
  <c r="AW10" i="26"/>
  <c r="I10" i="26" s="1"/>
  <c r="AX14" i="26"/>
  <c r="J14" i="26" s="1"/>
  <c r="BA17" i="26"/>
  <c r="M17" i="26" s="1"/>
  <c r="BB22" i="26"/>
  <c r="N22" i="26" s="1"/>
  <c r="BE25" i="26"/>
  <c r="Q25" i="26" s="1"/>
  <c r="Q69" i="26" s="1"/>
  <c r="AX30" i="26"/>
  <c r="J30" i="26" s="1"/>
  <c r="J74" i="26" s="1"/>
  <c r="BA33" i="26"/>
  <c r="M33" i="26" s="1"/>
  <c r="M77" i="26" s="1"/>
  <c r="D38" i="26"/>
  <c r="D82" i="26" s="1"/>
  <c r="BD6" i="26"/>
  <c r="AW11" i="26"/>
  <c r="I11" i="26" s="1"/>
  <c r="AZ14" i="26"/>
  <c r="L14" i="26" s="1"/>
  <c r="BC17" i="26"/>
  <c r="O17" i="26" s="1"/>
  <c r="BA23" i="26"/>
  <c r="M23" i="26" s="1"/>
  <c r="BD26" i="26"/>
  <c r="P26" i="26" s="1"/>
  <c r="AW31" i="26"/>
  <c r="I31" i="26" s="1"/>
  <c r="I75" i="26" s="1"/>
  <c r="AZ34" i="26"/>
  <c r="L34" i="26" s="1"/>
  <c r="L78" i="26" s="1"/>
  <c r="BC26" i="26"/>
  <c r="O26" i="26" s="1"/>
  <c r="AV31" i="26"/>
  <c r="H31" i="26" s="1"/>
  <c r="H75" i="26" s="1"/>
  <c r="AY34" i="26"/>
  <c r="K34" i="26" s="1"/>
  <c r="K78" i="26" s="1"/>
  <c r="I35" i="59" s="1"/>
  <c r="B93" i="59" s="1"/>
  <c r="J93" i="59" s="1"/>
  <c r="BE6" i="26"/>
  <c r="AX11" i="26"/>
  <c r="J11" i="26" s="1"/>
  <c r="BA14" i="26"/>
  <c r="M14" i="26" s="1"/>
  <c r="BD17" i="26"/>
  <c r="P17" i="26" s="1"/>
  <c r="BB23" i="26"/>
  <c r="N23" i="26" s="1"/>
  <c r="N67" i="26" s="1"/>
  <c r="BE26" i="26"/>
  <c r="Q26" i="26" s="1"/>
  <c r="AX31" i="26"/>
  <c r="J31" i="26" s="1"/>
  <c r="J75" i="26" s="1"/>
  <c r="BA34" i="26"/>
  <c r="M34" i="26" s="1"/>
  <c r="M78" i="26" s="1"/>
  <c r="BC7" i="26"/>
  <c r="O7" i="26" s="1"/>
  <c r="O51" i="26" s="1"/>
  <c r="BB18" i="26"/>
  <c r="N18" i="26" s="1"/>
  <c r="BC23" i="26"/>
  <c r="O23" i="26" s="1"/>
  <c r="O67" i="26" s="1"/>
  <c r="AY31" i="26"/>
  <c r="K31" i="26" s="1"/>
  <c r="K75" i="26" s="1"/>
  <c r="I32" i="59" s="1"/>
  <c r="B91" i="59" s="1"/>
  <c r="J91" i="59" s="1"/>
  <c r="BF28" i="26"/>
  <c r="R28" i="26" s="1"/>
  <c r="R72" i="26" s="1"/>
  <c r="BD7" i="26"/>
  <c r="P7" i="26" s="1"/>
  <c r="AW12" i="26"/>
  <c r="I12" i="26" s="1"/>
  <c r="AZ15" i="26"/>
  <c r="L15" i="26" s="1"/>
  <c r="BC18" i="26"/>
  <c r="O18" i="26" s="1"/>
  <c r="AX21" i="26"/>
  <c r="J21" i="26" s="1"/>
  <c r="BA24" i="26"/>
  <c r="M24" i="26" s="1"/>
  <c r="M68" i="26" s="1"/>
  <c r="BE27" i="26"/>
  <c r="Q27" i="26" s="1"/>
  <c r="AW32" i="26"/>
  <c r="I32" i="26" s="1"/>
  <c r="I76" i="26" s="1"/>
  <c r="AZ35" i="26"/>
  <c r="L35" i="26" s="1"/>
  <c r="L79" i="26" s="1"/>
  <c r="G37" i="26"/>
  <c r="AV12" i="26"/>
  <c r="H12" i="26" s="1"/>
  <c r="AY15" i="26"/>
  <c r="K15" i="26" s="1"/>
  <c r="AC15" i="26" s="1"/>
  <c r="BE7" i="26"/>
  <c r="Q7" i="26" s="1"/>
  <c r="Q51" i="26" s="1"/>
  <c r="AX12" i="26"/>
  <c r="J12" i="26" s="1"/>
  <c r="BA15" i="26"/>
  <c r="M15" i="26" s="1"/>
  <c r="BD18" i="26"/>
  <c r="P18" i="26" s="1"/>
  <c r="AY21" i="26"/>
  <c r="K21" i="26" s="1"/>
  <c r="AC21" i="26" s="1"/>
  <c r="BB24" i="26"/>
  <c r="N24" i="26" s="1"/>
  <c r="N68" i="26" s="1"/>
  <c r="AV28" i="26"/>
  <c r="H28" i="26" s="1"/>
  <c r="H72" i="26" s="1"/>
  <c r="AX32" i="26"/>
  <c r="J32" i="26" s="1"/>
  <c r="J76" i="26" s="1"/>
  <c r="BA35" i="26"/>
  <c r="M35" i="26" s="1"/>
  <c r="M79" i="26" s="1"/>
  <c r="BD8" i="26"/>
  <c r="P8" i="26" s="1"/>
  <c r="AY12" i="26"/>
  <c r="K12" i="26" s="1"/>
  <c r="BB15" i="26"/>
  <c r="N15" i="26" s="1"/>
  <c r="BE18" i="26"/>
  <c r="Q18" i="26" s="1"/>
  <c r="AZ21" i="26"/>
  <c r="L21" i="26" s="1"/>
  <c r="BC24" i="26"/>
  <c r="O24" i="26" s="1"/>
  <c r="BE28" i="26"/>
  <c r="Q28" i="26" s="1"/>
  <c r="Q72" i="26" s="1"/>
  <c r="AY32" i="26"/>
  <c r="K32" i="26" s="1"/>
  <c r="K76" i="26" s="1"/>
  <c r="BB35" i="26"/>
  <c r="N35" i="26" s="1"/>
  <c r="N79" i="26" s="1"/>
  <c r="BB34" i="26"/>
  <c r="N34" i="26" s="1"/>
  <c r="N78" i="26" s="1"/>
  <c r="BE8" i="26"/>
  <c r="Q8" i="26" s="1"/>
  <c r="AW13" i="26"/>
  <c r="I13" i="26" s="1"/>
  <c r="I57" i="26" s="1"/>
  <c r="AZ16" i="26"/>
  <c r="L16" i="26" s="1"/>
  <c r="BC19" i="26"/>
  <c r="O19" i="26" s="1"/>
  <c r="BA21" i="26"/>
  <c r="M21" i="26" s="1"/>
  <c r="BD24" i="26"/>
  <c r="P24" i="26" s="1"/>
  <c r="AV29" i="26"/>
  <c r="H29" i="26" s="1"/>
  <c r="H73" i="26" s="1"/>
  <c r="AZ32" i="26"/>
  <c r="L32" i="26" s="1"/>
  <c r="L76" i="26" s="1"/>
  <c r="BC35" i="26"/>
  <c r="O35" i="26" s="1"/>
  <c r="O79" i="26" s="1"/>
  <c r="BD27" i="26"/>
  <c r="P27" i="26" s="1"/>
  <c r="AV9" i="26"/>
  <c r="H9" i="26" s="1"/>
  <c r="AX13" i="26"/>
  <c r="J13" i="26" s="1"/>
  <c r="J57" i="26" s="1"/>
  <c r="BA16" i="26"/>
  <c r="M16" i="26" s="1"/>
  <c r="M60" i="26" s="1"/>
  <c r="BD19" i="26"/>
  <c r="P19" i="26" s="1"/>
  <c r="AY22" i="26"/>
  <c r="K22" i="26" s="1"/>
  <c r="AC22" i="26" s="1"/>
  <c r="BB25" i="26"/>
  <c r="N25" i="26" s="1"/>
  <c r="AW29" i="26"/>
  <c r="I29" i="26" s="1"/>
  <c r="I73" i="26" s="1"/>
  <c r="AX33" i="26"/>
  <c r="J33" i="26" s="1"/>
  <c r="J77" i="26" s="1"/>
  <c r="BE9" i="26"/>
  <c r="Q9" i="26" s="1"/>
  <c r="AY13" i="26"/>
  <c r="K13" i="26" s="1"/>
  <c r="AC13" i="26" s="1"/>
  <c r="BB16" i="26"/>
  <c r="N16" i="26" s="1"/>
  <c r="BE19" i="26"/>
  <c r="Q19" i="26" s="1"/>
  <c r="AZ22" i="26"/>
  <c r="L22" i="26" s="1"/>
  <c r="BC25" i="26"/>
  <c r="O25" i="26" s="1"/>
  <c r="AV30" i="26"/>
  <c r="H30" i="26" s="1"/>
  <c r="H74" i="26" s="1"/>
  <c r="AY33" i="26"/>
  <c r="K33" i="26" s="1"/>
  <c r="K77" i="26" s="1"/>
  <c r="L189" i="73"/>
  <c r="L207" i="73" s="1"/>
  <c r="F189" i="73"/>
  <c r="H144" i="73"/>
  <c r="E38" i="26"/>
  <c r="E82" i="26" s="1"/>
  <c r="K50" i="26"/>
  <c r="D53" i="26"/>
  <c r="V9" i="26"/>
  <c r="V21" i="26"/>
  <c r="D65" i="26"/>
  <c r="B62" i="26"/>
  <c r="T18" i="26"/>
  <c r="W21" i="26"/>
  <c r="E65" i="26"/>
  <c r="Y23" i="26"/>
  <c r="G67" i="26"/>
  <c r="D70" i="26"/>
  <c r="V26" i="26"/>
  <c r="F72" i="26"/>
  <c r="X28" i="26"/>
  <c r="U31" i="26"/>
  <c r="C75" i="26"/>
  <c r="W33" i="26"/>
  <c r="E77" i="26"/>
  <c r="Y35" i="26"/>
  <c r="G79" i="26"/>
  <c r="V33" i="26"/>
  <c r="D77" i="26"/>
  <c r="B74" i="26"/>
  <c r="T30" i="26"/>
  <c r="X11" i="26"/>
  <c r="F55" i="26"/>
  <c r="C51" i="26"/>
  <c r="U7" i="26"/>
  <c r="M67" i="26"/>
  <c r="B61" i="26"/>
  <c r="T17" i="26"/>
  <c r="C58" i="26"/>
  <c r="U14" i="26"/>
  <c r="W28" i="26"/>
  <c r="E72" i="26"/>
  <c r="O68" i="26"/>
  <c r="G55" i="26"/>
  <c r="Y11" i="26"/>
  <c r="P68" i="26"/>
  <c r="BF31" i="26"/>
  <c r="R31" i="26" s="1"/>
  <c r="R75" i="26" s="1"/>
  <c r="BF12" i="26"/>
  <c r="R12" i="26" s="1"/>
  <c r="BF32" i="26"/>
  <c r="R32" i="26" s="1"/>
  <c r="R76" i="26" s="1"/>
  <c r="BF13" i="26"/>
  <c r="R13" i="26" s="1"/>
  <c r="BF33" i="26"/>
  <c r="R33" i="26" s="1"/>
  <c r="R77" i="26" s="1"/>
  <c r="BF21" i="26"/>
  <c r="R21" i="26" s="1"/>
  <c r="BF14" i="26"/>
  <c r="R14" i="26" s="1"/>
  <c r="BF8" i="26"/>
  <c r="R8" i="26" s="1"/>
  <c r="BF34" i="26"/>
  <c r="R34" i="26" s="1"/>
  <c r="R78" i="26" s="1"/>
  <c r="BF22" i="26"/>
  <c r="R22" i="26" s="1"/>
  <c r="BF15" i="26"/>
  <c r="R15" i="26" s="1"/>
  <c r="BF19" i="26"/>
  <c r="R19" i="26" s="1"/>
  <c r="BF35" i="26"/>
  <c r="R35" i="26" s="1"/>
  <c r="R79" i="26" s="1"/>
  <c r="BF23" i="26"/>
  <c r="R23" i="26" s="1"/>
  <c r="BF16" i="26"/>
  <c r="R16" i="26" s="1"/>
  <c r="BF24" i="26"/>
  <c r="R24" i="26" s="1"/>
  <c r="BF17" i="26"/>
  <c r="R17" i="26" s="1"/>
  <c r="BF7" i="26"/>
  <c r="R7" i="26" s="1"/>
  <c r="BF25" i="26"/>
  <c r="R25" i="26" s="1"/>
  <c r="R69" i="26" s="1"/>
  <c r="BF18" i="26"/>
  <c r="R18" i="26" s="1"/>
  <c r="BF6" i="26"/>
  <c r="BF27" i="26"/>
  <c r="R27" i="26" s="1"/>
  <c r="BF30" i="26"/>
  <c r="R30" i="26" s="1"/>
  <c r="R74" i="26" s="1"/>
  <c r="BF11" i="26"/>
  <c r="R11" i="26" s="1"/>
  <c r="BF26" i="26"/>
  <c r="R26" i="26" s="1"/>
  <c r="C70" i="26"/>
  <c r="U26" i="26"/>
  <c r="F60" i="26"/>
  <c r="X16" i="26"/>
  <c r="B73" i="26"/>
  <c r="T29" i="26"/>
  <c r="F67" i="26"/>
  <c r="X23" i="26"/>
  <c r="B50" i="26"/>
  <c r="T6" i="26"/>
  <c r="E53" i="26"/>
  <c r="W9" i="26"/>
  <c r="BF9" i="26"/>
  <c r="R9" i="26" s="1"/>
  <c r="E60" i="26"/>
  <c r="W16" i="26"/>
  <c r="Y30" i="26"/>
  <c r="G74" i="26"/>
  <c r="V14" i="26"/>
  <c r="D58" i="26"/>
  <c r="C38" i="26"/>
  <c r="C82" i="26" s="1"/>
  <c r="BF29" i="26"/>
  <c r="R29" i="26" s="1"/>
  <c r="R73" i="26" s="1"/>
  <c r="G50" i="26"/>
  <c r="Y6" i="26"/>
  <c r="G38" i="26"/>
  <c r="G82" i="26" s="1"/>
  <c r="G62" i="26"/>
  <c r="Y18" i="26"/>
  <c r="F79" i="26"/>
  <c r="X35" i="26"/>
  <c r="C63" i="26"/>
  <c r="U19" i="26"/>
  <c r="BF10" i="26"/>
  <c r="R10" i="26" s="1"/>
  <c r="D51" i="26"/>
  <c r="V7" i="26"/>
  <c r="B76" i="26"/>
  <c r="T32" i="26"/>
  <c r="V24" i="26"/>
  <c r="D68" i="26"/>
  <c r="B60" i="26"/>
  <c r="T16" i="26"/>
  <c r="B72" i="26"/>
  <c r="T28" i="26"/>
  <c r="F50" i="26"/>
  <c r="X6" i="26"/>
  <c r="C53" i="26"/>
  <c r="U9" i="26"/>
  <c r="W11" i="26"/>
  <c r="E55" i="26"/>
  <c r="Y13" i="26"/>
  <c r="G57" i="26"/>
  <c r="D60" i="26"/>
  <c r="V16" i="26"/>
  <c r="F62" i="26"/>
  <c r="X18" i="26"/>
  <c r="C65" i="26"/>
  <c r="U21" i="26"/>
  <c r="E67" i="26"/>
  <c r="W23" i="26"/>
  <c r="G69" i="26"/>
  <c r="Y25" i="26"/>
  <c r="V28" i="26"/>
  <c r="D72" i="26"/>
  <c r="X30" i="26"/>
  <c r="F74" i="26"/>
  <c r="C77" i="26"/>
  <c r="U33" i="26"/>
  <c r="E79" i="26"/>
  <c r="W35" i="26"/>
  <c r="BA6" i="26"/>
  <c r="BB7" i="26"/>
  <c r="N7" i="26" s="1"/>
  <c r="BC8" i="26"/>
  <c r="O8" i="26" s="1"/>
  <c r="BD9" i="26"/>
  <c r="P9" i="26" s="1"/>
  <c r="BE10" i="26"/>
  <c r="Q10" i="26" s="1"/>
  <c r="AV13" i="26"/>
  <c r="H13" i="26" s="1"/>
  <c r="AW14" i="26"/>
  <c r="I14" i="26" s="1"/>
  <c r="AX15" i="26"/>
  <c r="J15" i="26" s="1"/>
  <c r="AY16" i="26"/>
  <c r="K16" i="26" s="1"/>
  <c r="AZ17" i="26"/>
  <c r="L17" i="26" s="1"/>
  <c r="BA18" i="26"/>
  <c r="M18" i="26" s="1"/>
  <c r="BB19" i="26"/>
  <c r="N19" i="26" s="1"/>
  <c r="AW21" i="26"/>
  <c r="I21" i="26" s="1"/>
  <c r="AX22" i="26"/>
  <c r="J22" i="26" s="1"/>
  <c r="AY23" i="26"/>
  <c r="K23" i="26" s="1"/>
  <c r="AZ24" i="26"/>
  <c r="L24" i="26" s="1"/>
  <c r="BA25" i="26"/>
  <c r="M25" i="26" s="1"/>
  <c r="M69" i="26" s="1"/>
  <c r="BB26" i="26"/>
  <c r="N26" i="26" s="1"/>
  <c r="BC27" i="26"/>
  <c r="O27" i="26" s="1"/>
  <c r="BD28" i="26"/>
  <c r="P28" i="26" s="1"/>
  <c r="BE29" i="26"/>
  <c r="Q29" i="26" s="1"/>
  <c r="Q73" i="26" s="1"/>
  <c r="AV32" i="26"/>
  <c r="H32" i="26" s="1"/>
  <c r="H76" i="26" s="1"/>
  <c r="AW33" i="26"/>
  <c r="I33" i="26" s="1"/>
  <c r="I77" i="26" s="1"/>
  <c r="AX34" i="26"/>
  <c r="J34" i="26" s="1"/>
  <c r="J78" i="26" s="1"/>
  <c r="AY35" i="26"/>
  <c r="K35" i="26" s="1"/>
  <c r="K79" i="26" s="1"/>
  <c r="I36" i="59" s="1"/>
  <c r="B94" i="59" s="1"/>
  <c r="J94" i="59" s="1"/>
  <c r="F37" i="26"/>
  <c r="C68" i="26"/>
  <c r="U24" i="26"/>
  <c r="B51" i="26"/>
  <c r="T7" i="26"/>
  <c r="U29" i="26"/>
  <c r="C73" i="26"/>
  <c r="C56" i="26"/>
  <c r="U12" i="26"/>
  <c r="E70" i="26"/>
  <c r="W26" i="26"/>
  <c r="C61" i="26"/>
  <c r="U17" i="26"/>
  <c r="T9" i="26"/>
  <c r="B53" i="26"/>
  <c r="B65" i="26"/>
  <c r="T21" i="26"/>
  <c r="B77" i="26"/>
  <c r="T33" i="26"/>
  <c r="F51" i="26"/>
  <c r="X7" i="26"/>
  <c r="C54" i="26"/>
  <c r="U10" i="26"/>
  <c r="E56" i="26"/>
  <c r="W12" i="26"/>
  <c r="G58" i="26"/>
  <c r="Y14" i="26"/>
  <c r="V17" i="26"/>
  <c r="D61" i="26"/>
  <c r="F63" i="26"/>
  <c r="X63" i="26" s="1"/>
  <c r="X19" i="26"/>
  <c r="U22" i="26"/>
  <c r="C66" i="26"/>
  <c r="W24" i="26"/>
  <c r="E68" i="26"/>
  <c r="Y26" i="26"/>
  <c r="G70" i="26"/>
  <c r="D73" i="26"/>
  <c r="V29" i="26"/>
  <c r="F75" i="26"/>
  <c r="X31" i="26"/>
  <c r="U34" i="26"/>
  <c r="C78" i="26"/>
  <c r="AV8" i="26"/>
  <c r="H8" i="26" s="1"/>
  <c r="AW9" i="26"/>
  <c r="I9" i="26" s="1"/>
  <c r="AX10" i="26"/>
  <c r="J10" i="26" s="1"/>
  <c r="AY11" i="26"/>
  <c r="K11" i="26" s="1"/>
  <c r="AZ12" i="26"/>
  <c r="L12" i="26" s="1"/>
  <c r="BA13" i="26"/>
  <c r="M13" i="26" s="1"/>
  <c r="BB14" i="26"/>
  <c r="N14" i="26" s="1"/>
  <c r="BC15" i="26"/>
  <c r="O15" i="26" s="1"/>
  <c r="BD16" i="26"/>
  <c r="P16" i="26" s="1"/>
  <c r="BE17" i="26"/>
  <c r="Q17" i="26" s="1"/>
  <c r="BB21" i="26"/>
  <c r="N21" i="26" s="1"/>
  <c r="BC22" i="26"/>
  <c r="O22" i="26" s="1"/>
  <c r="BD23" i="26"/>
  <c r="P23" i="26" s="1"/>
  <c r="BE24" i="26"/>
  <c r="Q24" i="26" s="1"/>
  <c r="AV27" i="26"/>
  <c r="H27" i="26" s="1"/>
  <c r="AW28" i="26"/>
  <c r="I28" i="26" s="1"/>
  <c r="I72" i="26" s="1"/>
  <c r="AX29" i="26"/>
  <c r="J29" i="26" s="1"/>
  <c r="J73" i="26" s="1"/>
  <c r="AY30" i="26"/>
  <c r="K30" i="26" s="1"/>
  <c r="K74" i="26" s="1"/>
  <c r="I31" i="59" s="1"/>
  <c r="B90" i="59" s="1"/>
  <c r="J90" i="59" s="1"/>
  <c r="AZ31" i="26"/>
  <c r="L31" i="26" s="1"/>
  <c r="L75" i="26" s="1"/>
  <c r="BA32" i="26"/>
  <c r="M32" i="26" s="1"/>
  <c r="BB33" i="26"/>
  <c r="N33" i="26" s="1"/>
  <c r="BC34" i="26"/>
  <c r="O34" i="26" s="1"/>
  <c r="BD35" i="26"/>
  <c r="P35" i="26" s="1"/>
  <c r="F53" i="26"/>
  <c r="X53" i="26" s="1"/>
  <c r="X9" i="26"/>
  <c r="D56" i="26"/>
  <c r="V12" i="26"/>
  <c r="F70" i="26"/>
  <c r="X26" i="26"/>
  <c r="B54" i="26"/>
  <c r="T10" i="26"/>
  <c r="T22" i="26"/>
  <c r="B66" i="26"/>
  <c r="B78" i="26"/>
  <c r="T34" i="26"/>
  <c r="G51" i="26"/>
  <c r="Y7" i="26"/>
  <c r="D54" i="26"/>
  <c r="V10" i="26"/>
  <c r="F56" i="26"/>
  <c r="X12" i="26"/>
  <c r="U15" i="26"/>
  <c r="C59" i="26"/>
  <c r="W17" i="26"/>
  <c r="E61" i="26"/>
  <c r="G63" i="26"/>
  <c r="Y19" i="26"/>
  <c r="V22" i="26"/>
  <c r="D66" i="26"/>
  <c r="X24" i="26"/>
  <c r="F68" i="26"/>
  <c r="X68" i="26" s="1"/>
  <c r="U27" i="26"/>
  <c r="C71" i="26"/>
  <c r="E73" i="26"/>
  <c r="W29" i="26"/>
  <c r="G75" i="26"/>
  <c r="Y31" i="26"/>
  <c r="V34" i="26"/>
  <c r="D78" i="26"/>
  <c r="AV7" i="26"/>
  <c r="H7" i="26" s="1"/>
  <c r="AW8" i="26"/>
  <c r="I8" i="26" s="1"/>
  <c r="AX9" i="26"/>
  <c r="J9" i="26" s="1"/>
  <c r="AY10" i="26"/>
  <c r="K10" i="26" s="1"/>
  <c r="AZ11" i="26"/>
  <c r="L11" i="26" s="1"/>
  <c r="BA12" i="26"/>
  <c r="M12" i="26" s="1"/>
  <c r="BB13" i="26"/>
  <c r="N13" i="26" s="1"/>
  <c r="BC14" i="26"/>
  <c r="O14" i="26" s="1"/>
  <c r="BD15" i="26"/>
  <c r="P15" i="26" s="1"/>
  <c r="BE16" i="26"/>
  <c r="Q16" i="26" s="1"/>
  <c r="AV19" i="26"/>
  <c r="H19" i="26" s="1"/>
  <c r="BC21" i="26"/>
  <c r="O21" i="26" s="1"/>
  <c r="BD22" i="26"/>
  <c r="P22" i="26" s="1"/>
  <c r="BE23" i="26"/>
  <c r="Q23" i="26" s="1"/>
  <c r="AV26" i="26"/>
  <c r="H26" i="26" s="1"/>
  <c r="AW27" i="26"/>
  <c r="I27" i="26" s="1"/>
  <c r="AX28" i="26"/>
  <c r="J28" i="26" s="1"/>
  <c r="J72" i="26" s="1"/>
  <c r="AY29" i="26"/>
  <c r="K29" i="26" s="1"/>
  <c r="K73" i="26" s="1"/>
  <c r="I30" i="59" s="1"/>
  <c r="B89" i="59" s="1"/>
  <c r="J89" i="59" s="1"/>
  <c r="AZ30" i="26"/>
  <c r="L30" i="26" s="1"/>
  <c r="L74" i="26" s="1"/>
  <c r="BA31" i="26"/>
  <c r="M31" i="26" s="1"/>
  <c r="BB32" i="26"/>
  <c r="N32" i="26" s="1"/>
  <c r="BC33" i="26"/>
  <c r="O33" i="26" s="1"/>
  <c r="BD34" i="26"/>
  <c r="P34" i="26" s="1"/>
  <c r="BE35" i="26"/>
  <c r="Q35" i="26" s="1"/>
  <c r="Q79" i="26" s="1"/>
  <c r="AC20" i="26"/>
  <c r="D37" i="26"/>
  <c r="W14" i="26"/>
  <c r="E58" i="26"/>
  <c r="X33" i="26"/>
  <c r="F77" i="26"/>
  <c r="T8" i="26"/>
  <c r="B52" i="26"/>
  <c r="Y21" i="26"/>
  <c r="G65" i="26"/>
  <c r="B55" i="26"/>
  <c r="T11" i="26"/>
  <c r="T23" i="26"/>
  <c r="B67" i="26"/>
  <c r="T67" i="26" s="1"/>
  <c r="T35" i="26"/>
  <c r="B79" i="26"/>
  <c r="C52" i="26"/>
  <c r="U8" i="26"/>
  <c r="E54" i="26"/>
  <c r="W10" i="26"/>
  <c r="G56" i="26"/>
  <c r="Y12" i="26"/>
  <c r="D59" i="26"/>
  <c r="V15" i="26"/>
  <c r="F61" i="26"/>
  <c r="X61" i="26" s="1"/>
  <c r="X17" i="26"/>
  <c r="W22" i="26"/>
  <c r="E66" i="26"/>
  <c r="Y24" i="26"/>
  <c r="G68" i="26"/>
  <c r="V27" i="26"/>
  <c r="D71" i="26"/>
  <c r="F73" i="26"/>
  <c r="X29" i="26"/>
  <c r="C76" i="26"/>
  <c r="U32" i="26"/>
  <c r="W34" i="26"/>
  <c r="E78" i="26"/>
  <c r="AW7" i="26"/>
  <c r="I7" i="26" s="1"/>
  <c r="AX8" i="26"/>
  <c r="J8" i="26" s="1"/>
  <c r="AY9" i="26"/>
  <c r="K9" i="26" s="1"/>
  <c r="AZ10" i="26"/>
  <c r="L10" i="26" s="1"/>
  <c r="BA11" i="26"/>
  <c r="M11" i="26" s="1"/>
  <c r="BB12" i="26"/>
  <c r="N12" i="26" s="1"/>
  <c r="BC13" i="26"/>
  <c r="O13" i="26" s="1"/>
  <c r="BD14" i="26"/>
  <c r="P14" i="26" s="1"/>
  <c r="BE15" i="26"/>
  <c r="Q15" i="26" s="1"/>
  <c r="AV18" i="26"/>
  <c r="H18" i="26" s="1"/>
  <c r="AW19" i="26"/>
  <c r="I19" i="26" s="1"/>
  <c r="BD21" i="26"/>
  <c r="P21" i="26" s="1"/>
  <c r="BE22" i="26"/>
  <c r="Q22" i="26" s="1"/>
  <c r="AV25" i="26"/>
  <c r="H25" i="26" s="1"/>
  <c r="H69" i="26" s="1"/>
  <c r="AW26" i="26"/>
  <c r="I26" i="26" s="1"/>
  <c r="AX27" i="26"/>
  <c r="J27" i="26" s="1"/>
  <c r="AY28" i="26"/>
  <c r="K28" i="26" s="1"/>
  <c r="AZ29" i="26"/>
  <c r="L29" i="26" s="1"/>
  <c r="L73" i="26" s="1"/>
  <c r="BA30" i="26"/>
  <c r="M30" i="26" s="1"/>
  <c r="BB31" i="26"/>
  <c r="N31" i="26" s="1"/>
  <c r="BC32" i="26"/>
  <c r="O32" i="26" s="1"/>
  <c r="BD33" i="26"/>
  <c r="P33" i="26" s="1"/>
  <c r="BE34" i="26"/>
  <c r="Q34" i="26" s="1"/>
  <c r="Q78" i="26" s="1"/>
  <c r="B75" i="26"/>
  <c r="T31" i="26"/>
  <c r="V31" i="26"/>
  <c r="D75" i="26"/>
  <c r="G53" i="26"/>
  <c r="Y9" i="26"/>
  <c r="B56" i="26"/>
  <c r="T12" i="26"/>
  <c r="B68" i="26"/>
  <c r="T24" i="26"/>
  <c r="D52" i="26"/>
  <c r="V8" i="26"/>
  <c r="F54" i="26"/>
  <c r="X10" i="26"/>
  <c r="C57" i="26"/>
  <c r="U13" i="26"/>
  <c r="E59" i="26"/>
  <c r="W15" i="26"/>
  <c r="G61" i="26"/>
  <c r="Y17" i="26"/>
  <c r="F66" i="26"/>
  <c r="X22" i="26"/>
  <c r="C69" i="26"/>
  <c r="U25" i="26"/>
  <c r="W27" i="26"/>
  <c r="E71" i="26"/>
  <c r="Y29" i="26"/>
  <c r="G73" i="26"/>
  <c r="D76" i="26"/>
  <c r="V32" i="26"/>
  <c r="F78" i="26"/>
  <c r="X34" i="26"/>
  <c r="AV6" i="26"/>
  <c r="AX7" i="26"/>
  <c r="J7" i="26" s="1"/>
  <c r="AY8" i="26"/>
  <c r="K8" i="26" s="1"/>
  <c r="AC8" i="26" s="1"/>
  <c r="AZ9" i="26"/>
  <c r="L9" i="26" s="1"/>
  <c r="BA10" i="26"/>
  <c r="M10" i="26" s="1"/>
  <c r="BB11" i="26"/>
  <c r="N11" i="26" s="1"/>
  <c r="BC12" i="26"/>
  <c r="O12" i="26" s="1"/>
  <c r="BD13" i="26"/>
  <c r="P13" i="26" s="1"/>
  <c r="BE14" i="26"/>
  <c r="Q14" i="26" s="1"/>
  <c r="AV17" i="26"/>
  <c r="H17" i="26" s="1"/>
  <c r="AW18" i="26"/>
  <c r="I18" i="26" s="1"/>
  <c r="AX19" i="26"/>
  <c r="J19" i="26" s="1"/>
  <c r="BE21" i="26"/>
  <c r="Q21" i="26" s="1"/>
  <c r="AV24" i="26"/>
  <c r="H24" i="26" s="1"/>
  <c r="AW25" i="26"/>
  <c r="I25" i="26" s="1"/>
  <c r="I69" i="26" s="1"/>
  <c r="AX26" i="26"/>
  <c r="J26" i="26" s="1"/>
  <c r="AY27" i="26"/>
  <c r="K27" i="26" s="1"/>
  <c r="AZ28" i="26"/>
  <c r="L28" i="26" s="1"/>
  <c r="L72" i="26" s="1"/>
  <c r="BA29" i="26"/>
  <c r="M29" i="26" s="1"/>
  <c r="BB30" i="26"/>
  <c r="N30" i="26" s="1"/>
  <c r="BC31" i="26"/>
  <c r="O31" i="26" s="1"/>
  <c r="BD32" i="26"/>
  <c r="P32" i="26" s="1"/>
  <c r="BE33" i="26"/>
  <c r="Q33" i="26" s="1"/>
  <c r="Q77" i="26" s="1"/>
  <c r="B63" i="26"/>
  <c r="T19" i="26"/>
  <c r="D63" i="26"/>
  <c r="V19" i="26"/>
  <c r="G72" i="26"/>
  <c r="Y28" i="26"/>
  <c r="F58" i="26"/>
  <c r="X14" i="26"/>
  <c r="B57" i="26"/>
  <c r="T13" i="26"/>
  <c r="B69" i="26"/>
  <c r="T25" i="26"/>
  <c r="C50" i="26"/>
  <c r="U6" i="26"/>
  <c r="E52" i="26"/>
  <c r="W8" i="26"/>
  <c r="Y10" i="26"/>
  <c r="G54" i="26"/>
  <c r="D57" i="26"/>
  <c r="V13" i="26"/>
  <c r="F59" i="26"/>
  <c r="X15" i="26"/>
  <c r="C62" i="26"/>
  <c r="U18" i="26"/>
  <c r="G66" i="26"/>
  <c r="Y22" i="26"/>
  <c r="V25" i="26"/>
  <c r="D69" i="26"/>
  <c r="X27" i="26"/>
  <c r="F71" i="26"/>
  <c r="U30" i="26"/>
  <c r="C74" i="26"/>
  <c r="E76" i="26"/>
  <c r="W32" i="26"/>
  <c r="G78" i="26"/>
  <c r="Y34" i="26"/>
  <c r="AW6" i="26"/>
  <c r="AY7" i="26"/>
  <c r="AZ8" i="26"/>
  <c r="L8" i="26" s="1"/>
  <c r="BA9" i="26"/>
  <c r="M9" i="26" s="1"/>
  <c r="BB10" i="26"/>
  <c r="N10" i="26" s="1"/>
  <c r="BC11" i="26"/>
  <c r="O11" i="26" s="1"/>
  <c r="BD12" i="26"/>
  <c r="P12" i="26" s="1"/>
  <c r="BE13" i="26"/>
  <c r="Q13" i="26" s="1"/>
  <c r="AV16" i="26"/>
  <c r="H16" i="26" s="1"/>
  <c r="AW17" i="26"/>
  <c r="I17" i="26" s="1"/>
  <c r="AX18" i="26"/>
  <c r="J18" i="26" s="1"/>
  <c r="AY19" i="26"/>
  <c r="K19" i="26" s="1"/>
  <c r="AC19" i="26" s="1"/>
  <c r="AV23" i="26"/>
  <c r="H23" i="26" s="1"/>
  <c r="AW24" i="26"/>
  <c r="I24" i="26" s="1"/>
  <c r="AX25" i="26"/>
  <c r="J25" i="26" s="1"/>
  <c r="J69" i="26" s="1"/>
  <c r="AY26" i="26"/>
  <c r="K26" i="26" s="1"/>
  <c r="AZ27" i="26"/>
  <c r="L27" i="26" s="1"/>
  <c r="BA28" i="26"/>
  <c r="M28" i="26" s="1"/>
  <c r="BB29" i="26"/>
  <c r="N29" i="26" s="1"/>
  <c r="BC30" i="26"/>
  <c r="O30" i="26" s="1"/>
  <c r="BD31" i="26"/>
  <c r="P31" i="26" s="1"/>
  <c r="BE32" i="26"/>
  <c r="Q32" i="26" s="1"/>
  <c r="AV35" i="26"/>
  <c r="H35" i="26" s="1"/>
  <c r="H79" i="26" s="1"/>
  <c r="G60" i="26"/>
  <c r="Y16" i="26"/>
  <c r="E51" i="26"/>
  <c r="W7" i="26"/>
  <c r="W31" i="26"/>
  <c r="E75" i="26"/>
  <c r="B58" i="26"/>
  <c r="T14" i="26"/>
  <c r="B70" i="26"/>
  <c r="T26" i="26"/>
  <c r="D50" i="26"/>
  <c r="V6" i="26"/>
  <c r="F52" i="26"/>
  <c r="X52" i="26" s="1"/>
  <c r="X8" i="26"/>
  <c r="C55" i="26"/>
  <c r="U11" i="26"/>
  <c r="E57" i="26"/>
  <c r="W13" i="26"/>
  <c r="G59" i="26"/>
  <c r="Y15" i="26"/>
  <c r="D62" i="26"/>
  <c r="V18" i="26"/>
  <c r="C67" i="26"/>
  <c r="U23" i="26"/>
  <c r="W25" i="26"/>
  <c r="E69" i="26"/>
  <c r="Y27" i="26"/>
  <c r="G71" i="26"/>
  <c r="V30" i="26"/>
  <c r="D74" i="26"/>
  <c r="F76" i="26"/>
  <c r="X32" i="26"/>
  <c r="C79" i="26"/>
  <c r="U35" i="26"/>
  <c r="AX6" i="26"/>
  <c r="AZ7" i="26"/>
  <c r="L7" i="26" s="1"/>
  <c r="BA8" i="26"/>
  <c r="M8" i="26" s="1"/>
  <c r="BB9" i="26"/>
  <c r="N9" i="26" s="1"/>
  <c r="BC10" i="26"/>
  <c r="O10" i="26" s="1"/>
  <c r="BD11" i="26"/>
  <c r="P11" i="26" s="1"/>
  <c r="BE12" i="26"/>
  <c r="Q12" i="26" s="1"/>
  <c r="AV15" i="26"/>
  <c r="H15" i="26" s="1"/>
  <c r="AW16" i="26"/>
  <c r="I16" i="26" s="1"/>
  <c r="AX17" i="26"/>
  <c r="J17" i="26" s="1"/>
  <c r="AY18" i="26"/>
  <c r="K18" i="26" s="1"/>
  <c r="AZ19" i="26"/>
  <c r="L19" i="26" s="1"/>
  <c r="AV22" i="26"/>
  <c r="H22" i="26" s="1"/>
  <c r="AW23" i="26"/>
  <c r="I23" i="26" s="1"/>
  <c r="AX24" i="26"/>
  <c r="J24" i="26" s="1"/>
  <c r="AY25" i="26"/>
  <c r="K25" i="26" s="1"/>
  <c r="AZ26" i="26"/>
  <c r="L26" i="26" s="1"/>
  <c r="BA27" i="26"/>
  <c r="M27" i="26" s="1"/>
  <c r="BB28" i="26"/>
  <c r="N28" i="26" s="1"/>
  <c r="BC29" i="26"/>
  <c r="O29" i="26" s="1"/>
  <c r="BD30" i="26"/>
  <c r="P30" i="26" s="1"/>
  <c r="BE31" i="26"/>
  <c r="Q31" i="26" s="1"/>
  <c r="Q75" i="26" s="1"/>
  <c r="AV34" i="26"/>
  <c r="H34" i="26" s="1"/>
  <c r="H78" i="26" s="1"/>
  <c r="AW35" i="26"/>
  <c r="I35" i="26" s="1"/>
  <c r="I79" i="26" s="1"/>
  <c r="F38" i="26"/>
  <c r="F82" i="26" s="1"/>
  <c r="X21" i="26"/>
  <c r="F65" i="26"/>
  <c r="X65" i="26" s="1"/>
  <c r="E63" i="26"/>
  <c r="W19" i="26"/>
  <c r="Y33" i="26"/>
  <c r="G77" i="26"/>
  <c r="B59" i="26"/>
  <c r="T15" i="26"/>
  <c r="B71" i="26"/>
  <c r="T27" i="26"/>
  <c r="E50" i="26"/>
  <c r="W6" i="26"/>
  <c r="G52" i="26"/>
  <c r="Y8" i="26"/>
  <c r="V11" i="26"/>
  <c r="D55" i="26"/>
  <c r="F57" i="26"/>
  <c r="X57" i="26" s="1"/>
  <c r="X13" i="26"/>
  <c r="U16" i="26"/>
  <c r="C60" i="26"/>
  <c r="E62" i="26"/>
  <c r="W18" i="26"/>
  <c r="D67" i="26"/>
  <c r="V23" i="26"/>
  <c r="F69" i="26"/>
  <c r="X69" i="26" s="1"/>
  <c r="X25" i="26"/>
  <c r="U28" i="26"/>
  <c r="C72" i="26"/>
  <c r="W30" i="26"/>
  <c r="E74" i="26"/>
  <c r="Y32" i="26"/>
  <c r="G76" i="26"/>
  <c r="D79" i="26"/>
  <c r="V35" i="26"/>
  <c r="AZ6" i="26"/>
  <c r="BA7" i="26"/>
  <c r="M7" i="26" s="1"/>
  <c r="BB8" i="26"/>
  <c r="N8" i="26" s="1"/>
  <c r="BC9" i="26"/>
  <c r="O9" i="26" s="1"/>
  <c r="BD10" i="26"/>
  <c r="P10" i="26" s="1"/>
  <c r="BE11" i="26"/>
  <c r="Q11" i="26" s="1"/>
  <c r="AV14" i="26"/>
  <c r="H14" i="26" s="1"/>
  <c r="AW15" i="26"/>
  <c r="I15" i="26" s="1"/>
  <c r="AX16" i="26"/>
  <c r="J16" i="26" s="1"/>
  <c r="AY17" i="26"/>
  <c r="K17" i="26" s="1"/>
  <c r="AZ18" i="26"/>
  <c r="L18" i="26" s="1"/>
  <c r="BA19" i="26"/>
  <c r="M19" i="26" s="1"/>
  <c r="AV21" i="26"/>
  <c r="H21" i="26" s="1"/>
  <c r="AW22" i="26"/>
  <c r="I22" i="26" s="1"/>
  <c r="AX23" i="26"/>
  <c r="J23" i="26" s="1"/>
  <c r="AY24" i="26"/>
  <c r="K24" i="26" s="1"/>
  <c r="AZ25" i="26"/>
  <c r="L25" i="26" s="1"/>
  <c r="L69" i="26" s="1"/>
  <c r="BA26" i="26"/>
  <c r="M26" i="26" s="1"/>
  <c r="BB27" i="26"/>
  <c r="N27" i="26" s="1"/>
  <c r="BC28" i="26"/>
  <c r="O28" i="26" s="1"/>
  <c r="BD29" i="26"/>
  <c r="P29" i="26" s="1"/>
  <c r="BE30" i="26"/>
  <c r="Q30" i="26" s="1"/>
  <c r="AV33" i="26"/>
  <c r="H33" i="26" s="1"/>
  <c r="H77" i="26" s="1"/>
  <c r="AW34" i="26"/>
  <c r="I34" i="26" s="1"/>
  <c r="I78" i="26" s="1"/>
  <c r="AX35" i="26"/>
  <c r="J35" i="26" s="1"/>
  <c r="E37" i="26"/>
  <c r="C64" i="26"/>
  <c r="U20" i="26"/>
  <c r="D64" i="26"/>
  <c r="V20" i="26"/>
  <c r="E64" i="26"/>
  <c r="W20" i="26"/>
  <c r="X20" i="26"/>
  <c r="F64" i="26"/>
  <c r="X64" i="26" s="1"/>
  <c r="Y20" i="26"/>
  <c r="G64" i="26"/>
  <c r="T20" i="26"/>
  <c r="B64" i="26"/>
  <c r="H55" i="26" l="1"/>
  <c r="Y58" i="26"/>
  <c r="N60" i="26"/>
  <c r="I144" i="73"/>
  <c r="E207" i="73"/>
  <c r="M61" i="26"/>
  <c r="U64" i="26"/>
  <c r="N61" i="26"/>
  <c r="K56" i="26"/>
  <c r="AC56" i="26" s="1"/>
  <c r="V67" i="26"/>
  <c r="X59" i="26"/>
  <c r="X56" i="26"/>
  <c r="X70" i="26"/>
  <c r="X58" i="26"/>
  <c r="L60" i="26"/>
  <c r="AC12" i="26"/>
  <c r="U60" i="26"/>
  <c r="X71" i="26"/>
  <c r="X54" i="26"/>
  <c r="X51" i="26"/>
  <c r="H53" i="26"/>
  <c r="H54" i="26"/>
  <c r="H57" i="26"/>
  <c r="X66" i="26"/>
  <c r="F27" i="70"/>
  <c r="G41" i="70" s="1"/>
  <c r="I6" i="26"/>
  <c r="AA12" i="26" s="1"/>
  <c r="AW36" i="26"/>
  <c r="I36" i="26" s="1"/>
  <c r="AA29" i="26" s="1"/>
  <c r="C80" i="26"/>
  <c r="U72" i="26" s="1"/>
  <c r="O75" i="26"/>
  <c r="O76" i="26"/>
  <c r="N76" i="26"/>
  <c r="G80" i="26"/>
  <c r="Y75" i="26" s="1"/>
  <c r="B80" i="26"/>
  <c r="T76" i="26" s="1"/>
  <c r="N69" i="26"/>
  <c r="N6" i="26"/>
  <c r="AF25" i="26" s="1"/>
  <c r="BB36" i="26"/>
  <c r="N36" i="26" s="1"/>
  <c r="AF32" i="26" s="1"/>
  <c r="F30" i="70"/>
  <c r="G45" i="70"/>
  <c r="J79" i="26"/>
  <c r="L6" i="26"/>
  <c r="AD16" i="26" s="1"/>
  <c r="AZ36" i="26"/>
  <c r="L36" i="26" s="1"/>
  <c r="E80" i="26"/>
  <c r="W79" i="26" s="1"/>
  <c r="P74" i="26"/>
  <c r="U55" i="26"/>
  <c r="N74" i="26"/>
  <c r="N75" i="26"/>
  <c r="M75" i="26"/>
  <c r="F80" i="26"/>
  <c r="F81" i="26" s="1"/>
  <c r="D32" i="70"/>
  <c r="O73" i="26"/>
  <c r="Q76" i="26"/>
  <c r="M73" i="26"/>
  <c r="M74" i="26"/>
  <c r="I33" i="59"/>
  <c r="B92" i="59" s="1"/>
  <c r="J92" i="59" s="1"/>
  <c r="N72" i="26"/>
  <c r="P75" i="26"/>
  <c r="P79" i="26"/>
  <c r="T72" i="26"/>
  <c r="R6" i="26"/>
  <c r="AJ9" i="26" s="1"/>
  <c r="BF36" i="26"/>
  <c r="R36" i="26" s="1"/>
  <c r="AJ28" i="26" s="1"/>
  <c r="Q6" i="26"/>
  <c r="AI11" i="26" s="1"/>
  <c r="BE36" i="26"/>
  <c r="Q36" i="26" s="1"/>
  <c r="AI32" i="26" s="1"/>
  <c r="Q74" i="26"/>
  <c r="O74" i="26"/>
  <c r="H6" i="26"/>
  <c r="Z21" i="26" s="1"/>
  <c r="AV36" i="26"/>
  <c r="H36" i="26" s="1"/>
  <c r="Z29" i="26" s="1"/>
  <c r="C102" i="84"/>
  <c r="K72" i="26"/>
  <c r="K80" i="26" s="1"/>
  <c r="AC50" i="26" s="1"/>
  <c r="O78" i="26"/>
  <c r="P72" i="26"/>
  <c r="F28" i="70"/>
  <c r="G43" i="70" s="1"/>
  <c r="AA22" i="26"/>
  <c r="P73" i="26"/>
  <c r="AA16" i="26"/>
  <c r="J6" i="26"/>
  <c r="AB12" i="26" s="1"/>
  <c r="AX36" i="26"/>
  <c r="J36" i="26" s="1"/>
  <c r="AB30" i="26" s="1"/>
  <c r="D80" i="26"/>
  <c r="N73" i="26"/>
  <c r="N77" i="26"/>
  <c r="O72" i="26"/>
  <c r="Y77" i="26"/>
  <c r="AC25" i="26"/>
  <c r="K69" i="26"/>
  <c r="I28" i="59" s="1"/>
  <c r="B87" i="59" s="1"/>
  <c r="M72" i="26"/>
  <c r="P78" i="26"/>
  <c r="M76" i="26"/>
  <c r="V72" i="26"/>
  <c r="Q63" i="26"/>
  <c r="P6" i="26"/>
  <c r="AH25" i="26" s="1"/>
  <c r="BD36" i="26"/>
  <c r="P36" i="26" s="1"/>
  <c r="AH30" i="26" s="1"/>
  <c r="O6" i="26"/>
  <c r="AG27" i="26" s="1"/>
  <c r="BC36" i="26"/>
  <c r="O36" i="26" s="1"/>
  <c r="AY36" i="26"/>
  <c r="K36" i="26" s="1"/>
  <c r="AC6" i="26" s="1"/>
  <c r="K7" i="26"/>
  <c r="AC7" i="26" s="1"/>
  <c r="BG6" i="26"/>
  <c r="P76" i="26"/>
  <c r="P77" i="26"/>
  <c r="O77" i="26"/>
  <c r="M6" i="26"/>
  <c r="AE14" i="26" s="1"/>
  <c r="BA36" i="26"/>
  <c r="M36" i="26" s="1"/>
  <c r="AE28" i="26" s="1"/>
  <c r="O69" i="26"/>
  <c r="P62" i="26"/>
  <c r="E29" i="70"/>
  <c r="G44" i="70"/>
  <c r="AI34" i="26"/>
  <c r="AI31" i="26"/>
  <c r="K57" i="26"/>
  <c r="M59" i="26"/>
  <c r="N59" i="26"/>
  <c r="I56" i="26"/>
  <c r="P50" i="26"/>
  <c r="AH68" i="26" s="1"/>
  <c r="AH20" i="26"/>
  <c r="AA34" i="26"/>
  <c r="AH21" i="26"/>
  <c r="AH16" i="26"/>
  <c r="Q62" i="26"/>
  <c r="AD28" i="26"/>
  <c r="AD30" i="26"/>
  <c r="AH17" i="26"/>
  <c r="AD29" i="26"/>
  <c r="O63" i="26"/>
  <c r="T64" i="26"/>
  <c r="C114" i="50"/>
  <c r="C124" i="50" s="1"/>
  <c r="Q55" i="26"/>
  <c r="AH10" i="26"/>
  <c r="U62" i="26"/>
  <c r="AH13" i="26"/>
  <c r="F207" i="73"/>
  <c r="T60" i="26"/>
  <c r="V64" i="26"/>
  <c r="W51" i="26"/>
  <c r="V69" i="26"/>
  <c r="T53" i="26"/>
  <c r="V65" i="26"/>
  <c r="P51" i="26"/>
  <c r="AH27" i="26"/>
  <c r="AH26" i="26"/>
  <c r="V63" i="26"/>
  <c r="U68" i="26"/>
  <c r="W55" i="26"/>
  <c r="T63" i="26"/>
  <c r="V54" i="26"/>
  <c r="V56" i="26"/>
  <c r="AC11" i="26"/>
  <c r="O62" i="26"/>
  <c r="J56" i="26"/>
  <c r="T61" i="26"/>
  <c r="T68" i="26"/>
  <c r="AB10" i="26"/>
  <c r="W68" i="26"/>
  <c r="AA21" i="26"/>
  <c r="Z33" i="26"/>
  <c r="W62" i="26"/>
  <c r="T71" i="26"/>
  <c r="Z34" i="26"/>
  <c r="V62" i="26"/>
  <c r="T70" i="26"/>
  <c r="T56" i="26"/>
  <c r="AA20" i="26"/>
  <c r="P63" i="26"/>
  <c r="AC17" i="26"/>
  <c r="T57" i="26"/>
  <c r="AI28" i="26"/>
  <c r="AD35" i="26"/>
  <c r="T69" i="26"/>
  <c r="T55" i="26"/>
  <c r="AB16" i="26"/>
  <c r="T58" i="26"/>
  <c r="W59" i="26"/>
  <c r="T66" i="26"/>
  <c r="AC16" i="26"/>
  <c r="X62" i="26"/>
  <c r="AH8" i="26"/>
  <c r="AC10" i="26"/>
  <c r="T59" i="26"/>
  <c r="W64" i="26"/>
  <c r="V57" i="26"/>
  <c r="T52" i="26"/>
  <c r="AE35" i="26"/>
  <c r="V55" i="26"/>
  <c r="AC26" i="26"/>
  <c r="AC27" i="26"/>
  <c r="T54" i="26"/>
  <c r="T65" i="26"/>
  <c r="T51" i="26"/>
  <c r="Q67" i="26"/>
  <c r="L62" i="26"/>
  <c r="L63" i="26"/>
  <c r="J62" i="26"/>
  <c r="J63" i="26"/>
  <c r="H37" i="26"/>
  <c r="Z6" i="26"/>
  <c r="H38" i="26"/>
  <c r="H82" i="26" s="1"/>
  <c r="AA19" i="26"/>
  <c r="Z26" i="26"/>
  <c r="Y36" i="26"/>
  <c r="R59" i="26"/>
  <c r="R60" i="26"/>
  <c r="R61" i="26"/>
  <c r="Y55" i="26"/>
  <c r="AE23" i="26"/>
  <c r="Q53" i="26"/>
  <c r="Z16" i="26"/>
  <c r="I62" i="26"/>
  <c r="I63" i="26"/>
  <c r="AA18" i="26"/>
  <c r="Y61" i="26"/>
  <c r="Q59" i="26"/>
  <c r="Q60" i="26"/>
  <c r="Q61" i="26"/>
  <c r="AA8" i="26"/>
  <c r="V66" i="26"/>
  <c r="L56" i="26"/>
  <c r="L57" i="26"/>
  <c r="Y70" i="26"/>
  <c r="AC23" i="26"/>
  <c r="K67" i="26"/>
  <c r="AC67" i="26" s="1"/>
  <c r="Y69" i="26"/>
  <c r="W60" i="26"/>
  <c r="R62" i="26"/>
  <c r="R63" i="26"/>
  <c r="AJ18" i="26"/>
  <c r="U51" i="26"/>
  <c r="N62" i="26"/>
  <c r="I61" i="26"/>
  <c r="I60" i="26"/>
  <c r="I59" i="26"/>
  <c r="AA15" i="26"/>
  <c r="Y59" i="26"/>
  <c r="Z17" i="26"/>
  <c r="V59" i="26"/>
  <c r="Z7" i="26"/>
  <c r="H51" i="26"/>
  <c r="Y51" i="26"/>
  <c r="W56" i="26"/>
  <c r="U61" i="26"/>
  <c r="N51" i="26"/>
  <c r="AE16" i="26"/>
  <c r="R53" i="26"/>
  <c r="R55" i="26"/>
  <c r="R54" i="26"/>
  <c r="X67" i="26"/>
  <c r="N63" i="26"/>
  <c r="Z11" i="26"/>
  <c r="Y64" i="26"/>
  <c r="Q68" i="26"/>
  <c r="W67" i="26"/>
  <c r="U53" i="26"/>
  <c r="V51" i="26"/>
  <c r="R51" i="26"/>
  <c r="AA13" i="26"/>
  <c r="Z9" i="26"/>
  <c r="X55" i="26"/>
  <c r="K60" i="26"/>
  <c r="V53" i="26"/>
  <c r="P56" i="26"/>
  <c r="P57" i="26"/>
  <c r="Q56" i="26"/>
  <c r="Q57" i="26"/>
  <c r="W57" i="26"/>
  <c r="Y54" i="26"/>
  <c r="G45" i="26"/>
  <c r="Y53" i="26"/>
  <c r="N56" i="26"/>
  <c r="N57" i="26"/>
  <c r="Y56" i="26"/>
  <c r="Y65" i="26"/>
  <c r="Z19" i="26"/>
  <c r="Y63" i="26"/>
  <c r="P67" i="26"/>
  <c r="AH23" i="26"/>
  <c r="I53" i="26"/>
  <c r="I54" i="26"/>
  <c r="I55" i="26"/>
  <c r="AA9" i="26"/>
  <c r="U54" i="26"/>
  <c r="W70" i="26"/>
  <c r="X36" i="26"/>
  <c r="U63" i="26"/>
  <c r="L61" i="26"/>
  <c r="X60" i="26"/>
  <c r="V70" i="26"/>
  <c r="W63" i="26"/>
  <c r="Y71" i="26"/>
  <c r="O56" i="26"/>
  <c r="O57" i="26"/>
  <c r="U57" i="26"/>
  <c r="AB27" i="26"/>
  <c r="AE11" i="26"/>
  <c r="V71" i="26"/>
  <c r="W61" i="26"/>
  <c r="Z8" i="26"/>
  <c r="U66" i="26"/>
  <c r="AA33" i="26"/>
  <c r="M63" i="26"/>
  <c r="M62" i="26"/>
  <c r="U65" i="26"/>
  <c r="AD32" i="26"/>
  <c r="R68" i="26"/>
  <c r="U58" i="26"/>
  <c r="K61" i="26"/>
  <c r="Y67" i="26"/>
  <c r="AA11" i="26"/>
  <c r="J53" i="26"/>
  <c r="J54" i="26"/>
  <c r="J55" i="26"/>
  <c r="K68" i="26"/>
  <c r="AC68" i="26" s="1"/>
  <c r="AC24" i="26"/>
  <c r="O54" i="26"/>
  <c r="O55" i="26"/>
  <c r="O53" i="26"/>
  <c r="M53" i="26"/>
  <c r="M54" i="26"/>
  <c r="M55" i="26"/>
  <c r="AE9" i="26"/>
  <c r="W71" i="26"/>
  <c r="AA26" i="26"/>
  <c r="W54" i="26"/>
  <c r="P59" i="26"/>
  <c r="P60" i="26"/>
  <c r="P61" i="26"/>
  <c r="AH15" i="26"/>
  <c r="U56" i="26"/>
  <c r="Z32" i="26"/>
  <c r="V58" i="26"/>
  <c r="L59" i="26"/>
  <c r="AE15" i="26"/>
  <c r="K59" i="26"/>
  <c r="K38" i="26"/>
  <c r="K82" i="26" s="1"/>
  <c r="H62" i="26"/>
  <c r="Z18" i="26"/>
  <c r="H63" i="26"/>
  <c r="L68" i="26"/>
  <c r="J67" i="26"/>
  <c r="Y52" i="26"/>
  <c r="J68" i="26"/>
  <c r="AB24" i="26"/>
  <c r="N54" i="26"/>
  <c r="N55" i="26"/>
  <c r="N53" i="26"/>
  <c r="W69" i="26"/>
  <c r="AA24" i="26"/>
  <c r="I68" i="26"/>
  <c r="W52" i="26"/>
  <c r="AE10" i="26"/>
  <c r="Z25" i="26"/>
  <c r="K53" i="26"/>
  <c r="K54" i="26"/>
  <c r="K55" i="26"/>
  <c r="AC9" i="26"/>
  <c r="Y68" i="26"/>
  <c r="U59" i="26"/>
  <c r="Z20" i="26"/>
  <c r="AI29" i="26"/>
  <c r="U70" i="26"/>
  <c r="W65" i="26"/>
  <c r="Z12" i="26"/>
  <c r="K62" i="26"/>
  <c r="AC62" i="26" s="1"/>
  <c r="K63" i="26"/>
  <c r="AC63" i="26" s="1"/>
  <c r="AC18" i="26"/>
  <c r="H61" i="26"/>
  <c r="H60" i="26"/>
  <c r="H59" i="26"/>
  <c r="Z15" i="26"/>
  <c r="M51" i="26"/>
  <c r="AE7" i="26"/>
  <c r="W36" i="26"/>
  <c r="AA23" i="26"/>
  <c r="I67" i="26"/>
  <c r="Y60" i="26"/>
  <c r="Z23" i="26"/>
  <c r="H67" i="26"/>
  <c r="K51" i="26"/>
  <c r="U36" i="26"/>
  <c r="AA25" i="26"/>
  <c r="L53" i="26"/>
  <c r="L54" i="26"/>
  <c r="L55" i="26"/>
  <c r="U52" i="26"/>
  <c r="J61" i="26"/>
  <c r="J59" i="26"/>
  <c r="AB15" i="26"/>
  <c r="J60" i="26"/>
  <c r="Z30" i="26"/>
  <c r="W53" i="26"/>
  <c r="R67" i="26"/>
  <c r="R56" i="26"/>
  <c r="R57" i="26"/>
  <c r="AE24" i="26"/>
  <c r="Z28" i="26"/>
  <c r="AD34" i="26"/>
  <c r="AC71" i="26"/>
  <c r="AC70" i="26"/>
  <c r="H56" i="26"/>
  <c r="P55" i="26"/>
  <c r="P54" i="26"/>
  <c r="P53" i="26"/>
  <c r="AH9" i="26"/>
  <c r="L51" i="26"/>
  <c r="V36" i="26"/>
  <c r="I50" i="26"/>
  <c r="I80" i="26" s="1"/>
  <c r="I38" i="26"/>
  <c r="I82" i="26" s="1"/>
  <c r="Y66" i="26"/>
  <c r="Z24" i="26"/>
  <c r="H68" i="26"/>
  <c r="U69" i="26"/>
  <c r="V52" i="26"/>
  <c r="I51" i="26"/>
  <c r="AA7" i="26"/>
  <c r="W66" i="26"/>
  <c r="AB28" i="26"/>
  <c r="M56" i="26"/>
  <c r="M57" i="26"/>
  <c r="AE12" i="26"/>
  <c r="U71" i="26"/>
  <c r="V61" i="26"/>
  <c r="AA14" i="26"/>
  <c r="V60" i="26"/>
  <c r="Y62" i="26"/>
  <c r="AA10" i="26"/>
  <c r="T36" i="26"/>
  <c r="J50" i="26"/>
  <c r="AB6" i="26"/>
  <c r="J38" i="26"/>
  <c r="J82" i="26" s="1"/>
  <c r="U67" i="26"/>
  <c r="Z35" i="26"/>
  <c r="J51" i="26"/>
  <c r="AB7" i="26"/>
  <c r="AE20" i="26"/>
  <c r="W58" i="26"/>
  <c r="AA27" i="26"/>
  <c r="AD31" i="26"/>
  <c r="O59" i="26"/>
  <c r="O60" i="26"/>
  <c r="O61" i="26"/>
  <c r="Z13" i="26"/>
  <c r="Y57" i="26"/>
  <c r="V68" i="26"/>
  <c r="O38" i="26"/>
  <c r="O82" i="26" s="1"/>
  <c r="Z10" i="26"/>
  <c r="T62" i="26"/>
  <c r="AD33" i="26"/>
  <c r="Q54" i="26"/>
  <c r="AB14" i="26"/>
  <c r="AC28" i="26" l="1"/>
  <c r="AJ25" i="26"/>
  <c r="AC32" i="26"/>
  <c r="T75" i="26"/>
  <c r="AC31" i="26"/>
  <c r="AG9" i="26"/>
  <c r="Q37" i="26"/>
  <c r="AH22" i="26"/>
  <c r="AC29" i="26"/>
  <c r="AC36" i="26" s="1"/>
  <c r="AJ16" i="26"/>
  <c r="AB20" i="26"/>
  <c r="AJ20" i="26"/>
  <c r="AB26" i="26"/>
  <c r="AJ24" i="26"/>
  <c r="AJ10" i="26"/>
  <c r="AE34" i="26"/>
  <c r="AH18" i="26"/>
  <c r="AG15" i="26"/>
  <c r="AJ11" i="26"/>
  <c r="AC33" i="26"/>
  <c r="AH12" i="26"/>
  <c r="AC30" i="26"/>
  <c r="AE33" i="26"/>
  <c r="AH24" i="26"/>
  <c r="AE32" i="26"/>
  <c r="AG18" i="26"/>
  <c r="AJ14" i="26"/>
  <c r="AJ19" i="26"/>
  <c r="AC35" i="26"/>
  <c r="AJ26" i="26"/>
  <c r="AC34" i="26"/>
  <c r="L37" i="26"/>
  <c r="P38" i="26"/>
  <c r="P82" i="26" s="1"/>
  <c r="AH19" i="26"/>
  <c r="W78" i="26"/>
  <c r="AJ8" i="26"/>
  <c r="AJ23" i="26"/>
  <c r="R38" i="26"/>
  <c r="R82" i="26" s="1"/>
  <c r="AJ30" i="26"/>
  <c r="AB9" i="26"/>
  <c r="AG12" i="26"/>
  <c r="AE13" i="26"/>
  <c r="AH14" i="26"/>
  <c r="AJ17" i="26"/>
  <c r="AJ6" i="26"/>
  <c r="AI23" i="26"/>
  <c r="AF19" i="26"/>
  <c r="AI26" i="26"/>
  <c r="AI15" i="26"/>
  <c r="AF11" i="26"/>
  <c r="AI12" i="26"/>
  <c r="AF23" i="26"/>
  <c r="AF26" i="26"/>
  <c r="N38" i="26"/>
  <c r="N82" i="26" s="1"/>
  <c r="AF9" i="26"/>
  <c r="AJ7" i="26"/>
  <c r="AF14" i="26"/>
  <c r="AJ15" i="26"/>
  <c r="AF15" i="26"/>
  <c r="AF8" i="26"/>
  <c r="AF13" i="26"/>
  <c r="AJ13" i="26"/>
  <c r="AF12" i="26"/>
  <c r="AI8" i="26"/>
  <c r="AI18" i="26"/>
  <c r="AF10" i="26"/>
  <c r="AF27" i="26"/>
  <c r="AJ12" i="26"/>
  <c r="AI6" i="26"/>
  <c r="AI24" i="26"/>
  <c r="AF7" i="26"/>
  <c r="AH11" i="26"/>
  <c r="AJ27" i="26"/>
  <c r="Y76" i="26"/>
  <c r="AJ22" i="26"/>
  <c r="AI9" i="26"/>
  <c r="Q38" i="26"/>
  <c r="Q82" i="26" s="1"/>
  <c r="AF21" i="26"/>
  <c r="U78" i="26"/>
  <c r="T74" i="26"/>
  <c r="AF31" i="26"/>
  <c r="AA28" i="26"/>
  <c r="X73" i="26"/>
  <c r="AA32" i="26"/>
  <c r="AA17" i="26"/>
  <c r="AF33" i="26"/>
  <c r="X74" i="26"/>
  <c r="AF30" i="26"/>
  <c r="X72" i="26"/>
  <c r="AI35" i="26"/>
  <c r="T78" i="26"/>
  <c r="AI30" i="26"/>
  <c r="AF28" i="26"/>
  <c r="AF29" i="26"/>
  <c r="AH28" i="26"/>
  <c r="AA6" i="26"/>
  <c r="AA30" i="26"/>
  <c r="T77" i="26"/>
  <c r="AA35" i="26"/>
  <c r="AA31" i="26"/>
  <c r="I37" i="26"/>
  <c r="AI33" i="26"/>
  <c r="X77" i="26"/>
  <c r="T79" i="26"/>
  <c r="Y74" i="26"/>
  <c r="AE21" i="26"/>
  <c r="D81" i="26"/>
  <c r="AE18" i="26"/>
  <c r="AH55" i="26"/>
  <c r="AC69" i="26"/>
  <c r="K37" i="26"/>
  <c r="AB32" i="26"/>
  <c r="AB23" i="26"/>
  <c r="AE22" i="26"/>
  <c r="AD24" i="26"/>
  <c r="AB34" i="26"/>
  <c r="AB33" i="26"/>
  <c r="R50" i="26"/>
  <c r="R80" i="26" s="1"/>
  <c r="AJ79" i="26" s="1"/>
  <c r="H50" i="26"/>
  <c r="Z60" i="26" s="1"/>
  <c r="U79" i="26"/>
  <c r="X75" i="26"/>
  <c r="W74" i="26"/>
  <c r="W73" i="26"/>
  <c r="Y73" i="26"/>
  <c r="AH57" i="26"/>
  <c r="AB22" i="26"/>
  <c r="AH69" i="26"/>
  <c r="AB18" i="26"/>
  <c r="U73" i="26"/>
  <c r="AH61" i="26"/>
  <c r="AH56" i="26"/>
  <c r="AB13" i="26"/>
  <c r="AH70" i="26"/>
  <c r="AB19" i="26"/>
  <c r="AB29" i="26"/>
  <c r="X79" i="26"/>
  <c r="W72" i="26"/>
  <c r="M38" i="26"/>
  <c r="M82" i="26" s="1"/>
  <c r="AB17" i="26"/>
  <c r="AB25" i="26"/>
  <c r="W75" i="26"/>
  <c r="AH67" i="26"/>
  <c r="AH60" i="26"/>
  <c r="U74" i="26"/>
  <c r="U75" i="26"/>
  <c r="U77" i="26"/>
  <c r="AH71" i="26"/>
  <c r="AE17" i="26"/>
  <c r="J37" i="26"/>
  <c r="AB31" i="26"/>
  <c r="AE6" i="26"/>
  <c r="AB11" i="26"/>
  <c r="AB8" i="26"/>
  <c r="Z31" i="26"/>
  <c r="AJ21" i="26"/>
  <c r="M50" i="26"/>
  <c r="M80" i="26" s="1"/>
  <c r="AE76" i="26" s="1"/>
  <c r="Z27" i="26"/>
  <c r="AB21" i="26"/>
  <c r="AE25" i="26"/>
  <c r="AH34" i="26"/>
  <c r="T73" i="26"/>
  <c r="W76" i="26"/>
  <c r="AI10" i="26"/>
  <c r="B120" i="50"/>
  <c r="B131" i="50" s="1"/>
  <c r="B144" i="50" s="1"/>
  <c r="D144" i="50" s="1"/>
  <c r="H144" i="50" s="1"/>
  <c r="L38" i="26"/>
  <c r="L82" i="26" s="1"/>
  <c r="R37" i="26"/>
  <c r="AD21" i="26"/>
  <c r="AE74" i="26"/>
  <c r="AJ34" i="26"/>
  <c r="P80" i="26"/>
  <c r="AH35" i="26"/>
  <c r="Y72" i="26"/>
  <c r="AJ31" i="26"/>
  <c r="AD14" i="26"/>
  <c r="AJ35" i="26"/>
  <c r="AD20" i="26"/>
  <c r="L50" i="26"/>
  <c r="AD70" i="26" s="1"/>
  <c r="AD8" i="26"/>
  <c r="AD26" i="26"/>
  <c r="AH6" i="26"/>
  <c r="AH7" i="26"/>
  <c r="Y78" i="26"/>
  <c r="X50" i="26"/>
  <c r="Y50" i="26"/>
  <c r="AD6" i="26"/>
  <c r="AJ32" i="26"/>
  <c r="AD11" i="26"/>
  <c r="AJ33" i="26"/>
  <c r="AD23" i="26"/>
  <c r="AD18" i="26"/>
  <c r="AD19" i="26"/>
  <c r="AH32" i="26"/>
  <c r="X78" i="26"/>
  <c r="AD17" i="26"/>
  <c r="AD10" i="26"/>
  <c r="AD25" i="26"/>
  <c r="AJ29" i="26"/>
  <c r="AD27" i="26"/>
  <c r="AE72" i="26"/>
  <c r="AD13" i="26"/>
  <c r="AD15" i="26"/>
  <c r="AH62" i="26"/>
  <c r="AH29" i="26"/>
  <c r="U76" i="26"/>
  <c r="AD22" i="26"/>
  <c r="AD7" i="26"/>
  <c r="AD9" i="26"/>
  <c r="AE73" i="26"/>
  <c r="AD12" i="26"/>
  <c r="G48" i="70"/>
  <c r="C103" i="84"/>
  <c r="C104" i="84"/>
  <c r="B109" i="84" s="1"/>
  <c r="B120" i="84" s="1"/>
  <c r="B136" i="84" s="1"/>
  <c r="D136" i="84" s="1"/>
  <c r="H136" i="84" s="1"/>
  <c r="AE27" i="26"/>
  <c r="Q50" i="26"/>
  <c r="AI57" i="26" s="1"/>
  <c r="AI7" i="26"/>
  <c r="AI19" i="26"/>
  <c r="AI25" i="26"/>
  <c r="AI20" i="26"/>
  <c r="AI27" i="26"/>
  <c r="AE8" i="26"/>
  <c r="Z22" i="26"/>
  <c r="AB35" i="26"/>
  <c r="AG35" i="26"/>
  <c r="O37" i="26"/>
  <c r="AG31" i="26"/>
  <c r="AG24" i="26"/>
  <c r="AG7" i="26"/>
  <c r="AG23" i="26"/>
  <c r="O50" i="26"/>
  <c r="AG56" i="26" s="1"/>
  <c r="AG6" i="26"/>
  <c r="AG19" i="26"/>
  <c r="AG16" i="26"/>
  <c r="AG20" i="26"/>
  <c r="V50" i="26"/>
  <c r="AE30" i="26"/>
  <c r="V74" i="26"/>
  <c r="P37" i="26"/>
  <c r="V78" i="26"/>
  <c r="AI14" i="26"/>
  <c r="AI16" i="26"/>
  <c r="V79" i="26"/>
  <c r="V75" i="26"/>
  <c r="AG21" i="26"/>
  <c r="E81" i="26"/>
  <c r="N37" i="26"/>
  <c r="AF34" i="26"/>
  <c r="AF35" i="26"/>
  <c r="T50" i="26"/>
  <c r="AI22" i="26"/>
  <c r="AG25" i="26"/>
  <c r="AG33" i="26"/>
  <c r="AG22" i="26"/>
  <c r="AG13" i="26"/>
  <c r="AE19" i="26"/>
  <c r="AG14" i="26"/>
  <c r="AE26" i="26"/>
  <c r="Z14" i="26"/>
  <c r="AG29" i="26"/>
  <c r="AI13" i="26"/>
  <c r="W50" i="26"/>
  <c r="AF17" i="26"/>
  <c r="AF18" i="26"/>
  <c r="AF22" i="26"/>
  <c r="N50" i="26"/>
  <c r="AF63" i="26" s="1"/>
  <c r="AF24" i="26"/>
  <c r="AF6" i="26"/>
  <c r="AF20" i="26"/>
  <c r="AF16" i="26"/>
  <c r="G81" i="26"/>
  <c r="U50" i="26"/>
  <c r="AG26" i="26"/>
  <c r="AG34" i="26"/>
  <c r="AG11" i="26"/>
  <c r="AE29" i="26"/>
  <c r="AE31" i="26"/>
  <c r="M37" i="26"/>
  <c r="AG32" i="26"/>
  <c r="AB57" i="26"/>
  <c r="J80" i="26"/>
  <c r="AB72" i="26" s="1"/>
  <c r="AI60" i="26"/>
  <c r="V77" i="26"/>
  <c r="AG28" i="26"/>
  <c r="AG17" i="26"/>
  <c r="X76" i="26"/>
  <c r="V73" i="26"/>
  <c r="V76" i="26"/>
  <c r="AI56" i="26"/>
  <c r="AH63" i="26"/>
  <c r="AH51" i="26"/>
  <c r="AH33" i="26"/>
  <c r="AG8" i="26"/>
  <c r="I29" i="59"/>
  <c r="B88" i="59" s="1"/>
  <c r="J88" i="59" s="1"/>
  <c r="AG30" i="26"/>
  <c r="AH31" i="26"/>
  <c r="W77" i="26"/>
  <c r="AG10" i="26"/>
  <c r="Y79" i="26"/>
  <c r="AI17" i="26"/>
  <c r="AI21" i="26"/>
  <c r="AC57" i="26"/>
  <c r="I19" i="59"/>
  <c r="B44" i="70"/>
  <c r="B45" i="70"/>
  <c r="I24" i="59"/>
  <c r="B83" i="59" s="1"/>
  <c r="I21" i="59"/>
  <c r="B80" i="59" s="1"/>
  <c r="I27" i="59"/>
  <c r="B86" i="59" s="1"/>
  <c r="J86" i="59" s="1"/>
  <c r="I26" i="59"/>
  <c r="B85" i="59" s="1"/>
  <c r="J85" i="59" s="1"/>
  <c r="AC61" i="26"/>
  <c r="I25" i="59"/>
  <c r="B84" i="59" s="1"/>
  <c r="I23" i="59"/>
  <c r="B82" i="59" s="1"/>
  <c r="AC55" i="26"/>
  <c r="I22" i="59"/>
  <c r="B81" i="59" s="1"/>
  <c r="I20" i="59"/>
  <c r="B79" i="59" s="1"/>
  <c r="AB51" i="26"/>
  <c r="AA51" i="26"/>
  <c r="G207" i="73"/>
  <c r="AB61" i="26"/>
  <c r="AB67" i="26"/>
  <c r="AA61" i="26"/>
  <c r="AA63" i="26"/>
  <c r="AA67" i="26"/>
  <c r="AD36" i="26"/>
  <c r="N58" i="26"/>
  <c r="M58" i="26"/>
  <c r="AE58" i="26" s="1"/>
  <c r="AH59" i="26"/>
  <c r="P58" i="26"/>
  <c r="AH58" i="26" s="1"/>
  <c r="AH54" i="26"/>
  <c r="P66" i="26"/>
  <c r="AH66" i="26" s="1"/>
  <c r="H58" i="26"/>
  <c r="N66" i="26"/>
  <c r="AA60" i="26"/>
  <c r="AB68" i="26"/>
  <c r="AE62" i="26"/>
  <c r="AA62" i="26"/>
  <c r="AB63" i="26"/>
  <c r="AB76" i="26"/>
  <c r="AB79" i="26"/>
  <c r="AB75" i="26"/>
  <c r="J81" i="26"/>
  <c r="AB78" i="26"/>
  <c r="AB74" i="26"/>
  <c r="AB73" i="26"/>
  <c r="AB77" i="26"/>
  <c r="O66" i="26"/>
  <c r="AE57" i="26"/>
  <c r="AB56" i="26"/>
  <c r="AB62" i="26"/>
  <c r="AE69" i="26"/>
  <c r="AE50" i="26"/>
  <c r="AE56" i="26"/>
  <c r="L58" i="26"/>
  <c r="AD71" i="26"/>
  <c r="H66" i="26"/>
  <c r="R66" i="26"/>
  <c r="AE68" i="26"/>
  <c r="AA71" i="26"/>
  <c r="AA70" i="26"/>
  <c r="AA50" i="26"/>
  <c r="AA69" i="26"/>
  <c r="L66" i="26"/>
  <c r="AA68" i="26"/>
  <c r="AJ74" i="26"/>
  <c r="AJ78" i="26"/>
  <c r="AB55" i="26"/>
  <c r="AA55" i="26"/>
  <c r="AE59" i="26"/>
  <c r="L52" i="26"/>
  <c r="L65" i="26"/>
  <c r="AE55" i="26"/>
  <c r="AB54" i="26"/>
  <c r="J66" i="26"/>
  <c r="AB66" i="26" s="1"/>
  <c r="AA54" i="26"/>
  <c r="I66" i="26"/>
  <c r="AA66" i="26" s="1"/>
  <c r="AE67" i="26"/>
  <c r="AA76" i="26"/>
  <c r="AA72" i="26"/>
  <c r="AA79" i="26"/>
  <c r="AA75" i="26"/>
  <c r="AA78" i="26"/>
  <c r="AA74" i="26"/>
  <c r="AA73" i="26"/>
  <c r="AA77" i="26"/>
  <c r="AE51" i="26"/>
  <c r="AE54" i="26"/>
  <c r="M66" i="26"/>
  <c r="AE66" i="26" s="1"/>
  <c r="AB53" i="26"/>
  <c r="J65" i="26"/>
  <c r="AB65" i="26" s="1"/>
  <c r="J52" i="26"/>
  <c r="AA53" i="26"/>
  <c r="I45" i="26"/>
  <c r="I65" i="26"/>
  <c r="AA65" i="26" s="1"/>
  <c r="I52" i="26"/>
  <c r="AC60" i="26"/>
  <c r="B35" i="55"/>
  <c r="D35" i="55" s="1"/>
  <c r="B43" i="70"/>
  <c r="R65" i="26"/>
  <c r="R52" i="26"/>
  <c r="AE60" i="26"/>
  <c r="AB60" i="26"/>
  <c r="AE61" i="26"/>
  <c r="AE53" i="26"/>
  <c r="M52" i="26"/>
  <c r="M65" i="26"/>
  <c r="AE65" i="26" s="1"/>
  <c r="AI36" i="26"/>
  <c r="AA56" i="26"/>
  <c r="H45" i="26"/>
  <c r="R58" i="26"/>
  <c r="Z36" i="26"/>
  <c r="AC59" i="26"/>
  <c r="K58" i="26"/>
  <c r="AC58" i="26" s="1"/>
  <c r="B42" i="70"/>
  <c r="B34" i="55"/>
  <c r="D34" i="55" s="1"/>
  <c r="Q66" i="26"/>
  <c r="O58" i="26"/>
  <c r="N86" i="26"/>
  <c r="AC79" i="26"/>
  <c r="AC75" i="26"/>
  <c r="K81" i="26"/>
  <c r="AC78" i="26"/>
  <c r="AC74" i="26"/>
  <c r="AC77" i="26"/>
  <c r="AC73" i="26"/>
  <c r="AC76" i="26"/>
  <c r="AC72" i="26"/>
  <c r="AC54" i="26"/>
  <c r="K66" i="26"/>
  <c r="AC66" i="26" s="1"/>
  <c r="B41" i="70"/>
  <c r="B33" i="55"/>
  <c r="D33" i="55" s="1"/>
  <c r="N65" i="26"/>
  <c r="N52" i="26"/>
  <c r="H52" i="26"/>
  <c r="AI59" i="26"/>
  <c r="Q58" i="26"/>
  <c r="Q52" i="26"/>
  <c r="Q65" i="26"/>
  <c r="AB71" i="26"/>
  <c r="AB70" i="26"/>
  <c r="AB69" i="26"/>
  <c r="AB50" i="26"/>
  <c r="AH53" i="26"/>
  <c r="P65" i="26"/>
  <c r="AH65" i="26" s="1"/>
  <c r="P52" i="26"/>
  <c r="AB59" i="26"/>
  <c r="J58" i="26"/>
  <c r="AB58" i="26" s="1"/>
  <c r="B39" i="70"/>
  <c r="F39" i="70" s="1"/>
  <c r="H39" i="70" s="1"/>
  <c r="B31" i="55"/>
  <c r="AC51" i="26"/>
  <c r="K52" i="26"/>
  <c r="B40" i="70"/>
  <c r="B32" i="55"/>
  <c r="D32" i="55" s="1"/>
  <c r="AC53" i="26"/>
  <c r="K65" i="26"/>
  <c r="AC65" i="26" s="1"/>
  <c r="AA57" i="26"/>
  <c r="O65" i="26"/>
  <c r="O52" i="26"/>
  <c r="H65" i="26"/>
  <c r="AA59" i="26"/>
  <c r="I58" i="26"/>
  <c r="AA58" i="26" s="1"/>
  <c r="Z67" i="26" l="1"/>
  <c r="AD61" i="26"/>
  <c r="Z62" i="26"/>
  <c r="L80" i="26"/>
  <c r="AJ63" i="26"/>
  <c r="AJ75" i="26"/>
  <c r="AD63" i="26"/>
  <c r="Z51" i="26"/>
  <c r="AJ62" i="26"/>
  <c r="AJ66" i="26"/>
  <c r="Z57" i="26"/>
  <c r="AF65" i="26"/>
  <c r="AJ59" i="26"/>
  <c r="AJ65" i="26"/>
  <c r="AJ61" i="26"/>
  <c r="AJ73" i="26"/>
  <c r="AJ54" i="26"/>
  <c r="AE70" i="26"/>
  <c r="Z56" i="26"/>
  <c r="AD67" i="26"/>
  <c r="AD60" i="26"/>
  <c r="AJ72" i="26"/>
  <c r="AJ80" i="26" s="1"/>
  <c r="AJ58" i="26"/>
  <c r="AD65" i="26"/>
  <c r="AJ76" i="26"/>
  <c r="Z69" i="26"/>
  <c r="AJ53" i="26"/>
  <c r="AJ70" i="26"/>
  <c r="AD53" i="26"/>
  <c r="AJ77" i="26"/>
  <c r="Z66" i="26"/>
  <c r="AE71" i="26"/>
  <c r="Z54" i="26"/>
  <c r="AD51" i="26"/>
  <c r="AJ71" i="26"/>
  <c r="AD55" i="26"/>
  <c r="AD57" i="26"/>
  <c r="Z63" i="26"/>
  <c r="T80" i="26"/>
  <c r="AE75" i="26"/>
  <c r="AJ51" i="26"/>
  <c r="AA36" i="26"/>
  <c r="Z61" i="26"/>
  <c r="AD58" i="26"/>
  <c r="AJ56" i="26"/>
  <c r="AD68" i="26"/>
  <c r="AF58" i="26"/>
  <c r="Z70" i="26"/>
  <c r="Z71" i="26"/>
  <c r="AD66" i="26"/>
  <c r="AD50" i="26"/>
  <c r="H80" i="26"/>
  <c r="H81" i="26" s="1"/>
  <c r="AJ69" i="26"/>
  <c r="AD54" i="26"/>
  <c r="AD69" i="26"/>
  <c r="AE63" i="26"/>
  <c r="Z59" i="26"/>
  <c r="Z68" i="26"/>
  <c r="Z55" i="26"/>
  <c r="AJ67" i="26"/>
  <c r="AD59" i="26"/>
  <c r="AJ60" i="26"/>
  <c r="Z65" i="26"/>
  <c r="AJ50" i="26"/>
  <c r="AD62" i="26"/>
  <c r="AD56" i="26"/>
  <c r="Z58" i="26"/>
  <c r="Z53" i="26"/>
  <c r="H207" i="73"/>
  <c r="G210" i="73"/>
  <c r="AF66" i="26"/>
  <c r="Y80" i="26"/>
  <c r="AF51" i="26"/>
  <c r="AF54" i="26"/>
  <c r="AE36" i="26"/>
  <c r="AI61" i="26"/>
  <c r="AG63" i="26"/>
  <c r="AF56" i="26"/>
  <c r="AG55" i="26"/>
  <c r="AG65" i="26"/>
  <c r="AG54" i="26"/>
  <c r="AG53" i="26"/>
  <c r="AG58" i="26"/>
  <c r="AJ36" i="26"/>
  <c r="U80" i="26"/>
  <c r="Z73" i="26"/>
  <c r="AJ55" i="26"/>
  <c r="AF36" i="26"/>
  <c r="AJ57" i="26"/>
  <c r="AB36" i="26"/>
  <c r="AI62" i="26"/>
  <c r="Z77" i="26"/>
  <c r="AD77" i="26"/>
  <c r="X80" i="26"/>
  <c r="AG60" i="26"/>
  <c r="AE79" i="26"/>
  <c r="AE78" i="26"/>
  <c r="AE77" i="26"/>
  <c r="AE80" i="26" s="1"/>
  <c r="Z50" i="26"/>
  <c r="Z74" i="26"/>
  <c r="AD74" i="26"/>
  <c r="Z78" i="26"/>
  <c r="Z79" i="26"/>
  <c r="Z75" i="26"/>
  <c r="AD75" i="26"/>
  <c r="AI65" i="26"/>
  <c r="AF53" i="26"/>
  <c r="AG59" i="26"/>
  <c r="AD79" i="26"/>
  <c r="AI66" i="26"/>
  <c r="Z76" i="26"/>
  <c r="AI67" i="26"/>
  <c r="AH36" i="26"/>
  <c r="AI53" i="26"/>
  <c r="AI54" i="26"/>
  <c r="AF59" i="26"/>
  <c r="AI58" i="26"/>
  <c r="AG66" i="26"/>
  <c r="AI68" i="26"/>
  <c r="AJ68" i="26"/>
  <c r="AG57" i="26"/>
  <c r="AG62" i="26"/>
  <c r="AH50" i="26"/>
  <c r="AH77" i="26"/>
  <c r="AH73" i="26"/>
  <c r="AH74" i="26"/>
  <c r="AH76" i="26"/>
  <c r="AH72" i="26"/>
  <c r="AH75" i="26"/>
  <c r="AH78" i="26"/>
  <c r="AG61" i="26"/>
  <c r="AH79" i="26"/>
  <c r="O80" i="26"/>
  <c r="AG50" i="26" s="1"/>
  <c r="AG69" i="26"/>
  <c r="AG67" i="26"/>
  <c r="AG51" i="26"/>
  <c r="AG71" i="26"/>
  <c r="AG68" i="26"/>
  <c r="AG70" i="26"/>
  <c r="W80" i="26"/>
  <c r="Q80" i="26"/>
  <c r="AI50" i="26" s="1"/>
  <c r="AI69" i="26"/>
  <c r="AI71" i="26"/>
  <c r="AI63" i="26"/>
  <c r="AI51" i="26"/>
  <c r="AI70" i="26"/>
  <c r="V80" i="26"/>
  <c r="C109" i="84"/>
  <c r="G109" i="84" s="1"/>
  <c r="K109" i="84" s="1"/>
  <c r="L109" i="84" s="1"/>
  <c r="C147" i="84" s="1"/>
  <c r="C115" i="84"/>
  <c r="C120" i="84" s="1"/>
  <c r="G120" i="84" s="1"/>
  <c r="K120" i="84" s="1"/>
  <c r="L120" i="84" s="1"/>
  <c r="C149" i="84" s="1"/>
  <c r="N80" i="26"/>
  <c r="AF50" i="26" s="1"/>
  <c r="AF60" i="26"/>
  <c r="AF67" i="26"/>
  <c r="AF70" i="26"/>
  <c r="AF69" i="26"/>
  <c r="AF61" i="26"/>
  <c r="AF71" i="26"/>
  <c r="AF68" i="26"/>
  <c r="AF62" i="26"/>
  <c r="AF57" i="26"/>
  <c r="AI55" i="26"/>
  <c r="AF55" i="26"/>
  <c r="AG36" i="26"/>
  <c r="C84" i="70"/>
  <c r="V130" i="70"/>
  <c r="D41" i="70"/>
  <c r="J132" i="70" s="1"/>
  <c r="F41" i="70"/>
  <c r="H41" i="70" s="1"/>
  <c r="D43" i="70"/>
  <c r="J134" i="70" s="1"/>
  <c r="F43" i="70"/>
  <c r="H43" i="70" s="1"/>
  <c r="D42" i="70"/>
  <c r="J133" i="70" s="1"/>
  <c r="F42" i="70"/>
  <c r="H42" i="70" s="1"/>
  <c r="D40" i="70"/>
  <c r="J131" i="70" s="1"/>
  <c r="F40" i="70"/>
  <c r="H40" i="70" s="1"/>
  <c r="D45" i="70"/>
  <c r="J136" i="70" s="1"/>
  <c r="K136" i="70" s="1"/>
  <c r="P136" i="70" s="1"/>
  <c r="T136" i="70" s="1"/>
  <c r="U136" i="70" s="1"/>
  <c r="F45" i="70"/>
  <c r="H45" i="70" s="1"/>
  <c r="D44" i="70"/>
  <c r="J135" i="70" s="1"/>
  <c r="K135" i="70" s="1"/>
  <c r="P135" i="70" s="1"/>
  <c r="T135" i="70" s="1"/>
  <c r="U135" i="70" s="1"/>
  <c r="F44" i="70"/>
  <c r="H44" i="70" s="1"/>
  <c r="B78" i="59"/>
  <c r="I37" i="59"/>
  <c r="AB80" i="26"/>
  <c r="AC80" i="26"/>
  <c r="AF52" i="26"/>
  <c r="N64" i="26"/>
  <c r="AF64" i="26" s="1"/>
  <c r="J111" i="55"/>
  <c r="K111" i="55" s="1"/>
  <c r="D68" i="55"/>
  <c r="AG52" i="26"/>
  <c r="O64" i="26"/>
  <c r="AG64" i="26" s="1"/>
  <c r="AI52" i="26"/>
  <c r="Q64" i="26"/>
  <c r="AI64" i="26" s="1"/>
  <c r="D71" i="55"/>
  <c r="E71" i="55" s="1"/>
  <c r="J114" i="55"/>
  <c r="K114" i="55" s="1"/>
  <c r="AA52" i="26"/>
  <c r="I64" i="26"/>
  <c r="AA64" i="26" s="1"/>
  <c r="AH52" i="26"/>
  <c r="P64" i="26"/>
  <c r="AH64" i="26" s="1"/>
  <c r="J112" i="55"/>
  <c r="K112" i="55" s="1"/>
  <c r="D69" i="55"/>
  <c r="E69" i="55" s="1"/>
  <c r="R64" i="26"/>
  <c r="AJ64" i="26" s="1"/>
  <c r="AJ52" i="26"/>
  <c r="AB52" i="26"/>
  <c r="J64" i="26"/>
  <c r="AB64" i="26" s="1"/>
  <c r="AA80" i="26"/>
  <c r="D39" i="70"/>
  <c r="B68" i="70" s="1"/>
  <c r="B48" i="70"/>
  <c r="D48" i="70" s="1"/>
  <c r="H64" i="26"/>
  <c r="Z64" i="26" s="1"/>
  <c r="Z52" i="26"/>
  <c r="AC52" i="26"/>
  <c r="K64" i="26"/>
  <c r="AC64" i="26" s="1"/>
  <c r="J113" i="55"/>
  <c r="K113" i="55" s="1"/>
  <c r="D70" i="55"/>
  <c r="E70" i="55" s="1"/>
  <c r="AD52" i="26"/>
  <c r="L64" i="26"/>
  <c r="AD64" i="26" s="1"/>
  <c r="D31" i="55"/>
  <c r="B38" i="55"/>
  <c r="AE52" i="26"/>
  <c r="M64" i="26"/>
  <c r="AE64" i="26" s="1"/>
  <c r="M81" i="26" l="1"/>
  <c r="L81" i="26"/>
  <c r="AD73" i="26"/>
  <c r="AD76" i="26"/>
  <c r="AD78" i="26"/>
  <c r="AD72" i="26"/>
  <c r="Z72" i="26"/>
  <c r="I81" i="26"/>
  <c r="Z80" i="26"/>
  <c r="AD80" i="26"/>
  <c r="B95" i="59"/>
  <c r="AH80" i="26"/>
  <c r="C151" i="84"/>
  <c r="AI77" i="26"/>
  <c r="Q81" i="26"/>
  <c r="R81" i="26"/>
  <c r="AI73" i="26"/>
  <c r="AI76" i="26"/>
  <c r="AI72" i="26"/>
  <c r="AI79" i="26"/>
  <c r="AI75" i="26"/>
  <c r="AI78" i="26"/>
  <c r="AI74" i="26"/>
  <c r="AG72" i="26"/>
  <c r="O81" i="26"/>
  <c r="AG75" i="26"/>
  <c r="P81" i="26"/>
  <c r="AG78" i="26"/>
  <c r="AG79" i="26"/>
  <c r="AG77" i="26"/>
  <c r="AG74" i="26"/>
  <c r="AG73" i="26"/>
  <c r="AG76" i="26"/>
  <c r="N81" i="26"/>
  <c r="AF75" i="26"/>
  <c r="AF78" i="26"/>
  <c r="AF76" i="26"/>
  <c r="AF74" i="26"/>
  <c r="AF77" i="26"/>
  <c r="AF73" i="26"/>
  <c r="AF72" i="26"/>
  <c r="AF79" i="26"/>
  <c r="H39" i="59"/>
  <c r="C39" i="59"/>
  <c r="J25" i="59"/>
  <c r="D39" i="59"/>
  <c r="D58" i="59" s="1"/>
  <c r="E39" i="59"/>
  <c r="E58" i="59" s="1"/>
  <c r="G39" i="59"/>
  <c r="F39" i="59"/>
  <c r="F58" i="59" s="1"/>
  <c r="B39" i="59"/>
  <c r="C87" i="70"/>
  <c r="D87" i="70" s="1"/>
  <c r="E87" i="70" s="1"/>
  <c r="F87" i="70" s="1"/>
  <c r="V133" i="70"/>
  <c r="C89" i="70"/>
  <c r="D89" i="70" s="1"/>
  <c r="E89" i="70" s="1"/>
  <c r="V135" i="70"/>
  <c r="W135" i="70" s="1"/>
  <c r="X135" i="70" s="1"/>
  <c r="C88" i="70"/>
  <c r="D88" i="70" s="1"/>
  <c r="E88" i="70" s="1"/>
  <c r="F88" i="70" s="1"/>
  <c r="V134" i="70"/>
  <c r="C90" i="70"/>
  <c r="D90" i="70" s="1"/>
  <c r="E90" i="70" s="1"/>
  <c r="V136" i="70"/>
  <c r="W136" i="70" s="1"/>
  <c r="X136" i="70" s="1"/>
  <c r="C86" i="70"/>
  <c r="D86" i="70" s="1"/>
  <c r="E86" i="70" s="1"/>
  <c r="F86" i="70" s="1"/>
  <c r="V132" i="70"/>
  <c r="C85" i="70"/>
  <c r="D85" i="70" s="1"/>
  <c r="E85" i="70" s="1"/>
  <c r="F85" i="70" s="1"/>
  <c r="V131" i="70"/>
  <c r="C73" i="70"/>
  <c r="B73" i="70"/>
  <c r="H73" i="70"/>
  <c r="G73" i="70"/>
  <c r="F73" i="70"/>
  <c r="E73" i="70"/>
  <c r="D73" i="70"/>
  <c r="D74" i="70"/>
  <c r="C74" i="70"/>
  <c r="B74" i="70"/>
  <c r="H74" i="70"/>
  <c r="G74" i="70"/>
  <c r="F74" i="70"/>
  <c r="E74" i="70"/>
  <c r="D68" i="70"/>
  <c r="E68" i="70"/>
  <c r="C68" i="70"/>
  <c r="F68" i="70"/>
  <c r="G68" i="70"/>
  <c r="H68" i="70"/>
  <c r="H48" i="70"/>
  <c r="F48" i="70"/>
  <c r="J24" i="59"/>
  <c r="J35" i="59"/>
  <c r="J29" i="59"/>
  <c r="J30" i="59"/>
  <c r="J22" i="59"/>
  <c r="J23" i="59"/>
  <c r="J33" i="59"/>
  <c r="J26" i="59"/>
  <c r="J21" i="59"/>
  <c r="J32" i="59"/>
  <c r="J36" i="59"/>
  <c r="J31" i="59"/>
  <c r="J28" i="59"/>
  <c r="J27" i="59"/>
  <c r="J20" i="59"/>
  <c r="J19" i="59"/>
  <c r="K132" i="70"/>
  <c r="K131" i="70"/>
  <c r="K133" i="70"/>
  <c r="K134" i="70"/>
  <c r="E68" i="55"/>
  <c r="D67" i="55"/>
  <c r="E67" i="55" s="1"/>
  <c r="J110" i="55"/>
  <c r="K110" i="55" s="1"/>
  <c r="H53" i="55"/>
  <c r="D53" i="55"/>
  <c r="G53" i="55"/>
  <c r="C53" i="55"/>
  <c r="F53" i="55"/>
  <c r="B53" i="55"/>
  <c r="E53" i="55"/>
  <c r="J130" i="70"/>
  <c r="K130" i="70" s="1"/>
  <c r="D84" i="70"/>
  <c r="F69" i="55"/>
  <c r="F70" i="55"/>
  <c r="F71" i="55"/>
  <c r="AF80" i="26" l="1"/>
  <c r="AG80" i="26"/>
  <c r="C156" i="84"/>
  <c r="C157" i="84"/>
  <c r="AI80" i="26"/>
  <c r="E59" i="59"/>
  <c r="E60" i="59" s="1"/>
  <c r="E61" i="59" s="1"/>
  <c r="E62" i="59" s="1"/>
  <c r="E63" i="59" s="1"/>
  <c r="E64" i="59" s="1"/>
  <c r="C144" i="59"/>
  <c r="J37" i="59"/>
  <c r="D59" i="59"/>
  <c r="D60" i="59" s="1"/>
  <c r="D61" i="59" s="1"/>
  <c r="D62" i="59" s="1"/>
  <c r="D63" i="59" s="1"/>
  <c r="D64" i="59" s="1"/>
  <c r="C145" i="59"/>
  <c r="V139" i="70"/>
  <c r="C93" i="70"/>
  <c r="V146" i="70" s="1"/>
  <c r="F90" i="70"/>
  <c r="F89" i="70"/>
  <c r="D74" i="55"/>
  <c r="E84" i="70"/>
  <c r="D93" i="70"/>
  <c r="F67" i="55"/>
  <c r="E74" i="55"/>
  <c r="E75" i="55" s="1"/>
  <c r="J124" i="55" s="1"/>
  <c r="K124" i="55" s="1"/>
  <c r="F68" i="55"/>
  <c r="F59" i="59" l="1"/>
  <c r="F60" i="59" s="1"/>
  <c r="F61" i="59" s="1"/>
  <c r="F62" i="59" s="1"/>
  <c r="F63" i="59" s="1"/>
  <c r="F64" i="59" s="1"/>
  <c r="P124" i="55"/>
  <c r="T124" i="55" s="1"/>
  <c r="U124" i="55" s="1"/>
  <c r="W124" i="55" s="1"/>
  <c r="AB124" i="55" s="1"/>
  <c r="C130" i="55" s="1"/>
  <c r="F84" i="70"/>
  <c r="E93" i="70"/>
  <c r="F93" i="70" s="1"/>
  <c r="J146" i="70" s="1"/>
  <c r="K146" i="70" s="1"/>
  <c r="P146" i="70" s="1"/>
  <c r="T146" i="70" s="1"/>
  <c r="U146" i="70" s="1"/>
  <c r="W146" i="70" s="1"/>
  <c r="C160" i="70" s="1"/>
  <c r="D29" i="67"/>
  <c r="K9" i="43"/>
  <c r="K10" i="43"/>
  <c r="Z17" i="43"/>
  <c r="T18" i="43"/>
  <c r="N62" i="43" s="1" a="1"/>
  <c r="N62" i="43" s="1"/>
  <c r="Z18" i="43"/>
  <c r="W19" i="43"/>
  <c r="Z19" i="43"/>
  <c r="X20" i="43"/>
  <c r="Z20" i="43"/>
  <c r="Z21" i="43"/>
  <c r="X22" i="43"/>
  <c r="Y22" i="43" s="1"/>
  <c r="Z22" i="43"/>
  <c r="W23" i="43"/>
  <c r="Z23" i="43"/>
  <c r="V24" i="43"/>
  <c r="W24" i="43"/>
  <c r="Z24" i="43"/>
  <c r="Z25" i="43"/>
  <c r="Z26" i="43"/>
  <c r="Z27" i="43"/>
  <c r="Z28" i="43"/>
  <c r="Z29" i="43"/>
  <c r="Z30" i="43"/>
  <c r="W31" i="43"/>
  <c r="Z31" i="43"/>
  <c r="J44" i="43"/>
  <c r="K47" i="43"/>
  <c r="L48" i="43"/>
  <c r="I50" i="43"/>
  <c r="J50" i="43"/>
  <c r="K50" i="43"/>
  <c r="L50" i="43"/>
  <c r="J57" i="43"/>
  <c r="J58" i="43" s="1"/>
  <c r="I59" i="43"/>
  <c r="J59" i="43"/>
  <c r="K64" i="43"/>
  <c r="J65" i="43"/>
  <c r="K65" i="43"/>
  <c r="J68" i="43"/>
  <c r="K68" i="43"/>
  <c r="L68" i="43"/>
  <c r="J77" i="43"/>
  <c r="L77" i="43"/>
  <c r="J86" i="43"/>
  <c r="K86" i="43"/>
  <c r="L86" i="43"/>
  <c r="L92" i="43"/>
  <c r="L95" i="43"/>
  <c r="AA62" i="43" l="1" a="1"/>
  <c r="AF62" i="43" s="1"/>
  <c r="Z35" i="43"/>
  <c r="AA34" i="43"/>
  <c r="Y34" i="43"/>
  <c r="Y37" i="43" s="1"/>
  <c r="Z34" i="43"/>
  <c r="X34" i="43"/>
  <c r="X37" i="43" s="1"/>
  <c r="V34" i="43"/>
  <c r="V37" i="43" s="1"/>
  <c r="U34" i="43"/>
  <c r="U37" i="43" s="1"/>
  <c r="D30" i="66"/>
  <c r="C30" i="66"/>
  <c r="D52" i="67"/>
  <c r="F58" i="67" s="1"/>
  <c r="X146" i="70"/>
  <c r="D37" i="66"/>
  <c r="E37" i="66" s="1"/>
  <c r="C47" i="66" s="1"/>
  <c r="O69" i="43"/>
  <c r="R66" i="43"/>
  <c r="R65" i="43"/>
  <c r="S64" i="43"/>
  <c r="S66" i="43"/>
  <c r="S65" i="43"/>
  <c r="Q66" i="43"/>
  <c r="Q65" i="43"/>
  <c r="P66" i="43"/>
  <c r="P65" i="43"/>
  <c r="R64" i="43"/>
  <c r="S63" i="43"/>
  <c r="O66" i="43"/>
  <c r="O65" i="43"/>
  <c r="Q64" i="43"/>
  <c r="R63" i="43"/>
  <c r="S62" i="43"/>
  <c r="N66" i="43"/>
  <c r="N65" i="43"/>
  <c r="P64" i="43"/>
  <c r="Q63" i="43"/>
  <c r="R62" i="43"/>
  <c r="O64" i="43"/>
  <c r="P63" i="43"/>
  <c r="Q62" i="43"/>
  <c r="N64" i="43"/>
  <c r="O63" i="43"/>
  <c r="N63" i="43"/>
  <c r="O62" i="43"/>
  <c r="P62" i="43"/>
  <c r="AB64" i="43" l="1"/>
  <c r="AB66" i="43"/>
  <c r="AE64" i="43"/>
  <c r="AF63" i="43"/>
  <c r="AC63" i="43"/>
  <c r="AA62" i="43"/>
  <c r="AD63" i="43"/>
  <c r="AE65" i="43"/>
  <c r="AC64" i="43"/>
  <c r="AB62" i="43"/>
  <c r="AE66" i="43"/>
  <c r="AA65" i="43"/>
  <c r="AB63" i="43"/>
  <c r="AA63" i="43"/>
  <c r="AA66" i="43"/>
  <c r="AA64" i="43"/>
  <c r="AD66" i="43"/>
  <c r="AB65" i="43"/>
  <c r="AE62" i="43"/>
  <c r="AF65" i="43"/>
  <c r="AC65" i="43"/>
  <c r="AF66" i="43"/>
  <c r="AC66" i="43"/>
  <c r="AD62" i="43"/>
  <c r="AE63" i="43"/>
  <c r="AF64" i="43"/>
  <c r="AD65" i="43"/>
  <c r="AC62" i="43"/>
  <c r="AD64" i="43"/>
  <c r="C55" i="88"/>
  <c r="C54" i="73"/>
  <c r="X38" i="43"/>
  <c r="V38" i="43"/>
  <c r="AA38" i="43"/>
  <c r="Y38" i="43"/>
  <c r="U38" i="43"/>
  <c r="C161" i="70"/>
  <c r="C97" i="67"/>
  <c r="D53" i="66"/>
  <c r="D54" i="66" s="1"/>
  <c r="F59" i="67"/>
  <c r="F60" i="67" s="1"/>
  <c r="F61" i="67" s="1"/>
  <c r="F62" i="67" s="1"/>
  <c r="F63" i="67" s="1"/>
  <c r="F64" i="67" s="1"/>
  <c r="C71" i="66"/>
  <c r="F37" i="66"/>
  <c r="J78" i="66" s="1"/>
  <c r="K78" i="66" s="1"/>
  <c r="Q69" i="43"/>
  <c r="E54" i="73" l="1"/>
  <c r="E55" i="88"/>
  <c r="E61" i="88" s="1"/>
  <c r="E59" i="73"/>
  <c r="E60" i="73"/>
  <c r="C100" i="67"/>
  <c r="C96" i="66"/>
  <c r="D55" i="66"/>
  <c r="D56" i="66" s="1"/>
  <c r="D57" i="66" s="1"/>
  <c r="D58" i="66" s="1"/>
  <c r="D59" i="66" s="1"/>
  <c r="D71" i="66"/>
  <c r="O78" i="66"/>
  <c r="S78" i="66" s="1"/>
  <c r="T78" i="66" s="1"/>
  <c r="V78" i="66" s="1"/>
  <c r="C91" i="66" s="1"/>
  <c r="F64" i="70"/>
  <c r="D45" i="55"/>
  <c r="D46" i="55"/>
  <c r="C55" i="50"/>
  <c r="D28" i="50"/>
  <c r="E49" i="55"/>
  <c r="D64" i="70"/>
  <c r="C45" i="55"/>
  <c r="D44" i="55"/>
  <c r="H28" i="50"/>
  <c r="H43" i="55"/>
  <c r="F23" i="73"/>
  <c r="B43" i="55"/>
  <c r="D23" i="73"/>
  <c r="B56" i="70"/>
  <c r="C64" i="70"/>
  <c r="D43" i="55"/>
  <c r="C30" i="50"/>
  <c r="B44" i="55"/>
  <c r="G57" i="70"/>
  <c r="G30" i="50"/>
  <c r="H64" i="70"/>
  <c r="F25" i="73"/>
  <c r="B57" i="70"/>
  <c r="B23" i="73"/>
  <c r="C43" i="55"/>
  <c r="H58" i="70"/>
  <c r="G23" i="73"/>
  <c r="G45" i="55"/>
  <c r="B49" i="55"/>
  <c r="G58" i="70"/>
  <c r="C59" i="70"/>
  <c r="G25" i="73"/>
  <c r="C25" i="73"/>
  <c r="H24" i="73"/>
  <c r="D29" i="50"/>
  <c r="E58" i="70"/>
  <c r="D42" i="66"/>
  <c r="G59" i="70"/>
  <c r="F59" i="70"/>
  <c r="C28" i="50"/>
  <c r="G43" i="55"/>
  <c r="F57" i="70"/>
  <c r="E56" i="70"/>
  <c r="B64" i="70"/>
  <c r="E25" i="73"/>
  <c r="D25" i="73"/>
  <c r="H44" i="55"/>
  <c r="E24" i="73"/>
  <c r="G64" i="70"/>
  <c r="H57" i="70"/>
  <c r="D57" i="70"/>
  <c r="C29" i="50"/>
  <c r="E57" i="70"/>
  <c r="B59" i="70"/>
  <c r="C58" i="70"/>
  <c r="E64" i="70"/>
  <c r="F29" i="50"/>
  <c r="F28" i="50"/>
  <c r="B25" i="73"/>
  <c r="B29" i="50"/>
  <c r="C86" i="73"/>
  <c r="C24" i="73"/>
  <c r="E23" i="73"/>
  <c r="F45" i="55"/>
  <c r="D58" i="70"/>
  <c r="C57" i="70"/>
  <c r="F43" i="55"/>
  <c r="C54" i="50"/>
  <c r="C46" i="55"/>
  <c r="H56" i="70"/>
  <c r="B58" i="70"/>
  <c r="C87" i="73"/>
  <c r="G28" i="50"/>
  <c r="G44" i="55"/>
  <c r="B30" i="50"/>
  <c r="C56" i="70"/>
  <c r="B46" i="55"/>
  <c r="E43" i="55"/>
  <c r="H49" i="55"/>
  <c r="E45" i="55"/>
  <c r="B24" i="73"/>
  <c r="D24" i="73"/>
  <c r="D49" i="55"/>
  <c r="D59" i="70"/>
  <c r="C49" i="55"/>
  <c r="D30" i="50"/>
  <c r="F56" i="70"/>
  <c r="H45" i="55"/>
  <c r="F24" i="73"/>
  <c r="E46" i="55"/>
  <c r="F46" i="55"/>
  <c r="B45" i="55"/>
  <c r="H29" i="50"/>
  <c r="F44" i="55"/>
  <c r="C44" i="55"/>
  <c r="G29" i="50"/>
  <c r="G46" i="55"/>
  <c r="F58" i="70"/>
  <c r="H59" i="70"/>
  <c r="H46" i="55"/>
  <c r="H30" i="50"/>
  <c r="F30" i="50"/>
  <c r="G49" i="55"/>
  <c r="E28" i="50"/>
  <c r="H25" i="73"/>
  <c r="H23" i="73"/>
  <c r="F49" i="55"/>
  <c r="D56" i="70"/>
  <c r="E29" i="50"/>
  <c r="C23" i="73"/>
  <c r="E59" i="70"/>
  <c r="B28" i="50"/>
  <c r="E30" i="50"/>
  <c r="G24" i="73"/>
  <c r="G56" i="70"/>
  <c r="E44" i="55"/>
  <c r="E60" i="88" l="1"/>
  <c r="E62" i="88" s="1"/>
  <c r="F74" i="88" s="1"/>
  <c r="E74" i="88" s="1"/>
  <c r="E61" i="73"/>
  <c r="C82" i="50"/>
  <c r="E55" i="50"/>
  <c r="E54" i="50"/>
  <c r="C113" i="50" s="1"/>
  <c r="C115" i="50" s="1"/>
  <c r="C120" i="50" s="1"/>
  <c r="E102" i="70"/>
  <c r="E103" i="70"/>
  <c r="F102" i="70"/>
  <c r="F103" i="70"/>
  <c r="B102" i="70"/>
  <c r="B103" i="70"/>
  <c r="H103" i="70"/>
  <c r="H102" i="70"/>
  <c r="D102" i="70"/>
  <c r="D103" i="70"/>
  <c r="G102" i="70"/>
  <c r="G103" i="70"/>
  <c r="C103" i="70"/>
  <c r="C102" i="70"/>
  <c r="E69" i="70"/>
  <c r="B71" i="70"/>
  <c r="H70" i="70"/>
  <c r="F70" i="70"/>
  <c r="H71" i="70"/>
  <c r="D71" i="70"/>
  <c r="G71" i="70"/>
  <c r="F69" i="70"/>
  <c r="C69" i="70"/>
  <c r="B72" i="70"/>
  <c r="E72" i="70"/>
  <c r="D69" i="70"/>
  <c r="C70" i="70"/>
  <c r="G72" i="70"/>
  <c r="H72" i="70"/>
  <c r="H69" i="70"/>
  <c r="D72" i="70"/>
  <c r="E70" i="70"/>
  <c r="F72" i="70"/>
  <c r="G70" i="70"/>
  <c r="D70" i="70"/>
  <c r="B70" i="70"/>
  <c r="C71" i="70"/>
  <c r="F71" i="70"/>
  <c r="E71" i="70"/>
  <c r="C72" i="70"/>
  <c r="G69" i="70"/>
  <c r="B69" i="70"/>
  <c r="L71" i="66"/>
  <c r="M71" i="66" s="1"/>
  <c r="F71" i="66"/>
  <c r="D47" i="66"/>
  <c r="C55" i="55"/>
  <c r="C151" i="73"/>
  <c r="C157" i="73" s="1"/>
  <c r="C95" i="73"/>
  <c r="C101" i="73" s="1"/>
  <c r="D94" i="73"/>
  <c r="D61" i="50"/>
  <c r="D66" i="50" s="1"/>
  <c r="G79" i="55"/>
  <c r="G85" i="55"/>
  <c r="G84" i="55"/>
  <c r="G82" i="55"/>
  <c r="G81" i="55"/>
  <c r="G80" i="55"/>
  <c r="G83" i="55"/>
  <c r="C94" i="73"/>
  <c r="F99" i="70"/>
  <c r="F97" i="70"/>
  <c r="F98" i="70"/>
  <c r="F100" i="70"/>
  <c r="F101" i="70"/>
  <c r="F105" i="70"/>
  <c r="F104" i="70"/>
  <c r="B55" i="55"/>
  <c r="E62" i="50"/>
  <c r="E67" i="50" s="1"/>
  <c r="E90" i="50" s="1"/>
  <c r="F57" i="55"/>
  <c r="H95" i="73"/>
  <c r="H101" i="73" s="1"/>
  <c r="H151" i="73"/>
  <c r="H157" i="73" s="1"/>
  <c r="G62" i="50"/>
  <c r="G67" i="50" s="1"/>
  <c r="G90" i="50" s="1"/>
  <c r="C84" i="55"/>
  <c r="C79" i="55"/>
  <c r="C85" i="55"/>
  <c r="C81" i="55"/>
  <c r="C83" i="55"/>
  <c r="C82" i="55"/>
  <c r="C80" i="55"/>
  <c r="H100" i="70"/>
  <c r="H98" i="70"/>
  <c r="H99" i="70"/>
  <c r="H101" i="70"/>
  <c r="H97" i="70"/>
  <c r="H105" i="70"/>
  <c r="H104" i="70"/>
  <c r="H56" i="55"/>
  <c r="D57" i="55"/>
  <c r="H82" i="55"/>
  <c r="H83" i="55"/>
  <c r="H85" i="55"/>
  <c r="H79" i="55"/>
  <c r="H84" i="55"/>
  <c r="H80" i="55"/>
  <c r="H81" i="55"/>
  <c r="H61" i="50"/>
  <c r="H66" i="50" s="1"/>
  <c r="H57" i="55"/>
  <c r="B100" i="70"/>
  <c r="B97" i="70"/>
  <c r="B105" i="70"/>
  <c r="B104" i="70"/>
  <c r="B101" i="70"/>
  <c r="B99" i="70"/>
  <c r="B98" i="70"/>
  <c r="B62" i="50"/>
  <c r="B67" i="50" s="1"/>
  <c r="B90" i="50" s="1"/>
  <c r="D55" i="55"/>
  <c r="D62" i="50"/>
  <c r="D67" i="50" s="1"/>
  <c r="D90" i="50" s="1"/>
  <c r="C54" i="55"/>
  <c r="B151" i="73"/>
  <c r="B157" i="73" s="1"/>
  <c r="B95" i="73"/>
  <c r="B101" i="73" s="1"/>
  <c r="B57" i="55"/>
  <c r="E81" i="55"/>
  <c r="E82" i="55"/>
  <c r="E79" i="55"/>
  <c r="E80" i="55"/>
  <c r="E84" i="55"/>
  <c r="E85" i="55"/>
  <c r="E83" i="55"/>
  <c r="C61" i="50"/>
  <c r="C66" i="50" s="1"/>
  <c r="H54" i="55"/>
  <c r="B61" i="50"/>
  <c r="B66" i="50" s="1"/>
  <c r="G94" i="73"/>
  <c r="H62" i="50"/>
  <c r="H67" i="50" s="1"/>
  <c r="H90" i="50" s="1"/>
  <c r="C62" i="50"/>
  <c r="C67" i="50" s="1"/>
  <c r="C90" i="50" s="1"/>
  <c r="G151" i="73"/>
  <c r="G157" i="73" s="1"/>
  <c r="G95" i="73"/>
  <c r="G101" i="73" s="1"/>
  <c r="F95" i="73"/>
  <c r="F101" i="73" s="1"/>
  <c r="F151" i="73"/>
  <c r="F157" i="73" s="1"/>
  <c r="H55" i="55"/>
  <c r="D56" i="55"/>
  <c r="F54" i="55"/>
  <c r="C57" i="50"/>
  <c r="D83" i="55"/>
  <c r="D84" i="55"/>
  <c r="D85" i="55"/>
  <c r="D82" i="55"/>
  <c r="D80" i="55"/>
  <c r="D81" i="55"/>
  <c r="D79" i="55"/>
  <c r="B80" i="55"/>
  <c r="B83" i="55"/>
  <c r="B85" i="55"/>
  <c r="B84" i="55"/>
  <c r="B81" i="55"/>
  <c r="B82" i="55"/>
  <c r="B79" i="55"/>
  <c r="E87" i="73"/>
  <c r="B143" i="73" s="1"/>
  <c r="C143" i="73" s="1"/>
  <c r="B71" i="73"/>
  <c r="B149" i="73" s="1"/>
  <c r="B93" i="73"/>
  <c r="E57" i="55"/>
  <c r="F71" i="73"/>
  <c r="E71" i="73" s="1"/>
  <c r="E149" i="73" s="1"/>
  <c r="F93" i="73"/>
  <c r="E54" i="55"/>
  <c r="G55" i="55"/>
  <c r="E93" i="73"/>
  <c r="H93" i="73"/>
  <c r="H71" i="73"/>
  <c r="H149" i="73" s="1"/>
  <c r="C105" i="70"/>
  <c r="C97" i="70"/>
  <c r="C101" i="70"/>
  <c r="C99" i="70"/>
  <c r="C98" i="70"/>
  <c r="C100" i="70"/>
  <c r="C104" i="70"/>
  <c r="C56" i="55"/>
  <c r="G54" i="55"/>
  <c r="B56" i="55"/>
  <c r="D104" i="70"/>
  <c r="D100" i="70"/>
  <c r="D99" i="70"/>
  <c r="D97" i="70"/>
  <c r="D101" i="70"/>
  <c r="D105" i="70"/>
  <c r="D98" i="70"/>
  <c r="G93" i="73"/>
  <c r="G71" i="73"/>
  <c r="G149" i="73" s="1"/>
  <c r="F62" i="50"/>
  <c r="F67" i="50" s="1"/>
  <c r="F90" i="50" s="1"/>
  <c r="F56" i="55"/>
  <c r="E61" i="50"/>
  <c r="E66" i="50" s="1"/>
  <c r="G56" i="55"/>
  <c r="G98" i="70"/>
  <c r="G99" i="70"/>
  <c r="G104" i="70"/>
  <c r="G105" i="70"/>
  <c r="G97" i="70"/>
  <c r="G100" i="70"/>
  <c r="G101" i="70"/>
  <c r="C57" i="55"/>
  <c r="G61" i="50"/>
  <c r="G66" i="50" s="1"/>
  <c r="H94" i="73"/>
  <c r="E55" i="55"/>
  <c r="G57" i="55"/>
  <c r="C89" i="73"/>
  <c r="E86" i="73"/>
  <c r="B142" i="73" s="1"/>
  <c r="C142" i="73" s="1"/>
  <c r="E101" i="70"/>
  <c r="E97" i="70"/>
  <c r="E104" i="70"/>
  <c r="E105" i="70"/>
  <c r="E98" i="70"/>
  <c r="E99" i="70"/>
  <c r="E100" i="70"/>
  <c r="E94" i="73"/>
  <c r="E151" i="73"/>
  <c r="E157" i="73" s="1"/>
  <c r="E95" i="73"/>
  <c r="E101" i="73" s="1"/>
  <c r="B94" i="73"/>
  <c r="F94" i="73"/>
  <c r="F80" i="55"/>
  <c r="F81" i="55"/>
  <c r="F85" i="55"/>
  <c r="F83" i="55"/>
  <c r="F84" i="55"/>
  <c r="F82" i="55"/>
  <c r="F79" i="55"/>
  <c r="D54" i="55"/>
  <c r="C93" i="73"/>
  <c r="C71" i="73"/>
  <c r="C149" i="73" s="1"/>
  <c r="D71" i="73"/>
  <c r="D150" i="73" s="1"/>
  <c r="D93" i="73"/>
  <c r="F55" i="55"/>
  <c r="D151" i="73"/>
  <c r="D157" i="73" s="1"/>
  <c r="D95" i="73"/>
  <c r="D101" i="73" s="1"/>
  <c r="F61" i="50"/>
  <c r="F66" i="50" s="1"/>
  <c r="B54" i="55"/>
  <c r="E56" i="55"/>
  <c r="F152" i="88" l="1"/>
  <c r="F158" i="88" s="1"/>
  <c r="F153" i="88"/>
  <c r="F159" i="88" s="1"/>
  <c r="E187" i="73"/>
  <c r="F187" i="73" s="1"/>
  <c r="E188" i="73"/>
  <c r="F188" i="73" s="1"/>
  <c r="D143" i="73"/>
  <c r="E143" i="73" s="1"/>
  <c r="H143" i="73" s="1"/>
  <c r="E206" i="73" s="1"/>
  <c r="E153" i="88"/>
  <c r="E159" i="88" s="1"/>
  <c r="E152" i="88"/>
  <c r="E158" i="88" s="1"/>
  <c r="B100" i="73"/>
  <c r="H100" i="73"/>
  <c r="F100" i="73"/>
  <c r="C99" i="73"/>
  <c r="E100" i="73"/>
  <c r="D99" i="73"/>
  <c r="C100" i="73"/>
  <c r="G100" i="73"/>
  <c r="F99" i="73"/>
  <c r="G99" i="73"/>
  <c r="H99" i="73"/>
  <c r="E99" i="73"/>
  <c r="D100" i="73"/>
  <c r="B99" i="73"/>
  <c r="E82" i="50"/>
  <c r="E85" i="50" s="1"/>
  <c r="C85" i="50"/>
  <c r="B89" i="50" s="1"/>
  <c r="B91" i="50" s="1"/>
  <c r="P71" i="66"/>
  <c r="F53" i="66"/>
  <c r="B145" i="73"/>
  <c r="G120" i="50"/>
  <c r="K120" i="50" s="1"/>
  <c r="L120" i="50" s="1"/>
  <c r="C155" i="50" s="1"/>
  <c r="E57" i="50"/>
  <c r="E89" i="73"/>
  <c r="E68" i="50"/>
  <c r="G68" i="50"/>
  <c r="H68" i="50"/>
  <c r="G142" i="73"/>
  <c r="C150" i="73"/>
  <c r="D142" i="73"/>
  <c r="E142" i="73" s="1"/>
  <c r="H150" i="73"/>
  <c r="F86" i="55"/>
  <c r="G106" i="70"/>
  <c r="B86" i="55"/>
  <c r="D86" i="55"/>
  <c r="B68" i="50"/>
  <c r="G86" i="55"/>
  <c r="D149" i="73"/>
  <c r="F149" i="73"/>
  <c r="G150" i="73"/>
  <c r="D68" i="50"/>
  <c r="E150" i="73"/>
  <c r="B150" i="73"/>
  <c r="E86" i="55"/>
  <c r="B106" i="70"/>
  <c r="H86" i="55"/>
  <c r="E106" i="70"/>
  <c r="D106" i="70"/>
  <c r="C106" i="70"/>
  <c r="H106" i="70"/>
  <c r="C86" i="55"/>
  <c r="F106" i="70"/>
  <c r="C126" i="50"/>
  <c r="C131" i="50" s="1"/>
  <c r="F68" i="50"/>
  <c r="C68" i="50"/>
  <c r="F150" i="73"/>
  <c r="F161" i="88" l="1"/>
  <c r="F168" i="88" s="1"/>
  <c r="F169" i="88" s="1"/>
  <c r="F170" i="88" s="1"/>
  <c r="F171" i="88" s="1"/>
  <c r="F172" i="88" s="1"/>
  <c r="F173" i="88" s="1"/>
  <c r="F174" i="88" s="1"/>
  <c r="C145" i="73"/>
  <c r="E161" i="88"/>
  <c r="E168" i="88" s="1"/>
  <c r="E169" i="88" s="1"/>
  <c r="E170" i="88" s="1"/>
  <c r="E171" i="88" s="1"/>
  <c r="E172" i="88" s="1"/>
  <c r="E173" i="88" s="1"/>
  <c r="E174" i="88" s="1"/>
  <c r="H102" i="73"/>
  <c r="C102" i="73"/>
  <c r="F102" i="73"/>
  <c r="B102" i="73"/>
  <c r="E102" i="73"/>
  <c r="G102" i="73"/>
  <c r="D156" i="73"/>
  <c r="I143" i="73"/>
  <c r="D102" i="73"/>
  <c r="C156" i="73"/>
  <c r="G156" i="73"/>
  <c r="H156" i="73"/>
  <c r="B156" i="73"/>
  <c r="E156" i="73"/>
  <c r="F156" i="73"/>
  <c r="E89" i="50"/>
  <c r="E91" i="50" s="1"/>
  <c r="E101" i="50" s="1"/>
  <c r="H89" i="50"/>
  <c r="H91" i="50" s="1"/>
  <c r="H100" i="50" s="1"/>
  <c r="G89" i="50"/>
  <c r="G91" i="50" s="1"/>
  <c r="G103" i="50" s="1"/>
  <c r="D89" i="50"/>
  <c r="D91" i="50" s="1"/>
  <c r="D103" i="50" s="1"/>
  <c r="C89" i="50"/>
  <c r="C91" i="50" s="1"/>
  <c r="C103" i="50" s="1"/>
  <c r="F89" i="50"/>
  <c r="F91" i="50" s="1"/>
  <c r="F100" i="50" s="1"/>
  <c r="Q71" i="66"/>
  <c r="C89" i="66"/>
  <c r="C93" i="66" s="1"/>
  <c r="F54" i="66"/>
  <c r="C95" i="66"/>
  <c r="L188" i="73"/>
  <c r="L206" i="73" s="1"/>
  <c r="F206" i="73"/>
  <c r="G131" i="50"/>
  <c r="K131" i="50" s="1"/>
  <c r="L131" i="50" s="1"/>
  <c r="C157" i="50" s="1"/>
  <c r="B98" i="50"/>
  <c r="B103" i="50"/>
  <c r="B101" i="50"/>
  <c r="B104" i="50"/>
  <c r="B102" i="50"/>
  <c r="B99" i="50"/>
  <c r="B100" i="50"/>
  <c r="E145" i="73"/>
  <c r="E190" i="73"/>
  <c r="L187" i="73"/>
  <c r="L205" i="73" s="1"/>
  <c r="D145" i="73"/>
  <c r="H142" i="73"/>
  <c r="E205" i="73" s="1"/>
  <c r="D72" i="34"/>
  <c r="D71" i="34"/>
  <c r="D70" i="34"/>
  <c r="E69" i="34"/>
  <c r="F69" i="34" s="1"/>
  <c r="E68" i="34"/>
  <c r="F68" i="34" s="1"/>
  <c r="D67" i="34"/>
  <c r="E66" i="34"/>
  <c r="D66" i="34"/>
  <c r="E65" i="34"/>
  <c r="D65" i="34"/>
  <c r="E64" i="34"/>
  <c r="E72" i="34" s="1"/>
  <c r="E63" i="34"/>
  <c r="E71" i="34" s="1"/>
  <c r="K62" i="34"/>
  <c r="E61" i="34"/>
  <c r="D61" i="34"/>
  <c r="E60" i="34"/>
  <c r="D60" i="34"/>
  <c r="F59" i="34"/>
  <c r="F58" i="34"/>
  <c r="F57" i="34"/>
  <c r="B52" i="35"/>
  <c r="L54" i="35"/>
  <c r="F52" i="35" s="1"/>
  <c r="R50" i="35"/>
  <c r="P50" i="35"/>
  <c r="L50" i="35"/>
  <c r="R49" i="35"/>
  <c r="Q49" i="35"/>
  <c r="P49" i="35"/>
  <c r="J39" i="35"/>
  <c r="L39" i="35" s="1"/>
  <c r="R39" i="35" s="1"/>
  <c r="L37" i="35"/>
  <c r="R37" i="35" s="1"/>
  <c r="K37" i="35"/>
  <c r="R33" i="35"/>
  <c r="Q33" i="35"/>
  <c r="P33" i="35"/>
  <c r="J33" i="35"/>
  <c r="K33" i="35" s="1"/>
  <c r="R32" i="35"/>
  <c r="Q32" i="35"/>
  <c r="P32" i="35"/>
  <c r="J32" i="35"/>
  <c r="K32" i="35" s="1"/>
  <c r="R31" i="35"/>
  <c r="Q31" i="35"/>
  <c r="P31" i="35"/>
  <c r="J31" i="35"/>
  <c r="K31" i="35" s="1"/>
  <c r="R30" i="35"/>
  <c r="Q30" i="35"/>
  <c r="P30" i="35"/>
  <c r="J30" i="35"/>
  <c r="K30" i="35" s="1"/>
  <c r="R29" i="35"/>
  <c r="Q29" i="35"/>
  <c r="P29" i="35"/>
  <c r="J29" i="35"/>
  <c r="K29" i="35" s="1"/>
  <c r="R28" i="35"/>
  <c r="Q28" i="35"/>
  <c r="P28" i="35"/>
  <c r="J28" i="35"/>
  <c r="K28" i="35" s="1"/>
  <c r="R27" i="35"/>
  <c r="Q27" i="35"/>
  <c r="P27" i="35"/>
  <c r="J27" i="35"/>
  <c r="K27" i="35" s="1"/>
  <c r="R26" i="35"/>
  <c r="Q26" i="35"/>
  <c r="P26" i="35"/>
  <c r="J26" i="35"/>
  <c r="K26" i="35" s="1"/>
  <c r="R25" i="35"/>
  <c r="Q25" i="35"/>
  <c r="P25" i="35"/>
  <c r="J25" i="35"/>
  <c r="K25" i="35" s="1"/>
  <c r="R24" i="35"/>
  <c r="Q24" i="35"/>
  <c r="P24" i="35"/>
  <c r="J24" i="35"/>
  <c r="K24" i="35" s="1"/>
  <c r="R23" i="35"/>
  <c r="Q23" i="35"/>
  <c r="P23" i="35"/>
  <c r="J23" i="35"/>
  <c r="K23" i="35" s="1"/>
  <c r="R22" i="35"/>
  <c r="Q22" i="35"/>
  <c r="P22" i="35"/>
  <c r="J22" i="35"/>
  <c r="K22" i="35" s="1"/>
  <c r="K40" i="34"/>
  <c r="J40" i="34"/>
  <c r="Q187" i="73"/>
  <c r="S29" i="34"/>
  <c r="O27" i="34"/>
  <c r="P27" i="34" s="1"/>
  <c r="E27" i="34"/>
  <c r="M25" i="34"/>
  <c r="L25" i="34"/>
  <c r="L26" i="34" s="1"/>
  <c r="K25" i="34"/>
  <c r="K26" i="34" s="1"/>
  <c r="J25" i="34"/>
  <c r="J26" i="34" s="1"/>
  <c r="I25" i="34"/>
  <c r="I26" i="34" s="1"/>
  <c r="H25" i="34"/>
  <c r="H26" i="34" s="1"/>
  <c r="G25" i="34"/>
  <c r="G26" i="34" s="1"/>
  <c r="F25" i="34"/>
  <c r="B25" i="34"/>
  <c r="E24" i="34"/>
  <c r="B24" i="34"/>
  <c r="R24" i="34" s="1"/>
  <c r="E23" i="34"/>
  <c r="B23" i="34"/>
  <c r="O22" i="34"/>
  <c r="P22" i="34" s="1"/>
  <c r="E22" i="34"/>
  <c r="O21" i="34"/>
  <c r="P21" i="34" s="1"/>
  <c r="E21" i="34"/>
  <c r="O20" i="34"/>
  <c r="P20" i="34" s="1"/>
  <c r="E20" i="34"/>
  <c r="O19" i="34"/>
  <c r="P19" i="34" s="1"/>
  <c r="E19" i="34"/>
  <c r="O18" i="34"/>
  <c r="P18" i="34" s="1"/>
  <c r="E18" i="34"/>
  <c r="O17" i="34"/>
  <c r="P17" i="34" s="1"/>
  <c r="E17" i="34"/>
  <c r="O16" i="34"/>
  <c r="P16" i="34" s="1"/>
  <c r="E16" i="34"/>
  <c r="C230" i="88" l="1"/>
  <c r="F155" i="73"/>
  <c r="F158" i="73" s="1"/>
  <c r="F165" i="73" s="1"/>
  <c r="I142" i="73"/>
  <c r="D155" i="73"/>
  <c r="D158" i="73" s="1"/>
  <c r="D165" i="73" s="1"/>
  <c r="B155" i="73"/>
  <c r="B158" i="73" s="1"/>
  <c r="B165" i="73" s="1"/>
  <c r="G155" i="73"/>
  <c r="G158" i="73" s="1"/>
  <c r="G165" i="73" s="1"/>
  <c r="E155" i="73"/>
  <c r="E158" i="73" s="1"/>
  <c r="E165" i="73" s="1"/>
  <c r="C155" i="73"/>
  <c r="C158" i="73" s="1"/>
  <c r="C165" i="73" s="1"/>
  <c r="H155" i="73"/>
  <c r="H158" i="73" s="1"/>
  <c r="H165" i="73" s="1"/>
  <c r="C102" i="50"/>
  <c r="D102" i="50"/>
  <c r="H104" i="50"/>
  <c r="E102" i="50"/>
  <c r="G100" i="50"/>
  <c r="G102" i="50"/>
  <c r="G99" i="50"/>
  <c r="E99" i="50"/>
  <c r="E98" i="50"/>
  <c r="C104" i="50"/>
  <c r="E103" i="50"/>
  <c r="C98" i="50"/>
  <c r="E100" i="50"/>
  <c r="G101" i="50"/>
  <c r="E104" i="50"/>
  <c r="G104" i="50"/>
  <c r="C100" i="50"/>
  <c r="G98" i="50"/>
  <c r="C99" i="50"/>
  <c r="H103" i="50"/>
  <c r="C101" i="50"/>
  <c r="H101" i="50"/>
  <c r="F104" i="50"/>
  <c r="H102" i="50"/>
  <c r="F99" i="50"/>
  <c r="H98" i="50"/>
  <c r="F98" i="50"/>
  <c r="F103" i="50"/>
  <c r="H99" i="50"/>
  <c r="F102" i="50"/>
  <c r="F101" i="50"/>
  <c r="D100" i="50"/>
  <c r="D104" i="50"/>
  <c r="D99" i="50"/>
  <c r="D101" i="50"/>
  <c r="D98" i="50"/>
  <c r="C162" i="50" s="1"/>
  <c r="F61" i="34"/>
  <c r="C99" i="66"/>
  <c r="F55" i="66"/>
  <c r="F56" i="66" s="1"/>
  <c r="F57" i="66" s="1"/>
  <c r="F58" i="66" s="1"/>
  <c r="F59" i="66" s="1"/>
  <c r="C98" i="66"/>
  <c r="F66" i="34"/>
  <c r="G206" i="73"/>
  <c r="N205" i="73"/>
  <c r="P187" i="73"/>
  <c r="F205" i="73"/>
  <c r="C159" i="50"/>
  <c r="O25" i="34"/>
  <c r="P25" i="34" s="1"/>
  <c r="F60" i="34"/>
  <c r="H145" i="73"/>
  <c r="I145" i="73" s="1"/>
  <c r="V187" i="73"/>
  <c r="I50" i="35"/>
  <c r="E25" i="34"/>
  <c r="E26" i="34" s="1"/>
  <c r="B26" i="34"/>
  <c r="B38" i="34" s="1"/>
  <c r="B39" i="34" s="1"/>
  <c r="R23" i="34"/>
  <c r="F65" i="34"/>
  <c r="M26" i="34"/>
  <c r="O24" i="34"/>
  <c r="P24" i="34" s="1"/>
  <c r="E50" i="35"/>
  <c r="F26" i="34"/>
  <c r="G50" i="35"/>
  <c r="K39" i="35"/>
  <c r="G52" i="35"/>
  <c r="H52" i="35"/>
  <c r="B57" i="35"/>
  <c r="F71" i="34"/>
  <c r="F72" i="34"/>
  <c r="F63" i="34"/>
  <c r="F64" i="34"/>
  <c r="B56" i="35"/>
  <c r="I52" i="35"/>
  <c r="R25" i="34"/>
  <c r="O23" i="34"/>
  <c r="P23" i="34" s="1"/>
  <c r="S50" i="35"/>
  <c r="U50" i="35" s="1"/>
  <c r="P37" i="35"/>
  <c r="P39" i="35"/>
  <c r="Q37" i="35"/>
  <c r="Q39" i="35"/>
  <c r="S51" i="35"/>
  <c r="D53" i="35"/>
  <c r="D50" i="35"/>
  <c r="E53" i="35"/>
  <c r="F53" i="35"/>
  <c r="F50" i="35"/>
  <c r="G53" i="35"/>
  <c r="D52" i="35"/>
  <c r="H53" i="35"/>
  <c r="H50" i="35"/>
  <c r="E52" i="35"/>
  <c r="I53" i="35"/>
  <c r="B92" i="26"/>
  <c r="F87" i="26" s="1"/>
  <c r="L90" i="26"/>
  <c r="K90" i="26"/>
  <c r="J90" i="26"/>
  <c r="I90" i="26"/>
  <c r="H90" i="26"/>
  <c r="G90" i="26"/>
  <c r="F90" i="26"/>
  <c r="E90" i="26"/>
  <c r="D90" i="26"/>
  <c r="C90" i="26"/>
  <c r="L89" i="26"/>
  <c r="K89" i="26"/>
  <c r="J89" i="26"/>
  <c r="I89" i="26"/>
  <c r="H89" i="26"/>
  <c r="G89" i="26"/>
  <c r="F89" i="26"/>
  <c r="E89" i="26"/>
  <c r="D89" i="26"/>
  <c r="C89" i="26"/>
  <c r="L88" i="26"/>
  <c r="K88" i="26"/>
  <c r="J88" i="26"/>
  <c r="I88" i="26"/>
  <c r="H88" i="26"/>
  <c r="G88" i="26"/>
  <c r="F88" i="26"/>
  <c r="E88" i="26"/>
  <c r="D88" i="26"/>
  <c r="C88" i="26"/>
  <c r="L86" i="26"/>
  <c r="K86" i="26"/>
  <c r="J86" i="26"/>
  <c r="I86" i="26"/>
  <c r="H86" i="26"/>
  <c r="G86" i="26"/>
  <c r="F86" i="26"/>
  <c r="E86" i="26"/>
  <c r="D86" i="26"/>
  <c r="C86" i="26"/>
  <c r="H206" i="73" l="1"/>
  <c r="G209" i="73"/>
  <c r="C165" i="50"/>
  <c r="C161" i="50"/>
  <c r="R26" i="34"/>
  <c r="S6" i="57" s="1"/>
  <c r="G205" i="73"/>
  <c r="E208" i="73"/>
  <c r="F166" i="73"/>
  <c r="F167" i="73" s="1"/>
  <c r="F168" i="73" s="1"/>
  <c r="F169" i="73" s="1"/>
  <c r="F170" i="73" s="1"/>
  <c r="F171" i="73" s="1"/>
  <c r="C166" i="73"/>
  <c r="C167" i="73" s="1"/>
  <c r="C168" i="73" s="1"/>
  <c r="C169" i="73" s="1"/>
  <c r="C170" i="73" s="1"/>
  <c r="C171" i="73" s="1"/>
  <c r="H166" i="73"/>
  <c r="H167" i="73" s="1"/>
  <c r="H168" i="73" s="1"/>
  <c r="H169" i="73" s="1"/>
  <c r="H170" i="73" s="1"/>
  <c r="H171" i="73" s="1"/>
  <c r="G166" i="73"/>
  <c r="G167" i="73" s="1"/>
  <c r="G168" i="73" s="1"/>
  <c r="G169" i="73" s="1"/>
  <c r="G170" i="73" s="1"/>
  <c r="G171" i="73" s="1"/>
  <c r="D166" i="73"/>
  <c r="D167" i="73" s="1"/>
  <c r="D168" i="73" s="1"/>
  <c r="D169" i="73" s="1"/>
  <c r="D170" i="73" s="1"/>
  <c r="D171" i="73" s="1"/>
  <c r="E166" i="73"/>
  <c r="E167" i="73" s="1"/>
  <c r="E168" i="73" s="1"/>
  <c r="E169" i="73" s="1"/>
  <c r="E170" i="73" s="1"/>
  <c r="E171" i="73" s="1"/>
  <c r="B166" i="73"/>
  <c r="B167" i="73" s="1"/>
  <c r="B168" i="73" s="1"/>
  <c r="B169" i="73" s="1"/>
  <c r="B170" i="73" s="1"/>
  <c r="B171" i="73" s="1"/>
  <c r="W187" i="73"/>
  <c r="N206" i="73"/>
  <c r="P206" i="73" s="1"/>
  <c r="M31" i="34"/>
  <c r="O26" i="34"/>
  <c r="P26" i="34" s="1"/>
  <c r="C52" i="35"/>
  <c r="C55" i="35" s="1"/>
  <c r="C53" i="35"/>
  <c r="C57" i="35" s="1"/>
  <c r="J36" i="35" s="1"/>
  <c r="L36" i="35" s="1"/>
  <c r="G87" i="26"/>
  <c r="H87" i="26"/>
  <c r="J87" i="26"/>
  <c r="I87" i="26"/>
  <c r="U51" i="35"/>
  <c r="M22" i="35"/>
  <c r="K87" i="26"/>
  <c r="L87" i="26"/>
  <c r="H205" i="73" l="1"/>
  <c r="Q205" i="73" s="1"/>
  <c r="V205" i="73" s="1"/>
  <c r="G208" i="73"/>
  <c r="C164" i="50"/>
  <c r="N134" i="70"/>
  <c r="P134" i="70" s="1"/>
  <c r="N130" i="70"/>
  <c r="P130" i="70" s="1"/>
  <c r="N131" i="70"/>
  <c r="P131" i="70" s="1"/>
  <c r="N137" i="70"/>
  <c r="P137" i="70" s="1"/>
  <c r="N133" i="70"/>
  <c r="P133" i="70" s="1"/>
  <c r="N138" i="70"/>
  <c r="P138" i="70" s="1"/>
  <c r="N132" i="70"/>
  <c r="P132" i="70" s="1"/>
  <c r="N113" i="55"/>
  <c r="P113" i="55" s="1"/>
  <c r="N112" i="55"/>
  <c r="P112" i="55" s="1"/>
  <c r="N111" i="55"/>
  <c r="P111" i="55" s="1"/>
  <c r="N110" i="55"/>
  <c r="P110" i="55" s="1"/>
  <c r="N114" i="55"/>
  <c r="P114" i="55" s="1"/>
  <c r="N116" i="55"/>
  <c r="P116" i="55" s="1"/>
  <c r="N115" i="55"/>
  <c r="P115" i="55" s="1"/>
  <c r="P205" i="73"/>
  <c r="W205" i="73" s="1"/>
  <c r="Q206" i="73"/>
  <c r="V206" i="73" s="1"/>
  <c r="C227" i="73"/>
  <c r="C228" i="73"/>
  <c r="W206" i="73"/>
  <c r="D21" i="57"/>
  <c r="M38" i="35"/>
  <c r="O38" i="35" s="1"/>
  <c r="C56" i="35"/>
  <c r="J35" i="35" s="1"/>
  <c r="K35" i="35" s="1"/>
  <c r="C60" i="35"/>
  <c r="K36" i="35"/>
  <c r="M24" i="35"/>
  <c r="O24" i="35" s="1"/>
  <c r="M25" i="35"/>
  <c r="M26" i="35"/>
  <c r="M27" i="35"/>
  <c r="M28" i="35"/>
  <c r="O28" i="35" s="1"/>
  <c r="S22" i="35"/>
  <c r="T22" i="35" s="1"/>
  <c r="U22" i="35" s="1"/>
  <c r="M30" i="35"/>
  <c r="O30" i="35" s="1"/>
  <c r="M29" i="35"/>
  <c r="O29" i="35" s="1"/>
  <c r="M31" i="35"/>
  <c r="O31" i="35" s="1"/>
  <c r="M32" i="35"/>
  <c r="O32" i="35" s="1"/>
  <c r="M39" i="35"/>
  <c r="O39" i="35" s="1"/>
  <c r="M23" i="35"/>
  <c r="O23" i="35" s="1"/>
  <c r="M36" i="35"/>
  <c r="O36" i="35" s="1"/>
  <c r="M33" i="35"/>
  <c r="O33" i="35" s="1"/>
  <c r="M37" i="35"/>
  <c r="R36" i="35"/>
  <c r="Q36" i="35"/>
  <c r="P36" i="35"/>
  <c r="N20" i="19"/>
  <c r="N18" i="19"/>
  <c r="N17" i="19"/>
  <c r="N16" i="19"/>
  <c r="N15" i="19"/>
  <c r="N14" i="19"/>
  <c r="N13" i="19"/>
  <c r="N12" i="19"/>
  <c r="N10" i="19"/>
  <c r="N9" i="19"/>
  <c r="N8" i="19"/>
  <c r="N11" i="19"/>
  <c r="L35" i="35" l="1"/>
  <c r="M35" i="35" s="1"/>
  <c r="O35" i="35" s="1"/>
  <c r="N38" i="35"/>
  <c r="S38" i="35"/>
  <c r="T38" i="35" s="1"/>
  <c r="U38" i="35" s="1"/>
  <c r="F21" i="57"/>
  <c r="D22" i="57"/>
  <c r="F22" i="57" s="1"/>
  <c r="C59" i="35"/>
  <c r="C58" i="35"/>
  <c r="J34" i="35" s="1"/>
  <c r="L34" i="35" s="1"/>
  <c r="M34" i="35" s="1"/>
  <c r="S34" i="35" s="1"/>
  <c r="M44" i="35"/>
  <c r="J40" i="35"/>
  <c r="N27" i="35"/>
  <c r="S27" i="35"/>
  <c r="T27" i="35" s="1"/>
  <c r="U27" i="35" s="1"/>
  <c r="N26" i="35"/>
  <c r="S26" i="35"/>
  <c r="T26" i="35" s="1"/>
  <c r="U26" i="35" s="1"/>
  <c r="S37" i="35"/>
  <c r="T37" i="35" s="1"/>
  <c r="U37" i="35" s="1"/>
  <c r="O44" i="35"/>
  <c r="N37" i="35"/>
  <c r="S36" i="35"/>
  <c r="T36" i="35" s="1"/>
  <c r="U36" i="35" s="1"/>
  <c r="N36" i="35"/>
  <c r="O43" i="35"/>
  <c r="N25" i="35"/>
  <c r="S25" i="35"/>
  <c r="T25" i="35" s="1"/>
  <c r="U25" i="35" s="1"/>
  <c r="S23" i="35"/>
  <c r="T23" i="35" s="1"/>
  <c r="U23" i="35" s="1"/>
  <c r="N23" i="35"/>
  <c r="N29" i="35"/>
  <c r="S29" i="35"/>
  <c r="T29" i="35" s="1"/>
  <c r="U29" i="35" s="1"/>
  <c r="O27" i="35"/>
  <c r="S24" i="35"/>
  <c r="T24" i="35" s="1"/>
  <c r="U24" i="35" s="1"/>
  <c r="N24" i="35"/>
  <c r="M42" i="35"/>
  <c r="S39" i="35"/>
  <c r="T39" i="35" s="1"/>
  <c r="U39" i="35" s="1"/>
  <c r="N39" i="35"/>
  <c r="S30" i="35"/>
  <c r="T30" i="35" s="1"/>
  <c r="U30" i="35" s="1"/>
  <c r="N30" i="35"/>
  <c r="O26" i="35"/>
  <c r="S33" i="35"/>
  <c r="T33" i="35" s="1"/>
  <c r="U33" i="35" s="1"/>
  <c r="N33" i="35"/>
  <c r="S31" i="35"/>
  <c r="T31" i="35" s="1"/>
  <c r="U31" i="35" s="1"/>
  <c r="N31" i="35"/>
  <c r="S32" i="35"/>
  <c r="T32" i="35" s="1"/>
  <c r="U32" i="35" s="1"/>
  <c r="N32" i="35"/>
  <c r="O25" i="35"/>
  <c r="O37" i="35"/>
  <c r="N28" i="35"/>
  <c r="S28" i="35"/>
  <c r="T28" i="35" s="1"/>
  <c r="U28" i="35" s="1"/>
  <c r="L63" i="16"/>
  <c r="K63" i="16"/>
  <c r="J63" i="16"/>
  <c r="J62" i="16"/>
  <c r="L61" i="16"/>
  <c r="K61" i="16"/>
  <c r="L60" i="16"/>
  <c r="K60" i="16"/>
  <c r="N59" i="16"/>
  <c r="M59" i="16"/>
  <c r="L59" i="16"/>
  <c r="K59" i="16"/>
  <c r="J59" i="16"/>
  <c r="I59" i="16"/>
  <c r="H59" i="16"/>
  <c r="J58" i="16"/>
  <c r="J57" i="16"/>
  <c r="J56" i="16"/>
  <c r="J55" i="16"/>
  <c r="J54" i="16"/>
  <c r="N49" i="16"/>
  <c r="J49" i="16"/>
  <c r="I49" i="16"/>
  <c r="H49" i="16"/>
  <c r="G49" i="16"/>
  <c r="N48" i="16"/>
  <c r="J48" i="16"/>
  <c r="I48" i="16"/>
  <c r="H48" i="16"/>
  <c r="G48" i="16"/>
  <c r="N47" i="16"/>
  <c r="J47" i="16"/>
  <c r="I47" i="16"/>
  <c r="H47" i="16"/>
  <c r="G47" i="16"/>
  <c r="M46" i="16"/>
  <c r="G46" i="16" s="1"/>
  <c r="P45" i="16"/>
  <c r="H45" i="16"/>
  <c r="G45" i="16"/>
  <c r="P44" i="16"/>
  <c r="M44" i="16"/>
  <c r="G44" i="16" s="1"/>
  <c r="J44" i="16"/>
  <c r="H44" i="16"/>
  <c r="L43" i="16"/>
  <c r="P43" i="16" s="1"/>
  <c r="G43" i="16"/>
  <c r="P42" i="16"/>
  <c r="G42" i="16"/>
  <c r="P41" i="16"/>
  <c r="G41" i="16"/>
  <c r="N40" i="16"/>
  <c r="M40" i="16"/>
  <c r="G40" i="16" s="1"/>
  <c r="L40" i="16"/>
  <c r="P40" i="16" s="1"/>
  <c r="J40" i="16"/>
  <c r="I40" i="16"/>
  <c r="H40" i="16"/>
  <c r="N39" i="16"/>
  <c r="M39" i="16"/>
  <c r="G39" i="16" s="1"/>
  <c r="L39" i="16"/>
  <c r="P39" i="16" s="1"/>
  <c r="J39" i="16"/>
  <c r="I39" i="16"/>
  <c r="H39" i="16"/>
  <c r="N38" i="16"/>
  <c r="M38" i="16"/>
  <c r="G38" i="16" s="1"/>
  <c r="L38" i="16"/>
  <c r="P38" i="16" s="1"/>
  <c r="K38" i="16"/>
  <c r="J38" i="16"/>
  <c r="I38" i="16"/>
  <c r="H38" i="16"/>
  <c r="P37" i="16"/>
  <c r="G37" i="16"/>
  <c r="A30" i="16"/>
  <c r="A29" i="16"/>
  <c r="A28" i="16"/>
  <c r="A27" i="16"/>
  <c r="C26" i="16"/>
  <c r="A26" i="16"/>
  <c r="J25" i="16"/>
  <c r="A25" i="16"/>
  <c r="A24" i="16"/>
  <c r="C16" i="16"/>
  <c r="C12" i="16"/>
  <c r="C8" i="16"/>
  <c r="C7" i="16"/>
  <c r="C6" i="16"/>
  <c r="C5" i="16"/>
  <c r="I4" i="16"/>
  <c r="C4" i="16"/>
  <c r="J84" i="14"/>
  <c r="L91" i="14"/>
  <c r="K91" i="14"/>
  <c r="L90" i="14"/>
  <c r="L144" i="14" s="1"/>
  <c r="K90" i="14"/>
  <c r="L59" i="14"/>
  <c r="K59" i="14"/>
  <c r="K89" i="14" s="1"/>
  <c r="I59" i="14"/>
  <c r="I89" i="14" s="1"/>
  <c r="I143" i="14" s="1"/>
  <c r="H59" i="14"/>
  <c r="H89" i="14" s="1"/>
  <c r="N59" i="14"/>
  <c r="N89" i="14" s="1"/>
  <c r="M59" i="14"/>
  <c r="M89" i="14" s="1"/>
  <c r="J58" i="14"/>
  <c r="J88" i="14" s="1"/>
  <c r="J57" i="14"/>
  <c r="J56" i="14"/>
  <c r="J87" i="14" s="1"/>
  <c r="J55" i="14"/>
  <c r="J86" i="14" s="1"/>
  <c r="J113" i="14" s="1"/>
  <c r="J54" i="14"/>
  <c r="J85" i="14" s="1"/>
  <c r="A30" i="15"/>
  <c r="A29" i="15"/>
  <c r="A28" i="15"/>
  <c r="A27" i="15"/>
  <c r="C26" i="15"/>
  <c r="A26" i="15"/>
  <c r="J25" i="15"/>
  <c r="A25" i="15"/>
  <c r="A24" i="15"/>
  <c r="C16" i="15"/>
  <c r="C12" i="15"/>
  <c r="C8" i="15"/>
  <c r="C7" i="15"/>
  <c r="C6" i="15"/>
  <c r="C5" i="15"/>
  <c r="I4" i="15"/>
  <c r="C4" i="15"/>
  <c r="D118" i="14"/>
  <c r="D145" i="14" s="1"/>
  <c r="D117" i="14"/>
  <c r="D144" i="14" s="1"/>
  <c r="D116" i="14"/>
  <c r="D143" i="14" s="1"/>
  <c r="D115" i="14"/>
  <c r="D142" i="14" s="1"/>
  <c r="D114" i="14"/>
  <c r="D141" i="14" s="1"/>
  <c r="D113" i="14"/>
  <c r="D140" i="14" s="1"/>
  <c r="D112" i="14"/>
  <c r="D139" i="14" s="1"/>
  <c r="D111" i="14"/>
  <c r="D138" i="14" s="1"/>
  <c r="D110" i="14"/>
  <c r="D137" i="14" s="1"/>
  <c r="D109" i="14"/>
  <c r="D136" i="14" s="1"/>
  <c r="D108" i="14"/>
  <c r="D135" i="14" s="1"/>
  <c r="D107" i="14"/>
  <c r="D134" i="14" s="1"/>
  <c r="D106" i="14"/>
  <c r="D133" i="14" s="1"/>
  <c r="D105" i="14"/>
  <c r="D132" i="14" s="1"/>
  <c r="D104" i="14"/>
  <c r="D131" i="14" s="1"/>
  <c r="D103" i="14"/>
  <c r="D130" i="14" s="1"/>
  <c r="D102" i="14"/>
  <c r="D129" i="14" s="1"/>
  <c r="D101" i="14"/>
  <c r="D128" i="14" s="1"/>
  <c r="D100" i="14"/>
  <c r="D127" i="14" s="1"/>
  <c r="D99" i="14"/>
  <c r="D126" i="14" s="1"/>
  <c r="D98" i="14"/>
  <c r="D125" i="14" s="1"/>
  <c r="F91" i="14"/>
  <c r="F118" i="14" s="1"/>
  <c r="F145" i="14" s="1"/>
  <c r="E91" i="14"/>
  <c r="E118" i="14" s="1"/>
  <c r="E145" i="14" s="1"/>
  <c r="F90" i="14"/>
  <c r="F117" i="14" s="1"/>
  <c r="F144" i="14" s="1"/>
  <c r="E90" i="14"/>
  <c r="E117" i="14" s="1"/>
  <c r="E144" i="14" s="1"/>
  <c r="F89" i="14"/>
  <c r="F116" i="14" s="1"/>
  <c r="F143" i="14" s="1"/>
  <c r="E89" i="14"/>
  <c r="E116" i="14" s="1"/>
  <c r="E143" i="14" s="1"/>
  <c r="F88" i="14"/>
  <c r="F115" i="14" s="1"/>
  <c r="F142" i="14" s="1"/>
  <c r="E88" i="14"/>
  <c r="E115" i="14" s="1"/>
  <c r="E142" i="14" s="1"/>
  <c r="F87" i="14"/>
  <c r="F114" i="14" s="1"/>
  <c r="F141" i="14" s="1"/>
  <c r="E87" i="14"/>
  <c r="E114" i="14" s="1"/>
  <c r="E141" i="14" s="1"/>
  <c r="F86" i="14"/>
  <c r="F113" i="14" s="1"/>
  <c r="F140" i="14" s="1"/>
  <c r="E86" i="14"/>
  <c r="E113" i="14" s="1"/>
  <c r="E140" i="14" s="1"/>
  <c r="F85" i="14"/>
  <c r="E85" i="14"/>
  <c r="E112" i="14" s="1"/>
  <c r="E139" i="14" s="1"/>
  <c r="F84" i="14"/>
  <c r="F111" i="14" s="1"/>
  <c r="F138" i="14" s="1"/>
  <c r="E84" i="14"/>
  <c r="E111" i="14" s="1"/>
  <c r="E138" i="14" s="1"/>
  <c r="F83" i="14"/>
  <c r="F110" i="14" s="1"/>
  <c r="F137" i="14" s="1"/>
  <c r="E83" i="14"/>
  <c r="E110" i="14" s="1"/>
  <c r="E137" i="14" s="1"/>
  <c r="F82" i="14"/>
  <c r="F109" i="14" s="1"/>
  <c r="F136" i="14" s="1"/>
  <c r="E82" i="14"/>
  <c r="E109" i="14" s="1"/>
  <c r="E136" i="14" s="1"/>
  <c r="F81" i="14"/>
  <c r="F108" i="14" s="1"/>
  <c r="F135" i="14" s="1"/>
  <c r="E81" i="14"/>
  <c r="E108" i="14" s="1"/>
  <c r="E135" i="14" s="1"/>
  <c r="F80" i="14"/>
  <c r="F107" i="14" s="1"/>
  <c r="F134" i="14" s="1"/>
  <c r="E80" i="14"/>
  <c r="E107" i="14" s="1"/>
  <c r="E134" i="14" s="1"/>
  <c r="F79" i="14"/>
  <c r="F106" i="14" s="1"/>
  <c r="F133" i="14" s="1"/>
  <c r="E79" i="14"/>
  <c r="E106" i="14" s="1"/>
  <c r="E133" i="14" s="1"/>
  <c r="F78" i="14"/>
  <c r="F105" i="14" s="1"/>
  <c r="F132" i="14" s="1"/>
  <c r="E78" i="14"/>
  <c r="E105" i="14" s="1"/>
  <c r="E132" i="14" s="1"/>
  <c r="F77" i="14"/>
  <c r="F104" i="14" s="1"/>
  <c r="F131" i="14" s="1"/>
  <c r="E77" i="14"/>
  <c r="E104" i="14" s="1"/>
  <c r="E131" i="14" s="1"/>
  <c r="F76" i="14"/>
  <c r="F103" i="14" s="1"/>
  <c r="F130" i="14" s="1"/>
  <c r="E76" i="14"/>
  <c r="E103" i="14" s="1"/>
  <c r="E130" i="14" s="1"/>
  <c r="F75" i="14"/>
  <c r="F102" i="14" s="1"/>
  <c r="F129" i="14" s="1"/>
  <c r="E75" i="14"/>
  <c r="E102" i="14" s="1"/>
  <c r="E129" i="14" s="1"/>
  <c r="F74" i="14"/>
  <c r="F101" i="14" s="1"/>
  <c r="F128" i="14" s="1"/>
  <c r="E74" i="14"/>
  <c r="E101" i="14" s="1"/>
  <c r="E128" i="14" s="1"/>
  <c r="F73" i="14"/>
  <c r="F100" i="14" s="1"/>
  <c r="F127" i="14" s="1"/>
  <c r="E73" i="14"/>
  <c r="E100" i="14" s="1"/>
  <c r="E127" i="14" s="1"/>
  <c r="F72" i="14"/>
  <c r="F99" i="14" s="1"/>
  <c r="F126" i="14" s="1"/>
  <c r="E72" i="14"/>
  <c r="E99" i="14" s="1"/>
  <c r="E126" i="14" s="1"/>
  <c r="F71" i="14"/>
  <c r="F98" i="14" s="1"/>
  <c r="F125" i="14" s="1"/>
  <c r="E71" i="14"/>
  <c r="E98" i="14" s="1"/>
  <c r="E125" i="14" s="1"/>
  <c r="N84" i="14"/>
  <c r="M84" i="14"/>
  <c r="M138" i="14" s="1"/>
  <c r="L84" i="14"/>
  <c r="L138" i="14" s="1"/>
  <c r="K84" i="14"/>
  <c r="I84" i="14"/>
  <c r="I111" i="14" s="1"/>
  <c r="H84" i="14"/>
  <c r="N91" i="14"/>
  <c r="M91" i="14"/>
  <c r="M145" i="14" s="1"/>
  <c r="J91" i="14"/>
  <c r="J118" i="14" s="1"/>
  <c r="I91" i="14"/>
  <c r="H91" i="14"/>
  <c r="N90" i="14"/>
  <c r="M90" i="14"/>
  <c r="M144" i="14" s="1"/>
  <c r="J90" i="14"/>
  <c r="J117" i="14" s="1"/>
  <c r="I90" i="14"/>
  <c r="H90" i="14"/>
  <c r="J59" i="14"/>
  <c r="J89" i="14" s="1"/>
  <c r="J143" i="14" s="1"/>
  <c r="L58" i="14"/>
  <c r="L88" i="14" s="1"/>
  <c r="K58" i="14"/>
  <c r="K88" i="14" s="1"/>
  <c r="I58" i="14"/>
  <c r="I88" i="14" s="1"/>
  <c r="H58" i="14"/>
  <c r="H88" i="14" s="1"/>
  <c r="N57" i="14"/>
  <c r="M57" i="14"/>
  <c r="L57" i="14"/>
  <c r="K57" i="14"/>
  <c r="I57" i="14"/>
  <c r="H57" i="14"/>
  <c r="N56" i="14"/>
  <c r="N87" i="14" s="1"/>
  <c r="M56" i="14"/>
  <c r="M87" i="14" s="1"/>
  <c r="L56" i="14"/>
  <c r="L87" i="14" s="1"/>
  <c r="L114" i="14" s="1"/>
  <c r="K56" i="14"/>
  <c r="K87" i="14" s="1"/>
  <c r="I56" i="14"/>
  <c r="I87" i="14" s="1"/>
  <c r="H56" i="14"/>
  <c r="H87" i="14" s="1"/>
  <c r="N55" i="14"/>
  <c r="N86" i="14" s="1"/>
  <c r="M55" i="14"/>
  <c r="M86" i="14" s="1"/>
  <c r="M113" i="14" s="1"/>
  <c r="L55" i="14"/>
  <c r="L86" i="14" s="1"/>
  <c r="L113" i="14" s="1"/>
  <c r="K55" i="14"/>
  <c r="K86" i="14" s="1"/>
  <c r="I55" i="14"/>
  <c r="I86" i="14" s="1"/>
  <c r="H55" i="14"/>
  <c r="H86" i="14" s="1"/>
  <c r="N54" i="14"/>
  <c r="N85" i="14" s="1"/>
  <c r="M54" i="14"/>
  <c r="M85" i="14" s="1"/>
  <c r="L54" i="14"/>
  <c r="L85" i="14" s="1"/>
  <c r="K54" i="14"/>
  <c r="K85" i="14" s="1"/>
  <c r="I54" i="14"/>
  <c r="I85" i="14" s="1"/>
  <c r="I112" i="14" s="1"/>
  <c r="H54" i="14"/>
  <c r="H85" i="14" s="1"/>
  <c r="N49" i="14"/>
  <c r="M49" i="14"/>
  <c r="L49" i="14"/>
  <c r="K49" i="14"/>
  <c r="J49" i="14"/>
  <c r="I49" i="14"/>
  <c r="H49" i="14"/>
  <c r="N48" i="14"/>
  <c r="M48" i="14"/>
  <c r="L48" i="14"/>
  <c r="K48" i="14"/>
  <c r="J48" i="14"/>
  <c r="I48" i="14"/>
  <c r="H48" i="14"/>
  <c r="N47" i="14"/>
  <c r="M47" i="14"/>
  <c r="L47" i="14"/>
  <c r="K47" i="14"/>
  <c r="J47" i="14"/>
  <c r="I47" i="14"/>
  <c r="N46" i="14"/>
  <c r="N80" i="14" s="1"/>
  <c r="M46" i="14"/>
  <c r="M80" i="14" s="1"/>
  <c r="L46" i="14"/>
  <c r="L80" i="14" s="1"/>
  <c r="K46" i="14"/>
  <c r="J46" i="14"/>
  <c r="J80" i="14" s="1"/>
  <c r="I46" i="14"/>
  <c r="I80" i="14" s="1"/>
  <c r="H46" i="14"/>
  <c r="H80" i="14" s="1"/>
  <c r="N45" i="14"/>
  <c r="M45" i="14"/>
  <c r="L45" i="14"/>
  <c r="K45" i="14"/>
  <c r="J45" i="14"/>
  <c r="I45" i="14"/>
  <c r="H45" i="14"/>
  <c r="N44" i="14"/>
  <c r="N78" i="14" s="1"/>
  <c r="M44" i="14"/>
  <c r="M78" i="14" s="1"/>
  <c r="M132" i="14" s="1"/>
  <c r="L44" i="14"/>
  <c r="K44" i="14"/>
  <c r="K78" i="14" s="1"/>
  <c r="J44" i="14"/>
  <c r="J78" i="14" s="1"/>
  <c r="J105" i="14" s="1"/>
  <c r="I44" i="14"/>
  <c r="I78" i="14" s="1"/>
  <c r="H44" i="14"/>
  <c r="H78" i="14" s="1"/>
  <c r="N77" i="14"/>
  <c r="M77" i="14"/>
  <c r="L131" i="14"/>
  <c r="K43" i="14"/>
  <c r="K77" i="14" s="1"/>
  <c r="J43" i="14"/>
  <c r="J77" i="14" s="1"/>
  <c r="I43" i="14"/>
  <c r="I77" i="14" s="1"/>
  <c r="I131" i="14" s="1"/>
  <c r="H43" i="14"/>
  <c r="H77" i="14" s="1"/>
  <c r="N42" i="14"/>
  <c r="N76" i="14" s="1"/>
  <c r="M42" i="14"/>
  <c r="M76" i="14" s="1"/>
  <c r="L42" i="14"/>
  <c r="L76" i="14" s="1"/>
  <c r="K42" i="14"/>
  <c r="K76" i="14" s="1"/>
  <c r="J42" i="14"/>
  <c r="J76" i="14" s="1"/>
  <c r="I42" i="14"/>
  <c r="I76" i="14" s="1"/>
  <c r="H42" i="14"/>
  <c r="H76" i="14" s="1"/>
  <c r="N41" i="14"/>
  <c r="N75" i="14" s="1"/>
  <c r="M41" i="14"/>
  <c r="M75" i="14" s="1"/>
  <c r="M102" i="14" s="1"/>
  <c r="L41" i="14"/>
  <c r="K41" i="14"/>
  <c r="K75" i="14" s="1"/>
  <c r="J41" i="14"/>
  <c r="J75" i="14" s="1"/>
  <c r="J129" i="14" s="1"/>
  <c r="I41" i="14"/>
  <c r="I75" i="14" s="1"/>
  <c r="H41" i="14"/>
  <c r="H75" i="14" s="1"/>
  <c r="N40" i="14"/>
  <c r="N74" i="14" s="1"/>
  <c r="M40" i="14"/>
  <c r="M74" i="14" s="1"/>
  <c r="L40" i="14"/>
  <c r="L74" i="14" s="1"/>
  <c r="L101" i="14" s="1"/>
  <c r="K40" i="14"/>
  <c r="K74" i="14" s="1"/>
  <c r="J40" i="14"/>
  <c r="J74" i="14" s="1"/>
  <c r="I40" i="14"/>
  <c r="I74" i="14" s="1"/>
  <c r="I101" i="14" s="1"/>
  <c r="H40" i="14"/>
  <c r="H74" i="14" s="1"/>
  <c r="N39" i="14"/>
  <c r="N73" i="14" s="1"/>
  <c r="M39" i="14"/>
  <c r="M73" i="14" s="1"/>
  <c r="L39" i="14"/>
  <c r="F39" i="14" s="1"/>
  <c r="K39" i="14"/>
  <c r="K73" i="14" s="1"/>
  <c r="J39" i="14"/>
  <c r="J73" i="14" s="1"/>
  <c r="J100" i="14" s="1"/>
  <c r="I39" i="14"/>
  <c r="I73" i="14" s="1"/>
  <c r="I100" i="14" s="1"/>
  <c r="H39" i="14"/>
  <c r="H73" i="14" s="1"/>
  <c r="N38" i="14"/>
  <c r="N72" i="14" s="1"/>
  <c r="M38" i="14"/>
  <c r="M72" i="14" s="1"/>
  <c r="M126" i="14" s="1"/>
  <c r="L38" i="14"/>
  <c r="K38" i="14"/>
  <c r="K72" i="14" s="1"/>
  <c r="J38" i="14"/>
  <c r="J72" i="14" s="1"/>
  <c r="I38" i="14"/>
  <c r="I72" i="14" s="1"/>
  <c r="H38" i="14"/>
  <c r="H72" i="14" s="1"/>
  <c r="N37" i="14"/>
  <c r="N71" i="14" s="1"/>
  <c r="M37" i="14"/>
  <c r="M71" i="14" s="1"/>
  <c r="M125" i="14" s="1"/>
  <c r="L37" i="14"/>
  <c r="F37" i="14" s="1"/>
  <c r="K37" i="14"/>
  <c r="K71" i="14" s="1"/>
  <c r="J37" i="14"/>
  <c r="J71" i="14" s="1"/>
  <c r="I37" i="14"/>
  <c r="I71" i="14" s="1"/>
  <c r="H37" i="14"/>
  <c r="H71" i="14" s="1"/>
  <c r="A30" i="14"/>
  <c r="A29" i="14"/>
  <c r="A28" i="14"/>
  <c r="A27" i="14"/>
  <c r="C26" i="14"/>
  <c r="A26" i="14"/>
  <c r="J25" i="14"/>
  <c r="A25" i="14"/>
  <c r="A24" i="14"/>
  <c r="I4" i="14"/>
  <c r="R35" i="35" l="1"/>
  <c r="M58" i="14"/>
  <c r="M88" i="14" s="1"/>
  <c r="B48" i="55"/>
  <c r="B59" i="55" s="1"/>
  <c r="B60" i="55" s="1"/>
  <c r="B63" i="70"/>
  <c r="E47" i="55"/>
  <c r="E58" i="55" s="1"/>
  <c r="E62" i="70"/>
  <c r="E75" i="70" s="1"/>
  <c r="F47" i="55"/>
  <c r="F58" i="55" s="1"/>
  <c r="F62" i="70"/>
  <c r="F75" i="70" s="1"/>
  <c r="D48" i="55"/>
  <c r="D59" i="55" s="1"/>
  <c r="D63" i="70"/>
  <c r="D76" i="70" s="1"/>
  <c r="C48" i="55"/>
  <c r="C59" i="55" s="1"/>
  <c r="C63" i="70"/>
  <c r="C76" i="70" s="1"/>
  <c r="G47" i="55"/>
  <c r="G58" i="55" s="1"/>
  <c r="G62" i="70"/>
  <c r="G75" i="70" s="1"/>
  <c r="H47" i="55"/>
  <c r="H58" i="55" s="1"/>
  <c r="H62" i="70"/>
  <c r="H75" i="70" s="1"/>
  <c r="F48" i="55"/>
  <c r="F59" i="55" s="1"/>
  <c r="F63" i="70"/>
  <c r="F76" i="70" s="1"/>
  <c r="C47" i="55"/>
  <c r="C58" i="55" s="1"/>
  <c r="C62" i="70"/>
  <c r="C75" i="70" s="1"/>
  <c r="I82" i="14"/>
  <c r="I136" i="14" s="1"/>
  <c r="H48" i="55"/>
  <c r="H59" i="55" s="1"/>
  <c r="H63" i="70"/>
  <c r="H76" i="70" s="1"/>
  <c r="E48" i="55"/>
  <c r="E59" i="55" s="1"/>
  <c r="E63" i="70"/>
  <c r="E76" i="70" s="1"/>
  <c r="J82" i="14"/>
  <c r="J136" i="14" s="1"/>
  <c r="N82" i="14"/>
  <c r="N109" i="14" s="1"/>
  <c r="H82" i="14"/>
  <c r="H109" i="14" s="1"/>
  <c r="K82" i="14"/>
  <c r="K136" i="14" s="1"/>
  <c r="D47" i="55"/>
  <c r="D58" i="55" s="1"/>
  <c r="D62" i="70"/>
  <c r="D75" i="70" s="1"/>
  <c r="F48" i="14"/>
  <c r="G48" i="55"/>
  <c r="G59" i="55" s="1"/>
  <c r="G63" i="70"/>
  <c r="G76" i="70" s="1"/>
  <c r="M82" i="14"/>
  <c r="M109" i="14" s="1"/>
  <c r="F112" i="14"/>
  <c r="F139" i="14" s="1"/>
  <c r="E17" i="57"/>
  <c r="H17" i="57" s="1"/>
  <c r="I17" i="57" s="1"/>
  <c r="O42" i="35"/>
  <c r="P35" i="35"/>
  <c r="S35" i="35"/>
  <c r="Q35" i="35"/>
  <c r="N35" i="35"/>
  <c r="K47" i="16"/>
  <c r="K49" i="16"/>
  <c r="L49" i="16" s="1"/>
  <c r="P49" i="16" s="1"/>
  <c r="H79" i="14"/>
  <c r="H106" i="14" s="1"/>
  <c r="I79" i="14"/>
  <c r="I133" i="14" s="1"/>
  <c r="J79" i="14"/>
  <c r="J106" i="14" s="1"/>
  <c r="H46" i="16"/>
  <c r="P31" i="14"/>
  <c r="K79" i="14"/>
  <c r="K106" i="14" s="1"/>
  <c r="M79" i="14"/>
  <c r="M133" i="14" s="1"/>
  <c r="N79" i="14"/>
  <c r="N133" i="14" s="1"/>
  <c r="J46" i="16"/>
  <c r="F45" i="14"/>
  <c r="Q34" i="35"/>
  <c r="K34" i="35"/>
  <c r="N34" i="35"/>
  <c r="R34" i="35"/>
  <c r="P34" i="35"/>
  <c r="O34" i="35"/>
  <c r="L40" i="35"/>
  <c r="K40" i="35"/>
  <c r="C61" i="35" s="1"/>
  <c r="I81" i="14"/>
  <c r="I135" i="14" s="1"/>
  <c r="J81" i="14"/>
  <c r="J135" i="14" s="1"/>
  <c r="H83" i="14"/>
  <c r="H137" i="14" s="1"/>
  <c r="K81" i="14"/>
  <c r="K108" i="14" s="1"/>
  <c r="K51" i="14"/>
  <c r="I83" i="14"/>
  <c r="I110" i="14" s="1"/>
  <c r="J83" i="14"/>
  <c r="J110" i="14" s="1"/>
  <c r="M81" i="14"/>
  <c r="M135" i="14" s="1"/>
  <c r="K83" i="14"/>
  <c r="K110" i="14" s="1"/>
  <c r="N81" i="14"/>
  <c r="N108" i="14" s="1"/>
  <c r="F49" i="14"/>
  <c r="M83" i="14"/>
  <c r="M137" i="14" s="1"/>
  <c r="K80" i="14"/>
  <c r="K50" i="14"/>
  <c r="N83" i="14"/>
  <c r="N137" i="14" s="1"/>
  <c r="H81" i="14"/>
  <c r="H135" i="14" s="1"/>
  <c r="F46" i="14"/>
  <c r="L79" i="14"/>
  <c r="L106" i="14" s="1"/>
  <c r="F40" i="14"/>
  <c r="N46" i="16"/>
  <c r="L82" i="14"/>
  <c r="L136" i="14" s="1"/>
  <c r="L73" i="14"/>
  <c r="L100" i="14" s="1"/>
  <c r="L83" i="14"/>
  <c r="L137" i="14" s="1"/>
  <c r="I134" i="14"/>
  <c r="I107" i="14"/>
  <c r="M142" i="14"/>
  <c r="M115" i="14"/>
  <c r="L89" i="14"/>
  <c r="L143" i="14" s="1"/>
  <c r="L75" i="14"/>
  <c r="L102" i="14" s="1"/>
  <c r="F43" i="14"/>
  <c r="F44" i="14"/>
  <c r="L81" i="14"/>
  <c r="L135" i="14" s="1"/>
  <c r="I46" i="16"/>
  <c r="F42" i="14"/>
  <c r="N58" i="14"/>
  <c r="N88" i="14" s="1"/>
  <c r="N142" i="14" s="1"/>
  <c r="L71" i="14"/>
  <c r="L125" i="14" s="1"/>
  <c r="H140" i="14"/>
  <c r="H113" i="14"/>
  <c r="N102" i="14"/>
  <c r="N129" i="14"/>
  <c r="K125" i="14"/>
  <c r="K98" i="14"/>
  <c r="K100" i="14"/>
  <c r="K127" i="14"/>
  <c r="L130" i="14"/>
  <c r="L103" i="14"/>
  <c r="L118" i="14"/>
  <c r="L145" i="14"/>
  <c r="I129" i="14"/>
  <c r="I102" i="14"/>
  <c r="L112" i="14"/>
  <c r="L139" i="14"/>
  <c r="H142" i="14"/>
  <c r="H115" i="14"/>
  <c r="K126" i="14"/>
  <c r="K99" i="14"/>
  <c r="M131" i="14"/>
  <c r="M104" i="14"/>
  <c r="H129" i="14"/>
  <c r="H102" i="14"/>
  <c r="I105" i="14"/>
  <c r="I132" i="14"/>
  <c r="I141" i="14"/>
  <c r="I114" i="14"/>
  <c r="H99" i="14"/>
  <c r="H126" i="14"/>
  <c r="M103" i="14"/>
  <c r="M130" i="14"/>
  <c r="N106" i="14"/>
  <c r="J141" i="14"/>
  <c r="J114" i="14"/>
  <c r="H117" i="14"/>
  <c r="H144" i="14"/>
  <c r="I99" i="14"/>
  <c r="I126" i="14"/>
  <c r="M127" i="14"/>
  <c r="M100" i="14"/>
  <c r="N103" i="14"/>
  <c r="N130" i="14"/>
  <c r="K132" i="14"/>
  <c r="K105" i="14"/>
  <c r="M139" i="14"/>
  <c r="M112" i="14"/>
  <c r="K114" i="14"/>
  <c r="K141" i="14"/>
  <c r="I142" i="14"/>
  <c r="I115" i="14"/>
  <c r="I117" i="14"/>
  <c r="I144" i="14"/>
  <c r="N145" i="14"/>
  <c r="N118" i="14"/>
  <c r="I125" i="14"/>
  <c r="I98" i="14"/>
  <c r="H100" i="14"/>
  <c r="H127" i="14"/>
  <c r="N125" i="14"/>
  <c r="N98" i="14"/>
  <c r="J99" i="14"/>
  <c r="J126" i="14"/>
  <c r="N127" i="14"/>
  <c r="N100" i="14"/>
  <c r="K102" i="14"/>
  <c r="K129" i="14"/>
  <c r="H134" i="14"/>
  <c r="H107" i="14"/>
  <c r="N139" i="14"/>
  <c r="N112" i="14"/>
  <c r="J142" i="14"/>
  <c r="J115" i="14"/>
  <c r="H111" i="14"/>
  <c r="H138" i="14"/>
  <c r="M143" i="14"/>
  <c r="M116" i="14"/>
  <c r="H128" i="14"/>
  <c r="H101" i="14"/>
  <c r="N132" i="14"/>
  <c r="N105" i="14"/>
  <c r="J107" i="14"/>
  <c r="J134" i="14"/>
  <c r="I113" i="14"/>
  <c r="I140" i="14"/>
  <c r="N114" i="14"/>
  <c r="N141" i="14"/>
  <c r="L142" i="14"/>
  <c r="L115" i="14"/>
  <c r="J111" i="14"/>
  <c r="J138" i="14"/>
  <c r="N143" i="14"/>
  <c r="N116" i="14"/>
  <c r="J131" i="14"/>
  <c r="J104" i="14"/>
  <c r="K134" i="14"/>
  <c r="K107" i="14"/>
  <c r="H136" i="14"/>
  <c r="K138" i="14"/>
  <c r="K111" i="14"/>
  <c r="H104" i="14"/>
  <c r="H131" i="14"/>
  <c r="L107" i="14"/>
  <c r="L134" i="14"/>
  <c r="M114" i="14"/>
  <c r="M141" i="14"/>
  <c r="H98" i="14"/>
  <c r="H125" i="14"/>
  <c r="J101" i="14"/>
  <c r="J128" i="14"/>
  <c r="K131" i="14"/>
  <c r="K104" i="14"/>
  <c r="K113" i="14"/>
  <c r="K140" i="14"/>
  <c r="N144" i="14"/>
  <c r="N117" i="14"/>
  <c r="J125" i="14"/>
  <c r="J98" i="14"/>
  <c r="K101" i="14"/>
  <c r="K128" i="14"/>
  <c r="H130" i="14"/>
  <c r="H103" i="14"/>
  <c r="M107" i="14"/>
  <c r="M134" i="14"/>
  <c r="H116" i="14"/>
  <c r="H143" i="14"/>
  <c r="H118" i="14"/>
  <c r="H145" i="14"/>
  <c r="H112" i="14"/>
  <c r="H139" i="14"/>
  <c r="N138" i="14"/>
  <c r="N111" i="14"/>
  <c r="N107" i="14"/>
  <c r="N134" i="14"/>
  <c r="K142" i="14"/>
  <c r="K115" i="14"/>
  <c r="N126" i="14"/>
  <c r="N99" i="14"/>
  <c r="I130" i="14"/>
  <c r="I103" i="14"/>
  <c r="K109" i="14"/>
  <c r="I118" i="14"/>
  <c r="I145" i="14"/>
  <c r="M101" i="14"/>
  <c r="M128" i="14"/>
  <c r="J130" i="14"/>
  <c r="J103" i="14"/>
  <c r="N131" i="14"/>
  <c r="N104" i="14"/>
  <c r="N113" i="14"/>
  <c r="N140" i="14"/>
  <c r="N101" i="14"/>
  <c r="N128" i="14"/>
  <c r="K130" i="14"/>
  <c r="K103" i="14"/>
  <c r="H105" i="14"/>
  <c r="H132" i="14"/>
  <c r="J112" i="14"/>
  <c r="J139" i="14"/>
  <c r="H141" i="14"/>
  <c r="H114" i="14"/>
  <c r="K143" i="14"/>
  <c r="K116" i="14"/>
  <c r="K118" i="14"/>
  <c r="K145" i="14"/>
  <c r="K144" i="14"/>
  <c r="K117" i="14"/>
  <c r="K112" i="14"/>
  <c r="K139" i="14"/>
  <c r="L78" i="14"/>
  <c r="I104" i="14"/>
  <c r="I116" i="14"/>
  <c r="M118" i="14"/>
  <c r="I128" i="14"/>
  <c r="F38" i="14"/>
  <c r="F41" i="14"/>
  <c r="F47" i="14"/>
  <c r="L111" i="14"/>
  <c r="J116" i="14"/>
  <c r="L117" i="14"/>
  <c r="J140" i="14"/>
  <c r="L141" i="14"/>
  <c r="O31" i="14"/>
  <c r="L72" i="14"/>
  <c r="M99" i="14"/>
  <c r="M105" i="14"/>
  <c r="M111" i="14"/>
  <c r="M117" i="14"/>
  <c r="I127" i="14"/>
  <c r="M129" i="14"/>
  <c r="I139" i="14"/>
  <c r="J127" i="14"/>
  <c r="L128" i="14"/>
  <c r="L140" i="14"/>
  <c r="J145" i="14"/>
  <c r="M98" i="14"/>
  <c r="I108" i="14"/>
  <c r="I138" i="14"/>
  <c r="M140" i="14"/>
  <c r="K48" i="16"/>
  <c r="L48" i="16" s="1"/>
  <c r="P48" i="16" s="1"/>
  <c r="J102" i="14"/>
  <c r="J132" i="14"/>
  <c r="J144" i="14"/>
  <c r="H133" i="14" l="1"/>
  <c r="M136" i="14"/>
  <c r="N135" i="14"/>
  <c r="K135" i="14"/>
  <c r="J133" i="14"/>
  <c r="P32" i="14"/>
  <c r="J109" i="14"/>
  <c r="N110" i="14"/>
  <c r="N192" i="88"/>
  <c r="N210" i="88"/>
  <c r="I106" i="14"/>
  <c r="J137" i="14"/>
  <c r="H87" i="59"/>
  <c r="K87" i="59" s="1"/>
  <c r="J87" i="59" s="1"/>
  <c r="R138" i="70"/>
  <c r="H84" i="59"/>
  <c r="K84" i="59" s="1"/>
  <c r="J84" i="59" s="1"/>
  <c r="R137" i="70"/>
  <c r="R130" i="70"/>
  <c r="H81" i="59"/>
  <c r="K81" i="59" s="1"/>
  <c r="J81" i="59" s="1"/>
  <c r="R131" i="70"/>
  <c r="T131" i="70" s="1"/>
  <c r="U131" i="70" s="1"/>
  <c r="W131" i="70" s="1"/>
  <c r="X131" i="70" s="1"/>
  <c r="H79" i="59"/>
  <c r="K79" i="59" s="1"/>
  <c r="J79" i="59" s="1"/>
  <c r="H83" i="59"/>
  <c r="K83" i="59" s="1"/>
  <c r="J83" i="59" s="1"/>
  <c r="R134" i="70"/>
  <c r="T134" i="70" s="1"/>
  <c r="U134" i="70" s="1"/>
  <c r="W134" i="70" s="1"/>
  <c r="X134" i="70" s="1"/>
  <c r="H82" i="59"/>
  <c r="K82" i="59" s="1"/>
  <c r="J82" i="59" s="1"/>
  <c r="R133" i="70"/>
  <c r="R132" i="70"/>
  <c r="H80" i="59"/>
  <c r="K80" i="59" s="1"/>
  <c r="J80" i="59" s="1"/>
  <c r="H78" i="59"/>
  <c r="K78" i="59" s="1"/>
  <c r="B76" i="70"/>
  <c r="B77" i="70" s="1"/>
  <c r="I137" i="14"/>
  <c r="J108" i="14"/>
  <c r="M106" i="14"/>
  <c r="M108" i="14"/>
  <c r="H108" i="14"/>
  <c r="L116" i="14"/>
  <c r="L108" i="14"/>
  <c r="N207" i="73"/>
  <c r="N189" i="73"/>
  <c r="B93" i="55"/>
  <c r="B98" i="55"/>
  <c r="B96" i="55"/>
  <c r="B95" i="55"/>
  <c r="B94" i="55"/>
  <c r="B99" i="55"/>
  <c r="B97" i="55"/>
  <c r="K133" i="14"/>
  <c r="N136" i="14"/>
  <c r="L133" i="14"/>
  <c r="I109" i="14"/>
  <c r="T35" i="35"/>
  <c r="U35" i="35" s="1"/>
  <c r="H77" i="70"/>
  <c r="D60" i="55"/>
  <c r="G60" i="55"/>
  <c r="K46" i="16"/>
  <c r="E77" i="70"/>
  <c r="D77" i="70"/>
  <c r="H60" i="55"/>
  <c r="T34" i="35"/>
  <c r="U34" i="35" s="1"/>
  <c r="L47" i="16"/>
  <c r="P47" i="16" s="1"/>
  <c r="N115" i="14"/>
  <c r="E60" i="55"/>
  <c r="L109" i="14"/>
  <c r="F77" i="70"/>
  <c r="C77" i="70"/>
  <c r="F60" i="55"/>
  <c r="G77" i="70"/>
  <c r="C60" i="55"/>
  <c r="R40" i="35"/>
  <c r="Q40" i="35"/>
  <c r="P40" i="35"/>
  <c r="M40" i="35"/>
  <c r="H110" i="14"/>
  <c r="K137" i="14"/>
  <c r="M110" i="14"/>
  <c r="L110" i="14"/>
  <c r="L129" i="14"/>
  <c r="L98" i="14"/>
  <c r="L127" i="14"/>
  <c r="L126" i="14"/>
  <c r="L99" i="14"/>
  <c r="L132" i="14"/>
  <c r="L105" i="14"/>
  <c r="K95" i="59" l="1"/>
  <c r="J78" i="59"/>
  <c r="P210" i="88"/>
  <c r="Q210" i="88"/>
  <c r="V210" i="88" s="1"/>
  <c r="P192" i="88"/>
  <c r="Q192" i="88"/>
  <c r="V192" i="88" s="1"/>
  <c r="B119" i="70"/>
  <c r="B115" i="70"/>
  <c r="B114" i="70"/>
  <c r="B118" i="70"/>
  <c r="B117" i="70"/>
  <c r="B116" i="70"/>
  <c r="B113" i="70"/>
  <c r="F113" i="70"/>
  <c r="F119" i="70"/>
  <c r="F114" i="70"/>
  <c r="F117" i="70"/>
  <c r="F115" i="70"/>
  <c r="F116" i="70"/>
  <c r="F118" i="70"/>
  <c r="E118" i="70"/>
  <c r="E119" i="70"/>
  <c r="E116" i="70"/>
  <c r="E117" i="70"/>
  <c r="E114" i="70"/>
  <c r="E115" i="70"/>
  <c r="G113" i="70"/>
  <c r="G118" i="70"/>
  <c r="G119" i="70"/>
  <c r="G114" i="70"/>
  <c r="G115" i="70"/>
  <c r="G116" i="70"/>
  <c r="G117" i="70"/>
  <c r="C113" i="70"/>
  <c r="C116" i="70"/>
  <c r="C117" i="70"/>
  <c r="C114" i="70"/>
  <c r="C115" i="70"/>
  <c r="C118" i="70"/>
  <c r="C119" i="70"/>
  <c r="H114" i="70"/>
  <c r="H115" i="70"/>
  <c r="H116" i="70"/>
  <c r="H117" i="70"/>
  <c r="H118" i="70"/>
  <c r="H119" i="70"/>
  <c r="D117" i="70"/>
  <c r="D118" i="70"/>
  <c r="D119" i="70"/>
  <c r="D114" i="70"/>
  <c r="D115" i="70"/>
  <c r="D116" i="70"/>
  <c r="H113" i="70"/>
  <c r="D113" i="70"/>
  <c r="C166" i="70" s="1"/>
  <c r="E113" i="70"/>
  <c r="P189" i="73"/>
  <c r="Q189" i="73"/>
  <c r="V189" i="73" s="1"/>
  <c r="Q207" i="73"/>
  <c r="V207" i="73" s="1"/>
  <c r="P207" i="73"/>
  <c r="R116" i="55"/>
  <c r="T116" i="55" s="1"/>
  <c r="U116" i="55" s="1"/>
  <c r="W116" i="55" s="1"/>
  <c r="R115" i="55"/>
  <c r="T115" i="55" s="1"/>
  <c r="U115" i="55" s="1"/>
  <c r="W115" i="55" s="1"/>
  <c r="R114" i="55"/>
  <c r="T114" i="55" s="1"/>
  <c r="U114" i="55" s="1"/>
  <c r="W114" i="55" s="1"/>
  <c r="R112" i="55"/>
  <c r="T112" i="55" s="1"/>
  <c r="U112" i="55" s="1"/>
  <c r="W112" i="55" s="1"/>
  <c r="R111" i="55"/>
  <c r="T111" i="55" s="1"/>
  <c r="U111" i="55" s="1"/>
  <c r="W111" i="55" s="1"/>
  <c r="R110" i="55"/>
  <c r="T110" i="55" s="1"/>
  <c r="U110" i="55" s="1"/>
  <c r="W110" i="55" s="1"/>
  <c r="R113" i="55"/>
  <c r="T113" i="55" s="1"/>
  <c r="U113" i="55" s="1"/>
  <c r="W113" i="55" s="1"/>
  <c r="E93" i="55"/>
  <c r="E96" i="55"/>
  <c r="E98" i="55"/>
  <c r="E94" i="55"/>
  <c r="E99" i="55"/>
  <c r="E95" i="55"/>
  <c r="E97" i="55"/>
  <c r="C93" i="55"/>
  <c r="C98" i="55"/>
  <c r="C97" i="55"/>
  <c r="C96" i="55"/>
  <c r="C94" i="55"/>
  <c r="C99" i="55"/>
  <c r="C95" i="55"/>
  <c r="H93" i="55"/>
  <c r="H99" i="55"/>
  <c r="H98" i="55"/>
  <c r="H96" i="55"/>
  <c r="H94" i="55"/>
  <c r="H97" i="55"/>
  <c r="H95" i="55"/>
  <c r="G93" i="55"/>
  <c r="G94" i="55"/>
  <c r="G95" i="55"/>
  <c r="G99" i="55"/>
  <c r="G97" i="55"/>
  <c r="G98" i="55"/>
  <c r="G96" i="55"/>
  <c r="F93" i="55"/>
  <c r="F95" i="55"/>
  <c r="F94" i="55"/>
  <c r="F99" i="55"/>
  <c r="F97" i="55"/>
  <c r="F98" i="55"/>
  <c r="F96" i="55"/>
  <c r="D93" i="55"/>
  <c r="C135" i="55" s="1"/>
  <c r="D96" i="55"/>
  <c r="D94" i="55"/>
  <c r="D97" i="55"/>
  <c r="D95" i="55"/>
  <c r="D98" i="55"/>
  <c r="D99" i="55"/>
  <c r="T138" i="70"/>
  <c r="U138" i="70" s="1"/>
  <c r="W138" i="70" s="1"/>
  <c r="X138" i="70" s="1"/>
  <c r="T130" i="70"/>
  <c r="U130" i="70" s="1"/>
  <c r="W130" i="70" s="1"/>
  <c r="X130" i="70" s="1"/>
  <c r="T133" i="70"/>
  <c r="U133" i="70" s="1"/>
  <c r="W133" i="70" s="1"/>
  <c r="X133" i="70" s="1"/>
  <c r="T132" i="70"/>
  <c r="U132" i="70" s="1"/>
  <c r="W132" i="70" s="1"/>
  <c r="X132" i="70" s="1"/>
  <c r="T137" i="70"/>
  <c r="U137" i="70" s="1"/>
  <c r="W137" i="70" s="1"/>
  <c r="X137" i="70" s="1"/>
  <c r="L46" i="16"/>
  <c r="P46" i="16" s="1"/>
  <c r="S40" i="35"/>
  <c r="T40" i="35" s="1"/>
  <c r="U40" i="35" s="1"/>
  <c r="O40" i="35"/>
  <c r="N40" i="35"/>
  <c r="H63" i="10"/>
  <c r="I51" i="10" a="1"/>
  <c r="J55" i="10" s="1"/>
  <c r="S975" i="9"/>
  <c r="I975" i="9"/>
  <c r="H975" i="9"/>
  <c r="S974" i="9"/>
  <c r="I974" i="9"/>
  <c r="H974" i="9"/>
  <c r="J974" i="9" s="1"/>
  <c r="K10" i="9"/>
  <c r="Y10" i="9" s="1"/>
  <c r="Q6" i="9"/>
  <c r="D6" i="9"/>
  <c r="Q5" i="9"/>
  <c r="D5" i="9"/>
  <c r="Q4" i="9"/>
  <c r="D4" i="9"/>
  <c r="Q3" i="9"/>
  <c r="D3" i="9"/>
  <c r="D97" i="59" l="1"/>
  <c r="J95" i="59"/>
  <c r="W192" i="88"/>
  <c r="W193" i="88" s="1"/>
  <c r="C224" i="88" s="1"/>
  <c r="P193" i="88"/>
  <c r="W210" i="88"/>
  <c r="W211" i="88" s="1"/>
  <c r="C226" i="88" s="1"/>
  <c r="P211" i="88"/>
  <c r="C134" i="55"/>
  <c r="C165" i="70"/>
  <c r="W207" i="73"/>
  <c r="W208" i="73" s="1"/>
  <c r="C223" i="73" s="1"/>
  <c r="P208" i="73"/>
  <c r="W189" i="73"/>
  <c r="W190" i="73" s="1"/>
  <c r="C221" i="73" s="1"/>
  <c r="P190" i="73"/>
  <c r="X139" i="70"/>
  <c r="W117" i="55"/>
  <c r="C128" i="55" s="1"/>
  <c r="W139" i="70"/>
  <c r="C157" i="70" s="1"/>
  <c r="M974" i="9"/>
  <c r="M975" i="9"/>
  <c r="T975" i="9" s="1"/>
  <c r="J51" i="10"/>
  <c r="Q7" i="9"/>
  <c r="I51" i="10"/>
  <c r="I63" i="10" s="1"/>
  <c r="I52" i="10"/>
  <c r="J52" i="10"/>
  <c r="I53" i="10"/>
  <c r="J53" i="10"/>
  <c r="I54" i="10"/>
  <c r="J54" i="10"/>
  <c r="I55" i="10"/>
  <c r="U10" i="9"/>
  <c r="T974" i="9"/>
  <c r="K974" i="9"/>
  <c r="U974" i="9" s="1"/>
  <c r="W974" i="9"/>
  <c r="L974" i="9"/>
  <c r="J975" i="9"/>
  <c r="C228" i="88" l="1"/>
  <c r="D98" i="59"/>
  <c r="D99" i="59" s="1"/>
  <c r="C140" i="59" s="1"/>
  <c r="C142" i="59" s="1"/>
  <c r="C158" i="70"/>
  <c r="C163" i="70"/>
  <c r="K975" i="9"/>
  <c r="U975" i="9" s="1"/>
  <c r="C225" i="73"/>
  <c r="C132" i="55"/>
  <c r="V974" i="9"/>
  <c r="J4" i="9"/>
  <c r="L975" i="9"/>
  <c r="W975" i="9"/>
  <c r="M5" i="9"/>
  <c r="M6" i="9"/>
  <c r="I6" i="9" s="1"/>
  <c r="M3" i="9"/>
  <c r="I3" i="9" s="1"/>
  <c r="M4" i="9"/>
  <c r="J3" i="9"/>
  <c r="H3" i="9" s="1"/>
  <c r="J6" i="9"/>
  <c r="H6" i="9" s="1"/>
  <c r="J5" i="9"/>
  <c r="C233" i="88" l="1"/>
  <c r="C234" i="88"/>
  <c r="C147" i="59"/>
  <c r="C148" i="59"/>
  <c r="C137" i="55"/>
  <c r="C138" i="55"/>
  <c r="C168" i="70"/>
  <c r="C169" i="70"/>
  <c r="C230" i="73"/>
  <c r="C231" i="73"/>
  <c r="W6" i="9"/>
  <c r="W5" i="9"/>
  <c r="W7" i="9"/>
  <c r="W4" i="9"/>
  <c r="W3" i="9"/>
  <c r="AA974" i="9"/>
  <c r="X974" i="9"/>
  <c r="AA975" i="9"/>
  <c r="N975" i="9"/>
  <c r="V975" i="9"/>
  <c r="L5" i="9"/>
  <c r="L6" i="9"/>
  <c r="L3" i="9"/>
  <c r="L4" i="9"/>
  <c r="T6" i="9"/>
  <c r="T3" i="9"/>
  <c r="T4" i="9"/>
  <c r="T7" i="9"/>
  <c r="T5" i="9"/>
  <c r="X975" i="9"/>
  <c r="N974" i="9"/>
  <c r="Z974" i="9" l="1"/>
  <c r="Z975" i="9"/>
  <c r="Y975" i="9"/>
  <c r="Y974" i="9"/>
  <c r="V6" i="9"/>
  <c r="V3" i="9"/>
  <c r="V4" i="9"/>
  <c r="V7" i="9"/>
  <c r="V5" i="9"/>
</calcChain>
</file>

<file path=xl/comments1.xml><?xml version="1.0" encoding="utf-8"?>
<comments xmlns="http://schemas.openxmlformats.org/spreadsheetml/2006/main">
  <authors>
    <author>Tom Carlson</author>
    <author>TCarlson</author>
  </authors>
  <commentList>
    <comment ref="A13" authorId="0" shapeId="0">
      <text>
        <r>
          <rPr>
            <b/>
            <sz val="9"/>
            <color indexed="81"/>
            <rFont val="Tahoma"/>
            <family val="2"/>
          </rPr>
          <t>Tom Carlson:</t>
        </r>
        <r>
          <rPr>
            <sz val="9"/>
            <color indexed="81"/>
            <rFont val="Tahoma"/>
            <family val="2"/>
          </rPr>
          <t xml:space="preserve">
From "Purchasing Firewood in Alaska" on air dry basis (20% MC).</t>
        </r>
      </text>
    </comment>
    <comment ref="H13" authorId="0" shapeId="0">
      <text>
        <r>
          <rPr>
            <b/>
            <sz val="9"/>
            <color indexed="81"/>
            <rFont val="Tahoma"/>
            <family val="2"/>
          </rPr>
          <t>Tom Carlson:</t>
        </r>
        <r>
          <rPr>
            <sz val="9"/>
            <color indexed="81"/>
            <rFont val="Tahoma"/>
            <family val="2"/>
          </rPr>
          <t xml:space="preserve">
This represents the assumed fraction of the cost of commercially-sold wood that applies to "cut-own" wood. It's a rough monetization of gasoline (driving + chainsaw) and "sweat equity" costs for people that cut their own wood.</t>
        </r>
      </text>
    </comment>
    <comment ref="A14" authorId="0" shapeId="0">
      <text>
        <r>
          <rPr>
            <b/>
            <sz val="9"/>
            <color indexed="81"/>
            <rFont val="Tahoma"/>
            <family val="2"/>
          </rPr>
          <t>Tom Carlson:</t>
        </r>
        <r>
          <rPr>
            <sz val="9"/>
            <color indexed="81"/>
            <rFont val="Tahoma"/>
            <family val="2"/>
          </rPr>
          <t xml:space="preserve">
From "Purchasing Firewood in Alaska" on air dry basis (20% MC).</t>
        </r>
      </text>
    </comment>
    <comment ref="A15" authorId="0" shapeId="0">
      <text>
        <r>
          <rPr>
            <b/>
            <sz val="9"/>
            <color indexed="81"/>
            <rFont val="Tahoma"/>
            <family val="2"/>
          </rPr>
          <t>Tom Carlson:</t>
        </r>
        <r>
          <rPr>
            <sz val="9"/>
            <color indexed="81"/>
            <rFont val="Tahoma"/>
            <family val="2"/>
          </rPr>
          <t xml:space="preserve">
From "Purchasing Firewood in Alaska" on air dry basis (20% MC).</t>
        </r>
      </text>
    </comment>
    <comment ref="A16" authorId="0" shapeId="0">
      <text>
        <r>
          <rPr>
            <b/>
            <sz val="9"/>
            <color indexed="81"/>
            <rFont val="Tahoma"/>
            <family val="2"/>
          </rPr>
          <t>Tom Carlson:</t>
        </r>
        <r>
          <rPr>
            <sz val="9"/>
            <color indexed="81"/>
            <rFont val="Tahoma"/>
            <family val="2"/>
          </rPr>
          <t xml:space="preserve">
From "Purchasing Firewood in Alaska" on air dry basis (20% MC).</t>
        </r>
      </text>
    </comment>
    <comment ref="A17" authorId="0" shapeId="0">
      <text>
        <r>
          <rPr>
            <b/>
            <sz val="9"/>
            <color indexed="81"/>
            <rFont val="Tahoma"/>
            <family val="2"/>
          </rPr>
          <t>Tom Carlson:</t>
        </r>
        <r>
          <rPr>
            <sz val="9"/>
            <color indexed="81"/>
            <rFont val="Tahoma"/>
            <family val="2"/>
          </rPr>
          <t xml:space="preserve">
From "Purchasing Firewood in Alaska" on air dry basis (20% MC).</t>
        </r>
      </text>
    </comment>
    <comment ref="N24" authorId="0" shapeId="0">
      <text>
        <r>
          <rPr>
            <b/>
            <sz val="8"/>
            <color indexed="81"/>
            <rFont val="Tahoma"/>
            <family val="2"/>
          </rPr>
          <t>Tom Carlson:</t>
        </r>
        <r>
          <rPr>
            <sz val="8"/>
            <color indexed="81"/>
            <rFont val="Tahoma"/>
            <family val="2"/>
          </rPr>
          <t xml:space="preserve">
Portable heater fuel split per 2007 Fairbanks HH survey.</t>
        </r>
      </text>
    </comment>
    <comment ref="S36" authorId="0" shapeId="0">
      <text>
        <r>
          <rPr>
            <b/>
            <sz val="9"/>
            <color indexed="81"/>
            <rFont val="Tahoma"/>
            <family val="2"/>
          </rPr>
          <t>Tom Carlson:</t>
        </r>
        <r>
          <rPr>
            <sz val="9"/>
            <color indexed="81"/>
            <rFont val="Tahoma"/>
            <family val="2"/>
          </rPr>
          <t xml:space="preserve">
This factor is used to adjust episodic average daily emission reductions to annual average daily emission reductions.</t>
        </r>
      </text>
    </comment>
    <comment ref="F37" authorId="0" shapeId="0">
      <text>
        <r>
          <rPr>
            <b/>
            <sz val="9"/>
            <color indexed="81"/>
            <rFont val="Tahoma"/>
            <family val="2"/>
          </rPr>
          <t>Tom Carlson:</t>
        </r>
        <r>
          <rPr>
            <sz val="9"/>
            <color indexed="81"/>
            <rFont val="Tahoma"/>
            <family val="2"/>
          </rPr>
          <t xml:space="preserve">
https://www.federalreserve.gov/releases/h15/ as of 3/5/2019.  See screen snapshot below.</t>
        </r>
      </text>
    </comment>
    <comment ref="S37" authorId="0" shapeId="0">
      <text>
        <r>
          <rPr>
            <b/>
            <sz val="9"/>
            <color indexed="81"/>
            <rFont val="Tahoma"/>
            <family val="2"/>
          </rPr>
          <t>Tom Carlson:</t>
        </r>
        <r>
          <rPr>
            <sz val="9"/>
            <color indexed="81"/>
            <rFont val="Tahoma"/>
            <family val="2"/>
          </rPr>
          <t xml:space="preserve">
This factor is used to adjust winter average daily emission reductions to annual average daily emission reductions.</t>
        </r>
      </text>
    </comment>
    <comment ref="S38" authorId="0" shapeId="0">
      <text>
        <r>
          <rPr>
            <b/>
            <sz val="9"/>
            <color indexed="81"/>
            <rFont val="Tahoma"/>
            <family val="2"/>
          </rPr>
          <t>Tom Carlson:</t>
        </r>
        <r>
          <rPr>
            <sz val="9"/>
            <color indexed="81"/>
            <rFont val="Tahoma"/>
            <family val="2"/>
          </rPr>
          <t xml:space="preserve">
This factor is used to adjust winter average daily emission reductions to annual average daily emission reductions.</t>
        </r>
      </text>
    </comment>
    <comment ref="N86" authorId="1" shapeId="0">
      <text>
        <r>
          <rPr>
            <b/>
            <sz val="9"/>
            <color indexed="81"/>
            <rFont val="Tahoma"/>
            <family val="2"/>
          </rPr>
          <t>TCarlson:</t>
        </r>
        <r>
          <rPr>
            <sz val="9"/>
            <color indexed="81"/>
            <rFont val="Tahoma"/>
            <family val="2"/>
          </rPr>
          <t xml:space="preserve">
Reflects all losses from Aurora fuel combustion to District heat steam delivery to residences.</t>
        </r>
      </text>
    </comment>
    <comment ref="N97" authorId="1" shapeId="0">
      <text>
        <r>
          <rPr>
            <b/>
            <sz val="9"/>
            <color indexed="81"/>
            <rFont val="Tahoma"/>
            <family val="2"/>
          </rPr>
          <t>TCarlson:</t>
        </r>
        <r>
          <rPr>
            <sz val="9"/>
            <color indexed="81"/>
            <rFont val="Tahoma"/>
            <family val="2"/>
          </rPr>
          <t xml:space="preserve">
Splits boilers from oil furnaces.</t>
        </r>
      </text>
    </comment>
  </commentList>
</comments>
</file>

<file path=xl/comments10.xml><?xml version="1.0" encoding="utf-8"?>
<comments xmlns="http://schemas.openxmlformats.org/spreadsheetml/2006/main">
  <authors>
    <author>Tom Carlson</author>
  </authors>
  <commentList>
    <comment ref="I6" authorId="0" shapeId="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J6" authorId="0" shapeId="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I7" authorId="0" shapeId="0">
      <text>
        <r>
          <rPr>
            <b/>
            <sz val="9"/>
            <color indexed="81"/>
            <rFont val="Tahoma"/>
            <family val="2"/>
          </rPr>
          <t>Tom Carlson:</t>
        </r>
        <r>
          <rPr>
            <sz val="9"/>
            <color indexed="81"/>
            <rFont val="Tahoma"/>
            <family val="2"/>
          </rPr>
          <t xml:space="preserve">
Emission factor for Pre-1970's burner designs.</t>
        </r>
      </text>
    </comment>
    <comment ref="J7" authorId="0" shapeId="0">
      <text>
        <r>
          <rPr>
            <b/>
            <sz val="9"/>
            <color indexed="81"/>
            <rFont val="Tahoma"/>
            <family val="2"/>
          </rPr>
          <t>Tom Carlson:</t>
        </r>
        <r>
          <rPr>
            <sz val="9"/>
            <color indexed="81"/>
            <rFont val="Tahoma"/>
            <family val="2"/>
          </rPr>
          <t xml:space="preserve">
Based on data from new burner designs.  Pre-1970's burner designs may emit filterable PM as high as 3.0 lb/1000 gallons.</t>
        </r>
      </text>
    </comment>
    <comment ref="K7" authorId="0" shapeId="0">
      <text>
        <r>
          <rPr>
            <b/>
            <sz val="9"/>
            <color indexed="81"/>
            <rFont val="Tahoma"/>
            <family val="2"/>
          </rPr>
          <t>Tom Carlson:</t>
        </r>
        <r>
          <rPr>
            <sz val="9"/>
            <color indexed="81"/>
            <rFont val="Tahoma"/>
            <family val="2"/>
          </rPr>
          <t xml:space="preserve">
To determine EF in lb/ton, multiply the EF provided by the weight percent sulfur.  S=% Sulfur content.</t>
        </r>
      </text>
    </comment>
    <comment ref="T24" authorId="0" shapeId="0">
      <text>
        <r>
          <rPr>
            <b/>
            <sz val="9"/>
            <color indexed="81"/>
            <rFont val="Tahoma"/>
            <family val="2"/>
          </rPr>
          <t>Tom Carlson:</t>
        </r>
        <r>
          <rPr>
            <sz val="9"/>
            <color indexed="81"/>
            <rFont val="Tahoma"/>
            <family val="2"/>
          </rPr>
          <t xml:space="preserve">
Fuel sulfur taken as 450-ppm (80% of maximum allowable, likely lower.</t>
        </r>
      </text>
    </comment>
    <comment ref="K62" authorId="0" shapeId="0">
      <text>
        <r>
          <rPr>
            <b/>
            <sz val="9"/>
            <color indexed="81"/>
            <rFont val="Tahoma"/>
            <family val="2"/>
          </rPr>
          <t>Tom Carlson:</t>
        </r>
        <r>
          <rPr>
            <sz val="9"/>
            <color indexed="81"/>
            <rFont val="Tahoma"/>
            <family val="2"/>
          </rPr>
          <t xml:space="preserve">
Fuel sulfur taken as 450-ppm (80% of maximum allowable, likely lower.</t>
        </r>
      </text>
    </comment>
  </commentList>
</comments>
</file>

<file path=xl/comments11.xml><?xml version="1.0" encoding="utf-8"?>
<comments xmlns="http://schemas.openxmlformats.org/spreadsheetml/2006/main">
  <authors>
    <author>Tom Carlson</author>
  </authors>
  <commentList>
    <comment ref="T11" authorId="0" shapeId="0">
      <text>
        <r>
          <rPr>
            <b/>
            <sz val="9"/>
            <color indexed="81"/>
            <rFont val="Tahoma"/>
            <family val="2"/>
          </rPr>
          <t>Tom Carlson:</t>
        </r>
        <r>
          <rPr>
            <sz val="9"/>
            <color indexed="81"/>
            <rFont val="Tahoma"/>
            <family val="2"/>
          </rPr>
          <t xml:space="preserve">
This is a reasonable average of flue temperatures from the 2011 CCHRC Instrumented study during firing.</t>
        </r>
      </text>
    </comment>
    <comment ref="C50" authorId="0" shapeId="0">
      <text>
        <r>
          <rPr>
            <b/>
            <sz val="9"/>
            <color indexed="81"/>
            <rFont val="Tahoma"/>
            <family val="2"/>
          </rPr>
          <t>Tom Carlson:</t>
        </r>
        <r>
          <rPr>
            <sz val="9"/>
            <color indexed="81"/>
            <rFont val="Tahoma"/>
            <family val="2"/>
          </rPr>
          <t xml:space="preserve">
Dry basis, since all CCHRC data reported on oven-dry (OD) moisture basis.</t>
        </r>
      </text>
    </comment>
    <comment ref="O50" authorId="0" shapeId="0">
      <text>
        <r>
          <rPr>
            <b/>
            <sz val="9"/>
            <color indexed="81"/>
            <rFont val="Tahoma"/>
            <family val="2"/>
          </rPr>
          <t>Tom Carlson:</t>
        </r>
        <r>
          <rPr>
            <sz val="9"/>
            <color indexed="81"/>
            <rFont val="Tahoma"/>
            <family val="2"/>
          </rPr>
          <t xml:space="preserve">
From P.L. Wilson, et al, "Fuelwood Characteristics of Northwestern Conifers and Hardwoods (Updated", USDA Forest Service, PNW-GTR-810, April 2010.</t>
        </r>
      </text>
    </comment>
    <comment ref="O51" authorId="0" shapeId="0">
      <text>
        <r>
          <rPr>
            <b/>
            <sz val="9"/>
            <color indexed="81"/>
            <rFont val="Tahoma"/>
            <family val="2"/>
          </rPr>
          <t>Tom Carlson:</t>
        </r>
        <r>
          <rPr>
            <sz val="9"/>
            <color indexed="81"/>
            <rFont val="Tahoma"/>
            <family val="2"/>
          </rPr>
          <t xml:space="preserve">
From UAF Cooperative Extension: 
http://www.alaskawoodheating.com/energy_content.php and adjusted from 20% MCd to an Oven Dry basis (see AK_Wood_HHV.xlsx spreadsheet and "Purchasing Firewood in Alaska" reference.
</t>
        </r>
      </text>
    </comment>
    <comment ref="H52" authorId="0" shapeId="0">
      <text>
        <r>
          <rPr>
            <b/>
            <sz val="9"/>
            <color indexed="81"/>
            <rFont val="Tahoma"/>
            <family val="2"/>
          </rPr>
          <t>Tom Carlson:</t>
        </r>
        <r>
          <rPr>
            <sz val="9"/>
            <color indexed="81"/>
            <rFont val="Tahoma"/>
            <family val="2"/>
          </rPr>
          <t xml:space="preserve">
Taken from Simulated Wood Shed moisture data, not Tarp Covered.</t>
        </r>
      </text>
    </comment>
    <comment ref="I52" authorId="0" shapeId="0">
      <text>
        <r>
          <rPr>
            <b/>
            <sz val="9"/>
            <color indexed="81"/>
            <rFont val="Tahoma"/>
            <family val="2"/>
          </rPr>
          <t>Tom Carlson:</t>
        </r>
        <r>
          <rPr>
            <sz val="9"/>
            <color indexed="81"/>
            <rFont val="Tahoma"/>
            <family val="2"/>
          </rPr>
          <t xml:space="preserve">
Taken from Simulated Wood Shed moisture data, not Tarp Covered.</t>
        </r>
      </text>
    </comment>
    <comment ref="K52" authorId="0" shapeId="0">
      <text>
        <r>
          <rPr>
            <b/>
            <sz val="9"/>
            <color indexed="81"/>
            <rFont val="Tahoma"/>
            <family val="2"/>
          </rPr>
          <t>Tom Carlson:</t>
        </r>
        <r>
          <rPr>
            <sz val="9"/>
            <color indexed="81"/>
            <rFont val="Tahoma"/>
            <family val="2"/>
          </rPr>
          <t xml:space="preserve">
Tarp-covered data from CCHRCTables sheet, except where noted.</t>
        </r>
      </text>
    </comment>
    <comment ref="H53" authorId="0" shapeId="0">
      <text>
        <r>
          <rPr>
            <b/>
            <sz val="9"/>
            <color indexed="81"/>
            <rFont val="Tahoma"/>
            <family val="2"/>
          </rPr>
          <t>Tom Carlson:</t>
        </r>
        <r>
          <rPr>
            <sz val="9"/>
            <color indexed="81"/>
            <rFont val="Tahoma"/>
            <family val="2"/>
          </rPr>
          <t xml:space="preserve">
Taken from Simulated Wood Shed moisture data, not Tarp Covered.</t>
        </r>
      </text>
    </comment>
    <comment ref="I53" authorId="0" shapeId="0">
      <text>
        <r>
          <rPr>
            <b/>
            <sz val="9"/>
            <color indexed="81"/>
            <rFont val="Tahoma"/>
            <family val="2"/>
          </rPr>
          <t>Tom Carlson:</t>
        </r>
        <r>
          <rPr>
            <sz val="9"/>
            <color indexed="81"/>
            <rFont val="Tahoma"/>
            <family val="2"/>
          </rPr>
          <t xml:space="preserve">
Taken from Simulated Wood Shed moisture data, not Tarp Covered.</t>
        </r>
      </text>
    </comment>
  </commentList>
</comments>
</file>

<file path=xl/comments12.xml><?xml version="1.0" encoding="utf-8"?>
<comments xmlns="http://schemas.openxmlformats.org/spreadsheetml/2006/main">
  <authors>
    <author>Tom Carlson</author>
  </authors>
  <commentList>
    <comment ref="M37"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I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J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H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I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J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0"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N40"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K41"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M41"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N41"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K42"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2"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3"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3"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4" authorId="0" shapeId="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H45" authorId="0" shapeId="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K47"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7"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8"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8"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9"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9"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J54" authorId="0" shapeId="0">
      <text>
        <r>
          <rPr>
            <b/>
            <sz val="9"/>
            <color indexed="81"/>
            <rFont val="Tahoma"/>
            <family val="2"/>
          </rPr>
          <t>Tom Carlson:</t>
        </r>
        <r>
          <rPr>
            <sz val="9"/>
            <color indexed="81"/>
            <rFont val="Tahoma"/>
            <family val="2"/>
          </rPr>
          <t xml:space="preserve">
Uses calculated sulfur content for residential sector weighted #1 and #2 heating oil.</t>
        </r>
      </text>
    </comment>
    <comment ref="J55" authorId="0" shapeId="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J56" authorId="0" shapeId="0">
      <text>
        <r>
          <rPr>
            <b/>
            <sz val="9"/>
            <color indexed="81"/>
            <rFont val="Tahoma"/>
            <family val="2"/>
          </rPr>
          <t>Tom Carlson:</t>
        </r>
        <r>
          <rPr>
            <sz val="9"/>
            <color indexed="81"/>
            <rFont val="Tahoma"/>
            <family val="2"/>
          </rPr>
          <t xml:space="preserve">
Assumes fuel sulfur content of 2,566 ppm per RGD 2/13/12 email giving sulfur content in #2 as measured by OMNI Labs.
</t>
        </r>
      </text>
    </comment>
    <comment ref="J57" authorId="0" shapeId="0">
      <text>
        <r>
          <rPr>
            <b/>
            <sz val="9"/>
            <color indexed="81"/>
            <rFont val="Tahoma"/>
            <family val="2"/>
          </rPr>
          <t>Tom Carlson:</t>
        </r>
        <r>
          <rPr>
            <sz val="9"/>
            <color indexed="81"/>
            <rFont val="Tahoma"/>
            <family val="2"/>
          </rPr>
          <t xml:space="preserve">
Uses calculated sulfur content for commercial sector weighted #1 and #2 heating oil.</t>
        </r>
      </text>
    </comment>
    <comment ref="A58" authorId="0" shapeId="0">
      <text>
        <r>
          <rPr>
            <b/>
            <sz val="8"/>
            <color indexed="81"/>
            <rFont val="Tahoma"/>
            <family val="2"/>
          </rPr>
          <t>Tom Carlson:</t>
        </r>
        <r>
          <rPr>
            <sz val="8"/>
            <color indexed="81"/>
            <rFont val="Tahoma"/>
            <family val="2"/>
          </rPr>
          <t xml:space="preserve">
Portable heater fuel split per 2007 Fairbanks HH survey.</t>
        </r>
      </text>
    </comment>
    <comment ref="J58" authorId="0" shapeId="0">
      <text>
        <r>
          <rPr>
            <b/>
            <sz val="9"/>
            <color indexed="81"/>
            <rFont val="Tahoma"/>
            <family val="2"/>
          </rPr>
          <t>Tom Carlson:</t>
        </r>
        <r>
          <rPr>
            <sz val="9"/>
            <color indexed="81"/>
            <rFont val="Tahoma"/>
            <family val="2"/>
          </rPr>
          <t xml:space="preserve">
Uses calculated sulfur content for residential sector weighted #1 and #2 heating oil.</t>
        </r>
      </text>
    </comment>
    <comment ref="J59" authorId="0" shapeId="0">
      <text>
        <r>
          <rPr>
            <b/>
            <sz val="9"/>
            <color indexed="81"/>
            <rFont val="Tahoma"/>
            <family val="2"/>
          </rPr>
          <t>Tom Carlson:</t>
        </r>
        <r>
          <rPr>
            <sz val="9"/>
            <color indexed="81"/>
            <rFont val="Tahoma"/>
            <family val="2"/>
          </rPr>
          <t xml:space="preserve">
Uses calculated sulfur content for residential sector weighted #1 and #2 heating oil.</t>
        </r>
      </text>
    </comment>
    <comment ref="J62" authorId="0" shapeId="0">
      <text>
        <r>
          <rPr>
            <b/>
            <sz val="9"/>
            <color indexed="81"/>
            <rFont val="Tahoma"/>
            <family val="2"/>
          </rPr>
          <t>Tom Carlson:</t>
        </r>
        <r>
          <rPr>
            <sz val="9"/>
            <color indexed="81"/>
            <rFont val="Tahoma"/>
            <family val="2"/>
          </rPr>
          <t xml:space="preserve">
Assuming coal sulfur content of 0.3% weight per www.usibelli.com/Coal_data.asp</t>
        </r>
      </text>
    </comment>
  </commentList>
</comments>
</file>

<file path=xl/comments13.xml><?xml version="1.0" encoding="utf-8"?>
<comments xmlns="http://schemas.openxmlformats.org/spreadsheetml/2006/main">
  <authors>
    <author>Tom Carlson</author>
  </authors>
  <commentList>
    <comment ref="M37"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I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J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M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N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H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I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J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N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1"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2"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3"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44" authorId="0" shapeId="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J44" authorId="0" shapeId="0">
      <text>
        <r>
          <rPr>
            <b/>
            <sz val="8"/>
            <color indexed="81"/>
            <rFont val="Tahoma"/>
            <family val="2"/>
          </rPr>
          <t>Tom Carlson:</t>
        </r>
        <r>
          <rPr>
            <sz val="8"/>
            <color indexed="81"/>
            <rFont val="Tahoma"/>
            <family val="2"/>
          </rPr>
          <t xml:space="preserve">
No data for exempt pellet stoves in AP-42, assumed same as certified pellet stoves.</t>
        </r>
      </text>
    </comment>
    <comment ref="M44"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45" authorId="0" shapeId="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M45"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6"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7"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8"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M49"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J54" authorId="0" shapeId="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5" authorId="0" shapeId="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J56" authorId="0" shapeId="0">
      <text>
        <r>
          <rPr>
            <b/>
            <sz val="9"/>
            <color indexed="81"/>
            <rFont val="Tahoma"/>
            <family val="2"/>
          </rPr>
          <t>Tom Carlson:</t>
        </r>
        <r>
          <rPr>
            <sz val="9"/>
            <color indexed="81"/>
            <rFont val="Tahoma"/>
            <family val="2"/>
          </rPr>
          <t xml:space="preserve">
Assumes fuel sulfur content of 2,566 ppm per RGD 2/13/12 email giving sulfur content in #2 as measured by OMNI Labs.
</t>
        </r>
      </text>
    </comment>
    <comment ref="J57" authorId="0" shapeId="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A58" authorId="0" shapeId="0">
      <text>
        <r>
          <rPr>
            <b/>
            <sz val="8"/>
            <color indexed="81"/>
            <rFont val="Tahoma"/>
            <family val="2"/>
          </rPr>
          <t>Tom Carlson:</t>
        </r>
        <r>
          <rPr>
            <sz val="8"/>
            <color indexed="81"/>
            <rFont val="Tahoma"/>
            <family val="2"/>
          </rPr>
          <t xml:space="preserve">
Portable heater fuel split per 2007 Fairbanks HH survey.</t>
        </r>
      </text>
    </comment>
    <comment ref="J58" authorId="0" shapeId="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62" authorId="0" shapeId="0">
      <text>
        <r>
          <rPr>
            <b/>
            <sz val="9"/>
            <color indexed="81"/>
            <rFont val="Tahoma"/>
            <family val="2"/>
          </rPr>
          <t>Tom Carlson:</t>
        </r>
        <r>
          <rPr>
            <sz val="9"/>
            <color indexed="81"/>
            <rFont val="Tahoma"/>
            <family val="2"/>
          </rPr>
          <t xml:space="preserve">
Assuming coal sulfur content of 0.3% weight per www.usibelli.com/Coal_data.asp</t>
        </r>
      </text>
    </comment>
    <comment ref="J63" authorId="0" shapeId="0">
      <text>
        <r>
          <rPr>
            <b/>
            <sz val="9"/>
            <color indexed="81"/>
            <rFont val="Tahoma"/>
            <family val="2"/>
          </rPr>
          <t>Tom Carlson:</t>
        </r>
        <r>
          <rPr>
            <sz val="9"/>
            <color indexed="81"/>
            <rFont val="Tahoma"/>
            <family val="2"/>
          </rPr>
          <t xml:space="preserve">
Sulfur content of 0.3% weight assumed for waste oil based on www.epa.gov/ttncatc1/dir1/w_oilacr.pdf, Table 1 (used motor oil average).</t>
        </r>
      </text>
    </comment>
    <comment ref="K63" authorId="0" shapeId="0">
      <text>
        <r>
          <rPr>
            <b/>
            <sz val="9"/>
            <color indexed="81"/>
            <rFont val="Tahoma"/>
            <family val="2"/>
          </rPr>
          <t>Tom Carlson:</t>
        </r>
        <r>
          <rPr>
            <sz val="9"/>
            <color indexed="81"/>
            <rFont val="Tahoma"/>
            <family val="2"/>
          </rPr>
          <t xml:space="preserve">
Ash content of 0.5% weight assumed for waste oil based on www.epa.gov/ttncatc1/dir1/w_oilacr.pdf, Table 1 (used motor oil average).</t>
        </r>
      </text>
    </comment>
    <comment ref="L63" authorId="0" shapeId="0">
      <text>
        <r>
          <rPr>
            <b/>
            <sz val="9"/>
            <color indexed="81"/>
            <rFont val="Tahoma"/>
            <family val="2"/>
          </rPr>
          <t>Tom Carlson:</t>
        </r>
        <r>
          <rPr>
            <sz val="9"/>
            <color indexed="81"/>
            <rFont val="Tahoma"/>
            <family val="2"/>
          </rPr>
          <t xml:space="preserve">
Ash content of 0.5% weight assumed for waste oil based on www.epa.gov/ttncatc1/dir1/w_oilacr.pdf, Table 1.</t>
        </r>
      </text>
    </comment>
  </commentList>
</comments>
</file>

<file path=xl/comments14.xml><?xml version="1.0" encoding="utf-8"?>
<comments xmlns="http://schemas.openxmlformats.org/spreadsheetml/2006/main">
  <authors>
    <author>Tom Carlson</author>
  </authors>
  <commentList>
    <comment ref="G126" authorId="0" shapeId="0">
      <text>
        <r>
          <rPr>
            <b/>
            <sz val="9"/>
            <color indexed="81"/>
            <rFont val="Tahoma"/>
            <family val="2"/>
          </rPr>
          <t>Tom Carlson:</t>
        </r>
        <r>
          <rPr>
            <sz val="9"/>
            <color indexed="81"/>
            <rFont val="Tahoma"/>
            <family val="2"/>
          </rPr>
          <t xml:space="preserve">
Min BTU was listed as "10.094", corrected to 10,094.</t>
        </r>
      </text>
    </comment>
    <comment ref="G160" authorId="0" shapeId="0">
      <text>
        <r>
          <rPr>
            <b/>
            <sz val="9"/>
            <color indexed="81"/>
            <rFont val="Tahoma"/>
            <family val="2"/>
          </rPr>
          <t>Tom Carlson:</t>
        </r>
        <r>
          <rPr>
            <sz val="9"/>
            <color indexed="81"/>
            <rFont val="Tahoma"/>
            <family val="2"/>
          </rPr>
          <t xml:space="preserve">
Corrected min from 8.585 to 8585.</t>
        </r>
      </text>
    </comment>
    <comment ref="G212" authorId="0" shapeId="0">
      <text>
        <r>
          <rPr>
            <b/>
            <sz val="9"/>
            <color indexed="81"/>
            <rFont val="Tahoma"/>
            <family val="2"/>
          </rPr>
          <t>Tom Carlson:</t>
        </r>
        <r>
          <rPr>
            <sz val="9"/>
            <color indexed="81"/>
            <rFont val="Tahoma"/>
            <family val="2"/>
          </rPr>
          <t xml:space="preserve">
Corrected max from "2200" to 22,000.</t>
        </r>
      </text>
    </comment>
    <comment ref="R403" authorId="0" shapeId="0">
      <text>
        <r>
          <rPr>
            <b/>
            <sz val="9"/>
            <color indexed="81"/>
            <rFont val="Tahoma"/>
            <family val="2"/>
          </rPr>
          <t>Tom Carlson:</t>
        </r>
        <r>
          <rPr>
            <sz val="9"/>
            <color indexed="81"/>
            <rFont val="Tahoma"/>
            <family val="2"/>
          </rPr>
          <t xml:space="preserve">
Looked on on-line and added.</t>
        </r>
      </text>
    </comment>
    <comment ref="R406" authorId="0" shapeId="0">
      <text>
        <r>
          <rPr>
            <b/>
            <sz val="9"/>
            <color indexed="81"/>
            <rFont val="Tahoma"/>
            <family val="2"/>
          </rPr>
          <t>Tom Carlson:</t>
        </r>
        <r>
          <rPr>
            <sz val="9"/>
            <color indexed="81"/>
            <rFont val="Tahoma"/>
            <family val="2"/>
          </rPr>
          <t xml:space="preserve">
Looked on on-line and added.</t>
        </r>
      </text>
    </comment>
    <comment ref="R408" authorId="0" shapeId="0">
      <text>
        <r>
          <rPr>
            <b/>
            <sz val="9"/>
            <color indexed="81"/>
            <rFont val="Tahoma"/>
            <family val="2"/>
          </rPr>
          <t>Tom Carlson:</t>
        </r>
        <r>
          <rPr>
            <sz val="9"/>
            <color indexed="81"/>
            <rFont val="Tahoma"/>
            <family val="2"/>
          </rPr>
          <t xml:space="preserve">
Looked on on-line and added.</t>
        </r>
      </text>
    </comment>
    <comment ref="G468" authorId="0" shapeId="0">
      <text>
        <r>
          <rPr>
            <b/>
            <sz val="9"/>
            <color indexed="81"/>
            <rFont val="Tahoma"/>
            <family val="2"/>
          </rPr>
          <t>Tom Carlson:</t>
        </r>
        <r>
          <rPr>
            <sz val="9"/>
            <color indexed="81"/>
            <rFont val="Tahoma"/>
            <family val="2"/>
          </rPr>
          <t xml:space="preserve">
Max BTU was listed as "444,000", corrected to 44,000.</t>
        </r>
      </text>
    </comment>
    <comment ref="G507" authorId="0" shapeId="0">
      <text>
        <r>
          <rPr>
            <b/>
            <sz val="9"/>
            <color indexed="81"/>
            <rFont val="Tahoma"/>
            <family val="2"/>
          </rPr>
          <t>Tom Carlson:</t>
        </r>
        <r>
          <rPr>
            <sz val="9"/>
            <color indexed="81"/>
            <rFont val="Tahoma"/>
            <family val="2"/>
          </rPr>
          <t xml:space="preserve">
Corrected min from "11,17" to 11,170.</t>
        </r>
      </text>
    </comment>
    <comment ref="G526" authorId="0" shapeId="0">
      <text>
        <r>
          <rPr>
            <b/>
            <sz val="9"/>
            <color indexed="81"/>
            <rFont val="Tahoma"/>
            <family val="2"/>
          </rPr>
          <t>Tom Carlson:</t>
        </r>
        <r>
          <rPr>
            <sz val="9"/>
            <color indexed="81"/>
            <rFont val="Tahoma"/>
            <family val="2"/>
          </rPr>
          <t xml:space="preserve">
Corrected max BTU from 29.700 to 29,700.</t>
        </r>
      </text>
    </comment>
    <comment ref="G659" authorId="0" shapeId="0">
      <text>
        <r>
          <rPr>
            <b/>
            <sz val="9"/>
            <color indexed="81"/>
            <rFont val="Tahoma"/>
            <family val="2"/>
          </rPr>
          <t>Tom Carlson:</t>
        </r>
        <r>
          <rPr>
            <sz val="9"/>
            <color indexed="81"/>
            <rFont val="Tahoma"/>
            <family val="2"/>
          </rPr>
          <t xml:space="preserve">
Corrected max BTU from 39-300 to 39,000.</t>
        </r>
      </text>
    </comment>
    <comment ref="P678" authorId="0" shapeId="0">
      <text>
        <r>
          <rPr>
            <b/>
            <sz val="9"/>
            <color indexed="81"/>
            <rFont val="Tahoma"/>
            <family val="2"/>
          </rPr>
          <t>Tom Carlson:</t>
        </r>
        <r>
          <rPr>
            <sz val="9"/>
            <color indexed="81"/>
            <rFont val="Tahoma"/>
            <family val="2"/>
          </rPr>
          <t xml:space="preserve">
Looked on on-line and added.</t>
        </r>
      </text>
    </comment>
    <comment ref="R678" authorId="0" shapeId="0">
      <text>
        <r>
          <rPr>
            <b/>
            <sz val="9"/>
            <color indexed="81"/>
            <rFont val="Tahoma"/>
            <family val="2"/>
          </rPr>
          <t>Tom Carlson:</t>
        </r>
        <r>
          <rPr>
            <sz val="9"/>
            <color indexed="81"/>
            <rFont val="Tahoma"/>
            <family val="2"/>
          </rPr>
          <t xml:space="preserve">
Looked on on-line and added.</t>
        </r>
      </text>
    </comment>
    <comment ref="P680" authorId="0" shapeId="0">
      <text>
        <r>
          <rPr>
            <b/>
            <sz val="9"/>
            <color indexed="81"/>
            <rFont val="Tahoma"/>
            <family val="2"/>
          </rPr>
          <t>Tom Carlson:</t>
        </r>
        <r>
          <rPr>
            <sz val="9"/>
            <color indexed="81"/>
            <rFont val="Tahoma"/>
            <family val="2"/>
          </rPr>
          <t xml:space="preserve">
Looked on on-line and added.</t>
        </r>
      </text>
    </comment>
    <comment ref="R680" authorId="0" shapeId="0">
      <text>
        <r>
          <rPr>
            <b/>
            <sz val="9"/>
            <color indexed="81"/>
            <rFont val="Tahoma"/>
            <family val="2"/>
          </rPr>
          <t>Tom Carlson:</t>
        </r>
        <r>
          <rPr>
            <sz val="9"/>
            <color indexed="81"/>
            <rFont val="Tahoma"/>
            <family val="2"/>
          </rPr>
          <t xml:space="preserve">
Looked on on-line and added.</t>
        </r>
      </text>
    </comment>
    <comment ref="G734" authorId="0" shapeId="0">
      <text>
        <r>
          <rPr>
            <b/>
            <sz val="9"/>
            <color indexed="81"/>
            <rFont val="Tahoma"/>
            <family val="2"/>
          </rPr>
          <t>Tom Carlson:</t>
        </r>
        <r>
          <rPr>
            <sz val="9"/>
            <color indexed="81"/>
            <rFont val="Tahoma"/>
            <family val="2"/>
          </rPr>
          <t xml:space="preserve">
Max BTU listed as "21.825", corrected to 21,825.</t>
        </r>
      </text>
    </comment>
    <comment ref="G735" authorId="0" shapeId="0">
      <text>
        <r>
          <rPr>
            <b/>
            <sz val="9"/>
            <color indexed="81"/>
            <rFont val="Tahoma"/>
            <family val="2"/>
          </rPr>
          <t>Tom Carlson:</t>
        </r>
        <r>
          <rPr>
            <sz val="9"/>
            <color indexed="81"/>
            <rFont val="Tahoma"/>
            <family val="2"/>
          </rPr>
          <t xml:space="preserve">
Max BTU listed as "23,272/33", corrected to 23,272.</t>
        </r>
      </text>
    </comment>
    <comment ref="G739" authorId="0" shapeId="0">
      <text>
        <r>
          <rPr>
            <b/>
            <sz val="9"/>
            <color indexed="81"/>
            <rFont val="Tahoma"/>
            <family val="2"/>
          </rPr>
          <t>Tom Carlson:</t>
        </r>
        <r>
          <rPr>
            <sz val="9"/>
            <color indexed="81"/>
            <rFont val="Tahoma"/>
            <family val="2"/>
          </rPr>
          <t xml:space="preserve">
Max BTU listed as "23,272/33", corrected to 23,272.</t>
        </r>
      </text>
    </comment>
    <comment ref="R740" authorId="0" shapeId="0">
      <text>
        <r>
          <rPr>
            <b/>
            <sz val="9"/>
            <color indexed="81"/>
            <rFont val="Tahoma"/>
            <family val="2"/>
          </rPr>
          <t>Tom Carlson:</t>
        </r>
        <r>
          <rPr>
            <sz val="9"/>
            <color indexed="81"/>
            <rFont val="Tahoma"/>
            <family val="2"/>
          </rPr>
          <t xml:space="preserve">
Looked on on-line and added.</t>
        </r>
      </text>
    </comment>
    <comment ref="G743" authorId="0" shapeId="0">
      <text>
        <r>
          <rPr>
            <b/>
            <sz val="9"/>
            <color indexed="81"/>
            <rFont val="Tahoma"/>
            <family val="2"/>
          </rPr>
          <t>Tom Carlson:</t>
        </r>
        <r>
          <rPr>
            <sz val="9"/>
            <color indexed="81"/>
            <rFont val="Tahoma"/>
            <family val="2"/>
          </rPr>
          <t xml:space="preserve">
Max BTU listed as "71.014", corrected to 71,014.</t>
        </r>
      </text>
    </comment>
    <comment ref="R887" authorId="0" shapeId="0">
      <text>
        <r>
          <rPr>
            <b/>
            <sz val="9"/>
            <color indexed="81"/>
            <rFont val="Tahoma"/>
            <family val="2"/>
          </rPr>
          <t>Tom Carlson:</t>
        </r>
        <r>
          <rPr>
            <sz val="9"/>
            <color indexed="81"/>
            <rFont val="Tahoma"/>
            <family val="2"/>
          </rPr>
          <t xml:space="preserve">
Looked on on-line and added.</t>
        </r>
      </text>
    </comment>
    <comment ref="G918" authorId="0" shapeId="0">
      <text>
        <r>
          <rPr>
            <b/>
            <sz val="9"/>
            <color indexed="81"/>
            <rFont val="Tahoma"/>
            <family val="2"/>
          </rPr>
          <t>Tom Carlson:</t>
        </r>
        <r>
          <rPr>
            <sz val="9"/>
            <color indexed="81"/>
            <rFont val="Tahoma"/>
            <family val="2"/>
          </rPr>
          <t xml:space="preserve">
Max BTU listed as "38.900", corrected to 38,900.</t>
        </r>
      </text>
    </comment>
    <comment ref="G929" authorId="0" shapeId="0">
      <text>
        <r>
          <rPr>
            <b/>
            <sz val="9"/>
            <color indexed="81"/>
            <rFont val="Tahoma"/>
            <family val="2"/>
          </rPr>
          <t>Tom Carlson:</t>
        </r>
        <r>
          <rPr>
            <sz val="9"/>
            <color indexed="81"/>
            <rFont val="Tahoma"/>
            <family val="2"/>
          </rPr>
          <t xml:space="preserve">
Min BTU listed as "10.094", corrected to 10,094.</t>
        </r>
      </text>
    </comment>
    <comment ref="R945" authorId="0" shapeId="0">
      <text>
        <r>
          <rPr>
            <b/>
            <sz val="9"/>
            <color indexed="81"/>
            <rFont val="Tahoma"/>
            <family val="2"/>
          </rPr>
          <t>Tom Carlson:</t>
        </r>
        <r>
          <rPr>
            <sz val="9"/>
            <color indexed="81"/>
            <rFont val="Tahoma"/>
            <family val="2"/>
          </rPr>
          <t xml:space="preserve">
For our pruposes, edited single original "Catalytic Hybrid" entry to "Catalytic".</t>
        </r>
      </text>
    </comment>
  </commentList>
</comments>
</file>

<file path=xl/comments15.xml><?xml version="1.0" encoding="utf-8"?>
<comments xmlns="http://schemas.openxmlformats.org/spreadsheetml/2006/main">
  <authors>
    <author>Tom Carlson</author>
  </authors>
  <commentList>
    <comment ref="G5" authorId="0" shapeId="0">
      <text>
        <r>
          <rPr>
            <b/>
            <sz val="9"/>
            <color indexed="81"/>
            <rFont val="Tahoma"/>
            <family val="2"/>
          </rPr>
          <t>Tom Carlson:</t>
        </r>
        <r>
          <rPr>
            <sz val="9"/>
            <color indexed="81"/>
            <rFont val="Tahoma"/>
            <family val="2"/>
          </rPr>
          <t xml:space="preserve">
Based on max heat output rating in Col C.</t>
        </r>
      </text>
    </comment>
  </commentList>
</comments>
</file>

<file path=xl/comments2.xml><?xml version="1.0" encoding="utf-8"?>
<comments xmlns="http://schemas.openxmlformats.org/spreadsheetml/2006/main">
  <authors>
    <author>Tom Carlson</author>
  </authors>
  <commentList>
    <comment ref="R110"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11"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12"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13"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14"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15"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16"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List>
</comments>
</file>

<file path=xl/comments3.xml><?xml version="1.0" encoding="utf-8"?>
<comments xmlns="http://schemas.openxmlformats.org/spreadsheetml/2006/main">
  <authors>
    <author>Tom Carlson</author>
  </authors>
  <commentList>
    <comment ref="R187" authorId="0" shapeId="0">
      <text>
        <r>
          <rPr>
            <b/>
            <sz val="9"/>
            <color indexed="81"/>
            <rFont val="Tahoma"/>
            <family val="2"/>
          </rPr>
          <t>Tom Carlson:</t>
        </r>
        <r>
          <rPr>
            <sz val="9"/>
            <color indexed="81"/>
            <rFont val="Tahoma"/>
            <family val="2"/>
          </rPr>
          <t xml:space="preserve">
From 2015 Brookhaven/NYSERDA report BNL-108353-2015-IR.</t>
        </r>
      </text>
    </comment>
    <comment ref="S187" authorId="0" shapeId="0">
      <text>
        <r>
          <rPr>
            <b/>
            <sz val="9"/>
            <color indexed="81"/>
            <rFont val="Tahoma"/>
            <family val="2"/>
          </rPr>
          <t>Tom Carlson:</t>
        </r>
        <r>
          <rPr>
            <sz val="9"/>
            <color indexed="81"/>
            <rFont val="Tahoma"/>
            <family val="2"/>
          </rPr>
          <t xml:space="preserve">
Estimated from HVAC.com.</t>
        </r>
      </text>
    </comment>
    <comment ref="R188" authorId="0" shapeId="0">
      <text>
        <r>
          <rPr>
            <b/>
            <sz val="9"/>
            <color indexed="81"/>
            <rFont val="Tahoma"/>
            <family val="2"/>
          </rPr>
          <t>Tom Carlson:</t>
        </r>
        <r>
          <rPr>
            <sz val="9"/>
            <color indexed="81"/>
            <rFont val="Tahoma"/>
            <family val="2"/>
          </rPr>
          <t xml:space="preserve">
From 2015 Brookhaven/NYSERDA report BNL-108353-2015-IR.</t>
        </r>
      </text>
    </comment>
    <comment ref="S188" authorId="0" shapeId="0">
      <text>
        <r>
          <rPr>
            <b/>
            <sz val="9"/>
            <color indexed="81"/>
            <rFont val="Tahoma"/>
            <family val="2"/>
          </rPr>
          <t>Tom Carlson:</t>
        </r>
        <r>
          <rPr>
            <sz val="9"/>
            <color indexed="81"/>
            <rFont val="Tahoma"/>
            <family val="2"/>
          </rPr>
          <t xml:space="preserve">
Estimated from HVAC.com.</t>
        </r>
      </text>
    </comment>
    <comment ref="N189"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205" authorId="0" shapeId="0">
      <text>
        <r>
          <rPr>
            <b/>
            <sz val="9"/>
            <color indexed="81"/>
            <rFont val="Tahoma"/>
            <family val="2"/>
          </rPr>
          <t>Tom Carlson:</t>
        </r>
        <r>
          <rPr>
            <sz val="9"/>
            <color indexed="81"/>
            <rFont val="Tahoma"/>
            <family val="2"/>
          </rPr>
          <t xml:space="preserve">
From 2015 Brookhaven/NYSERDA report BNL-108353-2015-IR.</t>
        </r>
      </text>
    </comment>
    <comment ref="S205" authorId="0" shapeId="0">
      <text>
        <r>
          <rPr>
            <b/>
            <sz val="9"/>
            <color indexed="81"/>
            <rFont val="Tahoma"/>
            <family val="2"/>
          </rPr>
          <t>Tom Carlson:</t>
        </r>
        <r>
          <rPr>
            <sz val="9"/>
            <color indexed="81"/>
            <rFont val="Tahoma"/>
            <family val="2"/>
          </rPr>
          <t xml:space="preserve">
Estimated from HVAC.com.</t>
        </r>
      </text>
    </comment>
    <comment ref="R206" authorId="0" shapeId="0">
      <text>
        <r>
          <rPr>
            <b/>
            <sz val="9"/>
            <color indexed="81"/>
            <rFont val="Tahoma"/>
            <family val="2"/>
          </rPr>
          <t>Tom Carlson:</t>
        </r>
        <r>
          <rPr>
            <sz val="9"/>
            <color indexed="81"/>
            <rFont val="Tahoma"/>
            <family val="2"/>
          </rPr>
          <t xml:space="preserve">
From 2015 Brookhaven/NYSERDA report BNL-108353-2015-IR.</t>
        </r>
      </text>
    </comment>
    <comment ref="S206" authorId="0" shapeId="0">
      <text>
        <r>
          <rPr>
            <b/>
            <sz val="9"/>
            <color indexed="81"/>
            <rFont val="Tahoma"/>
            <family val="2"/>
          </rPr>
          <t>Tom Carlson:</t>
        </r>
        <r>
          <rPr>
            <sz val="9"/>
            <color indexed="81"/>
            <rFont val="Tahoma"/>
            <family val="2"/>
          </rPr>
          <t xml:space="preserve">
Estimated from HVAC.com.</t>
        </r>
      </text>
    </comment>
    <comment ref="N207"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List>
</comments>
</file>

<file path=xl/comments4.xml><?xml version="1.0" encoding="utf-8"?>
<comments xmlns="http://schemas.openxmlformats.org/spreadsheetml/2006/main">
  <authors>
    <author>Tom Carlson</author>
  </authors>
  <commentList>
    <comment ref="R190" authorId="0" shapeId="0">
      <text>
        <r>
          <rPr>
            <b/>
            <sz val="9"/>
            <color indexed="81"/>
            <rFont val="Tahoma"/>
            <family val="2"/>
          </rPr>
          <t>Tom Carlson:</t>
        </r>
        <r>
          <rPr>
            <sz val="9"/>
            <color indexed="81"/>
            <rFont val="Tahoma"/>
            <family val="2"/>
          </rPr>
          <t xml:space="preserve">
From 2015 Brookhaven/NYSERDA report BNL-108353-2015-IR.</t>
        </r>
      </text>
    </comment>
    <comment ref="S190" authorId="0" shapeId="0">
      <text>
        <r>
          <rPr>
            <b/>
            <sz val="9"/>
            <color indexed="81"/>
            <rFont val="Tahoma"/>
            <family val="2"/>
          </rPr>
          <t>Tom Carlson:</t>
        </r>
        <r>
          <rPr>
            <sz val="9"/>
            <color indexed="81"/>
            <rFont val="Tahoma"/>
            <family val="2"/>
          </rPr>
          <t xml:space="preserve">
Estimated from HVAC.com.</t>
        </r>
      </text>
    </comment>
    <comment ref="R191" authorId="0" shapeId="0">
      <text>
        <r>
          <rPr>
            <b/>
            <sz val="9"/>
            <color indexed="81"/>
            <rFont val="Tahoma"/>
            <family val="2"/>
          </rPr>
          <t>Tom Carlson:</t>
        </r>
        <r>
          <rPr>
            <sz val="9"/>
            <color indexed="81"/>
            <rFont val="Tahoma"/>
            <family val="2"/>
          </rPr>
          <t xml:space="preserve">
From 2015 Brookhaven/NYSERDA report BNL-108353-2015-IR.</t>
        </r>
      </text>
    </comment>
    <comment ref="S191" authorId="0" shapeId="0">
      <text>
        <r>
          <rPr>
            <b/>
            <sz val="9"/>
            <color indexed="81"/>
            <rFont val="Tahoma"/>
            <family val="2"/>
          </rPr>
          <t>Tom Carlson:</t>
        </r>
        <r>
          <rPr>
            <sz val="9"/>
            <color indexed="81"/>
            <rFont val="Tahoma"/>
            <family val="2"/>
          </rPr>
          <t xml:space="preserve">
Estimated from HVAC.com.</t>
        </r>
      </text>
    </comment>
    <comment ref="N192"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208" authorId="0" shapeId="0">
      <text>
        <r>
          <rPr>
            <b/>
            <sz val="9"/>
            <color indexed="81"/>
            <rFont val="Tahoma"/>
            <family val="2"/>
          </rPr>
          <t>Tom Carlson:</t>
        </r>
        <r>
          <rPr>
            <sz val="9"/>
            <color indexed="81"/>
            <rFont val="Tahoma"/>
            <family val="2"/>
          </rPr>
          <t xml:space="preserve">
From 2015 Brookhaven/NYSERDA report BNL-108353-2015-IR.</t>
        </r>
      </text>
    </comment>
    <comment ref="S208" authorId="0" shapeId="0">
      <text>
        <r>
          <rPr>
            <b/>
            <sz val="9"/>
            <color indexed="81"/>
            <rFont val="Tahoma"/>
            <family val="2"/>
          </rPr>
          <t>Tom Carlson:</t>
        </r>
        <r>
          <rPr>
            <sz val="9"/>
            <color indexed="81"/>
            <rFont val="Tahoma"/>
            <family val="2"/>
          </rPr>
          <t xml:space="preserve">
Estimated from HVAC.com.</t>
        </r>
      </text>
    </comment>
    <comment ref="R209" authorId="0" shapeId="0">
      <text>
        <r>
          <rPr>
            <b/>
            <sz val="9"/>
            <color indexed="81"/>
            <rFont val="Tahoma"/>
            <family val="2"/>
          </rPr>
          <t>Tom Carlson:</t>
        </r>
        <r>
          <rPr>
            <sz val="9"/>
            <color indexed="81"/>
            <rFont val="Tahoma"/>
            <family val="2"/>
          </rPr>
          <t xml:space="preserve">
From 2015 Brookhaven/NYSERDA report BNL-108353-2015-IR.</t>
        </r>
      </text>
    </comment>
    <comment ref="S209" authorId="0" shapeId="0">
      <text>
        <r>
          <rPr>
            <b/>
            <sz val="9"/>
            <color indexed="81"/>
            <rFont val="Tahoma"/>
            <family val="2"/>
          </rPr>
          <t>Tom Carlson:</t>
        </r>
        <r>
          <rPr>
            <sz val="9"/>
            <color indexed="81"/>
            <rFont val="Tahoma"/>
            <family val="2"/>
          </rPr>
          <t xml:space="preserve">
Estimated from HVAC.com.</t>
        </r>
      </text>
    </comment>
    <comment ref="N210"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List>
</comments>
</file>

<file path=xl/comments5.xml><?xml version="1.0" encoding="utf-8"?>
<comments xmlns="http://schemas.openxmlformats.org/spreadsheetml/2006/main">
  <authors>
    <author>Tom Carlson</author>
  </authors>
  <commentList>
    <comment ref="R130"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1"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2"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3"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4"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7"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R138"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List>
</comments>
</file>

<file path=xl/comments6.xml><?xml version="1.0" encoding="utf-8"?>
<comments xmlns="http://schemas.openxmlformats.org/spreadsheetml/2006/main">
  <authors>
    <author>Tom Carlson</author>
  </authors>
  <commentList>
    <comment ref="H78"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79"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0"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1"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2"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3"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4"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 ref="H87" authorId="0" shapeId="0">
      <text>
        <r>
          <rPr>
            <b/>
            <sz val="9"/>
            <color indexed="81"/>
            <rFont val="Tahoma"/>
            <family val="2"/>
          </rPr>
          <t>Tom Carlson:</t>
        </r>
        <r>
          <rPr>
            <sz val="9"/>
            <color indexed="81"/>
            <rFont val="Tahoma"/>
            <family val="2"/>
          </rPr>
          <t xml:space="preserve">
Composite wood cost that accounts for the fact that 40% buy wood and 60% cut their own.</t>
        </r>
      </text>
    </comment>
  </commentList>
</comments>
</file>

<file path=xl/comments7.xml><?xml version="1.0" encoding="utf-8"?>
<comments xmlns="http://schemas.openxmlformats.org/spreadsheetml/2006/main">
  <authors>
    <author>Tom Carlson</author>
  </authors>
  <commentList>
    <comment ref="M37" authorId="0" shapeId="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I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J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M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N39" authorId="0" shapeId="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H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I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J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N40" authorId="0" shapeId="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K41"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1"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2"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2"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3"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3"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M43"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N43"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4" authorId="0" shapeId="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H45" authorId="0" shapeId="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K47"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7"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8"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8"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9"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9" authorId="0" shapeId="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J54" authorId="0" shapeId="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5" authorId="0" shapeId="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J56" authorId="0" shapeId="0">
      <text>
        <r>
          <rPr>
            <b/>
            <sz val="9"/>
            <color indexed="81"/>
            <rFont val="Tahoma"/>
            <family val="2"/>
          </rPr>
          <t>Tom Carlson:</t>
        </r>
        <r>
          <rPr>
            <sz val="9"/>
            <color indexed="81"/>
            <rFont val="Tahoma"/>
            <family val="2"/>
          </rPr>
          <t xml:space="preserve">
Assumes fuel sulfur content of 2,566 ppm per RGD 2/13/12 email giving sulfur content in #2 as measured by OMNI Labs.
</t>
        </r>
      </text>
    </comment>
    <comment ref="J57" authorId="0" shapeId="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A58" authorId="0" shapeId="0">
      <text>
        <r>
          <rPr>
            <b/>
            <sz val="8"/>
            <color indexed="81"/>
            <rFont val="Tahoma"/>
            <family val="2"/>
          </rPr>
          <t>Tom Carlson:</t>
        </r>
        <r>
          <rPr>
            <sz val="8"/>
            <color indexed="81"/>
            <rFont val="Tahoma"/>
            <family val="2"/>
          </rPr>
          <t xml:space="preserve">
Portable heater fuel split per 2007 Fairbanks HH survey.</t>
        </r>
      </text>
    </comment>
    <comment ref="J58" authorId="0" shapeId="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9" authorId="0" shapeId="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62" authorId="0" shapeId="0">
      <text>
        <r>
          <rPr>
            <b/>
            <sz val="9"/>
            <color indexed="81"/>
            <rFont val="Tahoma"/>
            <family val="2"/>
          </rPr>
          <t>Tom Carlson:</t>
        </r>
        <r>
          <rPr>
            <sz val="9"/>
            <color indexed="81"/>
            <rFont val="Tahoma"/>
            <family val="2"/>
          </rPr>
          <t xml:space="preserve">
Assuming coal sulfur content of 0.3% weight per www.usibelli.com/Coal_data.asp</t>
        </r>
      </text>
    </comment>
  </commentList>
</comments>
</file>

<file path=xl/comments8.xml><?xml version="1.0" encoding="utf-8"?>
<comments xmlns="http://schemas.openxmlformats.org/spreadsheetml/2006/main">
  <authors>
    <author>Tom Carlson</author>
  </authors>
  <commentList>
    <comment ref="E5" authorId="0" shapeId="0">
      <text>
        <r>
          <rPr>
            <b/>
            <sz val="9"/>
            <color indexed="81"/>
            <rFont val="Tahoma"/>
            <family val="2"/>
          </rPr>
          <t>Tom Carlson:</t>
        </r>
        <r>
          <rPr>
            <sz val="9"/>
            <color indexed="81"/>
            <rFont val="Tahoma"/>
            <family val="2"/>
          </rPr>
          <t xml:space="preserve">
These are cell only homes for which ZIP codes were not available.</t>
        </r>
      </text>
    </comment>
  </commentList>
</comments>
</file>

<file path=xl/comments9.xml><?xml version="1.0" encoding="utf-8"?>
<comments xmlns="http://schemas.openxmlformats.org/spreadsheetml/2006/main">
  <authors>
    <author>Tom Carlson</author>
    <author>TCarlson</author>
  </authors>
  <commentList>
    <comment ref="A23" authorId="0" shapeId="0">
      <text>
        <r>
          <rPr>
            <b/>
            <sz val="9"/>
            <color indexed="81"/>
            <rFont val="Tahoma"/>
            <family val="2"/>
          </rPr>
          <t>Tom Carlson:</t>
        </r>
        <r>
          <rPr>
            <sz val="9"/>
            <color indexed="81"/>
            <rFont val="Tahoma"/>
            <family val="2"/>
          </rPr>
          <t xml:space="preserve">
From "Purchasing Firewood in Alaska" on air dry basis (20% MC).</t>
        </r>
      </text>
    </comment>
    <comment ref="A24" authorId="0" shapeId="0">
      <text>
        <r>
          <rPr>
            <b/>
            <sz val="9"/>
            <color indexed="81"/>
            <rFont val="Tahoma"/>
            <family val="2"/>
          </rPr>
          <t>Tom Carlson:</t>
        </r>
        <r>
          <rPr>
            <sz val="9"/>
            <color indexed="81"/>
            <rFont val="Tahoma"/>
            <family val="2"/>
          </rPr>
          <t xml:space="preserve">
From "Purchasing Firewood in Alaska" on air dry basis (20% MC).</t>
        </r>
      </text>
    </comment>
    <comment ref="A25" authorId="0" shapeId="0">
      <text>
        <r>
          <rPr>
            <b/>
            <sz val="9"/>
            <color indexed="81"/>
            <rFont val="Tahoma"/>
            <family val="2"/>
          </rPr>
          <t>Tom Carlson:</t>
        </r>
        <r>
          <rPr>
            <sz val="9"/>
            <color indexed="81"/>
            <rFont val="Tahoma"/>
            <family val="2"/>
          </rPr>
          <t xml:space="preserve">
From "Purchasing Firewood in Alaska" on air dry basis (20% MC).</t>
        </r>
      </text>
    </comment>
    <comment ref="F25" authorId="0" shapeId="0">
      <text>
        <r>
          <rPr>
            <b/>
            <sz val="9"/>
            <color indexed="81"/>
            <rFont val="Tahoma"/>
            <family val="2"/>
          </rPr>
          <t>Tom Carlson:</t>
        </r>
        <r>
          <rPr>
            <sz val="9"/>
            <color indexed="81"/>
            <rFont val="Tahoma"/>
            <family val="2"/>
          </rPr>
          <t xml:space="preserve">
Assumed price equal to spruce.</t>
        </r>
      </text>
    </comment>
    <comment ref="G25" authorId="0" shapeId="0">
      <text>
        <r>
          <rPr>
            <b/>
            <sz val="9"/>
            <color indexed="81"/>
            <rFont val="Tahoma"/>
            <family val="2"/>
          </rPr>
          <t>Tom Carlson:</t>
        </r>
        <r>
          <rPr>
            <sz val="9"/>
            <color indexed="81"/>
            <rFont val="Tahoma"/>
            <family val="2"/>
          </rPr>
          <t xml:space="preserve">
Assumed price equal to spruce.</t>
        </r>
      </text>
    </comment>
    <comment ref="H25" authorId="0" shapeId="0">
      <text>
        <r>
          <rPr>
            <b/>
            <sz val="9"/>
            <color indexed="81"/>
            <rFont val="Tahoma"/>
            <family val="2"/>
          </rPr>
          <t>Tom Carlson:</t>
        </r>
        <r>
          <rPr>
            <sz val="9"/>
            <color indexed="81"/>
            <rFont val="Tahoma"/>
            <family val="2"/>
          </rPr>
          <t xml:space="preserve">
Assumed price equal to spruce.</t>
        </r>
      </text>
    </comment>
    <comment ref="I25" authorId="0" shapeId="0">
      <text>
        <r>
          <rPr>
            <b/>
            <sz val="9"/>
            <color indexed="81"/>
            <rFont val="Tahoma"/>
            <family val="2"/>
          </rPr>
          <t>Tom Carlson:</t>
        </r>
        <r>
          <rPr>
            <sz val="9"/>
            <color indexed="81"/>
            <rFont val="Tahoma"/>
            <family val="2"/>
          </rPr>
          <t xml:space="preserve">
Assumed price equal to spruce.</t>
        </r>
      </text>
    </comment>
    <comment ref="J25" authorId="0" shapeId="0">
      <text>
        <r>
          <rPr>
            <b/>
            <sz val="9"/>
            <color indexed="81"/>
            <rFont val="Tahoma"/>
            <family val="2"/>
          </rPr>
          <t>Tom Carlson:</t>
        </r>
        <r>
          <rPr>
            <sz val="9"/>
            <color indexed="81"/>
            <rFont val="Tahoma"/>
            <family val="2"/>
          </rPr>
          <t xml:space="preserve">
Assumed price equal to spruce.</t>
        </r>
      </text>
    </comment>
    <comment ref="K25" authorId="0" shapeId="0">
      <text>
        <r>
          <rPr>
            <b/>
            <sz val="9"/>
            <color indexed="81"/>
            <rFont val="Tahoma"/>
            <family val="2"/>
          </rPr>
          <t>Tom Carlson:</t>
        </r>
        <r>
          <rPr>
            <sz val="9"/>
            <color indexed="81"/>
            <rFont val="Tahoma"/>
            <family val="2"/>
          </rPr>
          <t xml:space="preserve">
Assumed price equal to spruce.</t>
        </r>
      </text>
    </comment>
    <comment ref="L25" authorId="0" shapeId="0">
      <text>
        <r>
          <rPr>
            <b/>
            <sz val="9"/>
            <color indexed="81"/>
            <rFont val="Tahoma"/>
            <family val="2"/>
          </rPr>
          <t>Tom Carlson:</t>
        </r>
        <r>
          <rPr>
            <sz val="9"/>
            <color indexed="81"/>
            <rFont val="Tahoma"/>
            <family val="2"/>
          </rPr>
          <t xml:space="preserve">
Assumed price equal to spruce.</t>
        </r>
      </text>
    </comment>
    <comment ref="M25" authorId="0" shapeId="0">
      <text>
        <r>
          <rPr>
            <b/>
            <sz val="9"/>
            <color indexed="81"/>
            <rFont val="Tahoma"/>
            <family val="2"/>
          </rPr>
          <t>Tom Carlson:</t>
        </r>
        <r>
          <rPr>
            <sz val="9"/>
            <color indexed="81"/>
            <rFont val="Tahoma"/>
            <family val="2"/>
          </rPr>
          <t xml:space="preserve">
Assumed price equal to spruce.</t>
        </r>
      </text>
    </comment>
    <comment ref="N25" authorId="0" shapeId="0">
      <text>
        <r>
          <rPr>
            <b/>
            <sz val="9"/>
            <color indexed="81"/>
            <rFont val="Tahoma"/>
            <family val="2"/>
          </rPr>
          <t>Tom Carlson:</t>
        </r>
        <r>
          <rPr>
            <sz val="9"/>
            <color indexed="81"/>
            <rFont val="Tahoma"/>
            <family val="2"/>
          </rPr>
          <t xml:space="preserve">
Assumed price equal to spruce.</t>
        </r>
      </text>
    </comment>
    <comment ref="A26" authorId="0" shapeId="0">
      <text>
        <r>
          <rPr>
            <b/>
            <sz val="9"/>
            <color indexed="81"/>
            <rFont val="Tahoma"/>
            <family val="2"/>
          </rPr>
          <t>Tom Carlson:</t>
        </r>
        <r>
          <rPr>
            <sz val="9"/>
            <color indexed="81"/>
            <rFont val="Tahoma"/>
            <family val="2"/>
          </rPr>
          <t xml:space="preserve">
From "Purchasing Firewood in Alaska" on air dry basis (20% MC).</t>
        </r>
      </text>
    </comment>
    <comment ref="Z34" authorId="1" shapeId="0">
      <text>
        <r>
          <rPr>
            <b/>
            <sz val="9"/>
            <color indexed="81"/>
            <rFont val="Tahoma"/>
            <family val="2"/>
          </rPr>
          <t>TCarlson:</t>
        </r>
        <r>
          <rPr>
            <sz val="9"/>
            <color indexed="81"/>
            <rFont val="Tahoma"/>
            <family val="2"/>
          </rPr>
          <t xml:space="preserve">
Deactivated use of actual 2018 data from Fairbanks Community Research Quaterly (2018Q3) since other elementsof emission inventory already based on 2017Q3 data.</t>
        </r>
      </text>
    </comment>
    <comment ref="J36" authorId="0" shapeId="0">
      <text>
        <r>
          <rPr>
            <b/>
            <sz val="9"/>
            <color indexed="81"/>
            <rFont val="Tahoma"/>
            <family val="2"/>
          </rPr>
          <t>Tom Carlson:</t>
        </r>
        <r>
          <rPr>
            <sz val="9"/>
            <color indexed="81"/>
            <rFont val="Tahoma"/>
            <family val="2"/>
          </rPr>
          <t xml:space="preserve">
From 2013 Wood Tag survey, on a volumetric basis.</t>
        </r>
      </text>
    </comment>
    <comment ref="K36" authorId="0" shapeId="0">
      <text>
        <r>
          <rPr>
            <b/>
            <sz val="9"/>
            <color indexed="81"/>
            <rFont val="Tahoma"/>
            <family val="2"/>
          </rPr>
          <t>Tom Carlson:</t>
        </r>
        <r>
          <rPr>
            <sz val="9"/>
            <color indexed="81"/>
            <rFont val="Tahoma"/>
            <family val="2"/>
          </rPr>
          <t xml:space="preserve">
From 2013 Wood Tag survey, on a mass basis.</t>
        </r>
      </text>
    </comment>
    <comment ref="A38" authorId="0" shapeId="0">
      <text>
        <r>
          <rPr>
            <b/>
            <sz val="9"/>
            <color indexed="81"/>
            <rFont val="Tahoma"/>
            <family val="2"/>
          </rPr>
          <t>Tom Carlson:</t>
        </r>
        <r>
          <rPr>
            <sz val="9"/>
            <color indexed="81"/>
            <rFont val="Tahoma"/>
            <family val="2"/>
          </rPr>
          <t xml:space="preserve">
Split &amp; cut.</t>
        </r>
      </text>
    </comment>
    <comment ref="A39" authorId="0" shapeId="0">
      <text>
        <r>
          <rPr>
            <b/>
            <sz val="9"/>
            <color indexed="81"/>
            <rFont val="Tahoma"/>
            <family val="2"/>
          </rPr>
          <t>Tom Carlson:</t>
        </r>
        <r>
          <rPr>
            <sz val="9"/>
            <color indexed="81"/>
            <rFont val="Tahoma"/>
            <family val="2"/>
          </rPr>
          <t xml:space="preserve">
Split &amp; cut.</t>
        </r>
      </text>
    </comment>
  </commentList>
</comments>
</file>

<file path=xl/sharedStrings.xml><?xml version="1.0" encoding="utf-8"?>
<sst xmlns="http://schemas.openxmlformats.org/spreadsheetml/2006/main" count="15186" uniqueCount="4442">
  <si>
    <t>Blaze King Princess Insert Model PI 1010</t>
  </si>
  <si>
    <t>Quadra-Fire 4300</t>
  </si>
  <si>
    <t/>
  </si>
  <si>
    <t>Quadra-Fire 3100 ACC</t>
  </si>
  <si>
    <t>Vermont Castings</t>
  </si>
  <si>
    <t>Quadra-Fire Cumberland Gap</t>
  </si>
  <si>
    <t>Heatilator ECO ADV WS22</t>
  </si>
  <si>
    <t>Ashwood</t>
  </si>
  <si>
    <t>Blaze King KEJ 1107</t>
  </si>
  <si>
    <t>Aspen</t>
  </si>
  <si>
    <t>Masonry Heater</t>
  </si>
  <si>
    <t>Crown Royal</t>
  </si>
  <si>
    <t>Masonry</t>
  </si>
  <si>
    <t>Electric</t>
  </si>
  <si>
    <t>Oil</t>
  </si>
  <si>
    <t>Pellet</t>
  </si>
  <si>
    <t>Zip Code</t>
  </si>
  <si>
    <t>Hardy</t>
  </si>
  <si>
    <t>Wood</t>
  </si>
  <si>
    <t>Program</t>
  </si>
  <si>
    <t>Notes</t>
  </si>
  <si>
    <t>Year</t>
  </si>
  <si>
    <t>Oakwood</t>
  </si>
  <si>
    <t>Heritage</t>
  </si>
  <si>
    <t>Jotul F600</t>
  </si>
  <si>
    <t>United States Stove Company</t>
  </si>
  <si>
    <t>Blaze King KEJ-1102</t>
  </si>
  <si>
    <t>Central Boiler</t>
  </si>
  <si>
    <t>Osburn 1100</t>
  </si>
  <si>
    <t>x</t>
  </si>
  <si>
    <t>34% Max</t>
  </si>
  <si>
    <t>ER</t>
  </si>
  <si>
    <t>EF</t>
  </si>
  <si>
    <t>(g/hr)</t>
  </si>
  <si>
    <t>(lb/mmBTU)</t>
  </si>
  <si>
    <r>
      <t>List of EPA-Certified Wood Stoves</t>
    </r>
    <r>
      <rPr>
        <b/>
        <sz val="12"/>
        <color rgb="FFFF0000"/>
        <rFont val="Calibri"/>
        <family val="2"/>
        <scheme val="minor"/>
      </rPr>
      <t xml:space="preserve"> - Sorted Alphabetically by Manufacturer &amp; Model</t>
    </r>
  </si>
  <si>
    <r>
      <t xml:space="preserve">May 15, 2013 (devices added since Sept 2012 in </t>
    </r>
    <r>
      <rPr>
        <b/>
        <sz val="12"/>
        <color rgb="FF0066FF"/>
        <rFont val="Calibri"/>
        <family val="2"/>
        <scheme val="minor"/>
      </rPr>
      <t>blue</t>
    </r>
    <r>
      <rPr>
        <b/>
        <sz val="12"/>
        <color theme="1"/>
        <rFont val="Calibri"/>
        <family val="2"/>
        <scheme val="minor"/>
      </rPr>
      <t>)</t>
    </r>
  </si>
  <si>
    <t>Min</t>
  </si>
  <si>
    <t>Catalytic</t>
  </si>
  <si>
    <t>Median</t>
  </si>
  <si>
    <t>Catalytic-Hybrid</t>
  </si>
  <si>
    <t>Avg</t>
  </si>
  <si>
    <t>Non Catalytic</t>
  </si>
  <si>
    <t>Max</t>
  </si>
  <si>
    <t>Lowest:</t>
  </si>
  <si>
    <t>PM Emis</t>
  </si>
  <si>
    <t>Emission</t>
  </si>
  <si>
    <t>ER Rank</t>
  </si>
  <si>
    <t>Wtd Composite:</t>
  </si>
  <si>
    <t>of max output</t>
  </si>
  <si>
    <t>EF Rank</t>
  </si>
  <si>
    <t>Out of</t>
  </si>
  <si>
    <t>Rate</t>
  </si>
  <si>
    <t>Within</t>
  </si>
  <si>
    <t>Heat Output (BTU/hr)</t>
  </si>
  <si>
    <t>Mid Output Rank</t>
  </si>
  <si>
    <t>Htg. Efficiency (%)</t>
  </si>
  <si>
    <t>PM Emission Factor (lb/mmBTU)</t>
  </si>
  <si>
    <t>Emission Factor Rank</t>
  </si>
  <si>
    <t>Prod'n?</t>
  </si>
  <si>
    <t>Manufacturer Name</t>
  </si>
  <si>
    <t>Model Name</t>
  </si>
  <si>
    <t>Rank</t>
  </si>
  <si>
    <t>Type Grp</t>
  </si>
  <si>
    <t>Range</t>
  </si>
  <si>
    <t>-</t>
  </si>
  <si>
    <t>Len</t>
  </si>
  <si>
    <t>Mid</t>
  </si>
  <si>
    <t>All</t>
  </si>
  <si>
    <t>In Grp</t>
  </si>
  <si>
    <t>Tested</t>
  </si>
  <si>
    <t>Default</t>
  </si>
  <si>
    <t>Type</t>
  </si>
  <si>
    <t>SubType</t>
  </si>
  <si>
    <t>A. J. Wells and Sons LTD</t>
  </si>
  <si>
    <t>Cove @ SR</t>
  </si>
  <si>
    <t>9256-32557</t>
  </si>
  <si>
    <t>X</t>
  </si>
  <si>
    <t>Aladdin Hearth Products</t>
  </si>
  <si>
    <t>Sunburst II Model 2208</t>
  </si>
  <si>
    <t>11500-36300</t>
  </si>
  <si>
    <t>American Road Equipment Company</t>
  </si>
  <si>
    <t>Erik SW II Catalytic Environmentalist SSW-1000</t>
  </si>
  <si>
    <t>9800-46900</t>
  </si>
  <si>
    <t>Amesti LTDA</t>
  </si>
  <si>
    <t>N380</t>
  </si>
  <si>
    <t>10671-27842</t>
  </si>
  <si>
    <t>Rondo 450</t>
  </si>
  <si>
    <t>11842-24288</t>
  </si>
  <si>
    <t>Appalachian Stove &amp; Fabricators, Inc.</t>
  </si>
  <si>
    <t>28 CD</t>
  </si>
  <si>
    <t>9500-16300</t>
  </si>
  <si>
    <t>32-BW-XL-88, Gemini-XLB 1989</t>
  </si>
  <si>
    <t>8400-19800</t>
  </si>
  <si>
    <t>36-BW-1988</t>
  </si>
  <si>
    <t>9500-19300</t>
  </si>
  <si>
    <t>Heritage Classic A, T16, Cast heat &amp; Catskill</t>
  </si>
  <si>
    <t>10300-31200</t>
  </si>
  <si>
    <t>Heritage Classic;n Model Numbers T16 &amp; VT16</t>
  </si>
  <si>
    <t>11057-31327</t>
  </si>
  <si>
    <t>Model 30-CD</t>
  </si>
  <si>
    <t>8500-21400</t>
  </si>
  <si>
    <t>Model 32-BW</t>
  </si>
  <si>
    <t>10400-24500</t>
  </si>
  <si>
    <t>Model 36 BW</t>
  </si>
  <si>
    <t>10600-30200</t>
  </si>
  <si>
    <t>Model 360-CR</t>
  </si>
  <si>
    <t>10600-29100</t>
  </si>
  <si>
    <t>Model 52 WXL 1988</t>
  </si>
  <si>
    <t>10500-15400</t>
  </si>
  <si>
    <t>Trailmaster 4N1-XL</t>
  </si>
  <si>
    <t>9600-19600</t>
  </si>
  <si>
    <t>Trailmaster Model 4N1-XL II</t>
  </si>
  <si>
    <t>10100-26900</t>
  </si>
  <si>
    <t>Archgard Industries, Ltd.</t>
  </si>
  <si>
    <t>Chalet 1600 and Chalet 1600 Insert</t>
  </si>
  <si>
    <t>10611-29181</t>
  </si>
  <si>
    <t>Chalet 1800</t>
  </si>
  <si>
    <t>10700-35500</t>
  </si>
  <si>
    <t>Optima PS1</t>
  </si>
  <si>
    <t>10196-29581</t>
  </si>
  <si>
    <t>Austroflamm Industries Inc.</t>
  </si>
  <si>
    <t>Esprit Wood 119.1</t>
  </si>
  <si>
    <t>11400-43600</t>
  </si>
  <si>
    <t>Integra C1121, II</t>
  </si>
  <si>
    <t>9300-31100</t>
  </si>
  <si>
    <t>Irony M</t>
  </si>
  <si>
    <t>11800-46800</t>
  </si>
  <si>
    <t>Avalon by Travis Industries, Inc</t>
  </si>
  <si>
    <t>Perfect-Fit insert</t>
  </si>
  <si>
    <t>11300-33400</t>
  </si>
  <si>
    <t>Avalon by Travis Industries, Inc.</t>
  </si>
  <si>
    <t>Arbor</t>
  </si>
  <si>
    <t>10700-33900</t>
  </si>
  <si>
    <t>Avalon Spokane 1750 n</t>
  </si>
  <si>
    <t>9300-42200</t>
  </si>
  <si>
    <t>Olympic, Olympic insertn</t>
  </si>
  <si>
    <t>12000-45100</t>
  </si>
  <si>
    <t>Pendleton, Pendleton insert</t>
  </si>
  <si>
    <t>8700-44400</t>
  </si>
  <si>
    <t>Rainier, Rainier insert</t>
  </si>
  <si>
    <t>11200-40000</t>
  </si>
  <si>
    <t>Spokane 1250</t>
  </si>
  <si>
    <t>11600-38500</t>
  </si>
  <si>
    <t>Barbeques Galore/Pricotech</t>
  </si>
  <si>
    <t>Rosewood</t>
  </si>
  <si>
    <t>11600-36200</t>
  </si>
  <si>
    <t>Blaze King Industries, Inc.</t>
  </si>
  <si>
    <t>9100-39800</t>
  </si>
  <si>
    <t>7900-42600</t>
  </si>
  <si>
    <t>Blaze King PEJ 1003</t>
  </si>
  <si>
    <t>10300-41600</t>
  </si>
  <si>
    <t>9300-31200</t>
  </si>
  <si>
    <t>Blaze King, Auto Light PAL-4000</t>
  </si>
  <si>
    <t>12200-33700</t>
  </si>
  <si>
    <t>Blaze King, King Catalytic Insert KEI-1300</t>
  </si>
  <si>
    <t>10100-34500</t>
  </si>
  <si>
    <t>Blaze King, King Catalytic KEJ-1101</t>
  </si>
  <si>
    <t>9000-35300</t>
  </si>
  <si>
    <t>Blaze King, Princess Catalytic PEJ-1002</t>
  </si>
  <si>
    <t>8400-35400</t>
  </si>
  <si>
    <t>Blaze King, Royal Heir RHT-2100</t>
  </si>
  <si>
    <t>6800-57100</t>
  </si>
  <si>
    <t>Blaze King, Royal Heir RHT-2200, 2250</t>
  </si>
  <si>
    <t>7700-31100</t>
  </si>
  <si>
    <t>Briarwood II/90</t>
  </si>
  <si>
    <t>10600-36000</t>
  </si>
  <si>
    <t>Chinook / Scirrocco/Ashford 20</t>
  </si>
  <si>
    <t>11400-22700</t>
  </si>
  <si>
    <t>Chinook / Scirrocco/Ashford 30</t>
  </si>
  <si>
    <t>11200-27280</t>
  </si>
  <si>
    <t>Eagle/Pioneer E90, PZ-90, Briarwood XE-90, XEI-90</t>
  </si>
  <si>
    <t>13500-38000</t>
  </si>
  <si>
    <t>Heat Pro C110</t>
  </si>
  <si>
    <t>9600-32400</t>
  </si>
  <si>
    <t>Heat Pro C210</t>
  </si>
  <si>
    <t>10700-43300</t>
  </si>
  <si>
    <t>Princess Insert Model PI 1010A</t>
  </si>
  <si>
    <t>7200-29500</t>
  </si>
  <si>
    <t>Princess PEJ 1006</t>
  </si>
  <si>
    <t>12000-35600</t>
  </si>
  <si>
    <t>Blaze King of Montana</t>
  </si>
  <si>
    <t>Blaze King Royal Guardian, RGT-3001</t>
  </si>
  <si>
    <t>9400-39800</t>
  </si>
  <si>
    <t>Boru Stove Company</t>
  </si>
  <si>
    <t>Carraig Mor BCMUS</t>
  </si>
  <si>
    <t>12878-28846</t>
  </si>
  <si>
    <t>Bosca Chile S.A. (Ingeniera De Combustion)</t>
  </si>
  <si>
    <t>Gold 400</t>
  </si>
  <si>
    <t>11800-26800</t>
  </si>
  <si>
    <t>Spirit 550, Limit 450 and Classic 450, Spirit 500</t>
  </si>
  <si>
    <t>11359-26100</t>
  </si>
  <si>
    <t>Ceramiche Savio di Elio &amp; C. s.n.c.</t>
  </si>
  <si>
    <t>Catellante di Castellante and Real Castillo di Ague Model CS1</t>
  </si>
  <si>
    <t>11200-40800</t>
  </si>
  <si>
    <t>Real Castelllo di Moncaueri/Castllo Della Venaria</t>
  </si>
  <si>
    <t>10100-24200</t>
  </si>
  <si>
    <t>CFM Corporation</t>
  </si>
  <si>
    <t>Aspen 1920 &amp; Plymouth HWS10</t>
  </si>
  <si>
    <t>9100-18000</t>
  </si>
  <si>
    <t>CW2500X00, CW2500X02, JW2500X00,CJW2500X02, DW2500 and JW2500X10</t>
  </si>
  <si>
    <t>9500-57800</t>
  </si>
  <si>
    <t>DutchWest Large 2479</t>
  </si>
  <si>
    <t>11300-26500</t>
  </si>
  <si>
    <t>DutchWest Medium 2478</t>
  </si>
  <si>
    <t>10600-25300</t>
  </si>
  <si>
    <t>DutchWest Small Model</t>
  </si>
  <si>
    <t>7800-25100</t>
  </si>
  <si>
    <t>EWF 30</t>
  </si>
  <si>
    <t>11100-40500</t>
  </si>
  <si>
    <t>FW247001 to FE247004 and JW1000PF1</t>
  </si>
  <si>
    <t>11500-18900</t>
  </si>
  <si>
    <t>Model EWF 36A</t>
  </si>
  <si>
    <t>11300-75500</t>
  </si>
  <si>
    <t>Vermont Castings Defiant 1610n</t>
  </si>
  <si>
    <t>10000-30000</t>
  </si>
  <si>
    <t>CFM Corporation (Jacuzzi Leisure Products, Inc.)</t>
  </si>
  <si>
    <t>Campbell/Jacuzzi CJW2000L02, JW2000L10, DW2000XXX and JW2000P10</t>
  </si>
  <si>
    <t>12000-55100</t>
  </si>
  <si>
    <t>Campbell/Jacuzzi FW300005-FW300009 &amp; FW300019-FW300027,</t>
  </si>
  <si>
    <t>JW1500P10, FW1500, DW1500, JW1500L10</t>
  </si>
  <si>
    <t>10300-29200</t>
  </si>
  <si>
    <t>S27X/S28X &amp; FW27 Series, CJW1500L02</t>
  </si>
  <si>
    <t>CFM Corporation (Vermont Castings, Inc.)</t>
  </si>
  <si>
    <t xml:space="preserve">2370nn </t>
  </si>
  <si>
    <t>5700-18300</t>
  </si>
  <si>
    <t>10094-27550</t>
  </si>
  <si>
    <t>Aspen Model 1920</t>
  </si>
  <si>
    <t>10100-26400</t>
  </si>
  <si>
    <t>C.D. Adirondack Wood Heater FA267CL</t>
  </si>
  <si>
    <t>8400-40000</t>
  </si>
  <si>
    <t>C.D. Extra-Lg. Federal Convection Heater FA288CCL</t>
  </si>
  <si>
    <t>8400-38700</t>
  </si>
  <si>
    <t>C.D. Federal "A Plus" FA224ACL</t>
  </si>
  <si>
    <t>7200-30000</t>
  </si>
  <si>
    <t>C.D. Large Federal Box Heater FA209CL</t>
  </si>
  <si>
    <t>9000-25600</t>
  </si>
  <si>
    <t>C.D. Lg. Fed. Convection Heater FA264CCL, FA264CCR</t>
  </si>
  <si>
    <t>6600-26700</t>
  </si>
  <si>
    <t>C.D. Rocky Mountain Heater FA211CL</t>
  </si>
  <si>
    <t>6800-27800</t>
  </si>
  <si>
    <t>C.D. Sequoia FA455</t>
  </si>
  <si>
    <t>8700-60300</t>
  </si>
  <si>
    <t>C.D. Small Federal Box Heater FA207CL</t>
  </si>
  <si>
    <t>6200-28000</t>
  </si>
  <si>
    <t>C.D. Small Federal Convection Heater FA224CCL</t>
  </si>
  <si>
    <t>7000-30600</t>
  </si>
  <si>
    <t>Century/Dutchmaster FW and CDW</t>
  </si>
  <si>
    <t>11800-32300</t>
  </si>
  <si>
    <t>Defiant 1910 &amp; 1945</t>
  </si>
  <si>
    <t>10600-44400</t>
  </si>
  <si>
    <t>Defiant Encore</t>
  </si>
  <si>
    <t>6200-32900</t>
  </si>
  <si>
    <t>Defiant Encore 2140</t>
  </si>
  <si>
    <t>9000-41300</t>
  </si>
  <si>
    <t>Defiant Encore 2550 (Formerly 2190)</t>
  </si>
  <si>
    <t>8700-41700</t>
  </si>
  <si>
    <t>Dutchwest Extra Large Convection 2462</t>
  </si>
  <si>
    <t>8300-28000</t>
  </si>
  <si>
    <t>Dutchwest Large Convection Heater (Model 2461)</t>
  </si>
  <si>
    <t>10700-29500</t>
  </si>
  <si>
    <t>Dutchwest Small Convection Heater #2460</t>
  </si>
  <si>
    <t>6600-27300</t>
  </si>
  <si>
    <t>Encore 1450 N/C</t>
  </si>
  <si>
    <t>10600-24050</t>
  </si>
  <si>
    <t>EWF36</t>
  </si>
  <si>
    <t>11800-68600</t>
  </si>
  <si>
    <t>FA224</t>
  </si>
  <si>
    <t>9100-34800</t>
  </si>
  <si>
    <t>FA264</t>
  </si>
  <si>
    <t>9500-31700</t>
  </si>
  <si>
    <t>FA288</t>
  </si>
  <si>
    <t>7800-29300</t>
  </si>
  <si>
    <t>FA455</t>
  </si>
  <si>
    <t>10400-26500</t>
  </si>
  <si>
    <t>Intrepid II 1308</t>
  </si>
  <si>
    <t>10200-22500</t>
  </si>
  <si>
    <t>Intrepid II Model 1990</t>
  </si>
  <si>
    <t>8300-26700</t>
  </si>
  <si>
    <t>Intrepid II Model 2070</t>
  </si>
  <si>
    <t>9200-19300</t>
  </si>
  <si>
    <t>Intrepid Model 1640</t>
  </si>
  <si>
    <t>8200-19500</t>
  </si>
  <si>
    <t>Madison 1650</t>
  </si>
  <si>
    <t>11400-31000</t>
  </si>
  <si>
    <t>Madison Model 1655</t>
  </si>
  <si>
    <t>11300-39700</t>
  </si>
  <si>
    <t>Model 2170</t>
  </si>
  <si>
    <t>9400-22800</t>
  </si>
  <si>
    <t xml:space="preserve">Montpeliernn </t>
  </si>
  <si>
    <t>Resolute Acclaim (Model Number 2490) &amp; TLWS1</t>
  </si>
  <si>
    <t>9500-33900</t>
  </si>
  <si>
    <t>Resolute Acclaim 0041</t>
  </si>
  <si>
    <t>8700-30900</t>
  </si>
  <si>
    <t>Seville 1630</t>
  </si>
  <si>
    <t>12000-27300</t>
  </si>
  <si>
    <t>Seville 1635 and 1600 Insert</t>
  </si>
  <si>
    <t>9900-30800</t>
  </si>
  <si>
    <t>Seville Insert</t>
  </si>
  <si>
    <t>10200-27400</t>
  </si>
  <si>
    <t>WinterWarm Fireplace Insert Model 1280</t>
  </si>
  <si>
    <t>10300-30000</t>
  </si>
  <si>
    <t>WinterWarm Small Insert (model 2370)</t>
  </si>
  <si>
    <t>9250-21500</t>
  </si>
  <si>
    <t>WinterWarm Small Insert Model 2080</t>
  </si>
  <si>
    <t>8700-31100</t>
  </si>
  <si>
    <t>Consuming Fire, Inc.</t>
  </si>
  <si>
    <t>Perfect Hearth</t>
  </si>
  <si>
    <t>11700-38100</t>
  </si>
  <si>
    <t>Country Flame Technologies, Inc.</t>
  </si>
  <si>
    <t>B/A</t>
  </si>
  <si>
    <t>10400-55500</t>
  </si>
  <si>
    <t>B-6, B-I</t>
  </si>
  <si>
    <t>9600-48200</t>
  </si>
  <si>
    <t>BBF</t>
  </si>
  <si>
    <t>10500-51400</t>
  </si>
  <si>
    <t>BBF-6, BBF-I</t>
  </si>
  <si>
    <t>9500-48600</t>
  </si>
  <si>
    <t>Combo Airn OC</t>
  </si>
  <si>
    <t>9300-46400</t>
  </si>
  <si>
    <t>E-1/90</t>
  </si>
  <si>
    <t>9600-37800</t>
  </si>
  <si>
    <t>E1-6, E1-I</t>
  </si>
  <si>
    <t>12400-55300</t>
  </si>
  <si>
    <t>E-2</t>
  </si>
  <si>
    <t>13000-34400</t>
  </si>
  <si>
    <t>Inglenook INGW-02n</t>
  </si>
  <si>
    <t>11600-38000</t>
  </si>
  <si>
    <t>NC-6D</t>
  </si>
  <si>
    <t>11700-54900</t>
  </si>
  <si>
    <t>O-2</t>
  </si>
  <si>
    <t>8000-30000</t>
  </si>
  <si>
    <t>O-2/90</t>
  </si>
  <si>
    <t>10800-34100</t>
  </si>
  <si>
    <t>OV-21</t>
  </si>
  <si>
    <t>11700-42200</t>
  </si>
  <si>
    <t>OV-2100</t>
  </si>
  <si>
    <t>11700-32700</t>
  </si>
  <si>
    <t>OV-2600</t>
  </si>
  <si>
    <t>11500-33600</t>
  </si>
  <si>
    <t>OV-26BF-I</t>
  </si>
  <si>
    <t>11400-41300</t>
  </si>
  <si>
    <t>OV-3000</t>
  </si>
  <si>
    <t>11800-34000</t>
  </si>
  <si>
    <t>Patriot</t>
  </si>
  <si>
    <t>11300-34000</t>
  </si>
  <si>
    <t>R/90</t>
  </si>
  <si>
    <t>10600-46800</t>
  </si>
  <si>
    <t>R-6</t>
  </si>
  <si>
    <t>13800-50700</t>
  </si>
  <si>
    <t>S-6, S-I</t>
  </si>
  <si>
    <t>13100-48900</t>
  </si>
  <si>
    <t>SBF/A</t>
  </si>
  <si>
    <t>8700-33600</t>
  </si>
  <si>
    <t>Country Stoves, Inc.</t>
  </si>
  <si>
    <t>Alpine</t>
  </si>
  <si>
    <t>11455-42445</t>
  </si>
  <si>
    <t>C-240 and E-240</t>
  </si>
  <si>
    <t>11500-36700</t>
  </si>
  <si>
    <t>Canyon S310</t>
  </si>
  <si>
    <t>11400-34900</t>
  </si>
  <si>
    <t>Canyon ST310, C310, E310</t>
  </si>
  <si>
    <t>11600-38800</t>
  </si>
  <si>
    <t>Converter C-30, C-35</t>
  </si>
  <si>
    <t>8000-49200</t>
  </si>
  <si>
    <t>Legacy S260, C260, and E260</t>
  </si>
  <si>
    <t>11800-48000</t>
  </si>
  <si>
    <t>Performer S180, C180, E180</t>
  </si>
  <si>
    <t>11400-38700</t>
  </si>
  <si>
    <t>Performer S210, SS210, ST210, C210 &amp; E210</t>
  </si>
  <si>
    <t>9500-36100</t>
  </si>
  <si>
    <t>Starlite C-20, C-21</t>
  </si>
  <si>
    <t>7700-43500</t>
  </si>
  <si>
    <t>STRIKER S130, C-50L, C130, CA-50, CA-50L, CA-55</t>
  </si>
  <si>
    <t>9300-43600</t>
  </si>
  <si>
    <t>Striker S160 and C160</t>
  </si>
  <si>
    <t>12500-41200</t>
  </si>
  <si>
    <t>T-Top C-40, C-45, C-46</t>
  </si>
  <si>
    <t>10700-40900</t>
  </si>
  <si>
    <t>T-TOP S 240</t>
  </si>
  <si>
    <t>11300-42700</t>
  </si>
  <si>
    <t>Winslow PS40 and PI40</t>
  </si>
  <si>
    <t>7476-21343</t>
  </si>
  <si>
    <t>CRD Precision Fabricators Inc. (Chippewa)</t>
  </si>
  <si>
    <t>Energy King Legacy 1600</t>
  </si>
  <si>
    <t>11700-23100</t>
  </si>
  <si>
    <t>Energy King Legacy 1650</t>
  </si>
  <si>
    <t>Energy King Legacy 2100</t>
  </si>
  <si>
    <t>11000-31100</t>
  </si>
  <si>
    <t>Energy King Legacy 2150</t>
  </si>
  <si>
    <t>Energy King Legacy 900</t>
  </si>
  <si>
    <t>10200-30800</t>
  </si>
  <si>
    <t>Energy King Legacy 950</t>
  </si>
  <si>
    <t>Dansons Incorporated</t>
  </si>
  <si>
    <t>Model HR-2</t>
  </si>
  <si>
    <t>10500-33400</t>
  </si>
  <si>
    <t>Dansons, Incorporated</t>
  </si>
  <si>
    <t>Eclipse</t>
  </si>
  <si>
    <t>7800-33100</t>
  </si>
  <si>
    <t>Dell Point Technologies</t>
  </si>
  <si>
    <t>DC 2000, Europa</t>
  </si>
  <si>
    <t>10400-24100</t>
  </si>
  <si>
    <t>Derco, Inc./Grizzly Stoves</t>
  </si>
  <si>
    <t>Little Blazer FP-20</t>
  </si>
  <si>
    <t>7200-28400</t>
  </si>
  <si>
    <t>Super Achiever FPI-2-LEX</t>
  </si>
  <si>
    <t>9800-34200</t>
  </si>
  <si>
    <t>Deville</t>
  </si>
  <si>
    <t>Deville 7794 - Comfort</t>
  </si>
  <si>
    <t>11300-35100</t>
  </si>
  <si>
    <t>Dovre, Inc.</t>
  </si>
  <si>
    <t>Heirloom 300 HC</t>
  </si>
  <si>
    <t>11600-45100</t>
  </si>
  <si>
    <t>Horizon 500 CC</t>
  </si>
  <si>
    <t>10300-33800</t>
  </si>
  <si>
    <t>Dovre, Incorporated</t>
  </si>
  <si>
    <t>Heirloom 390</t>
  </si>
  <si>
    <t>9100-31800</t>
  </si>
  <si>
    <t>England's Stove Works, Inc.</t>
  </si>
  <si>
    <t>10-CPM, 49-TRCPM, 49-SHCPM</t>
  </si>
  <si>
    <t>10455-24566</t>
  </si>
  <si>
    <t>13-NCMH, 50-SNC13,</t>
  </si>
  <si>
    <t>11579-32017</t>
  </si>
  <si>
    <t>17-VL</t>
  </si>
  <si>
    <t>12791-43520</t>
  </si>
  <si>
    <t>11875-19238</t>
  </si>
  <si>
    <t>22 PIC</t>
  </si>
  <si>
    <t>9000-30200</t>
  </si>
  <si>
    <t>24 ACD</t>
  </si>
  <si>
    <t>9000-20100</t>
  </si>
  <si>
    <t>25-EP, 55-TRPEP, 55SHPEP</t>
  </si>
  <si>
    <t>10700-25100</t>
  </si>
  <si>
    <t>30-NC, 50-TNC30L, 50-TNC30G</t>
  </si>
  <si>
    <t>11950-28337</t>
  </si>
  <si>
    <t>50-TNC Timber Ridge 13-NCI/50-TNC131 (Insert)</t>
  </si>
  <si>
    <t>10000-29200</t>
  </si>
  <si>
    <t>Englander 13-NC Summers Heat,50-snc Golden Eagle</t>
  </si>
  <si>
    <t>Englander 25-PDV, Summers Heat 55SHP22, and Timber Ridge 55TRP22 Pellet</t>
  </si>
  <si>
    <t>10700-24500</t>
  </si>
  <si>
    <t>Englander Econo Radiant 18PC</t>
  </si>
  <si>
    <t>8500-31000</t>
  </si>
  <si>
    <t>Englander Fireplace Insert 28JC</t>
  </si>
  <si>
    <t>8400-29100</t>
  </si>
  <si>
    <t>Englander Freestanding Radiant 24FC</t>
  </si>
  <si>
    <t>7200-35600</t>
  </si>
  <si>
    <t>Englander Front Loading Fireplace 28IC</t>
  </si>
  <si>
    <t>8200-24400</t>
  </si>
  <si>
    <t>Englander Front Loading Space Saver 28CC</t>
  </si>
  <si>
    <t>7900-25500</t>
  </si>
  <si>
    <t>Model 18 PC</t>
  </si>
  <si>
    <t>8700-26400</t>
  </si>
  <si>
    <t>Model 18M-H</t>
  </si>
  <si>
    <t>7800-26900</t>
  </si>
  <si>
    <t>Model 24IC</t>
  </si>
  <si>
    <t>10200-27100</t>
  </si>
  <si>
    <t>Pellet Fuel Burning Room Heater n Model 25-PDCV/55-SHP10/55-TRP10</t>
  </si>
  <si>
    <t>8200-22400</t>
  </si>
  <si>
    <t>Summers Heat Model 50-SHW20n Englander Model 24JC</t>
  </si>
  <si>
    <t>7200-28600</t>
  </si>
  <si>
    <t>Summers Heat Model 50-SHW22n Englander Model 24-AC/FC</t>
  </si>
  <si>
    <t>9100-25400</t>
  </si>
  <si>
    <t>Summers Heat Model 50-SHW25n Englander Model 24ICD</t>
  </si>
  <si>
    <t>5400-17400</t>
  </si>
  <si>
    <t>Eureka Heating PTY Limited</t>
  </si>
  <si>
    <t>Emerald</t>
  </si>
  <si>
    <t>11000-35500</t>
  </si>
  <si>
    <t>Evergreen Marketing, Inc.</t>
  </si>
  <si>
    <t>Mohawk 60A</t>
  </si>
  <si>
    <t>4700-14300</t>
  </si>
  <si>
    <t>Evergreen Metal Products Inc.</t>
  </si>
  <si>
    <t>Schrader Pelletmiser 905-P</t>
  </si>
  <si>
    <t>11000-32700</t>
  </si>
  <si>
    <t>F. Huemer Ges. M.B.H.</t>
  </si>
  <si>
    <t>Austroflamm Wega II</t>
  </si>
  <si>
    <t>8500-42000</t>
  </si>
  <si>
    <t>Fireplace Products International Limited</t>
  </si>
  <si>
    <t>F1100S, I1100S I1200S , HI200, CS1200, CI1200, CI1250 Small Wood Stove &amp; Insert</t>
  </si>
  <si>
    <t>10600-34700</t>
  </si>
  <si>
    <t>F1100S, I1100S, F1100S-1 Small Wood Stove &amp; Insert</t>
  </si>
  <si>
    <t>09400-38700</t>
  </si>
  <si>
    <t>F2000M Medium Wood Stove</t>
  </si>
  <si>
    <t>11800-34200</t>
  </si>
  <si>
    <t>F2100M, I2100M Medium Wood Stove &amp; insert</t>
  </si>
  <si>
    <t>11700-38700</t>
  </si>
  <si>
    <t>F2100MI</t>
  </si>
  <si>
    <t>11300-38800</t>
  </si>
  <si>
    <t>F2400M, I2400M, S2400, HI300, CC75, CS2400 Medium Wood Stove &amp; Insert</t>
  </si>
  <si>
    <t>12000-36800</t>
  </si>
  <si>
    <t>F3100L, I3100L Large Wood Stove &amp; Insert</t>
  </si>
  <si>
    <t>11900-42900</t>
  </si>
  <si>
    <t>F5100</t>
  </si>
  <si>
    <t>11738-41982</t>
  </si>
  <si>
    <t>FP90, EX90, R90 Wood Fireplace</t>
  </si>
  <si>
    <t>11700-42300</t>
  </si>
  <si>
    <t>GC60, GCI60 Hampton Cast Pellet Stove &amp; Insert</t>
  </si>
  <si>
    <t>9363-45478</t>
  </si>
  <si>
    <t>GF55, GFI55 Regency Greenfire Pellet Stove &amp; Insert</t>
  </si>
  <si>
    <t>6500-40000</t>
  </si>
  <si>
    <t>H200 Cast Wood Stove</t>
  </si>
  <si>
    <t>10900-19400</t>
  </si>
  <si>
    <t>H2100M Hearth Heater</t>
  </si>
  <si>
    <t>10800-46900</t>
  </si>
  <si>
    <t>H300 Cast Wood Stove</t>
  </si>
  <si>
    <t>10600-28500</t>
  </si>
  <si>
    <t>I2000M14 Wood Insert</t>
  </si>
  <si>
    <t>11200-42700</t>
  </si>
  <si>
    <t>R14-2</t>
  </si>
  <si>
    <t>11500-37500</t>
  </si>
  <si>
    <t>R-16 Wood Insert</t>
  </si>
  <si>
    <t>11100-32900</t>
  </si>
  <si>
    <t>R3, RA3, R9 Wood Stove</t>
  </si>
  <si>
    <t>11200-35500</t>
  </si>
  <si>
    <t>R6,RA6,RA8 Wood Stoves</t>
  </si>
  <si>
    <t>11500-59000</t>
  </si>
  <si>
    <t>R7, RA7, R5 Small Wood Stove</t>
  </si>
  <si>
    <t>5900-33500</t>
  </si>
  <si>
    <t>Z2500L Wood Fireplace</t>
  </si>
  <si>
    <t>10600-39700</t>
  </si>
  <si>
    <t>Fireplace Xtrodinair (FPX) by Travis Industries, Inc</t>
  </si>
  <si>
    <t>33 Elite</t>
  </si>
  <si>
    <t>36 Elite</t>
  </si>
  <si>
    <t>11900-47100</t>
  </si>
  <si>
    <t>44 Elite</t>
  </si>
  <si>
    <t>11000-45300</t>
  </si>
  <si>
    <t>Foundries du Lion S.A.</t>
  </si>
  <si>
    <t>Efel Harmony 386.75</t>
  </si>
  <si>
    <t>7100-51000</t>
  </si>
  <si>
    <t>Efel Symphony 387.74</t>
  </si>
  <si>
    <t>10600-49700</t>
  </si>
  <si>
    <t>Efel Symphony 390.74</t>
  </si>
  <si>
    <t>10700-33000</t>
  </si>
  <si>
    <t>Harmony I</t>
  </si>
  <si>
    <t>11800-55000</t>
  </si>
  <si>
    <t>Harmony IIIB</t>
  </si>
  <si>
    <t>11200-57300</t>
  </si>
  <si>
    <t>Model S-33,S-83,H33,R33,X33</t>
  </si>
  <si>
    <t>8600-37300</t>
  </si>
  <si>
    <t>Foyers Supreme Incorporated</t>
  </si>
  <si>
    <t>Galaxy</t>
  </si>
  <si>
    <t>12833-27093</t>
  </si>
  <si>
    <t>Supreme Plus</t>
  </si>
  <si>
    <t>9600-16300</t>
  </si>
  <si>
    <t>Foyers Supreme Incorporatedn</t>
  </si>
  <si>
    <t>Supreme 2 Face Plus, Opus</t>
  </si>
  <si>
    <t>10213-30163</t>
  </si>
  <si>
    <t>Volcano Plus</t>
  </si>
  <si>
    <t>11310-25189</t>
  </si>
  <si>
    <t>Frantech, Inc.</t>
  </si>
  <si>
    <t>Seefire 1600 S</t>
  </si>
  <si>
    <t>Seefire 2100 S</t>
  </si>
  <si>
    <t>Seefire 900 S</t>
  </si>
  <si>
    <t>GHP Group</t>
  </si>
  <si>
    <t>Pleasant Hearth HWS-224172MH-B; Pleasant Hearth HWS-224172MH-BCA</t>
  </si>
  <si>
    <t>11638-22444</t>
  </si>
  <si>
    <t>Pleasant Hearth LWS-127201-B; Pleasant Hearth LWS-127201-BCA</t>
  </si>
  <si>
    <t>9238-16744</t>
  </si>
  <si>
    <t>Pleasant Hearth LWS-130291-B; Pleasant Hearth LWS-130291-BCA</t>
  </si>
  <si>
    <t>12084-37580</t>
  </si>
  <si>
    <t>Gibraltar Stoves, Inc.</t>
  </si>
  <si>
    <t>LCC, MCC, SCC, CFS, CFI &amp; DDI</t>
  </si>
  <si>
    <t>8400-28700</t>
  </si>
  <si>
    <t>GLG Australia</t>
  </si>
  <si>
    <t>Pearl Bay</t>
  </si>
  <si>
    <t>11300-35300</t>
  </si>
  <si>
    <t>Glo King/Pierce Engineered Products Inc.</t>
  </si>
  <si>
    <t>400HT</t>
  </si>
  <si>
    <t>10000-40200</t>
  </si>
  <si>
    <t>GK 100 HT</t>
  </si>
  <si>
    <t>10600-61400</t>
  </si>
  <si>
    <t>GK-300HT</t>
  </si>
  <si>
    <t>11000-31000</t>
  </si>
  <si>
    <t>GK-500HT</t>
  </si>
  <si>
    <t>10000-22400</t>
  </si>
  <si>
    <t>Glow Boy</t>
  </si>
  <si>
    <t>Godin Imports, Inc.</t>
  </si>
  <si>
    <t>Nouvelle Epoque 3137</t>
  </si>
  <si>
    <t>10500-20700</t>
  </si>
  <si>
    <t>Gruppo Piazzetta S.P.A.</t>
  </si>
  <si>
    <t>6700-28300</t>
  </si>
  <si>
    <t>Model 905</t>
  </si>
  <si>
    <t>11600-30300</t>
  </si>
  <si>
    <t>Monia, Marcella, Marcella, Mia, Maira</t>
  </si>
  <si>
    <t>9912-37169</t>
  </si>
  <si>
    <t>P955, P956, and P957</t>
  </si>
  <si>
    <t>9000-29700</t>
  </si>
  <si>
    <t>P960, P961, P962</t>
  </si>
  <si>
    <t>10000-38500</t>
  </si>
  <si>
    <t>Sabrina, Sveva, Samanta, Siria</t>
  </si>
  <si>
    <t>H.M.F. Forlong and Maisey Ltd.</t>
  </si>
  <si>
    <t>Merlin "3", M 3000</t>
  </si>
  <si>
    <t>12300-37000</t>
  </si>
  <si>
    <t>Hajdukn</t>
  </si>
  <si>
    <t>Prima MR-51</t>
  </si>
  <si>
    <t>11636-35246</t>
  </si>
  <si>
    <t>Harman Stove Company</t>
  </si>
  <si>
    <t>CW30</t>
  </si>
  <si>
    <t>10000-34000</t>
  </si>
  <si>
    <t>Invincible RS</t>
  </si>
  <si>
    <t>6200-32800</t>
  </si>
  <si>
    <t>Model Exception TL200</t>
  </si>
  <si>
    <t>11000-42400</t>
  </si>
  <si>
    <t>Model Exception TL300</t>
  </si>
  <si>
    <t>11238-34921</t>
  </si>
  <si>
    <t>10900-30500</t>
  </si>
  <si>
    <t>TL 2.0</t>
  </si>
  <si>
    <t>9619-31825</t>
  </si>
  <si>
    <t>11000-58000</t>
  </si>
  <si>
    <t>TL 2.6</t>
  </si>
  <si>
    <t>11281-32657</t>
  </si>
  <si>
    <t>11000-64000</t>
  </si>
  <si>
    <t>Treemont TAC-260C,TAC-260CF</t>
  </si>
  <si>
    <t>8400-40700</t>
  </si>
  <si>
    <t>Treemont TAC-340C</t>
  </si>
  <si>
    <t>7400-33800</t>
  </si>
  <si>
    <t>Treemont TAC-520C</t>
  </si>
  <si>
    <t>12000-37300</t>
  </si>
  <si>
    <t>Hase Kaminofenbau</t>
  </si>
  <si>
    <t>Bari</t>
  </si>
  <si>
    <t>11805-31653</t>
  </si>
  <si>
    <t>Hawke Manufacturing Company, Inc.</t>
  </si>
  <si>
    <t>HMI 28II</t>
  </si>
  <si>
    <t>6100-39600</t>
  </si>
  <si>
    <t>Hearth and Home Technologies</t>
  </si>
  <si>
    <t>2100 ACC</t>
  </si>
  <si>
    <t>12000-28000</t>
  </si>
  <si>
    <t>4100I ACC</t>
  </si>
  <si>
    <t>11696-25925</t>
  </si>
  <si>
    <t>4300ACC</t>
  </si>
  <si>
    <t>11842-38305</t>
  </si>
  <si>
    <t>5100I ACC</t>
  </si>
  <si>
    <t>10491-27854</t>
  </si>
  <si>
    <t>5700 ACT/ Step Top</t>
  </si>
  <si>
    <t>11800-45900</t>
  </si>
  <si>
    <t>7100FP</t>
  </si>
  <si>
    <t>13800-67300</t>
  </si>
  <si>
    <t>Arrow 14, 20</t>
  </si>
  <si>
    <t>14000-36100</t>
  </si>
  <si>
    <t>Arrow 18</t>
  </si>
  <si>
    <t>14500-34400</t>
  </si>
  <si>
    <t>Arrow 55</t>
  </si>
  <si>
    <t>9900-37500</t>
  </si>
  <si>
    <t>Arrow Fireplace Insert 25</t>
  </si>
  <si>
    <t>11300-55000</t>
  </si>
  <si>
    <t>Arrow S12 (Stove) &amp; I12 (Insert)</t>
  </si>
  <si>
    <t>9900-32100</t>
  </si>
  <si>
    <t>Arrow S32 &amp; I32</t>
  </si>
  <si>
    <t>10800-47500</t>
  </si>
  <si>
    <t>Aurora Model 700</t>
  </si>
  <si>
    <t>11800-30900</t>
  </si>
  <si>
    <t>Heat N Glo Number FT-300</t>
  </si>
  <si>
    <t>10000-41000</t>
  </si>
  <si>
    <t>Heatilator 11, 12</t>
  </si>
  <si>
    <t>12400-36100</t>
  </si>
  <si>
    <t>Heatilator 1190/Arrow 1490(S20)n Heatilator 1290/Arrow 2090(I20)</t>
  </si>
  <si>
    <t>10500-44500</t>
  </si>
  <si>
    <t>Heatilator ECO ADV WS18</t>
  </si>
  <si>
    <t>10925-22563</t>
  </si>
  <si>
    <t>11733-26957</t>
  </si>
  <si>
    <t>Heat-N-Glo FT-210</t>
  </si>
  <si>
    <t>9800-36600</t>
  </si>
  <si>
    <t>Model 2590</t>
  </si>
  <si>
    <t>9900-34300</t>
  </si>
  <si>
    <t>Model 2700I</t>
  </si>
  <si>
    <t>11200-35900</t>
  </si>
  <si>
    <t>Model 400</t>
  </si>
  <si>
    <t>8700-22000</t>
  </si>
  <si>
    <t>Northstar/Constitution</t>
  </si>
  <si>
    <t>11300-51200</t>
  </si>
  <si>
    <t>PH35PS</t>
  </si>
  <si>
    <t>9555-25081</t>
  </si>
  <si>
    <t>PH50PS</t>
  </si>
  <si>
    <t>9256-32396</t>
  </si>
  <si>
    <t>Quadra Fire 2100 Millinnium &amp; 2100 ACT</t>
  </si>
  <si>
    <t>10900-37200</t>
  </si>
  <si>
    <t>Quadra Fire 4300 ACT</t>
  </si>
  <si>
    <t>11900-58500</t>
  </si>
  <si>
    <t>Quadra Fire 5700 ACC</t>
  </si>
  <si>
    <t>11170-40359</t>
  </si>
  <si>
    <t>Quadra-Fire 1800</t>
  </si>
  <si>
    <t>10600-31300</t>
  </si>
  <si>
    <t>Quadra-Fire 1800 I</t>
  </si>
  <si>
    <t>10000-33200</t>
  </si>
  <si>
    <t>Quadra-Fire 1900</t>
  </si>
  <si>
    <t>11500-32200</t>
  </si>
  <si>
    <t>Quadra-Fire 2000, 2000-I</t>
  </si>
  <si>
    <t>7400-43700</t>
  </si>
  <si>
    <t>Quadra-Fire 2100, 2100 I</t>
  </si>
  <si>
    <t>9300-39300</t>
  </si>
  <si>
    <t>Quadra-Fire 3000F, 3000 I</t>
  </si>
  <si>
    <t>9000-44700</t>
  </si>
  <si>
    <t>11900-43200</t>
  </si>
  <si>
    <t>Quadra-Fire 3100 ACT &amp; 3100I ACT</t>
  </si>
  <si>
    <t>11400-46900</t>
  </si>
  <si>
    <t>Quadra-Fire 3100F, 3100 I</t>
  </si>
  <si>
    <t>Quadra-Fire 4100</t>
  </si>
  <si>
    <t>11700-50500</t>
  </si>
  <si>
    <t>11900-39900</t>
  </si>
  <si>
    <t>Quadra-Fire 5100 I ACT B</t>
  </si>
  <si>
    <t>11900-50600</t>
  </si>
  <si>
    <t>Quadra-Fire 5100-I Fireplace Insert</t>
  </si>
  <si>
    <t>11800-49900</t>
  </si>
  <si>
    <t>Quadra-Fire Cape Cod</t>
  </si>
  <si>
    <t>11500-43000</t>
  </si>
  <si>
    <t>11200-44300</t>
  </si>
  <si>
    <t>Quadra-Fire Isle Royale</t>
  </si>
  <si>
    <t>10400-46800</t>
  </si>
  <si>
    <t>Quadra-Fire Model 4100I and Bodega Bay</t>
  </si>
  <si>
    <t>9000-41800</t>
  </si>
  <si>
    <t>S10 and I10</t>
  </si>
  <si>
    <t>11200-40600</t>
  </si>
  <si>
    <t>S-22 &amp; S-22I</t>
  </si>
  <si>
    <t>12000-36900</t>
  </si>
  <si>
    <t>Summit Insert</t>
  </si>
  <si>
    <t>10732-25578</t>
  </si>
  <si>
    <t>Voyageur</t>
  </si>
  <si>
    <t>11163-23513</t>
  </si>
  <si>
    <t>Yosemite</t>
  </si>
  <si>
    <t>10900-28600</t>
  </si>
  <si>
    <t>Hearthstone Quality Home Heating Products Inc.</t>
  </si>
  <si>
    <t>Bennington</t>
  </si>
  <si>
    <t>11900-32600</t>
  </si>
  <si>
    <t>Castleton</t>
  </si>
  <si>
    <t>11395-24569</t>
  </si>
  <si>
    <t>Clydesdale Model 8490, 8491</t>
  </si>
  <si>
    <t>11900-33100</t>
  </si>
  <si>
    <t>Craftsbury 8390</t>
  </si>
  <si>
    <t>10973-25563</t>
  </si>
  <si>
    <t>Equinox</t>
  </si>
  <si>
    <t>12000-37900</t>
  </si>
  <si>
    <t>10700-29400</t>
  </si>
  <si>
    <t>Heritage 8090, Manchester 8330</t>
  </si>
  <si>
    <t>15320-31200</t>
  </si>
  <si>
    <t>Heritage I, Model 8021</t>
  </si>
  <si>
    <t>11700-32800</t>
  </si>
  <si>
    <t>Homestead 8570</t>
  </si>
  <si>
    <t>10500-33600</t>
  </si>
  <si>
    <t>Manchester 8360</t>
  </si>
  <si>
    <t>11335-47509</t>
  </si>
  <si>
    <t>Mansfield</t>
  </si>
  <si>
    <t>11370-28940</t>
  </si>
  <si>
    <t>Morgan model 8470</t>
  </si>
  <si>
    <t>10500-29300</t>
  </si>
  <si>
    <t>Phoenix 8612</t>
  </si>
  <si>
    <t>10500-41500</t>
  </si>
  <si>
    <t>Shelburne Model 8370</t>
  </si>
  <si>
    <t>11800-32400</t>
  </si>
  <si>
    <t>Starlet</t>
  </si>
  <si>
    <t>9200-25400</t>
  </si>
  <si>
    <t>Tribute Model 8040</t>
  </si>
  <si>
    <t>10600-28300</t>
  </si>
  <si>
    <t>Tula</t>
  </si>
  <si>
    <t>11455-29301</t>
  </si>
  <si>
    <t>Heat Tech Industries</t>
  </si>
  <si>
    <t>No. 26 GM</t>
  </si>
  <si>
    <t>11300-35800</t>
  </si>
  <si>
    <t>Heatilator, Inc.</t>
  </si>
  <si>
    <t>1890(S30)</t>
  </si>
  <si>
    <t>Heatilator LE</t>
  </si>
  <si>
    <t>11500-44400</t>
  </si>
  <si>
    <t>Heating Energy Systems, Inc.</t>
  </si>
  <si>
    <t>Trailblazer 1700/1706</t>
  </si>
  <si>
    <t>11000-32400</t>
  </si>
  <si>
    <t>Trailblazer Classic 1300/1306n</t>
  </si>
  <si>
    <t>11300-32400</t>
  </si>
  <si>
    <t>Trailblazer Classic 1500/1700</t>
  </si>
  <si>
    <t>9500-36600</t>
  </si>
  <si>
    <t>Trailblazer Genesis 1600, Classic 1500</t>
  </si>
  <si>
    <t>12100-28100</t>
  </si>
  <si>
    <t>Trailblazer Genesis 1600/1800</t>
  </si>
  <si>
    <t>11400-36400</t>
  </si>
  <si>
    <t>Trailblazer Genesis 2000-C</t>
  </si>
  <si>
    <t>10600-37500</t>
  </si>
  <si>
    <t>Heat-N-Glo Fireplace Products, Inc.</t>
  </si>
  <si>
    <t>CBS-41</t>
  </si>
  <si>
    <t>10000-30300</t>
  </si>
  <si>
    <t>HeatWorx LLC</t>
  </si>
  <si>
    <t>Independence</t>
  </si>
  <si>
    <t>11370-34260</t>
  </si>
  <si>
    <t>Henan H-Flame</t>
  </si>
  <si>
    <t>Hi-Flame</t>
  </si>
  <si>
    <t>10500-30501</t>
  </si>
  <si>
    <t>Horse Flame 737</t>
  </si>
  <si>
    <t>11200-37500</t>
  </si>
  <si>
    <t>Heritage Stoves Inc.</t>
  </si>
  <si>
    <t>American 2000C</t>
  </si>
  <si>
    <t>13600-33800</t>
  </si>
  <si>
    <t>Bostonian 2500 C (Insert)</t>
  </si>
  <si>
    <t>10600-22300</t>
  </si>
  <si>
    <t>Bostonian 2500C</t>
  </si>
  <si>
    <t>9600-37300</t>
  </si>
  <si>
    <t>Hestia Heating Products</t>
  </si>
  <si>
    <t>Model HHP 1</t>
  </si>
  <si>
    <t>7900-30200</t>
  </si>
  <si>
    <t>Model HHP 2</t>
  </si>
  <si>
    <t>12084-25496</t>
  </si>
  <si>
    <t>High Energy Manufacturing, Limited</t>
  </si>
  <si>
    <t>J1000 Pellet Stove</t>
  </si>
  <si>
    <t>13000-21800</t>
  </si>
  <si>
    <t>High Sierra Stoves, Ltd.n</t>
  </si>
  <si>
    <t>Ambassador 4700TE</t>
  </si>
  <si>
    <t>10100-37600</t>
  </si>
  <si>
    <t>Cricket MHCR 5200</t>
  </si>
  <si>
    <t>6800-27600</t>
  </si>
  <si>
    <t>Diplomat 4300 TE</t>
  </si>
  <si>
    <t>10400-53400</t>
  </si>
  <si>
    <t>Evolution 7000TE,7000C</t>
  </si>
  <si>
    <t>11200-43000</t>
  </si>
  <si>
    <t>Evolution 8000TE</t>
  </si>
  <si>
    <t>7900-40500</t>
  </si>
  <si>
    <t>Sierra Classic 1500B</t>
  </si>
  <si>
    <t>8600-34700</t>
  </si>
  <si>
    <t>Sweet Home Catalytic Fir AK-18</t>
  </si>
  <si>
    <t>8800-29500</t>
  </si>
  <si>
    <t>Sweet Home NFX-HT</t>
  </si>
  <si>
    <t>14500-33200</t>
  </si>
  <si>
    <t>Sweet Home Solitaire PFA 2000</t>
  </si>
  <si>
    <t>9700-28200</t>
  </si>
  <si>
    <t>High Valley Construction &amp; Maintenance Corp.</t>
  </si>
  <si>
    <t>High Valley 2000, Craft Stove 2000</t>
  </si>
  <si>
    <t>10800-43100</t>
  </si>
  <si>
    <t>High Valley Bay 2500</t>
  </si>
  <si>
    <t>7700-40900</t>
  </si>
  <si>
    <t>High Valley Model 1500</t>
  </si>
  <si>
    <t>9400-34200</t>
  </si>
  <si>
    <t>Model 1600</t>
  </si>
  <si>
    <t>11800-40400</t>
  </si>
  <si>
    <t>Hijos de Bartolome Fajardo S.L.</t>
  </si>
  <si>
    <t>Antartida</t>
  </si>
  <si>
    <t>11938-34245</t>
  </si>
  <si>
    <t>Ronda</t>
  </si>
  <si>
    <t>10978-29301</t>
  </si>
  <si>
    <t>Hi-Teck Stoves</t>
  </si>
  <si>
    <t>Hi Teck H 2000C</t>
  </si>
  <si>
    <t>12600-41400</t>
  </si>
  <si>
    <t>Hitzer, Inc.</t>
  </si>
  <si>
    <t>Glo King 300HT</t>
  </si>
  <si>
    <t>Glo King 400HT</t>
  </si>
  <si>
    <t>Glo King 500SD</t>
  </si>
  <si>
    <t>Horizon Research Inc.</t>
  </si>
  <si>
    <t>Horse Flame Metal USA, Inc.</t>
  </si>
  <si>
    <t>517 HF</t>
  </si>
  <si>
    <t>8585-24358</t>
  </si>
  <si>
    <t>717 HF</t>
  </si>
  <si>
    <t>11400-28857</t>
  </si>
  <si>
    <t>917HF, HF917UA</t>
  </si>
  <si>
    <t>11842-30330</t>
  </si>
  <si>
    <t>HF577DU</t>
  </si>
  <si>
    <t>10754-43138</t>
  </si>
  <si>
    <t>Hudson River Stove Works</t>
  </si>
  <si>
    <t>HR1-M, Hudson River Medium</t>
  </si>
  <si>
    <t>11900-19700</t>
  </si>
  <si>
    <t>Hussong Manufacturin Company, Inc.(Kozy Heat)</t>
  </si>
  <si>
    <t>Olivia, Model Number OVL-PC</t>
  </si>
  <si>
    <t>8100-21400</t>
  </si>
  <si>
    <t>Hussong Manufacturing Company, Inc.</t>
  </si>
  <si>
    <t>Kozy Heat Z 42</t>
  </si>
  <si>
    <t>11500-35100</t>
  </si>
  <si>
    <t>Hutch Manufacturing Company</t>
  </si>
  <si>
    <t>DWI-42C</t>
  </si>
  <si>
    <t>9800-54600</t>
  </si>
  <si>
    <t>DWI-42C-2 (EPA)</t>
  </si>
  <si>
    <t>10700-52800</t>
  </si>
  <si>
    <t>HRD-18C</t>
  </si>
  <si>
    <t>9300-39100</t>
  </si>
  <si>
    <t>HRD-27C Catalytic Freestanding</t>
  </si>
  <si>
    <t>10300-56200</t>
  </si>
  <si>
    <t>HRS-18C Small Freestanding</t>
  </si>
  <si>
    <t>10300-38400</t>
  </si>
  <si>
    <t>HWAM Heat Design A/S</t>
  </si>
  <si>
    <t>10996-26221</t>
  </si>
  <si>
    <t>Monet</t>
  </si>
  <si>
    <t>J. A. Roby</t>
  </si>
  <si>
    <t>Atmosphere</t>
  </si>
  <si>
    <t>9043-28675</t>
  </si>
  <si>
    <t>Evolution</t>
  </si>
  <si>
    <t>Mystere</t>
  </si>
  <si>
    <t>12900-24200</t>
  </si>
  <si>
    <t>Ultimate</t>
  </si>
  <si>
    <t>9501.-29180</t>
  </si>
  <si>
    <t>Vulcain</t>
  </si>
  <si>
    <t>Jacuzzi Leisure Products, Inc.</t>
  </si>
  <si>
    <t>Cabot Elite S17XE</t>
  </si>
  <si>
    <t>11300-34400</t>
  </si>
  <si>
    <t>Campbell Elite S14XE</t>
  </si>
  <si>
    <t>Douglas Elite S131E, S132E; Mini Elite S111E,S112E</t>
  </si>
  <si>
    <t>10400-22200</t>
  </si>
  <si>
    <t>Fraser Elite I, S407E, S408E, S409E</t>
  </si>
  <si>
    <t>10000-37900</t>
  </si>
  <si>
    <t>Gordon Elite S18XE</t>
  </si>
  <si>
    <t>11300-31200</t>
  </si>
  <si>
    <t>Model Campbell II Elite S-24X &amp; FW24 Series, CJW1000L02,</t>
  </si>
  <si>
    <t>10600-26100</t>
  </si>
  <si>
    <t>n JW1000L10, JW1000P10, DW1000, FW2400, S24</t>
  </si>
  <si>
    <t>Jayline Heating Ltd.</t>
  </si>
  <si>
    <t>AMZED JAYLINE 1B AND FS</t>
  </si>
  <si>
    <t>9500-40400</t>
  </si>
  <si>
    <t>Amzed Jayline Ukal U-12</t>
  </si>
  <si>
    <t>9900-28200</t>
  </si>
  <si>
    <t>Jotul North America (Jotul U.S.A., Inc.)</t>
  </si>
  <si>
    <t>50TL</t>
  </si>
  <si>
    <t>11696-32919</t>
  </si>
  <si>
    <t>Alpha 350132</t>
  </si>
  <si>
    <t>10100-33000</t>
  </si>
  <si>
    <t>American Fireplace Stove 3TDC</t>
  </si>
  <si>
    <t>8800-31700</t>
  </si>
  <si>
    <t>C450, Tamarack</t>
  </si>
  <si>
    <t>11900-36100</t>
  </si>
  <si>
    <t>C550</t>
  </si>
  <si>
    <t>12034-36669</t>
  </si>
  <si>
    <t>C550 CB</t>
  </si>
  <si>
    <t>11696-35933</t>
  </si>
  <si>
    <t>Castine F400</t>
  </si>
  <si>
    <t>11300-27800</t>
  </si>
  <si>
    <t>F100 Nordic QT</t>
  </si>
  <si>
    <t>7700-27400</t>
  </si>
  <si>
    <t>F118 CB</t>
  </si>
  <si>
    <t>12000-23500</t>
  </si>
  <si>
    <t>F370</t>
  </si>
  <si>
    <t>10978-29048</t>
  </si>
  <si>
    <t>F3CBII</t>
  </si>
  <si>
    <t>11400-43500</t>
  </si>
  <si>
    <t>F45</t>
  </si>
  <si>
    <t>11576-26528</t>
  </si>
  <si>
    <t>F500</t>
  </si>
  <si>
    <t>12000-34700</t>
  </si>
  <si>
    <t>F55</t>
  </si>
  <si>
    <t>11576-30399</t>
  </si>
  <si>
    <t>F602 CB</t>
  </si>
  <si>
    <t>11998-47713</t>
  </si>
  <si>
    <t>Firelight 12</t>
  </si>
  <si>
    <t>10500-32100</t>
  </si>
  <si>
    <t>Firelight 12CB</t>
  </si>
  <si>
    <t>13500-45900</t>
  </si>
  <si>
    <t>11600-32500</t>
  </si>
  <si>
    <t>Jotul Model 602 CB Classic</t>
  </si>
  <si>
    <t>9700-42100</t>
  </si>
  <si>
    <t>Jotul Oslo F-500</t>
  </si>
  <si>
    <t>10900-35000</t>
  </si>
  <si>
    <t>Jotul Petite</t>
  </si>
  <si>
    <t>10500-39900</t>
  </si>
  <si>
    <t>Model 3 CB</t>
  </si>
  <si>
    <t>11900-58300</t>
  </si>
  <si>
    <t>Model 3 TDIC-2</t>
  </si>
  <si>
    <t>10900-30600</t>
  </si>
  <si>
    <t>Model 8 TDIC</t>
  </si>
  <si>
    <t>10900-35100</t>
  </si>
  <si>
    <t>Model C350</t>
  </si>
  <si>
    <t>11500-34200</t>
  </si>
  <si>
    <t>Model Series 8</t>
  </si>
  <si>
    <t>12600-33000</t>
  </si>
  <si>
    <t>JR Home Heating Products</t>
  </si>
  <si>
    <t>WPS 30</t>
  </si>
  <si>
    <t>Jydepejsan A/S</t>
  </si>
  <si>
    <t>H530</t>
  </si>
  <si>
    <t>11100-28800</t>
  </si>
  <si>
    <t>Trendline, Soft Line, Fine Line, Zeus, Athene, Troja, Hera, Avanti</t>
  </si>
  <si>
    <t>11300-28100</t>
  </si>
  <si>
    <t>Kalvin International and Company (HK)</t>
  </si>
  <si>
    <t>KWS1-M</t>
  </si>
  <si>
    <t>Kent Heating Limited</t>
  </si>
  <si>
    <t>Catalytic Tile Fire</t>
  </si>
  <si>
    <t>5900-24500</t>
  </si>
  <si>
    <t>Log Fire 2000</t>
  </si>
  <si>
    <t>11200-23700</t>
  </si>
  <si>
    <t>Log Fire LPE</t>
  </si>
  <si>
    <t>8900-28200</t>
  </si>
  <si>
    <t>Rose Bay KTXRB</t>
  </si>
  <si>
    <t>10300-37500</t>
  </si>
  <si>
    <t>Sherwood 2000</t>
  </si>
  <si>
    <t>13000-26600</t>
  </si>
  <si>
    <t>Sherwood L.E.M. XLE-1</t>
  </si>
  <si>
    <t>9600-33400</t>
  </si>
  <si>
    <t>Tile Fire 2000, Ultima 2000</t>
  </si>
  <si>
    <t>12500-21700</t>
  </si>
  <si>
    <t>Tile Fire L.E.M. TLE-1</t>
  </si>
  <si>
    <t>8500-38600</t>
  </si>
  <si>
    <t>Ultima 2000S</t>
  </si>
  <si>
    <t>11000-23000</t>
  </si>
  <si>
    <t>Krog Iversen &amp; Co. A/S</t>
  </si>
  <si>
    <t>Andersen 8</t>
  </si>
  <si>
    <t>11900-30100</t>
  </si>
  <si>
    <t>Andersen 8.2</t>
  </si>
  <si>
    <t>7600-28800</t>
  </si>
  <si>
    <t>Basic 1 &amp; 3</t>
  </si>
  <si>
    <t>10032-17906</t>
  </si>
  <si>
    <t>Basic 4</t>
  </si>
  <si>
    <t>10000-22100</t>
  </si>
  <si>
    <t>DSA 4</t>
  </si>
  <si>
    <t>10500-27900</t>
  </si>
  <si>
    <t>Model Scan 61</t>
  </si>
  <si>
    <t>10600-29300</t>
  </si>
  <si>
    <t>Scan 10-A</t>
  </si>
  <si>
    <t>11600-37700</t>
  </si>
  <si>
    <t>Scan 20</t>
  </si>
  <si>
    <t>9900-19000</t>
  </si>
  <si>
    <t>Scan 24</t>
  </si>
  <si>
    <t>11300-22500</t>
  </si>
  <si>
    <t>Scan 4.5</t>
  </si>
  <si>
    <t>9500-31000</t>
  </si>
  <si>
    <t>Scan 47.2</t>
  </si>
  <si>
    <t>10400-30900</t>
  </si>
  <si>
    <t>Scan 5.2</t>
  </si>
  <si>
    <t>11800-26500</t>
  </si>
  <si>
    <t>Scan 60</t>
  </si>
  <si>
    <t>8700-27430</t>
  </si>
  <si>
    <t>Kuma Stove and Iron Works</t>
  </si>
  <si>
    <t>11300-48000</t>
  </si>
  <si>
    <t>Kuma Stove And Iron Works</t>
  </si>
  <si>
    <t>11689-24206</t>
  </si>
  <si>
    <t>Kuma K-300/K-400, K-100B</t>
  </si>
  <si>
    <t>12100-65200</t>
  </si>
  <si>
    <t>Kuma Scott HT-1</t>
  </si>
  <si>
    <t>11700-29800</t>
  </si>
  <si>
    <t>Kuma Wood Classic Model HT-2</t>
  </si>
  <si>
    <t>Model Kuma 100/300/400</t>
  </si>
  <si>
    <t>10100-52100</t>
  </si>
  <si>
    <t>Tamarack</t>
  </si>
  <si>
    <t>Lennox Hearth Products</t>
  </si>
  <si>
    <t>1000HT, 1100HT, 2000HT, 2200HT</t>
  </si>
  <si>
    <t>6600-32200</t>
  </si>
  <si>
    <t>1003-C</t>
  </si>
  <si>
    <t>11700-36800</t>
  </si>
  <si>
    <t>2800HT</t>
  </si>
  <si>
    <t>11500-46700</t>
  </si>
  <si>
    <t>Bayview BV400, BV450</t>
  </si>
  <si>
    <t>11000-53700</t>
  </si>
  <si>
    <t>Bayview BV450C/BV400C-2</t>
  </si>
  <si>
    <t>11000-48100</t>
  </si>
  <si>
    <t>Bayview II BV4000</t>
  </si>
  <si>
    <t>9200-42300</t>
  </si>
  <si>
    <t>Bayview II, 2000C,BV4000C, BV4000C-2</t>
  </si>
  <si>
    <t>6600-40900</t>
  </si>
  <si>
    <t>BELLA</t>
  </si>
  <si>
    <t>11202-25925</t>
  </si>
  <si>
    <t>Brass Flame KS-1005, KS-2000I</t>
  </si>
  <si>
    <t>11800-44000</t>
  </si>
  <si>
    <t>Brass Flame KS-805</t>
  </si>
  <si>
    <t>9300-49800</t>
  </si>
  <si>
    <t>CANYON ST310, C310</t>
  </si>
  <si>
    <t>Earth Stove c-1002, and Ranger 1500HT, 1400HT</t>
  </si>
  <si>
    <t>11700-37000</t>
  </si>
  <si>
    <t>ES2100</t>
  </si>
  <si>
    <t>10491-30387</t>
  </si>
  <si>
    <t>Grand View 230, Montake 230</t>
  </si>
  <si>
    <t>11214-28216</t>
  </si>
  <si>
    <t>KS-1005, SV-14; KS-2000, FI-15</t>
  </si>
  <si>
    <t>9500-41100</t>
  </si>
  <si>
    <t>LEGACY S260, C260, and E260</t>
  </si>
  <si>
    <t>Model T200C</t>
  </si>
  <si>
    <t>8500-34900</t>
  </si>
  <si>
    <t>MONTAGE</t>
  </si>
  <si>
    <t>6270-29784</t>
  </si>
  <si>
    <t>PERFORMER SS210, ST210 and C210</t>
  </si>
  <si>
    <t>STRIKER S160 and C160</t>
  </si>
  <si>
    <t>Traditions T-100</t>
  </si>
  <si>
    <t>8300-43800</t>
  </si>
  <si>
    <t>Traditions T150C, T100SC</t>
  </si>
  <si>
    <t>6500-35300</t>
  </si>
  <si>
    <t>Traditions T300HT &amp; T3000HTn The Earth Stove 1600HT, 1900HT-M</t>
  </si>
  <si>
    <t>10700-37400</t>
  </si>
  <si>
    <t>Whitfield Advantage WP-2</t>
  </si>
  <si>
    <t>Whitfield Fireplace/Hearth Stove</t>
  </si>
  <si>
    <t>11000-35700</t>
  </si>
  <si>
    <t>Whitfield WP-1, III T, II-T, II-TC, Advantage Series</t>
  </si>
  <si>
    <t>9100-37800</t>
  </si>
  <si>
    <t>WINSLOW PS40 and PI40</t>
  </si>
  <si>
    <t>WP-2 III T, II-TC, Advantage Series</t>
  </si>
  <si>
    <t>Lexington Forge</t>
  </si>
  <si>
    <t>Savannah SSW 20 and Windsor WCS20</t>
  </si>
  <si>
    <t>11000-45000</t>
  </si>
  <si>
    <t>SSI 30</t>
  </si>
  <si>
    <t>11000-30600</t>
  </si>
  <si>
    <t>SSW 30FTPB, SSW30FTAL, SSW30FTAPB</t>
  </si>
  <si>
    <t>SSW30STAL, SSW30STAPB Savannah</t>
  </si>
  <si>
    <t>SSW40</t>
  </si>
  <si>
    <t>11963-35767</t>
  </si>
  <si>
    <t>Long Agribusiness</t>
  </si>
  <si>
    <t>2062 Catalytic freestanding/insert</t>
  </si>
  <si>
    <t>10600-20700</t>
  </si>
  <si>
    <t>Silent Flame 2058</t>
  </si>
  <si>
    <t>9000-27100</t>
  </si>
  <si>
    <t>Silent Flame Model 2058A</t>
  </si>
  <si>
    <t>9600-30600</t>
  </si>
  <si>
    <t>Silent Flame Model 2062</t>
  </si>
  <si>
    <t>9900-32600</t>
  </si>
  <si>
    <t>LOPI by Travis Industries, Inc</t>
  </si>
  <si>
    <t>Declaration, Walden insert</t>
  </si>
  <si>
    <t>LOPI by Travis Industries, Inc.</t>
  </si>
  <si>
    <t>ANSWER, ANSER insert, Republic1250 and Avalon Spokane</t>
  </si>
  <si>
    <t>Freedom</t>
  </si>
  <si>
    <t>11800-47500</t>
  </si>
  <si>
    <t>Leyden</t>
  </si>
  <si>
    <t>Liberty, Freedom Bay insertn</t>
  </si>
  <si>
    <t>Republic 1750, Endeavor and Revere Insert n</t>
  </si>
  <si>
    <t>Luap Associates, Inc.</t>
  </si>
  <si>
    <t>Eagle 2001</t>
  </si>
  <si>
    <t>8400-55200</t>
  </si>
  <si>
    <t>Lucky Distributing</t>
  </si>
  <si>
    <t>Esprit, Viva and Taurus</t>
  </si>
  <si>
    <t>11817-32263</t>
  </si>
  <si>
    <t>Integra</t>
  </si>
  <si>
    <t>10024-31268</t>
  </si>
  <si>
    <t>M. Texeira International, Incorporated</t>
  </si>
  <si>
    <t>Bef 520 H</t>
  </si>
  <si>
    <t>11721-25859</t>
  </si>
  <si>
    <t>Martin Industries, Inc.</t>
  </si>
  <si>
    <t>Ashley APC2,APC2C; King KC2,KC2B; Atlanta AC2,AC2B</t>
  </si>
  <si>
    <t>9700-27900</t>
  </si>
  <si>
    <t>Ashley APS5,APS5B; King KC5,KC5B; Atlanta AC5,AC5B</t>
  </si>
  <si>
    <t>9400-35400</t>
  </si>
  <si>
    <t>Ashley CAHF,CAHFB; King MCF,MCFB; Atlanta ACF,ACFB</t>
  </si>
  <si>
    <t>9900-30000</t>
  </si>
  <si>
    <t>Ashley n</t>
  </si>
  <si>
    <t>5700-35300</t>
  </si>
  <si>
    <t>C-92</t>
  </si>
  <si>
    <t>13900-35700</t>
  </si>
  <si>
    <t>5200-33200</t>
  </si>
  <si>
    <t>Max Blank GmbH</t>
  </si>
  <si>
    <t>Atlanta K02, Siena, Monza, Davos, Ravenna, Heidelberg</t>
  </si>
  <si>
    <t>11479-36009</t>
  </si>
  <si>
    <t>Bordeaux</t>
  </si>
  <si>
    <t>10129-34342</t>
  </si>
  <si>
    <t>Florenz K0 2, Volterra, Padua, Atlanta BF</t>
  </si>
  <si>
    <t>11842-34680</t>
  </si>
  <si>
    <t>Mega K 03</t>
  </si>
  <si>
    <t>10500-33000</t>
  </si>
  <si>
    <t>Solero, Toulouse, Zitro, Rio, Memphis, Niagara, Fisco</t>
  </si>
  <si>
    <t>MCZ S.p.a.</t>
  </si>
  <si>
    <t>Cubic, Cosmo</t>
  </si>
  <si>
    <t>7428-27053</t>
  </si>
  <si>
    <t>Musa Air, Suite Air, Club Air, Sagar Air</t>
  </si>
  <si>
    <t>Musa Comfort Air, Suite Comfort Air</t>
  </si>
  <si>
    <t>9704-31758</t>
  </si>
  <si>
    <t>Nima Comfort Air, Club Comfort</t>
  </si>
  <si>
    <t>Star Air, Ego, Air, Toba Air, Sagar Air</t>
  </si>
  <si>
    <t>8233-24533</t>
  </si>
  <si>
    <t>Metal M.D.R. Inc.</t>
  </si>
  <si>
    <t>Model HE-1400, XE-1400, &amp; XTD-1.5</t>
  </si>
  <si>
    <t>10800-34000</t>
  </si>
  <si>
    <t>XVR-III, XLT-III</t>
  </si>
  <si>
    <t>11900-35000</t>
  </si>
  <si>
    <t>Monessan Hearth Systems</t>
  </si>
  <si>
    <t>CJW2500X02, DW2500 and JW2500X10</t>
  </si>
  <si>
    <t>CW2500X00, CW2500X02, JW2500X00,</t>
  </si>
  <si>
    <t>Defiant 1975</t>
  </si>
  <si>
    <t>9600-26600</t>
  </si>
  <si>
    <t>JW1000L10 and JW1000P10, DW1000, FW2400, S24</t>
  </si>
  <si>
    <t>Merrimack, Essex</t>
  </si>
  <si>
    <t>10554-31780</t>
  </si>
  <si>
    <t>Morso Jernstaberi A/S</t>
  </si>
  <si>
    <t>2B Classic</t>
  </si>
  <si>
    <t>10900-23600</t>
  </si>
  <si>
    <t>Morso Jernstoberi A/S</t>
  </si>
  <si>
    <t>11117-22000</t>
  </si>
  <si>
    <t>9300-28500</t>
  </si>
  <si>
    <t>3112 and 3142</t>
  </si>
  <si>
    <t>3600 Series</t>
  </si>
  <si>
    <t>11400-49500</t>
  </si>
  <si>
    <t>7600 Series</t>
  </si>
  <si>
    <t>10000-21300</t>
  </si>
  <si>
    <t>8140, 8142, 8147, 8151 and 8150</t>
  </si>
  <si>
    <t>10864-25370</t>
  </si>
  <si>
    <t>Model 2040</t>
  </si>
  <si>
    <t>11100-40100</t>
  </si>
  <si>
    <t>Model 2B</t>
  </si>
  <si>
    <t>9300-30700</t>
  </si>
  <si>
    <t>Model 4600</t>
  </si>
  <si>
    <t>11100-25600</t>
  </si>
  <si>
    <t>Model 4650 (Soapstone)</t>
  </si>
  <si>
    <t>10900-25700</t>
  </si>
  <si>
    <t>Model 5660,</t>
  </si>
  <si>
    <t>8998-50078</t>
  </si>
  <si>
    <t>Model 7110</t>
  </si>
  <si>
    <t>10700-27900</t>
  </si>
  <si>
    <t>Morso 1710</t>
  </si>
  <si>
    <t>12000-39800</t>
  </si>
  <si>
    <t>Owl 3410/3440 &amp; 3450</t>
  </si>
  <si>
    <t>8400-23600</t>
  </si>
  <si>
    <t>Panther 2110</t>
  </si>
  <si>
    <t>10300-60500</t>
  </si>
  <si>
    <t>Panther Model 2110B</t>
  </si>
  <si>
    <t>8600-42100</t>
  </si>
  <si>
    <t>Squirrel 1410 ,1420,1440</t>
  </si>
  <si>
    <t>9600-22000</t>
  </si>
  <si>
    <t>National Steelcrafters of Oregon</t>
  </si>
  <si>
    <t>Breckwell W3000FS/W3000I</t>
  </si>
  <si>
    <t>11600-33700</t>
  </si>
  <si>
    <t>Chateau NC24</t>
  </si>
  <si>
    <t>14500-51000</t>
  </si>
  <si>
    <t>Craft CB-4830 Insert</t>
  </si>
  <si>
    <t>9100-22400</t>
  </si>
  <si>
    <t>Craft Stove CB-4426</t>
  </si>
  <si>
    <t>12100-35600</t>
  </si>
  <si>
    <t>Craft Stove CB-4426, CB-26, CAT 44-1</t>
  </si>
  <si>
    <t>Craft Stove CB-4830</t>
  </si>
  <si>
    <t>11600-41100</t>
  </si>
  <si>
    <t>Craft Stove CB-4830, CB-300</t>
  </si>
  <si>
    <t>Navigator Stove Works, Inc.</t>
  </si>
  <si>
    <t>Navigator NSW2</t>
  </si>
  <si>
    <t>10500-28200</t>
  </si>
  <si>
    <t>NSW-1 Sardine</t>
  </si>
  <si>
    <t>11400-19400</t>
  </si>
  <si>
    <t>New Buck Corporation (Buck Stove Corp.)</t>
  </si>
  <si>
    <t>41BCV, BBay, CD, CS, CV, CBAY, PCV, PCBAY</t>
  </si>
  <si>
    <t>6900-27800</t>
  </si>
  <si>
    <t>50PCV, 50PBay, 50CV, 50CBay, 50CD, 50BCV, 50BBay</t>
  </si>
  <si>
    <t>10100-38000</t>
  </si>
  <si>
    <t>94NC</t>
  </si>
  <si>
    <t>11390-42200</t>
  </si>
  <si>
    <t>Bay Model 91</t>
  </si>
  <si>
    <t>10400-50400</t>
  </si>
  <si>
    <t>Big Buck 28000-C</t>
  </si>
  <si>
    <t>8500-39100</t>
  </si>
  <si>
    <t>Buck Bay Model 91</t>
  </si>
  <si>
    <t>8800-51200</t>
  </si>
  <si>
    <t>Buck Carolina/Tharington 51/T-51</t>
  </si>
  <si>
    <t>11800-40900</t>
  </si>
  <si>
    <t>Buck Master</t>
  </si>
  <si>
    <t>10800-49800</t>
  </si>
  <si>
    <t>Buck/Tharrington  74/T-74</t>
  </si>
  <si>
    <t>11600-41400</t>
  </si>
  <si>
    <t>Little Buck 26000-C</t>
  </si>
  <si>
    <t>6800-38700</t>
  </si>
  <si>
    <t>Model 18</t>
  </si>
  <si>
    <t>Model 20, catalytic</t>
  </si>
  <si>
    <t>10800-37500</t>
  </si>
  <si>
    <t>Model 21</t>
  </si>
  <si>
    <t>12000-44000</t>
  </si>
  <si>
    <t>Model 26</t>
  </si>
  <si>
    <t>11900-42600</t>
  </si>
  <si>
    <t>Model 261</t>
  </si>
  <si>
    <t>10271-32263</t>
  </si>
  <si>
    <t>Model 70</t>
  </si>
  <si>
    <t>9800-31300</t>
  </si>
  <si>
    <t>Model 71 Freestanding/Insert Catalytic</t>
  </si>
  <si>
    <t>13100-40200</t>
  </si>
  <si>
    <t>Model 81/85</t>
  </si>
  <si>
    <t>11900-45400</t>
  </si>
  <si>
    <t>MODEL XL-80</t>
  </si>
  <si>
    <t>9200-40500</t>
  </si>
  <si>
    <t>New Buck/Carolina Model 17</t>
  </si>
  <si>
    <t>8100-27900</t>
  </si>
  <si>
    <t>Regular Buck 27000-C</t>
  </si>
  <si>
    <t>14700-25100</t>
  </si>
  <si>
    <t>Regular Buck 27000-CR</t>
  </si>
  <si>
    <t>14700-30800</t>
  </si>
  <si>
    <t>Townsend III</t>
  </si>
  <si>
    <t>11400-41200</t>
  </si>
  <si>
    <t>Newmac Manufacturing Incorporated</t>
  </si>
  <si>
    <t>Classic 1 EPA NC 100 E</t>
  </si>
  <si>
    <t>10700-27000</t>
  </si>
  <si>
    <t>Classic II Model NCM 120</t>
  </si>
  <si>
    <t>Status EPA Model NS220 E</t>
  </si>
  <si>
    <t>11600-27400</t>
  </si>
  <si>
    <t>WFA 70</t>
  </si>
  <si>
    <t>11852-15922</t>
  </si>
  <si>
    <t>NHC Inc.</t>
  </si>
  <si>
    <t>Harvest A-HII catalytic</t>
  </si>
  <si>
    <t>10500-36400</t>
  </si>
  <si>
    <t>Harvest HII</t>
  </si>
  <si>
    <t>8800-28900</t>
  </si>
  <si>
    <t>10200-27900</t>
  </si>
  <si>
    <t>Mansfield I</t>
  </si>
  <si>
    <t>13600-45300</t>
  </si>
  <si>
    <t>Model 3-C</t>
  </si>
  <si>
    <t>7900-15000</t>
  </si>
  <si>
    <t>Phoenix</t>
  </si>
  <si>
    <t>10300-43000</t>
  </si>
  <si>
    <t>Phoenix (Version 2)</t>
  </si>
  <si>
    <t>10400-35200</t>
  </si>
  <si>
    <t>Nordica (Les Produits d'Acier Nordic International)</t>
  </si>
  <si>
    <t>Diamant, Diamante Insert</t>
  </si>
  <si>
    <t>11100-26100</t>
  </si>
  <si>
    <t>EverestEtna/Equinox/Malibu 2000</t>
  </si>
  <si>
    <t>12588-37513</t>
  </si>
  <si>
    <t>EverestEtna/Equinox/Malibu 2500</t>
  </si>
  <si>
    <t>8588-37513</t>
  </si>
  <si>
    <t>Malibu 1700/2200</t>
  </si>
  <si>
    <t>11700-29700</t>
  </si>
  <si>
    <t>Olympia</t>
  </si>
  <si>
    <t>9659-26407</t>
  </si>
  <si>
    <t>Rustic 2100 and Tradition 2100</t>
  </si>
  <si>
    <t>Rustic/Tradition 1600</t>
  </si>
  <si>
    <t>Nordpeis A/S</t>
  </si>
  <si>
    <t>Saturn A</t>
  </si>
  <si>
    <t>10100-25000</t>
  </si>
  <si>
    <t>NU-TEC/Upland Distributors, Inc.</t>
  </si>
  <si>
    <t>Brenden BR-60</t>
  </si>
  <si>
    <t>11000-29400</t>
  </si>
  <si>
    <t>Townsend Woodstove TN-25</t>
  </si>
  <si>
    <t>10200-27500</t>
  </si>
  <si>
    <t>Upland Amity AM-40</t>
  </si>
  <si>
    <t>10600-23600</t>
  </si>
  <si>
    <t>NYSERDA</t>
  </si>
  <si>
    <t>XEOOS</t>
  </si>
  <si>
    <t>11519-27432</t>
  </si>
  <si>
    <t>OK Doke, Ltd.</t>
  </si>
  <si>
    <t>Sweethearth Presidential 800/800XL</t>
  </si>
  <si>
    <t>9900-20000</t>
  </si>
  <si>
    <t>Olsberg Hermann Everken, Gmbh</t>
  </si>
  <si>
    <t>Bristol OH-L</t>
  </si>
  <si>
    <t>11800-32200</t>
  </si>
  <si>
    <t>Bristol OH-M</t>
  </si>
  <si>
    <t>11000-33200</t>
  </si>
  <si>
    <t>Oregon Woodstoves, Inc.</t>
  </si>
  <si>
    <t>#1, Design 01</t>
  </si>
  <si>
    <t>9600-49700</t>
  </si>
  <si>
    <t>Model OS/1</t>
  </si>
  <si>
    <t>7800-40000</t>
  </si>
  <si>
    <t>Orley's Manufacturing Company, Inc.</t>
  </si>
  <si>
    <t>Cougar G-225</t>
  </si>
  <si>
    <t>9100-36200</t>
  </si>
  <si>
    <t>Leopard U245,U246,UO245,UO246; Panther F245,F246</t>
  </si>
  <si>
    <t>9100-39000</t>
  </si>
  <si>
    <t>Orrville Products, Inc.</t>
  </si>
  <si>
    <t>CC 350</t>
  </si>
  <si>
    <t>13700-68900</t>
  </si>
  <si>
    <t>CC175 and CC155</t>
  </si>
  <si>
    <t>10900-39200</t>
  </si>
  <si>
    <t>CC180</t>
  </si>
  <si>
    <t>10700-57600</t>
  </si>
  <si>
    <t>CC185 and CC165</t>
  </si>
  <si>
    <t>11300-46100</t>
  </si>
  <si>
    <t>CC-185I and 165I</t>
  </si>
  <si>
    <t>11500-48600</t>
  </si>
  <si>
    <t>CC250</t>
  </si>
  <si>
    <t>13200-29800</t>
  </si>
  <si>
    <t>Country Comfort CC100</t>
  </si>
  <si>
    <t>8700-33400</t>
  </si>
  <si>
    <t>Country Comfort CC125</t>
  </si>
  <si>
    <t>12300-27600</t>
  </si>
  <si>
    <t>Country Comfort CC150, CC1000, CC150H</t>
  </si>
  <si>
    <t>7200-23900</t>
  </si>
  <si>
    <t>COUNTRY COMFORT CC160</t>
  </si>
  <si>
    <t>11900-47800</t>
  </si>
  <si>
    <t>Country Comfort CC160</t>
  </si>
  <si>
    <t>11600-36500</t>
  </si>
  <si>
    <t>Country Comfort CC325</t>
  </si>
  <si>
    <t>18600-60600</t>
  </si>
  <si>
    <t>Country Comfort CC350</t>
  </si>
  <si>
    <t>11200-29100</t>
  </si>
  <si>
    <t>Osburn Manufacturing, Inc.</t>
  </si>
  <si>
    <t>10600-42900</t>
  </si>
  <si>
    <t>10400-41500</t>
  </si>
  <si>
    <t>Imperial 2000</t>
  </si>
  <si>
    <t>9000-33000</t>
  </si>
  <si>
    <t>Imperial MKII, MKII Insert, Goldenaire</t>
  </si>
  <si>
    <t>10700-51600</t>
  </si>
  <si>
    <t>Pacific Energy Fireplace Products Limited</t>
  </si>
  <si>
    <t>Alderlea, Super 27 Design D, Spectrum, Step D1</t>
  </si>
  <si>
    <t>11000-34600</t>
  </si>
  <si>
    <t>FP30</t>
  </si>
  <si>
    <t>11829-38556</t>
  </si>
  <si>
    <t>S-27, Spectrum, Standard, Pacific</t>
  </si>
  <si>
    <t>10600-36400</t>
  </si>
  <si>
    <t>Standard, Pacific Ins, Spectrum Classic and Fusion, ALT5INS</t>
  </si>
  <si>
    <t>Summit Series A, Summit Insert, Summit Classic and Alderlea T6</t>
  </si>
  <si>
    <t>True North TN19</t>
  </si>
  <si>
    <t>10652-32923</t>
  </si>
  <si>
    <t>Vista Series C, Vista Classic, Vista Artisan, Vista Insert, and Alderlea T4</t>
  </si>
  <si>
    <t>12400-26300</t>
  </si>
  <si>
    <t>Panda Wood Stoves</t>
  </si>
  <si>
    <t>UMF-400</t>
  </si>
  <si>
    <t>7600-38300</t>
  </si>
  <si>
    <t>Pellefier Inc.</t>
  </si>
  <si>
    <t>Venturi PVI-87</t>
  </si>
  <si>
    <t>9000-31800</t>
  </si>
  <si>
    <t>Polar Fireplaces</t>
  </si>
  <si>
    <t>Woodchief 300 E</t>
  </si>
  <si>
    <t>11600-43700</t>
  </si>
  <si>
    <t>Woodchief 400 E</t>
  </si>
  <si>
    <t>Precision Gas Technologies</t>
  </si>
  <si>
    <t>WS-250</t>
  </si>
  <si>
    <t>PSG Distribution Inc.</t>
  </si>
  <si>
    <t>Caddy (duct furnace)</t>
  </si>
  <si>
    <t>12000-52900</t>
  </si>
  <si>
    <t>Quality Craft</t>
  </si>
  <si>
    <t>QCPS - 28000</t>
  </si>
  <si>
    <t>13119-14759</t>
  </si>
  <si>
    <t>Rais A/S</t>
  </si>
  <si>
    <t>Gabo Pina Vola</t>
  </si>
  <si>
    <t>12000-26700</t>
  </si>
  <si>
    <t>Malta, Bando and Bora</t>
  </si>
  <si>
    <t>11400-32900</t>
  </si>
  <si>
    <t>RAIS A/S</t>
  </si>
  <si>
    <t>OPUS</t>
  </si>
  <si>
    <t>11479-21630</t>
  </si>
  <si>
    <t xml:space="preserve">Rais 60-A Insertnnnnn </t>
  </si>
  <si>
    <t>11600-51300</t>
  </si>
  <si>
    <t>Rondo, Mino II Steel and Mino II SST</t>
  </si>
  <si>
    <t>11431-22561</t>
  </si>
  <si>
    <t>Ravelli /EcoTeck</t>
  </si>
  <si>
    <t>Ilaria / Serena</t>
  </si>
  <si>
    <t>8500-44000</t>
  </si>
  <si>
    <t>Laura / Veronica</t>
  </si>
  <si>
    <t>Monica / Francesca</t>
  </si>
  <si>
    <t>8500-35000</t>
  </si>
  <si>
    <t>Sofia / Silvia</t>
  </si>
  <si>
    <t>8500-50000</t>
  </si>
  <si>
    <t>Renfyre Stove Co./ Maco Enterprises, Inc.</t>
  </si>
  <si>
    <t>Fireview 2300</t>
  </si>
  <si>
    <t>11700-27500</t>
  </si>
  <si>
    <t>Renfyre Stove Co./Maco Enterprises Inc.</t>
  </si>
  <si>
    <t>5000 Combination Range Design #50001</t>
  </si>
  <si>
    <t>13600-21600</t>
  </si>
  <si>
    <t>Renfyre Stove Co./Maco Enterprises, Inc</t>
  </si>
  <si>
    <t>11900-23700</t>
  </si>
  <si>
    <t>Fireview Insert 2700</t>
  </si>
  <si>
    <t>9400-27500</t>
  </si>
  <si>
    <t>Reverso Manufacturing, Ltd.</t>
  </si>
  <si>
    <t>Challenger MMX</t>
  </si>
  <si>
    <t>11200-33800</t>
  </si>
  <si>
    <t>Riteway-Dominion Manufacturing Company, Inc.</t>
  </si>
  <si>
    <t>Dominion 005</t>
  </si>
  <si>
    <t>7000-29100</t>
  </si>
  <si>
    <t>RJM Manufacturing, Inc</t>
  </si>
  <si>
    <t>Achiever FPI-1-LEX</t>
  </si>
  <si>
    <t>7900-26700</t>
  </si>
  <si>
    <t>RJM Manufacturing, Inc.</t>
  </si>
  <si>
    <t>Energy King 2500C</t>
  </si>
  <si>
    <t>16100-39800</t>
  </si>
  <si>
    <t>Energy King Bay 2000C</t>
  </si>
  <si>
    <t>11400-34600</t>
  </si>
  <si>
    <t>FPI-2-LEX/90</t>
  </si>
  <si>
    <t>10300-36500</t>
  </si>
  <si>
    <t>Model Silhouette 2850C</t>
  </si>
  <si>
    <t>8100-34700</t>
  </si>
  <si>
    <t>RSF / Industrial Chimney Company, Incorporated</t>
  </si>
  <si>
    <t>Ardent HF 40</t>
  </si>
  <si>
    <t>6400-30600</t>
  </si>
  <si>
    <t>HT (Onyx), ONYX AP</t>
  </si>
  <si>
    <t>11800-35600</t>
  </si>
  <si>
    <t>Opel 2000C, OPEL AP</t>
  </si>
  <si>
    <t>TOPAZ/CHAEMELON (With Fan)</t>
  </si>
  <si>
    <t>9500-25800</t>
  </si>
  <si>
    <t>TOPAZ/CHAMELEON (Without Fan), TOPAZ, Chameleon</t>
  </si>
  <si>
    <t>11100-25700</t>
  </si>
  <si>
    <t>Russo Products, Inc.</t>
  </si>
  <si>
    <t>GV-30C</t>
  </si>
  <si>
    <t>10300-39400</t>
  </si>
  <si>
    <t>GV-30S</t>
  </si>
  <si>
    <t>9500-38700</t>
  </si>
  <si>
    <t>Russo Glassview GV-21</t>
  </si>
  <si>
    <t>10200-29600</t>
  </si>
  <si>
    <t>W-18C</t>
  </si>
  <si>
    <t>7900-40900</t>
  </si>
  <si>
    <t>W-25C</t>
  </si>
  <si>
    <t>8400-31300</t>
  </si>
  <si>
    <t>Salvo Machinery, Inc.</t>
  </si>
  <si>
    <t>Citation Classic W45NC/WI45NC</t>
  </si>
  <si>
    <t>Model Citation</t>
  </si>
  <si>
    <t>9600-33500</t>
  </si>
  <si>
    <t>Sarratt Agencies Limited</t>
  </si>
  <si>
    <t>Merlin 3 FS-15, IS-15</t>
  </si>
  <si>
    <t>9800-21100</t>
  </si>
  <si>
    <t>Saxon Wood Heaters Pty, Ltd.</t>
  </si>
  <si>
    <t>Security Chimneys International Ltd.</t>
  </si>
  <si>
    <t>BIS Design No. 1.2</t>
  </si>
  <si>
    <t>14200-55800</t>
  </si>
  <si>
    <t>BIS II</t>
  </si>
  <si>
    <t>11300-41500</t>
  </si>
  <si>
    <t>BIS Nova, Ladera</t>
  </si>
  <si>
    <t>8700-25700</t>
  </si>
  <si>
    <t>BIS Panorama, Villa Vista</t>
  </si>
  <si>
    <t>10900-35600</t>
  </si>
  <si>
    <t>BIS Tradition and Montecito Estate</t>
  </si>
  <si>
    <t>11500-39300</t>
  </si>
  <si>
    <t>BIS Ultima, Brentwood, BIS Tradition CE, and Montecito</t>
  </si>
  <si>
    <t>10442-27746</t>
  </si>
  <si>
    <t>BIS Ultra</t>
  </si>
  <si>
    <t>11033-46700</t>
  </si>
  <si>
    <t>Selkirk Canada Corporation</t>
  </si>
  <si>
    <t>Model HE40</t>
  </si>
  <si>
    <t>11383-45459</t>
  </si>
  <si>
    <t>Model: HE36</t>
  </si>
  <si>
    <t>6668-15290</t>
  </si>
  <si>
    <t>Seraph Industries</t>
  </si>
  <si>
    <t>Genesis 106</t>
  </si>
  <si>
    <t>11100-45100</t>
  </si>
  <si>
    <t>Genesis 108</t>
  </si>
  <si>
    <t>Sherwood Industries, Ltd.</t>
  </si>
  <si>
    <t>Boston 1200</t>
  </si>
  <si>
    <t>6500-74000</t>
  </si>
  <si>
    <t>15050-44834, up to 67000</t>
  </si>
  <si>
    <t>Boston 1700</t>
  </si>
  <si>
    <t>8000-65000</t>
  </si>
  <si>
    <t>up to 74000</t>
  </si>
  <si>
    <t>CH-77, CH-84</t>
  </si>
  <si>
    <t>8000-33800</t>
  </si>
  <si>
    <t>EF 3, Meridian and VF 100</t>
  </si>
  <si>
    <t>EMPRESS FPI, Milan FPI</t>
  </si>
  <si>
    <t>25709-30058</t>
  </si>
  <si>
    <t>Empress FS</t>
  </si>
  <si>
    <t>27827-35675</t>
  </si>
  <si>
    <t>Enviro 1200, 1200I, Vista Flame 1200, 1200I, 1200 Venice</t>
  </si>
  <si>
    <t>Enviro Fire 1000FS and Vista Flame 1000FS, 1000</t>
  </si>
  <si>
    <t>Enviro Model 1700I, 1700 &amp; Vista Flame 1700I, 1700, 1700 Venice</t>
  </si>
  <si>
    <t>9400-31800</t>
  </si>
  <si>
    <t>Envirofire - EF3 FS, FPI, EF3Bi FS, Vista Flame VF100 FS n</t>
  </si>
  <si>
    <t>Envirofire - Meridian FS &amp; FPIn</t>
  </si>
  <si>
    <t>Envirofire EF2, EF2i, FS and FPI, Hudson River Davenport FS/FPI</t>
  </si>
  <si>
    <t>6500-34000</t>
  </si>
  <si>
    <t>Greenfire GF55, GFI55n</t>
  </si>
  <si>
    <t>M55, M55C, V55</t>
  </si>
  <si>
    <t>9263-45478</t>
  </si>
  <si>
    <t>MaxxI</t>
  </si>
  <si>
    <t>52453-60992</t>
  </si>
  <si>
    <t>Meridian</t>
  </si>
  <si>
    <t>32566-42963</t>
  </si>
  <si>
    <t>Mini</t>
  </si>
  <si>
    <t>8378-23488</t>
  </si>
  <si>
    <t>22585-30113</t>
  </si>
  <si>
    <t>Vista Flame 1600 FS, 1600 FPI, Envirofire 1600 FS, 1600 FPI</t>
  </si>
  <si>
    <t>Vista Flame 2100 FS, Envirofire 2100 FS</t>
  </si>
  <si>
    <t>Vista Flame Envirofire 1000</t>
  </si>
  <si>
    <t>Vista Flame Envirofire 1500</t>
  </si>
  <si>
    <t>Vista Flame Envirofire 2000</t>
  </si>
  <si>
    <t>Sierra Products, Inc.</t>
  </si>
  <si>
    <t>Cricket 5300</t>
  </si>
  <si>
    <t>11000-36400</t>
  </si>
  <si>
    <t>EF-2100</t>
  </si>
  <si>
    <t>11000-42900</t>
  </si>
  <si>
    <t>Evolution Model 7000C</t>
  </si>
  <si>
    <t>7700-29400</t>
  </si>
  <si>
    <t>Sierra Ambassador 4700 TEC</t>
  </si>
  <si>
    <t>10800-42600</t>
  </si>
  <si>
    <t>Sierra Classic 1500T</t>
  </si>
  <si>
    <t>6900-34600</t>
  </si>
  <si>
    <t>Sierra Evolution 8000 TEC</t>
  </si>
  <si>
    <t>9700-35900</t>
  </si>
  <si>
    <t>Sweet Home AFX-HT, AFI-HT</t>
  </si>
  <si>
    <t>11300-28200</t>
  </si>
  <si>
    <t>Stove Builder International Inc.</t>
  </si>
  <si>
    <t>11800-42400</t>
  </si>
  <si>
    <t>1.3 Series</t>
  </si>
  <si>
    <t>9887-21825</t>
  </si>
  <si>
    <t>1.6 Series</t>
  </si>
  <si>
    <t>10852-23272</t>
  </si>
  <si>
    <t>1600 B-I/Ashley 4600/Forester 4700</t>
  </si>
  <si>
    <t>11900-35500</t>
  </si>
  <si>
    <t>2.3 Series</t>
  </si>
  <si>
    <t>11600-32200</t>
  </si>
  <si>
    <t>BIO-35MF, Eco-35, FP-35, Hybrid-35MF</t>
  </si>
  <si>
    <t>BIO-45MF, Eco-45, FP-45, Hybrid-45MF</t>
  </si>
  <si>
    <t>8569-29784</t>
  </si>
  <si>
    <t>Caddy, Alterna</t>
  </si>
  <si>
    <t>10142-71014</t>
  </si>
  <si>
    <t>Emerald 2000</t>
  </si>
  <si>
    <t>7500-24500</t>
  </si>
  <si>
    <t>FW3000</t>
  </si>
  <si>
    <t>Gemini 1500 (With Blower), Adirondack, Savannah, Eldorado, Jurassien, Celtic, Osburn 1</t>
  </si>
  <si>
    <t>11500-43900</t>
  </si>
  <si>
    <t>Gemini 1500 (Without Blower), Adirondack, Savannah, Eldorado, Jurassien, Celtic, Osbu</t>
  </si>
  <si>
    <t>11100-37300</t>
  </si>
  <si>
    <t>HE-1800,Escape 1800, Solution 2.3, Solution 2.3-I, XTD1.9, XTD1.9-I, Osburn 2000, Os</t>
  </si>
  <si>
    <t>11600-38700</t>
  </si>
  <si>
    <t>HT 1600-Standard/HT 1600 Deluxe, HT-1600 Siberian, Ashley 1600</t>
  </si>
  <si>
    <t>11200-26400</t>
  </si>
  <si>
    <t>HT-1200 and Ashley 1200</t>
  </si>
  <si>
    <t>8300-36000</t>
  </si>
  <si>
    <t>HT1200, Ashley 1200</t>
  </si>
  <si>
    <t>HT-2000 Standard/HT-2000 Deluxe/HT-2000</t>
  </si>
  <si>
    <t>11600-60300</t>
  </si>
  <si>
    <t>HT2000, Solution 3.4, Ashley 2000</t>
  </si>
  <si>
    <t>Monaco 2008</t>
  </si>
  <si>
    <t>11479-30450</t>
  </si>
  <si>
    <t>Monaco, Stafford, Solution 2.5, Waterloo, Lafayette</t>
  </si>
  <si>
    <t>Osburn 1100, Osburn 1100-I</t>
  </si>
  <si>
    <t>11000-35000</t>
  </si>
  <si>
    <t>Osburn 1600, Osburn 1600-I, Ashley 4600, Forrester 4700</t>
  </si>
  <si>
    <t>Osburn 2400 B</t>
  </si>
  <si>
    <t>11900-40900</t>
  </si>
  <si>
    <t>Osburn 2400-I, Osburn 2400 FS</t>
  </si>
  <si>
    <t>S244, Pyropak, Osburn 900</t>
  </si>
  <si>
    <t>XTD1.5, XTD1.5-I, Solution 1.8, Solution 1.8-I, Escape 1400-I</t>
  </si>
  <si>
    <t>Stove Builder International, Inc.</t>
  </si>
  <si>
    <t>Apollo, Apollo II</t>
  </si>
  <si>
    <t>10600-24700</t>
  </si>
  <si>
    <t>Caddy</t>
  </si>
  <si>
    <t>12000-52100</t>
  </si>
  <si>
    <t>CW2500, Solution 2.0-I</t>
  </si>
  <si>
    <t>9600-57800</t>
  </si>
  <si>
    <t>Eurostar, Osburn 5000</t>
  </si>
  <si>
    <t>10301-30456</t>
  </si>
  <si>
    <t>FP-8, Saguenay</t>
  </si>
  <si>
    <t>10900-36900</t>
  </si>
  <si>
    <t>FP-9i</t>
  </si>
  <si>
    <t>FW2470</t>
  </si>
  <si>
    <t>12000-28500</t>
  </si>
  <si>
    <t>FW2700</t>
  </si>
  <si>
    <t>11000-69500</t>
  </si>
  <si>
    <t>Le Chancelier, NXT-1 and Solution 2.9, Glencoe 2.1</t>
  </si>
  <si>
    <t>11900-29400</t>
  </si>
  <si>
    <t>LeBachelier</t>
  </si>
  <si>
    <t>11800-24500</t>
  </si>
  <si>
    <t>Legend, Baltic, Austral, Myriad, Azimuth, 2300, Magnolia 2015</t>
  </si>
  <si>
    <t>11500-30800</t>
  </si>
  <si>
    <t>Mini-Caddy, Siera 140</t>
  </si>
  <si>
    <t>Model HE-1800, XE-1800 &amp; XTD-1.9</t>
  </si>
  <si>
    <t>New Generation NG 1800/Magnolia 2015</t>
  </si>
  <si>
    <t>Osburn 1800, Osburn 1800-I</t>
  </si>
  <si>
    <t>9700-36300</t>
  </si>
  <si>
    <t>Osburn 2200, Osburn 2200-I</t>
  </si>
  <si>
    <t>11700-30400</t>
  </si>
  <si>
    <t>Sahara, Kyle 2.0</t>
  </si>
  <si>
    <t>11000-25700</t>
  </si>
  <si>
    <t>XTD1.1, XE-1000, Solution 1.6</t>
  </si>
  <si>
    <t>9900-47300</t>
  </si>
  <si>
    <t>XVR-I, XLT-1, Classic, Eastwood 1800</t>
  </si>
  <si>
    <t>11400-27500</t>
  </si>
  <si>
    <t>XVR-II, XT-1400 adn XLT-II, Eastwood 1500, Jasper, Clyde 1.6</t>
  </si>
  <si>
    <t>11800-27300</t>
  </si>
  <si>
    <t>XVR-III, XLT-III, Eastwood, 1900, Millenia</t>
  </si>
  <si>
    <t>11900-34700</t>
  </si>
  <si>
    <t>Stuv S.A.</t>
  </si>
  <si>
    <t>30 Compact</t>
  </si>
  <si>
    <t>12129-16640</t>
  </si>
  <si>
    <t>Suburban Manufacturing Company</t>
  </si>
  <si>
    <t>Woodchief W6-88C, Woodmaster W6-88WC</t>
  </si>
  <si>
    <t>9500-42500</t>
  </si>
  <si>
    <t>TEC Enterprises</t>
  </si>
  <si>
    <t>2000 pellet stove</t>
  </si>
  <si>
    <t>11600-22500</t>
  </si>
  <si>
    <t>Thelin Company Inc.</t>
  </si>
  <si>
    <t>Little Gnome Pellet Stove</t>
  </si>
  <si>
    <t>3100-8400</t>
  </si>
  <si>
    <t>Providence, Providence Signature</t>
  </si>
  <si>
    <t>12839-35680</t>
  </si>
  <si>
    <t>Thelin T-4000</t>
  </si>
  <si>
    <t>9900-38400</t>
  </si>
  <si>
    <t>Thermic Distribution Europe</t>
  </si>
  <si>
    <t>Model S-33,H33,R33,33</t>
  </si>
  <si>
    <t>Thermic, Inc.</t>
  </si>
  <si>
    <t>Crossfire FS-1</t>
  </si>
  <si>
    <t>6900-39900</t>
  </si>
  <si>
    <t>Tianjin Berkeley Furniture Corporation</t>
  </si>
  <si>
    <t>TR 001</t>
  </si>
  <si>
    <t>9200-28300</t>
  </si>
  <si>
    <t>Travis Industries, Inc</t>
  </si>
  <si>
    <t>Avalon Cottage/Mission</t>
  </si>
  <si>
    <t>Flush Wood A Fireplace Insert</t>
  </si>
  <si>
    <t>Lopi Flawless Performance 380, 440</t>
  </si>
  <si>
    <t>6900-48700</t>
  </si>
  <si>
    <t>Lopi Sheffield</t>
  </si>
  <si>
    <t>10300-34400</t>
  </si>
  <si>
    <t>Travis Industries, Inc.</t>
  </si>
  <si>
    <t>ANSWER/LOPI PATRIOT/LOPI PARLOR, Republic1250 and Avalon Spokane, Avalon C</t>
  </si>
  <si>
    <t>Avalon 1000C2</t>
  </si>
  <si>
    <t>7300-47100</t>
  </si>
  <si>
    <t>Avalon 1196, Lopi 520/96, Flush Bay-96</t>
  </si>
  <si>
    <t>11300-43600</t>
  </si>
  <si>
    <t>Avalon 700</t>
  </si>
  <si>
    <t>9200-39100</t>
  </si>
  <si>
    <t>Avalon 901</t>
  </si>
  <si>
    <t>7500-45500</t>
  </si>
  <si>
    <t>Avalon 996</t>
  </si>
  <si>
    <t>9500-45600</t>
  </si>
  <si>
    <t>Avalon Olympic,Liberty, Freedom Bay n</t>
  </si>
  <si>
    <t>Avalon Pendelton 90/Pendelton 45</t>
  </si>
  <si>
    <t>Avalon Rainier 90/Rainier 45</t>
  </si>
  <si>
    <t>Avalon Spokane 1750 380-NT &amp; X-NT</t>
  </si>
  <si>
    <t>Cape Cod</t>
  </si>
  <si>
    <t>10749-39413</t>
  </si>
  <si>
    <t>Fireplace Xtrordinair 44 Elite</t>
  </si>
  <si>
    <t>Fireplace Xtrordinair Elite 36 Z.C. &amp; B.I.</t>
  </si>
  <si>
    <t>Fireplace Xtrordinair Model 36A</t>
  </si>
  <si>
    <t>10300-54700</t>
  </si>
  <si>
    <t>Flex-95 FL, LX, and FS</t>
  </si>
  <si>
    <t>10900-55300</t>
  </si>
  <si>
    <t>Flush Wood</t>
  </si>
  <si>
    <t>12084-29605</t>
  </si>
  <si>
    <t>Flushwood Plus</t>
  </si>
  <si>
    <t>12000-29600</t>
  </si>
  <si>
    <t>Flushwood Plus, LG Flushwood Insert</t>
  </si>
  <si>
    <t>8544-35278</t>
  </si>
  <si>
    <t>Leyden and Avalon Arbor</t>
  </si>
  <si>
    <t>LG Flushwood Insert</t>
  </si>
  <si>
    <t>LOPI 380-96</t>
  </si>
  <si>
    <t>9400-52800</t>
  </si>
  <si>
    <t>LOPI Answer/Patriot (Formerly Answer-NT)</t>
  </si>
  <si>
    <t>12000-41000</t>
  </si>
  <si>
    <t>Lopi Elan E1, E2</t>
  </si>
  <si>
    <t>11700-26300</t>
  </si>
  <si>
    <t>Lopi Elan-96</t>
  </si>
  <si>
    <t>12000-51400</t>
  </si>
  <si>
    <t>Lopi Endeavor, Lopi Revere , Lopi Republic 1750,</t>
  </si>
  <si>
    <t>Lopi Flex FS, FL, LX</t>
  </si>
  <si>
    <t>10900-31000</t>
  </si>
  <si>
    <t>Lopi Premiere Answer Series PA1, PA2, PA3, PA4,PA5</t>
  </si>
  <si>
    <t>8000-31500</t>
  </si>
  <si>
    <t>Lopi The Answer</t>
  </si>
  <si>
    <t>10500-63100</t>
  </si>
  <si>
    <t>Lopi X Fireplace Insert</t>
  </si>
  <si>
    <t>13600-29100</t>
  </si>
  <si>
    <t>Lopi X/96</t>
  </si>
  <si>
    <t>11600-53900</t>
  </si>
  <si>
    <t>Model 36 F</t>
  </si>
  <si>
    <t>11900-55000</t>
  </si>
  <si>
    <t>Model 44-A BI and Z.C.</t>
  </si>
  <si>
    <t>10700-75700</t>
  </si>
  <si>
    <t>Tri-Fab, Inc.</t>
  </si>
  <si>
    <t>SunRise P-48-H, P-48-L</t>
  </si>
  <si>
    <t>11700-25800</t>
  </si>
  <si>
    <t>SunRise P-54 &amp; SunRise PIL-8</t>
  </si>
  <si>
    <t>10600-26500</t>
  </si>
  <si>
    <t>SunRise P56</t>
  </si>
  <si>
    <t>10700-39700</t>
  </si>
  <si>
    <t>Tulikivi Oyj</t>
  </si>
  <si>
    <t>Tulikivi Maxi XV 2</t>
  </si>
  <si>
    <t>12058-38224</t>
  </si>
  <si>
    <t>Tulikivi MINI XV 1</t>
  </si>
  <si>
    <t>12100-38200</t>
  </si>
  <si>
    <t>7315-14033</t>
  </si>
  <si>
    <t>2000, SW2100</t>
  </si>
  <si>
    <t>11817-31713</t>
  </si>
  <si>
    <t>2500 ST</t>
  </si>
  <si>
    <t>11576-36295</t>
  </si>
  <si>
    <t>3000 (AFS7500), SW4100</t>
  </si>
  <si>
    <t>11624-38140</t>
  </si>
  <si>
    <t>3000 FT</t>
  </si>
  <si>
    <t>5500M, 5500XL, 5500XLT</t>
  </si>
  <si>
    <t>9126-27677</t>
  </si>
  <si>
    <t>6039, 6039 T, 6039 HF, 6039 TP, 6041</t>
  </si>
  <si>
    <t>8528-29921</t>
  </si>
  <si>
    <t>APS 1100B</t>
  </si>
  <si>
    <t>Ashley AFS24, King K3, cat., freestanding/insert</t>
  </si>
  <si>
    <t>10300-34600</t>
  </si>
  <si>
    <t>Ashley AHS2, AHS2B; King KHS2</t>
  </si>
  <si>
    <t>13700-34300</t>
  </si>
  <si>
    <t>Ashley C-92n</t>
  </si>
  <si>
    <t>11000-36900</t>
  </si>
  <si>
    <t>Ashley CAHF-2, Atlanta ACF-2, King MCF-2</t>
  </si>
  <si>
    <t>12800-38900</t>
  </si>
  <si>
    <t>ASHLEY NCA-1/KING KPS</t>
  </si>
  <si>
    <t>6500-23200</t>
  </si>
  <si>
    <t>Bay Insert 4500</t>
  </si>
  <si>
    <t>9600-30700</t>
  </si>
  <si>
    <t>Clayton Mfg Clay 60B, 70</t>
  </si>
  <si>
    <t>12100-54300</t>
  </si>
  <si>
    <t>Country Hearth 2200I</t>
  </si>
  <si>
    <t>27136-69000</t>
  </si>
  <si>
    <t>Forester Model 5824</t>
  </si>
  <si>
    <t>7775-15974</t>
  </si>
  <si>
    <t>Model 2500, SW3100</t>
  </si>
  <si>
    <t>Wonder Wood (Glass Front) 2921, Sears 143.8417</t>
  </si>
  <si>
    <t>12500-54600</t>
  </si>
  <si>
    <t>Wonder Wood 6000, 2821, Sears 143.8404</t>
  </si>
  <si>
    <t>9100-18700</t>
  </si>
  <si>
    <t>Campbell/Jacuzzi FW300005-FW300008 &amp; FW300019-FW300027</t>
  </si>
  <si>
    <t>CJW2000L02, JW2000L10, DW2000XXX and JW2000P10</t>
  </si>
  <si>
    <t>JW1500L10 and JW1500P10, FW1500, DW1500</t>
  </si>
  <si>
    <t>S27X/S28X &amp; FW27 Series, CJW1500L02,</t>
  </si>
  <si>
    <t>S27X/S28X &amp; FW27 Series, CJW1500L02, JW1500L10 and JW1500P10, FW1500, DW1</t>
  </si>
  <si>
    <t>Seville 1630, Stratton</t>
  </si>
  <si>
    <t>Vestal Manufacturing</t>
  </si>
  <si>
    <t>Vestal Fireplace Insert V-200-I, V-200-P, V-200-L</t>
  </si>
  <si>
    <t>11700-26500</t>
  </si>
  <si>
    <t>Vestal Radiant Heater V-100</t>
  </si>
  <si>
    <t>9400-27700</t>
  </si>
  <si>
    <t>Vogelzang International Corporation</t>
  </si>
  <si>
    <t>Durango TR001 and Model TR002</t>
  </si>
  <si>
    <t>11299-36089</t>
  </si>
  <si>
    <t>Highlander, Shiloh Insert, Model TR003</t>
  </si>
  <si>
    <t>9000-26300</t>
  </si>
  <si>
    <t>TR-004 Colonial</t>
  </si>
  <si>
    <t>TR007 Norwood, TR011 Norwood</t>
  </si>
  <si>
    <t>11913-34108</t>
  </si>
  <si>
    <t>TR-009 Performer</t>
  </si>
  <si>
    <t>TR-009B Performer</t>
  </si>
  <si>
    <t>Vogelzang International Incorporated</t>
  </si>
  <si>
    <t>Defender</t>
  </si>
  <si>
    <t>Wamsler Herd und Ofen GmbH</t>
  </si>
  <si>
    <t>HOK 10</t>
  </si>
  <si>
    <t>9200-16900</t>
  </si>
  <si>
    <t>Waterford Stanley Limited</t>
  </si>
  <si>
    <t>100B 90 32 RV</t>
  </si>
  <si>
    <t>100B 90 32 TV</t>
  </si>
  <si>
    <t>10800-32400</t>
  </si>
  <si>
    <t>100B Design 29</t>
  </si>
  <si>
    <t>7200-27500</t>
  </si>
  <si>
    <t>104 MK II 31</t>
  </si>
  <si>
    <t>8800-25900</t>
  </si>
  <si>
    <t>Ashling</t>
  </si>
  <si>
    <t>12000-29800</t>
  </si>
  <si>
    <t>Erin</t>
  </si>
  <si>
    <t>11800-41500</t>
  </si>
  <si>
    <t>Erin OA</t>
  </si>
  <si>
    <t>10400-30300</t>
  </si>
  <si>
    <t>Erin/90 TV</t>
  </si>
  <si>
    <t>10500-40900</t>
  </si>
  <si>
    <t>10200-39900</t>
  </si>
  <si>
    <t>Model 100B, 100B O.S.A., Leprechaun</t>
  </si>
  <si>
    <t>9000-26700</t>
  </si>
  <si>
    <t>Trinity 35</t>
  </si>
  <si>
    <t>11800-39300</t>
  </si>
  <si>
    <t>Trinity OA</t>
  </si>
  <si>
    <t>11500-43800</t>
  </si>
  <si>
    <t>Webco Industries</t>
  </si>
  <si>
    <t>Marquis 800, 800 XL</t>
  </si>
  <si>
    <t>Weitz &amp; Co., Inc.</t>
  </si>
  <si>
    <t>Briarwood BB, BBI and BBZC</t>
  </si>
  <si>
    <t>Briarwood II 87</t>
  </si>
  <si>
    <t>9900-45900</t>
  </si>
  <si>
    <t>Briarwood XE 88</t>
  </si>
  <si>
    <t>12800-34200</t>
  </si>
  <si>
    <t>Eagle 88, Pioneer ZC</t>
  </si>
  <si>
    <t>12800-22800</t>
  </si>
  <si>
    <t>Welenco Manufacturing, Inc.</t>
  </si>
  <si>
    <t>P-1000W</t>
  </si>
  <si>
    <t>9600-23900</t>
  </si>
  <si>
    <t>Weso-Aurorahautte GmbH</t>
  </si>
  <si>
    <t>Prestige 125, 225, 325, 425</t>
  </si>
  <si>
    <t>8900-31200</t>
  </si>
  <si>
    <t>Renaissance 326</t>
  </si>
  <si>
    <t>9200-32900</t>
  </si>
  <si>
    <t>Winrich International</t>
  </si>
  <si>
    <t>Winrich Pellet Stove</t>
  </si>
  <si>
    <t>8500-27900</t>
  </si>
  <si>
    <t>Winston Stove Company</t>
  </si>
  <si>
    <t>Model WP-18</t>
  </si>
  <si>
    <t>Model WP-24</t>
  </si>
  <si>
    <t>9700-29400</t>
  </si>
  <si>
    <t>Wiseway Pellet Stoves</t>
  </si>
  <si>
    <t>GW1949</t>
  </si>
  <si>
    <t>7481-19475</t>
  </si>
  <si>
    <t>Wittus Fire By Design</t>
  </si>
  <si>
    <t>Shaker Stove</t>
  </si>
  <si>
    <t>9667-29242</t>
  </si>
  <si>
    <t>XEOOS Twinfire</t>
  </si>
  <si>
    <t>Wolf Steel Ltd.</t>
  </si>
  <si>
    <t>1100 series ( Napoleon 1100, 1100L, 1100C, 1150, 1101)</t>
  </si>
  <si>
    <t>1400 series (Napoleon 1400, 1400L, 1450,1401)</t>
  </si>
  <si>
    <t>1600C-1</t>
  </si>
  <si>
    <t>9200-33400</t>
  </si>
  <si>
    <t>1900 series (Napoleon 1900)</t>
  </si>
  <si>
    <t>2100 series (Timberwolf)</t>
  </si>
  <si>
    <t>11238-37580</t>
  </si>
  <si>
    <t>2200 series (Timberwolf 2200, 2201)</t>
  </si>
  <si>
    <t>12084-31436</t>
  </si>
  <si>
    <t>EPA1600C</t>
  </si>
  <si>
    <t>12375-28127</t>
  </si>
  <si>
    <t>EPI22</t>
  </si>
  <si>
    <t>11129-31436</t>
  </si>
  <si>
    <t>EPI3</t>
  </si>
  <si>
    <t>11281-28500</t>
  </si>
  <si>
    <t>Napoleon 1000</t>
  </si>
  <si>
    <t>Napoleon 1500</t>
  </si>
  <si>
    <t>Napoleon 2000</t>
  </si>
  <si>
    <t>NPS45</t>
  </si>
  <si>
    <t>8827-29023</t>
  </si>
  <si>
    <t>8500-42500</t>
  </si>
  <si>
    <t>NZ25</t>
  </si>
  <si>
    <t>11200-32300</t>
  </si>
  <si>
    <t>NZ-26</t>
  </si>
  <si>
    <t>11500-27400</t>
  </si>
  <si>
    <t>NZ3000</t>
  </si>
  <si>
    <t>TPSI35</t>
  </si>
  <si>
    <t>11200-36000</t>
  </si>
  <si>
    <t>Wolf's Casual Living</t>
  </si>
  <si>
    <t>BV</t>
  </si>
  <si>
    <t>10800-35400</t>
  </si>
  <si>
    <t>Wolf's Stoves</t>
  </si>
  <si>
    <t>BV2 Elite Bay</t>
  </si>
  <si>
    <t>11700-46100</t>
  </si>
  <si>
    <t>Woodkiln Inc.</t>
  </si>
  <si>
    <t>Woodkiln WK-23</t>
  </si>
  <si>
    <t>10700-27200</t>
  </si>
  <si>
    <t>Woodstock Soapstone Company, Inc.</t>
  </si>
  <si>
    <t>Catalytic Fireview Soapstone Stove #201, Classic #200</t>
  </si>
  <si>
    <t>13200-40000</t>
  </si>
  <si>
    <t>Catalytic Fireview Soapstone Stove #205</t>
  </si>
  <si>
    <t>10900-42900</t>
  </si>
  <si>
    <t>Paladian Model 202, Paladian Model 203 &amp; Keystone Model 204</t>
  </si>
  <si>
    <t>Progress Hybrid Soapstone Stove #209</t>
  </si>
  <si>
    <t>12538-73171</t>
  </si>
  <si>
    <t>Yunca Heating</t>
  </si>
  <si>
    <t>Yunca WEGJ E/481</t>
  </si>
  <si>
    <t>10700-30300</t>
  </si>
  <si>
    <t>Zephyr Stoves, Inc.</t>
  </si>
  <si>
    <t>View 2.0</t>
  </si>
  <si>
    <t>10700-34800</t>
  </si>
  <si>
    <t>List of EPA Phase 2-Certified Outdoor Hydronic Heaters (OHHs)</t>
  </si>
  <si>
    <t>(Phase 2 "White Tag" Models as of May 14, 2012)</t>
  </si>
  <si>
    <t>Sierra-Calculated Fields</t>
  </si>
  <si>
    <t>Manufacturer</t>
  </si>
  <si>
    <t>Model</t>
  </si>
  <si>
    <r>
      <t>Heat Output Rating (BTU/hr)</t>
    </r>
    <r>
      <rPr>
        <vertAlign val="superscript"/>
        <sz val="11"/>
        <color theme="1"/>
        <rFont val="Calibri"/>
        <family val="2"/>
        <scheme val="minor"/>
      </rPr>
      <t>[1]</t>
    </r>
  </si>
  <si>
    <t>ER (g/hr)</t>
  </si>
  <si>
    <r>
      <t>EF (lb/mmBTU)</t>
    </r>
    <r>
      <rPr>
        <vertAlign val="superscript"/>
        <sz val="11"/>
        <color theme="1"/>
        <rFont val="Calibri"/>
        <family val="2"/>
        <scheme val="minor"/>
      </rPr>
      <t>[2]</t>
    </r>
  </si>
  <si>
    <t>Fuel Type</t>
  </si>
  <si>
    <t>Calculated EF (lb/mmBTU)</t>
  </si>
  <si>
    <t>Output Rank</t>
  </si>
  <si>
    <t>Calc. EF Rank</t>
  </si>
  <si>
    <t>Northwest Manufacturing, Inc. (Woodmaster)</t>
  </si>
  <si>
    <t>Flex-Fuel 30 KW indoor/outdoor</t>
  </si>
  <si>
    <t>stick wood; batch load</t>
  </si>
  <si>
    <t>wood pellets; continuous feed</t>
  </si>
  <si>
    <t>Flex-Fuel 60 KW indoor/outdoor</t>
  </si>
  <si>
    <t>Maxim M250</t>
  </si>
  <si>
    <t>Heatmor</t>
  </si>
  <si>
    <t>200 SSP</t>
  </si>
  <si>
    <t>Polar Furnace</t>
  </si>
  <si>
    <t>G3</t>
  </si>
  <si>
    <t>E-Classic 3200</t>
  </si>
  <si>
    <t>E-Classic 2400</t>
  </si>
  <si>
    <t>Aqua-Therm</t>
  </si>
  <si>
    <t>Kunzel PK-20</t>
  </si>
  <si>
    <t>Hawken Energy</t>
  </si>
  <si>
    <t>GX-10</t>
  </si>
  <si>
    <t>E-Classic 1450</t>
  </si>
  <si>
    <t>200 SSR II</t>
  </si>
  <si>
    <t>Mahoning Outdoor Furnace, Inc.</t>
  </si>
  <si>
    <t>Sky Series V</t>
  </si>
  <si>
    <t>HeatSource1</t>
  </si>
  <si>
    <t>Earth Energy Series 190</t>
  </si>
  <si>
    <t>G2</t>
  </si>
  <si>
    <t>AFS 900</t>
  </si>
  <si>
    <t>Hardy Manufacturing Company</t>
  </si>
  <si>
    <t>KBP 270</t>
  </si>
  <si>
    <t>Kunzel PK-10</t>
  </si>
  <si>
    <t>Nature's Comfort</t>
  </si>
  <si>
    <t>GT-6000</t>
  </si>
  <si>
    <t>Piney Manufacturing Limited</t>
  </si>
  <si>
    <t>Optimizer 250</t>
  </si>
  <si>
    <t>Greentech Manufacturing</t>
  </si>
  <si>
    <t>RS7400-E</t>
  </si>
  <si>
    <t>Pro-Fab Industries, Inc. / Northland Dist. &amp; Mfg. Inc.</t>
  </si>
  <si>
    <t>Empyre Elite 100 / Empyre Elite XT 100 / Pristine Series 1000</t>
  </si>
  <si>
    <t>Marway Welding</t>
  </si>
  <si>
    <t>Phase 2-200</t>
  </si>
  <si>
    <t>Wood Doctor</t>
  </si>
  <si>
    <t>WD-HE8000</t>
  </si>
  <si>
    <t>Steel Tech Inc. (Heatmaster SS)</t>
  </si>
  <si>
    <t>G200</t>
  </si>
  <si>
    <t>Pro-Fab Industries, Inc.</t>
  </si>
  <si>
    <t>Emprye Pro Series 200</t>
  </si>
  <si>
    <t>E-Classic 1400</t>
  </si>
  <si>
    <t>400 4S</t>
  </si>
  <si>
    <t>Earth Manufacturing</t>
  </si>
  <si>
    <t>Klear Sky 400</t>
  </si>
  <si>
    <t>Optimizer 350</t>
  </si>
  <si>
    <t>KB165</t>
  </si>
  <si>
    <t>KB220</t>
  </si>
  <si>
    <t>E-Classic 2300</t>
  </si>
  <si>
    <t>Empyre Elite 200 / Empyre Elite XT 200</t>
  </si>
  <si>
    <t>Empyre Pro Series 400</t>
  </si>
  <si>
    <t>HE-5000</t>
  </si>
  <si>
    <t>Notes:</t>
  </si>
  <si>
    <t>[1] Based on 8-hour test for stick wood models and 4-hour test for continuous feed models.</t>
  </si>
  <si>
    <t>[2] EPA Phase 2 qualified level is 0.32 pounds of fine particules per million BTU of heat output (weighted average representing the range of burn rates expected in a year) and a maximum individual test run of 18.0 grams per hour.  Typically, the maximum individual test run is the maximum heat output burn rate.</t>
  </si>
  <si>
    <t>Source:</t>
  </si>
  <si>
    <t xml:space="preserve">http://www.epa.gov/burnwise/owhhlist.html </t>
  </si>
  <si>
    <t>Linear Estimation Coefficients</t>
  </si>
  <si>
    <t>Phase 2 Certified OHHs - ER vs. Certified EF</t>
  </si>
  <si>
    <t>ER vs EF - Phase 2 OHHs</t>
  </si>
  <si>
    <t>Slope --&gt;</t>
  </si>
  <si>
    <t>&lt;-- Intcpt</t>
  </si>
  <si>
    <t>SEn --&gt;</t>
  </si>
  <si>
    <t>R2 --&gt;</t>
  </si>
  <si>
    <t>&lt;-- SEv</t>
  </si>
  <si>
    <t>F --&gt;</t>
  </si>
  <si>
    <t>&lt;-- DF</t>
  </si>
  <si>
    <t>SSreg --&gt;</t>
  </si>
  <si>
    <t>&lt;-- SSrsd</t>
  </si>
  <si>
    <t>ER Level</t>
  </si>
  <si>
    <t>Equiv EF</t>
  </si>
  <si>
    <t>(as of December 20, 2012)</t>
  </si>
  <si>
    <t>Phase 1 Orange Tag "Year Round" Models</t>
  </si>
  <si>
    <t>Annual Avg ER</t>
  </si>
  <si>
    <r>
      <t>Heat Input Annual Avg EL (lb/mmBTU)</t>
    </r>
    <r>
      <rPr>
        <vertAlign val="superscript"/>
        <sz val="11"/>
        <color theme="1"/>
        <rFont val="Calibri"/>
        <family val="2"/>
        <scheme val="minor"/>
      </rPr>
      <t>[2]</t>
    </r>
  </si>
  <si>
    <t>Heat Output Annual Avg EL (lb/mmBTU)</t>
  </si>
  <si>
    <t>Highest Individual Test Run</t>
  </si>
  <si>
    <t>Pro-Fab Industries Inc.</t>
  </si>
  <si>
    <t>Empyre Pro Series 200</t>
  </si>
  <si>
    <t>8.4 / 0.18 10,000 BTU heat output</t>
  </si>
  <si>
    <t>6.4 / 0.06 10,000 BTU heat output</t>
  </si>
  <si>
    <t>Piney Manufacturing Limited (Portage &amp; Main)</t>
  </si>
  <si>
    <t>5.33 / 0.18 10,000 BTU heat output</t>
  </si>
  <si>
    <t>Sequoya Paradise</t>
  </si>
  <si>
    <t>E3300B</t>
  </si>
  <si>
    <t>8.1 / 0.13 10,000 BTU heat output</t>
  </si>
  <si>
    <t>E-Classic 1200</t>
  </si>
  <si>
    <t>7.5 / 0.15 10,000 BTU heat output</t>
  </si>
  <si>
    <t>Converter</t>
  </si>
  <si>
    <t>20.3 /0.33 10,000 BTU heat output</t>
  </si>
  <si>
    <t>400 SSR</t>
  </si>
  <si>
    <t>31.3 / 0.29 10,000 BTU heat output</t>
  </si>
  <si>
    <t>200 SSR</t>
  </si>
  <si>
    <t>20.3 / 0.42 10,000 BTU heat output</t>
  </si>
  <si>
    <t>Bigheat Resources</t>
  </si>
  <si>
    <t>BH500 Eco Energy</t>
  </si>
  <si>
    <t>19.07 / 0.323 10,000 BTU heat output</t>
  </si>
  <si>
    <t>KB175</t>
  </si>
  <si>
    <t>16.3 0.31 10,000 BTU heat output</t>
  </si>
  <si>
    <r>
      <t xml:space="preserve">Greenwood Technologies </t>
    </r>
    <r>
      <rPr>
        <vertAlign val="superscript"/>
        <sz val="11"/>
        <color theme="1"/>
        <rFont val="Calibri"/>
        <family val="2"/>
        <scheme val="minor"/>
      </rPr>
      <t>[3]</t>
    </r>
  </si>
  <si>
    <t>15.205 / 1.090 10,000 BTU heat output</t>
  </si>
  <si>
    <t>E3400</t>
  </si>
  <si>
    <t>21.88 / 0.42 10,000 BTU heat output</t>
  </si>
  <si>
    <t>[2] EPA Phase 1 level is 0.60 lbs/million BTU. Emission levels are annual averages unless qualified for heating season use only.</t>
  </si>
  <si>
    <t>[3] These data are via the "cordwood exception," i.e., according to the ASTM cordwood method in lieu of EPA Method 28 OWHH.</t>
  </si>
  <si>
    <t>Phase 1 Orange Tag "Heating Season Only" Models</t>
  </si>
  <si>
    <t>11.58 / 0.25 10,000 BTU heat output</t>
  </si>
  <si>
    <t>6.59 / 0.21 10,000 BTU heat output</t>
  </si>
  <si>
    <t>8.6 / 0.08 10,000 BTU heat output</t>
  </si>
  <si>
    <t>Sequoyah Paradise</t>
  </si>
  <si>
    <t>8.5 / 0.13 10,000 BTU heat output</t>
  </si>
  <si>
    <t>9.1 / 0.17 10,000 BTU heat output</t>
  </si>
  <si>
    <t>26.8 / 0.48 10,000 BTU heat output</t>
  </si>
  <si>
    <t>Alternative Fuel Boilers</t>
  </si>
  <si>
    <t>EBW150</t>
  </si>
  <si>
    <t>14.14 / 0.576 10,000 BTU heat output</t>
  </si>
  <si>
    <t>Bioheat Resources</t>
  </si>
  <si>
    <t>28.54 / 0.478 10,000 BTU heat output</t>
  </si>
  <si>
    <t>Omega 100</t>
  </si>
  <si>
    <t>23.80 / 0.515 10,000 BTU heat output</t>
  </si>
  <si>
    <t>13.643 / 0.863 10,000 BTU heat output</t>
  </si>
  <si>
    <t>20.10 / 0.31 10,000 BTU heat output</t>
  </si>
  <si>
    <t xml:space="preserve">http://www.epa.gov/burnwise/owhharchive.html </t>
  </si>
  <si>
    <t>EPA Phase 2 Qualified Fireplaces*</t>
  </si>
  <si>
    <t>(May 2013)</t>
  </si>
  <si>
    <t>Model Name and Number</t>
  </si>
  <si>
    <r>
      <t>EF</t>
    </r>
    <r>
      <rPr>
        <b/>
        <vertAlign val="superscript"/>
        <sz val="11"/>
        <color rgb="FF000000"/>
        <rFont val="Calibri"/>
        <family val="2"/>
        <scheme val="minor"/>
      </rPr>
      <t>(1)</t>
    </r>
    <r>
      <rPr>
        <b/>
        <sz val="11"/>
        <color rgb="FF000000"/>
        <rFont val="Calibri"/>
        <family val="2"/>
        <scheme val="minor"/>
      </rPr>
      <t xml:space="preserve"> (g/kg)</t>
    </r>
  </si>
  <si>
    <t>Earthcore Industries, LLC</t>
  </si>
  <si>
    <t>Isokern Magnum 36</t>
  </si>
  <si>
    <t>Stick Wood</t>
  </si>
  <si>
    <t>Isokern Magnum 42</t>
  </si>
  <si>
    <t>Isokern Magnum 48</t>
  </si>
  <si>
    <t>Isokern Magnum 86072</t>
  </si>
  <si>
    <t>Isokern Standard Series 42C</t>
  </si>
  <si>
    <t>Isokern Standard Series 46C</t>
  </si>
  <si>
    <t>Standard Series 36C</t>
  </si>
  <si>
    <t>FMI Products, LLC</t>
  </si>
  <si>
    <t>CCAT36 (3)</t>
  </si>
  <si>
    <t>Low mass</t>
  </si>
  <si>
    <t>GCAT42(4)</t>
  </si>
  <si>
    <t>GCAT50 (2)</t>
  </si>
  <si>
    <t>Industrial Chimney Company, Inc.</t>
  </si>
  <si>
    <t>Renaissance Rumford 1000</t>
  </si>
  <si>
    <t>Renaissance Rumford 1000 CD</t>
  </si>
  <si>
    <t>Renaissance Rumford 1000 H</t>
  </si>
  <si>
    <t>Rumford Renaissance 1500</t>
  </si>
  <si>
    <t>Rumford Renaissance 1500 CD</t>
  </si>
  <si>
    <t>Solana</t>
  </si>
  <si>
    <t>Security Chimneys International</t>
  </si>
  <si>
    <t>HE43-2</t>
  </si>
  <si>
    <t>Antoinette FP-7CD</t>
  </si>
  <si>
    <t>FP-1 LM</t>
  </si>
  <si>
    <t>Frontenac FP-11</t>
  </si>
  <si>
    <t>Whitacre Greer</t>
  </si>
  <si>
    <t>MFR-100 Series</t>
  </si>
  <si>
    <t>(1) Units reflect grams of particulate emitted per kilogram of wood burned.</t>
  </si>
  <si>
    <t>(2) Qualified GCAT50 firebox available in fireplace series VGCAT50, GMCAT50, VGMCAT50, JCAT50, VJCAT50, WCMCAT50, JMCAT50, and VJMCAT50.</t>
  </si>
  <si>
    <t>(3) Qualified CCAT36 firebox available in fireplace series VCCAT36, SCAT36, and VSCAT36.</t>
  </si>
  <si>
    <t>(4) Qualified GCAT42 firebox available in fireplace series VGCAT42, GMCAT42, VGMCAT42, JCAT42, VJCAT42, WCMCAT42, JMCAT42, and VJMCAT42.</t>
  </si>
  <si>
    <t>EPA Phase 2 Qualified Fireplaces Retrofit Devices*</t>
  </si>
  <si>
    <t>Percent Reduction (2)</t>
  </si>
  <si>
    <t>Earth's Flame</t>
  </si>
  <si>
    <t>Hybrid Clean BurnTM System</t>
  </si>
  <si>
    <t>Retrofit Device</t>
  </si>
  <si>
    <t>72% (3)</t>
  </si>
  <si>
    <t>wood/gas</t>
  </si>
  <si>
    <t>Pure FireTM Catalytic Control System</t>
  </si>
  <si>
    <t>60% (4)</t>
  </si>
  <si>
    <t>stick wood</t>
  </si>
  <si>
    <t>(1) Units reflect grams of particulate matter emitted per kilogram of wood burned</t>
  </si>
  <si>
    <t>(2) Percent reduction in emissions compared to an existing fireplace that emits 12 grams/kg</t>
  </si>
  <si>
    <t>(3) As tested on the Heatilator E36 fireplace, results may vary for other fireplace models</t>
  </si>
  <si>
    <t>(4) As tested on the Craftsman 36 fireplace, results may vary for other fireplaces</t>
  </si>
  <si>
    <t>*The wood-burning appliances that are "qualified" under the EPA's Voluntary Fireplace Program are not "certified" per EPA's Wood Heater New Source Performance Standard. Contact your state or local air quality agency for clarification on the type of wood-burning appliances, if any, that may legally be installed in your area</t>
  </si>
  <si>
    <t>Energy Content Assumptions</t>
  </si>
  <si>
    <t>Fuel</t>
  </si>
  <si>
    <t>EC</t>
  </si>
  <si>
    <t>Units</t>
  </si>
  <si>
    <t>Energy Loads for Space Heating from CCHRC</t>
  </si>
  <si>
    <t>AP-42 Wood</t>
  </si>
  <si>
    <t>mmBTU/ton</t>
  </si>
  <si>
    <t>AP-42 residential wood document, c01s10.pdf</t>
  </si>
  <si>
    <t>Residential:</t>
  </si>
  <si>
    <t>BTU/DD-ft2-yr</t>
  </si>
  <si>
    <t>Fairbanks Wood - Oven Dry, 0% Moisture</t>
  </si>
  <si>
    <t>see Moisture sheet</t>
  </si>
  <si>
    <t>Commercial:</t>
  </si>
  <si>
    <t>Monthly</t>
  </si>
  <si>
    <t>Fairbanks Wood - Air Dry, 20% MC (Dry Basis)</t>
  </si>
  <si>
    <t>Month</t>
  </si>
  <si>
    <t>Avg HDD</t>
  </si>
  <si>
    <t>HDD Ratio</t>
  </si>
  <si>
    <t>Fairbanks Wood - Episode Avg Baseline, 36.5% MC (Dry)</t>
  </si>
  <si>
    <t>Fairbanks HDD:</t>
  </si>
  <si>
    <t>HDD/yr (base 65F)</t>
  </si>
  <si>
    <t>Fairbanks Wood - Jan/Feb Baseline, 36.1% MC (Dry)</t>
  </si>
  <si>
    <t>Daily Winter HDD:</t>
  </si>
  <si>
    <t>Fairbanks Wood - Nov Baseline, 36.9% MC (Dry)</t>
  </si>
  <si>
    <t>Daily Summer HDD:</t>
  </si>
  <si>
    <t>Fuel Oil #1</t>
  </si>
  <si>
    <t>BTU/gal</t>
  </si>
  <si>
    <t>CCHRC</t>
  </si>
  <si>
    <t>Reference Average Daily HDD:</t>
  </si>
  <si>
    <t>Fuel Oil #2</t>
  </si>
  <si>
    <t>North American Combustion Handbook (as referenced in http://en.wikipedia.org/wiki/Heating_oil#cite_note-1)</t>
  </si>
  <si>
    <t>Fuel Oil #1/#2 Weighted (76% #2 24% #1)*</t>
  </si>
  <si>
    <t>Fairbanks Community Research Quarterly</t>
  </si>
  <si>
    <t>Reference Daily Energy Loads (BTU/ft2-day)</t>
  </si>
  <si>
    <t>57% Fuel Oil #2 / 43% Kerosene Weighted</t>
  </si>
  <si>
    <t>assumed for portable heaters</t>
  </si>
  <si>
    <t>Winter</t>
  </si>
  <si>
    <t>Summer</t>
  </si>
  <si>
    <t>Kerosene</t>
  </si>
  <si>
    <t>http://www.generatorjoe.net/html/energy.html</t>
  </si>
  <si>
    <t>Propane</t>
  </si>
  <si>
    <t>Natural Gas</t>
  </si>
  <si>
    <t>BTU/ft3</t>
  </si>
  <si>
    <t>http://www.fngas.com/calculate.html</t>
  </si>
  <si>
    <t>Coal</t>
  </si>
  <si>
    <t>Days/Season:</t>
  </si>
  <si>
    <t>BTU/KWH</t>
  </si>
  <si>
    <t>* The EC number is based on a blend of #1 and #2 used under Fairbanks cold temps per this source</t>
  </si>
  <si>
    <t>Number of FNSB Households:</t>
  </si>
  <si>
    <t>(updated from 2010 Census)</t>
  </si>
  <si>
    <t>Wood Density:</t>
  </si>
  <si>
    <t>tons/cord, from Cord_Wood_Weight.xlsx</t>
  </si>
  <si>
    <t>Number of PM Area Households:</t>
  </si>
  <si>
    <t>(estimated from Jan-2012 parcel centroid data)</t>
  </si>
  <si>
    <t>Cost Assumptions</t>
  </si>
  <si>
    <t>Source</t>
  </si>
  <si>
    <t>Commercial Building Heating Splits by Fuel Type</t>
  </si>
  <si>
    <t>cord</t>
  </si>
  <si>
    <t>Fuel Oil:</t>
  </si>
  <si>
    <t>gal</t>
  </si>
  <si>
    <t>Natural Gas:</t>
  </si>
  <si>
    <t>assumed same as fuel oil</t>
  </si>
  <si>
    <t>10^2 ft3</t>
  </si>
  <si>
    <t>KwH</t>
  </si>
  <si>
    <t>Emission Factors -- OMNI Results Where Available (green shaded), OMNI factors based on oven dry (OD) weight, assume AP-42 factors are as well</t>
  </si>
  <si>
    <t>Combustion</t>
  </si>
  <si>
    <t>PM2.5</t>
  </si>
  <si>
    <t>Emission Factors (lb/mmBTU), EPA Method 5H Except Where Noted</t>
  </si>
  <si>
    <t>Wood-Burning Type</t>
  </si>
  <si>
    <t>Device Name</t>
  </si>
  <si>
    <t>SCC</t>
  </si>
  <si>
    <t>Efficiency</t>
  </si>
  <si>
    <t>Efficiency Source</t>
  </si>
  <si>
    <t>mg/MJ</t>
  </si>
  <si>
    <t>VOC</t>
  </si>
  <si>
    <t>NOX</t>
  </si>
  <si>
    <t>SO2</t>
  </si>
  <si>
    <t>PM10-PRI</t>
  </si>
  <si>
    <t>PM25-PRI</t>
  </si>
  <si>
    <t>NH3</t>
  </si>
  <si>
    <t>CO</t>
  </si>
  <si>
    <t>Emission Factor Source</t>
  </si>
  <si>
    <t>Fireplace, No Insert</t>
  </si>
  <si>
    <t>FP</t>
  </si>
  <si>
    <t>AP-42, www.epa.gov/ttnchie1/ap42/ch01/related/woodstove.pdf, Table 2.2-1</t>
  </si>
  <si>
    <t>AP-42, Table 1.9-1; for SO2, OMNI fuel S for spruce gave EF identical to AP42</t>
  </si>
  <si>
    <t>Fireplace, With Insert - Non-EPA Certified</t>
  </si>
  <si>
    <t>Ins-Conv</t>
  </si>
  <si>
    <t>Assumed equal to uncertified woodstove EFs</t>
  </si>
  <si>
    <t>Fireplace, With Insert - EPA Certified Non-Catalytic</t>
  </si>
  <si>
    <t>Ins-NonCat</t>
  </si>
  <si>
    <t>AP-42, www.epa.gov/ttnchie1/ap42/ch01/related/woodstoveapp.pdf, Table 3 for PM Efs,</t>
  </si>
  <si>
    <t>Fireplace, With Insert - EPA Certified Catalytic</t>
  </si>
  <si>
    <t>Ins-Cat</t>
  </si>
  <si>
    <t>AP-42, www.epa.gov/ttnchie1/ap42/ch01/related/woodstoveapp.pdf, Table 3 for PM Efs</t>
  </si>
  <si>
    <t>Woodstove - Non-EPA Certified</t>
  </si>
  <si>
    <t>WS-Conv</t>
  </si>
  <si>
    <t>AP-42, www.epa.gov/ttnchie1/ap42/ch01/related/woodstove.pdf, Table 2.1-2</t>
  </si>
  <si>
    <t>AP-42, Table 1.10-1 for VOC&amp;SO2; all others use avg of OMNI runs 14 and 15, conventional wood stove, spruce and birch, low firing rate</t>
  </si>
  <si>
    <t>Woodstove - EPA Certified Non-Catalytic</t>
  </si>
  <si>
    <t>WS-NonCat</t>
  </si>
  <si>
    <t>AP-42, Table 1.10-1, assumed Phase II (1990 stds) for VOC&amp;SO2; all others use avg of OMNI runs 5&amp;6 for birch&amp;spruce EPA (noncat) woodstove at low firing rate</t>
  </si>
  <si>
    <t>Woodstove - EPA Certified Catalytic</t>
  </si>
  <si>
    <t>WS-Cat</t>
  </si>
  <si>
    <t>same as immediately above, except that the OMNI avgs for PM10 and PM2.5 are scaled by the same ratio of cat to noncat (16.2/14.6) as used by TRC</t>
  </si>
  <si>
    <t>Pellet Stove (Exempt)</t>
  </si>
  <si>
    <t>PS-Exempt</t>
  </si>
  <si>
    <t>AP-42, Table 1.10-5</t>
  </si>
  <si>
    <t>AP-42, Table 1.10-1for VOC; all others OMNI run #1, pellet stove, except SO2 which is based on dry pellet S content from OMNI</t>
  </si>
  <si>
    <t>Pellet Stove (EPA Certified)</t>
  </si>
  <si>
    <t>PS-EPACert</t>
  </si>
  <si>
    <t>AP-42, www.epa.gov/ttnchie1/ap42/ch01/related/woodstove.pdf, Table 2</t>
  </si>
  <si>
    <t>OWB (Hydronic Heater) - 80/20 Unqual/Phase 2 Wtd</t>
  </si>
  <si>
    <t>OWBWtd</t>
  </si>
  <si>
    <t>EPA/NY per wood_stoves.xls</t>
  </si>
  <si>
    <t>80% / 20% weighting of OWB and OWB-Ph2</t>
  </si>
  <si>
    <t>OWB (Hydronic Heater) - Unqualified</t>
  </si>
  <si>
    <t>OWB</t>
  </si>
  <si>
    <t>EPA/NY per wood_stoves.xls for VOC&amp;SO2; others from avg of OMNI runs 30&amp;32, OWHH, birch&amp;spruce, low firing rate (note - CO is a lower limit, instrument pegged), OMNI's dry S content for spruce gave EF identical to AP42</t>
  </si>
  <si>
    <t>OWB (Hydronic Heater) - Phase 1</t>
  </si>
  <si>
    <t>OWB-Ph1</t>
  </si>
  <si>
    <t>set rates for VOC to those for woodstoves; others from avg of OMNI runs 9 and 11, spruce&amp;birch, EPA qualified OWHH, low firing rate, but for PM and CO scaled by TRC's ratio for phase 1 and 2; SO2 based on OMNI's S content of dry spruce</t>
  </si>
  <si>
    <t>OWB (Hydronic Heater) - Phase 2</t>
  </si>
  <si>
    <t>OWB-Ph2</t>
  </si>
  <si>
    <t>Emission Factors (lb/mmBTU)</t>
  </si>
  <si>
    <t>Other Heating Types</t>
  </si>
  <si>
    <t>Central Oil (Weighted # 1 &amp; #2), Residential</t>
  </si>
  <si>
    <t>COil-Res</t>
  </si>
  <si>
    <t>EIA</t>
  </si>
  <si>
    <t>Fuel Oil #1&amp;2</t>
  </si>
  <si>
    <t>lb/1000 gal</t>
  </si>
  <si>
    <t>EPA, AP-42 Table 1.3-1 for VOC and (with OMNI fuel S content) for SO2; all others OMNI run#17, SWRI for fuel (lower) heating value, AP-42 for fuel oil density</t>
  </si>
  <si>
    <t>Central Oil (#1 distillate), Residential</t>
  </si>
  <si>
    <t>COil-Res1</t>
  </si>
  <si>
    <t>Central Oil (#2 distillate), Residential</t>
  </si>
  <si>
    <t>COil-Res2</t>
  </si>
  <si>
    <t>Central Oil (Weighted # 1 &amp; #2), Commercial</t>
  </si>
  <si>
    <t>COil-Com</t>
  </si>
  <si>
    <t>2103004001</t>
  </si>
  <si>
    <t>EPA, AP-42 Table 1.3-1 for Nox; for all others, assume same as above</t>
  </si>
  <si>
    <t>Portable: 43% Kerosene &amp; 57% Fuel Oil</t>
  </si>
  <si>
    <t>Prtbl</t>
  </si>
  <si>
    <t>Kero/FO</t>
  </si>
  <si>
    <t>Emission rates for portable heating devices using kerosene/fuel oil #2 blend assumed equal to central oil (on #2) in absence of actual data; except SO2, NH3 and CO, assumed same as above</t>
  </si>
  <si>
    <t>Direct Vent</t>
  </si>
  <si>
    <t>DVOil</t>
  </si>
  <si>
    <t>Emission rates for DV devices using Heating Oil #1 assumed equal to central oil (on #2) in absence of actual data; except SO2, NH3 and CO assumed same as above</t>
  </si>
  <si>
    <t>Natural Gas - Residential</t>
  </si>
  <si>
    <t>NtGas-Res</t>
  </si>
  <si>
    <t>lb/10^6 ft3</t>
  </si>
  <si>
    <t>EPA, AP-42 Tables 1.4-1 &amp; 1.4-2 for all but NH3, EPA/Pechan for NH3</t>
  </si>
  <si>
    <t>Natural Gas - Commercial, small uncontrolled</t>
  </si>
  <si>
    <t>NtGas-Com</t>
  </si>
  <si>
    <t>Coal Boiler (bituminous/subbituminous, hand-fed)</t>
  </si>
  <si>
    <t>CoalHt</t>
  </si>
  <si>
    <t>NY per wood_stoves.xls</t>
  </si>
  <si>
    <t>lb/ton</t>
  </si>
  <si>
    <t>EPA, AP-42:  Table 1.1-19 for VOC and (w. Usibelli S content) SO2; OMNI runs 21, 23, 37&amp;38 for all other, coal stove, wet&amp;dry stoker and lump coal, low firing rate</t>
  </si>
  <si>
    <t>Waste Oil Burning</t>
  </si>
  <si>
    <t>WasteOil</t>
  </si>
  <si>
    <t>2102012000</t>
  </si>
  <si>
    <t>EPA, AP-42 Table 1.11-1 for VOC; all others OMNI run#18, SWRI for heating value, AP-42 for No. 2 fuel oil density</t>
  </si>
  <si>
    <t>Muni Heat</t>
  </si>
  <si>
    <t>Comparison of Space Heating Fuel/Device Emission Rates on an Equivalent Net Energy Basis -- OMNI Rates Where Available</t>
  </si>
  <si>
    <t>Wood on Oven Dry Basis (0% MC)</t>
  </si>
  <si>
    <t>Net</t>
  </si>
  <si>
    <t>Emission Factors (lb/net mmBTU)</t>
  </si>
  <si>
    <t>Device</t>
  </si>
  <si>
    <t>Gas</t>
  </si>
  <si>
    <t>Wood on "Dry"Basis (20% MC)</t>
  </si>
  <si>
    <t>Comparison of Space Heating Fuel/Device Emission Rates on an Equivalent Net Energy Basis</t>
  </si>
  <si>
    <t>Baseline Wood Moisture Basis (36.5% MC)</t>
  </si>
  <si>
    <t>Fairbanks Wood - CCHRC Sample, 26.6% Avg MC (Dry)</t>
  </si>
  <si>
    <t>Fairbanks Wood - Jan/Feb Baseline, 49.8% MC (Dry)</t>
  </si>
  <si>
    <t>Fairbanks Wood - Nov Baseline, 53.9% MC (Dry)</t>
  </si>
  <si>
    <t>Fuel Oil #1/#2 Weighted*</t>
  </si>
  <si>
    <t>http://www.usibelli.com/Coal_data.asp</t>
  </si>
  <si>
    <t>tons/cord</t>
  </si>
  <si>
    <t>Emission Factors (lb/ton), EPA Method 5H Except Where Noted</t>
  </si>
  <si>
    <t>Emission Factors</t>
  </si>
  <si>
    <t>Emission Factors -- AP-42</t>
  </si>
  <si>
    <t>PM2.5 EF</t>
  </si>
  <si>
    <t>lb/mmBTU</t>
  </si>
  <si>
    <t>AP-42, Table 1.9-1</t>
  </si>
  <si>
    <t>Assumed equal to uncertified woodstove EFs from AP-42</t>
  </si>
  <si>
    <t>AP-42, www.epa.gov/ttnchie1/ap42/ch01/related/woodstoveapp.pdf, Table 3 for PM EFs</t>
  </si>
  <si>
    <t>AP-42, Table 1.10-1</t>
  </si>
  <si>
    <t>AP-42, Table 1.10-1, assumed Phase II (1990 stds)</t>
  </si>
  <si>
    <t>EPA/NY per wood_stoves.xls for PM, set rates for other pollutants to those for woodstoves</t>
  </si>
  <si>
    <t>EPA, AP-42 Table 1.3-1 for all but NH3, EPA/Pechan for NH3</t>
  </si>
  <si>
    <t>Emission rates for portable heating devices using kerosene/fuel oil #2 blend assumed equal to central oil (on #2) in absence of actual data</t>
  </si>
  <si>
    <t>Emission rates for DV devices using Heating Oil #1 assumed equal to central oil (on #2) in absence of actual data</t>
  </si>
  <si>
    <t>EPA, AP-42:  Table 1.1-3 for SOx, NOx, CO, Table 1.1-4 for PM, Table 1.1-19 for VOC, EPA/Pechan for NH3</t>
  </si>
  <si>
    <t>EPA, AP-42 Table 1.11-1 for all but NH3, EPA/Pechan for NH3</t>
  </si>
  <si>
    <t>2013 Tag Survey Woodstove/Insert ER (g/hr) Distribution</t>
  </si>
  <si>
    <t>Standard</t>
  </si>
  <si>
    <t>Pct Over</t>
  </si>
  <si>
    <t>Avg Over</t>
  </si>
  <si>
    <t>Avg Under</t>
  </si>
  <si>
    <t>2.0 g/hr:</t>
  </si>
  <si>
    <t>2.5 g/hr:</t>
  </si>
  <si>
    <t>Wood Device Replacement Levels Under Different Assumptions</t>
  </si>
  <si>
    <t>Slope</t>
  </si>
  <si>
    <t>Assumption</t>
  </si>
  <si>
    <t>FNSB WSCO</t>
  </si>
  <si>
    <t>WS/Ins</t>
  </si>
  <si>
    <t>Current (CY2012) replacement level</t>
  </si>
  <si>
    <t>Replace to cutpoint</t>
  </si>
  <si>
    <t>Replace to avg. below cutpoint</t>
  </si>
  <si>
    <t>Unq --&gt; Phase 2</t>
  </si>
  <si>
    <t>FNSB ESFBA</t>
  </si>
  <si>
    <t>State</t>
  </si>
  <si>
    <t>USEPA Certified Hydronic Heaters June 2017</t>
  </si>
  <si>
    <t>Model Number</t>
  </si>
  <si>
    <t>Recommended Fuel</t>
  </si>
  <si>
    <t>Annual Avg. Emission Rate (lb/mmBtu)</t>
  </si>
  <si>
    <t>Max Heat Output Rating (Btu/hr)</t>
  </si>
  <si>
    <t>8-hour Output Rating (BTU/hr)</t>
  </si>
  <si>
    <t>Annual Average Efficiency (%HHV)</t>
  </si>
  <si>
    <t>Annual Avg. Emission Rate (gr/hr)*</t>
  </si>
  <si>
    <t>Carbon Monoxide (required for certifications under the 2015 NSPS) g/hr</t>
  </si>
  <si>
    <t>Thermal Storage Required</t>
  </si>
  <si>
    <t>Recently added heaters in red italics</t>
  </si>
  <si>
    <t>*Not able to calculate (NAC) – the test method (EN 303-5) does not provide a process for calculating the annual average particulate emissions rate (grams/hr).</t>
  </si>
  <si>
    <t>Advanced Climate Technologies, LLC</t>
  </si>
  <si>
    <t>CP 500</t>
  </si>
  <si>
    <t>Pellets</t>
  </si>
  <si>
    <t>NAC*</t>
  </si>
  <si>
    <t>CP 850</t>
  </si>
  <si>
    <t>NAC</t>
  </si>
  <si>
    <t>CP 1000</t>
  </si>
  <si>
    <t xml:space="preserve"> CP 1700</t>
  </si>
  <si>
    <t>Alternate Heating Systems</t>
  </si>
  <si>
    <t xml:space="preserve">Wood Gun </t>
  </si>
  <si>
    <t>E155</t>
  </si>
  <si>
    <t>cord wood</t>
  </si>
  <si>
    <t>E-Classic</t>
  </si>
  <si>
    <t xml:space="preserve">E-Classic </t>
  </si>
  <si>
    <t>3250 IR</t>
  </si>
  <si>
    <t>Maxim</t>
  </si>
  <si>
    <t>M255P/M255PE</t>
  </si>
  <si>
    <t>Classic Edge</t>
  </si>
  <si>
    <t>DECTRA</t>
  </si>
  <si>
    <t>GARN</t>
  </si>
  <si>
    <t>WHS-2000H</t>
  </si>
  <si>
    <t>WHS-2000V</t>
  </si>
  <si>
    <t>WHS-1500H</t>
  </si>
  <si>
    <t>WHS-1500V</t>
  </si>
  <si>
    <t>WHS-1000H and WHS-1000V</t>
  </si>
  <si>
    <t>Earth Manufacturing, LLC</t>
  </si>
  <si>
    <t>Klear Sky</t>
  </si>
  <si>
    <t>Econoburn Boilers</t>
  </si>
  <si>
    <t>EBW</t>
  </si>
  <si>
    <t>200-170</t>
  </si>
  <si>
    <t>Effecta Energy Solutions</t>
  </si>
  <si>
    <t>Komplett III Light 20 KW</t>
  </si>
  <si>
    <t>pellets</t>
  </si>
  <si>
    <t>Komplett III Light 25 kW</t>
  </si>
  <si>
    <t>Komplett III Light 35 kW</t>
  </si>
  <si>
    <t>Smart 55</t>
  </si>
  <si>
    <t>Cord wood</t>
  </si>
  <si>
    <t>Smart 40</t>
  </si>
  <si>
    <t>ESIM</t>
  </si>
  <si>
    <t>USV</t>
  </si>
  <si>
    <t>100GS</t>
  </si>
  <si>
    <t>Evoworld, Inc</t>
  </si>
  <si>
    <t>HP 14</t>
  </si>
  <si>
    <t>P 28</t>
  </si>
  <si>
    <t>P 50</t>
  </si>
  <si>
    <t>P 100</t>
  </si>
  <si>
    <t>P 200</t>
  </si>
  <si>
    <t>Fröling Heizkessel- und Behälterbau Ges.m.b.H</t>
  </si>
  <si>
    <t>P4 Unit 8</t>
  </si>
  <si>
    <t>P4 Unit 15</t>
  </si>
  <si>
    <t>P4 Unit 20</t>
  </si>
  <si>
    <t>RHK AK 30</t>
  </si>
  <si>
    <t>wood chips</t>
  </si>
  <si>
    <t>P4 Unit 25</t>
  </si>
  <si>
    <t>P4 Unit 32</t>
  </si>
  <si>
    <t>P4 Unit 38</t>
  </si>
  <si>
    <t>P4 Unit 48</t>
  </si>
  <si>
    <t>P4 Unit 60</t>
  </si>
  <si>
    <t>P4 Unit 80</t>
  </si>
  <si>
    <t>P4 Unit 100</t>
  </si>
  <si>
    <t>T4-130</t>
  </si>
  <si>
    <t xml:space="preserve">S3 Turbo 50 </t>
  </si>
  <si>
    <t>T4-150</t>
  </si>
  <si>
    <t>Greentech Manufacturing Inc.</t>
  </si>
  <si>
    <t>RS7400E</t>
  </si>
  <si>
    <t>RS7200E</t>
  </si>
  <si>
    <t>RS7300E</t>
  </si>
  <si>
    <t>Hardy Manufacturing Co., Inc.</t>
  </si>
  <si>
    <t>KB</t>
  </si>
  <si>
    <t>GX Series</t>
  </si>
  <si>
    <t>GX 10</t>
  </si>
  <si>
    <t>GX15</t>
  </si>
  <si>
    <t>GX30</t>
  </si>
  <si>
    <t>400-4S</t>
  </si>
  <si>
    <t>X Series</t>
  </si>
  <si>
    <t>200X</t>
  </si>
  <si>
    <t>350X</t>
  </si>
  <si>
    <t>Heizomat Canada, Inc.</t>
  </si>
  <si>
    <t>Hydronic Specialty Supply, Inc.</t>
  </si>
  <si>
    <t>Drummer</t>
  </si>
  <si>
    <t>Drummer 35</t>
  </si>
  <si>
    <t>LMF Manufacturing Ltd.</t>
  </si>
  <si>
    <t xml:space="preserve">AHB-170P </t>
  </si>
  <si>
    <t>Mahoning Outdoor Furnace</t>
  </si>
  <si>
    <t>Mahoning Skye</t>
  </si>
  <si>
    <t>Series V</t>
  </si>
  <si>
    <t>Maine Energy Systems, LLC</t>
  </si>
  <si>
    <t>PE16</t>
  </si>
  <si>
    <t>PE32</t>
  </si>
  <si>
    <t>PE64</t>
  </si>
  <si>
    <t>PE/PES</t>
  </si>
  <si>
    <t>12-20</t>
  </si>
  <si>
    <t>PES</t>
  </si>
  <si>
    <t>25-32</t>
  </si>
  <si>
    <t>36-56</t>
  </si>
  <si>
    <t>EasyPell</t>
  </si>
  <si>
    <t xml:space="preserve">16-20kW </t>
  </si>
  <si>
    <t>Phase</t>
  </si>
  <si>
    <t>2-200</t>
  </si>
  <si>
    <t>Nature's Comfort LLC</t>
  </si>
  <si>
    <t>GT Series</t>
  </si>
  <si>
    <t>NBE Production</t>
  </si>
  <si>
    <t>Kedel</t>
  </si>
  <si>
    <t>RTB54</t>
  </si>
  <si>
    <t>RTB102</t>
  </si>
  <si>
    <t>RTB170</t>
  </si>
  <si>
    <t xml:space="preserve">NBE Production </t>
  </si>
  <si>
    <t xml:space="preserve"> RTB54</t>
  </si>
  <si>
    <t xml:space="preserve">Northwest Mfg Inc </t>
  </si>
  <si>
    <t>Woodmaster</t>
  </si>
  <si>
    <t>Ultra 30</t>
  </si>
  <si>
    <t xml:space="preserve">CleanFire 400 </t>
  </si>
  <si>
    <t>Mini Boiler</t>
  </si>
  <si>
    <t>Pellergy, LLC/Windhager Zentralheizung Technik GmbH</t>
  </si>
  <si>
    <t>Alpha-60</t>
  </si>
  <si>
    <t>Alpha-100</t>
  </si>
  <si>
    <t>Piney Manufacturing</t>
  </si>
  <si>
    <t>Optimizer</t>
  </si>
  <si>
    <t>350</t>
  </si>
  <si>
    <t xml:space="preserve">Enviro Chip </t>
  </si>
  <si>
    <t>Polar Furnace Manufacturing Inc.</t>
  </si>
  <si>
    <t xml:space="preserve">G-Class G2Plus </t>
  </si>
  <si>
    <t>Profab Industries</t>
  </si>
  <si>
    <t>Empire Elite</t>
  </si>
  <si>
    <t>200/XT200</t>
  </si>
  <si>
    <t>Smokeless Heat, LLC/Värmebaronen AB</t>
  </si>
  <si>
    <t>Pellmax UB</t>
  </si>
  <si>
    <t>Steel Tech, Inc.</t>
  </si>
  <si>
    <t>G Series</t>
  </si>
  <si>
    <t>G200-2</t>
  </si>
  <si>
    <t>G100</t>
  </si>
  <si>
    <t>G400</t>
  </si>
  <si>
    <t>Tarm USA, Inc.</t>
  </si>
  <si>
    <t>FHG</t>
  </si>
  <si>
    <t>20/30</t>
  </si>
  <si>
    <t>Tarm USA, Inc./ Fröling Heizkessel- und Behälterbau Ges.m.b.H</t>
  </si>
  <si>
    <t>Varmebaronen AB/ Smokeless Heat, LLC</t>
  </si>
  <si>
    <t>Pellmax</t>
  </si>
  <si>
    <t>200 UB</t>
  </si>
  <si>
    <t>Varmebaronen AB</t>
  </si>
  <si>
    <t>Vedolux</t>
  </si>
  <si>
    <t>Viessmann Holzheiztechnik GmbH</t>
  </si>
  <si>
    <t>Pyrot 150</t>
  </si>
  <si>
    <t>Pyrot 540</t>
  </si>
  <si>
    <t xml:space="preserve">     </t>
  </si>
  <si>
    <t>Pyrotec 390</t>
  </si>
  <si>
    <t>Pyrotec 530</t>
  </si>
  <si>
    <t>Pyrotec 720</t>
  </si>
  <si>
    <t>WEbiomass, Inc.</t>
  </si>
  <si>
    <t xml:space="preserve">Woodpecker </t>
  </si>
  <si>
    <t>Windhager Zentralheizung Technik GmbH</t>
  </si>
  <si>
    <t>BioWin 152</t>
  </si>
  <si>
    <t>BioWin 102</t>
  </si>
  <si>
    <t>BioWin 262</t>
  </si>
  <si>
    <t>Windhager, North America, LLC/Windhager Zentralheizung Technik GmbH</t>
  </si>
  <si>
    <t>BioWin 100</t>
  </si>
  <si>
    <t>BioWin 150</t>
  </si>
  <si>
    <t>BioWin 260</t>
  </si>
  <si>
    <t>BioWin 350</t>
  </si>
  <si>
    <t>BioWin 600</t>
  </si>
  <si>
    <t>Wood Boiler USA</t>
  </si>
  <si>
    <t xml:space="preserve">Pellet Burner Easy </t>
  </si>
  <si>
    <t>E4</t>
  </si>
  <si>
    <t>Blaze HE</t>
  </si>
  <si>
    <t>END of LIST</t>
  </si>
  <si>
    <t>HH Slope</t>
  </si>
  <si>
    <t>ER/EF Slope</t>
  </si>
  <si>
    <t>mmBTU</t>
  </si>
  <si>
    <t>North Pole</t>
  </si>
  <si>
    <t>Total</t>
  </si>
  <si>
    <t>Device Type</t>
  </si>
  <si>
    <t>Growth-Projected Only</t>
  </si>
  <si>
    <t>Inv-Based Energy Splits</t>
  </si>
  <si>
    <t>Baseline</t>
  </si>
  <si>
    <t>Device Counts (PM Non-Attainment Area)</t>
  </si>
  <si>
    <t>Percentage Device Splits, Wood Splits Normalized to Entire Wood Burning Sector</t>
  </si>
  <si>
    <t>Base</t>
  </si>
  <si>
    <t>1 - All Wood-Burning Devices</t>
  </si>
  <si>
    <t>1a - Fireplace (no insert)</t>
  </si>
  <si>
    <t>1b - Fireplace Insert</t>
  </si>
  <si>
    <t>1b.u - Fireplace Insert, Uncertified</t>
  </si>
  <si>
    <t>1b.n - Fireplace Insert, Certified Non-Catalytic</t>
  </si>
  <si>
    <t>1b.c - Fireplace Insert, Certified Catalytic</t>
  </si>
  <si>
    <t>1b.e - Fireplace Insert, Exempt Pellet</t>
  </si>
  <si>
    <t>1b.p - Fireplace Insert, Certified Pellet</t>
  </si>
  <si>
    <t>1c - Woodstove</t>
  </si>
  <si>
    <t>1c.u - Woodstove, Uncertified</t>
  </si>
  <si>
    <t>1c.n - Woodstove, Certified Non-Catalytic</t>
  </si>
  <si>
    <t>1c.c - Woodstove, Certified Catalytic</t>
  </si>
  <si>
    <t>1c.e - Woodstove, Exempt Pellet</t>
  </si>
  <si>
    <t>1c.p - Woodstove, Certified Pellet</t>
  </si>
  <si>
    <t>Sub-total, Stoves/Inserts (1b+1c)</t>
  </si>
  <si>
    <t xml:space="preserve">      1b/c.n+c+p - Certified (&gt;=1988) Stove/Insert</t>
  </si>
  <si>
    <t>1d - Outdoor Wood Boiler (OWB)</t>
  </si>
  <si>
    <t>1d/c - Unqualified OWBs</t>
  </si>
  <si>
    <t>1d/q - Phase 2 Qualified OWBs</t>
  </si>
  <si>
    <t>2 - Central Oil Furnace</t>
  </si>
  <si>
    <t>3 - Portable Heater</t>
  </si>
  <si>
    <t>4 - Direct Vent Heater</t>
  </si>
  <si>
    <t>5 - Natural Gas Heating</t>
  </si>
  <si>
    <t>6 - Coal Heat</t>
  </si>
  <si>
    <t>7 - Municipal Heat</t>
  </si>
  <si>
    <t>8 - Electric</t>
  </si>
  <si>
    <t>9 - Other</t>
  </si>
  <si>
    <t>All Devices</t>
  </si>
  <si>
    <t>Incremental Change from Previous Year</t>
  </si>
  <si>
    <t>Devices 1-6</t>
  </si>
  <si>
    <t>NA Area Households (Occupied)</t>
  </si>
  <si>
    <t>FNSB Residential Housing Sales (Total)</t>
  </si>
  <si>
    <t>FNSB New Residential Housing Construction</t>
  </si>
  <si>
    <t>FNSB Residential Resales (net difference)</t>
  </si>
  <si>
    <t>Growth-Projected + Existing Downward Trend in Uncertified Device Fractions</t>
  </si>
  <si>
    <t>Sub-Total of Devices 1-6</t>
  </si>
  <si>
    <t>Natural Device Turnover of Stoves/Inserts, Cumul</t>
  </si>
  <si>
    <t>Natural Device Turnover of Stoves/Inserts, Incr</t>
  </si>
  <si>
    <t>Remaining OHHs Eligible for WSCO</t>
  </si>
  <si>
    <t>Remaining Fireplaces Eligible for WSCO</t>
  </si>
  <si>
    <t>Remaining Coal Stoves Eligible for WSCO</t>
  </si>
  <si>
    <t>Remaining Uncert Stoves/Inserts Eligible for WSCO</t>
  </si>
  <si>
    <t>Remaining Cert Stoves/Inserts Eligible for WSCO</t>
  </si>
  <si>
    <t>Fraction of Certified Stove/Inserts over 2.5 g/hr:</t>
  </si>
  <si>
    <t>(from 2013 Tag Survey, sample of 67 certified stoves/inserts)</t>
  </si>
  <si>
    <t>TOTALS</t>
  </si>
  <si>
    <t>CCHRC, http://www.cchrc.org/sites/default/files/docs/masonry_heater.pdf</t>
  </si>
  <si>
    <t>Forecasted Residential Space Heating Device Counts in Fairbanks Non-Attainment Area -- Based on 2011-2015 HH Survey Data</t>
  </si>
  <si>
    <t>Summary of Space Heating Emissions and Energy Use by Device Averaged Across Each Modeling Episode</t>
  </si>
  <si>
    <t>Grid 3 Domain</t>
  </si>
  <si>
    <t>PM Non-Attainment Area</t>
  </si>
  <si>
    <t>Space Heating Emissions (tons/day)</t>
  </si>
  <si>
    <t>Avg Daily</t>
  </si>
  <si>
    <t>Fuel Use</t>
  </si>
  <si>
    <t>Episode</t>
  </si>
  <si>
    <t>Category</t>
  </si>
  <si>
    <t>E1</t>
  </si>
  <si>
    <t>Coal-Com</t>
  </si>
  <si>
    <t>Wood-Com</t>
  </si>
  <si>
    <t>E2</t>
  </si>
  <si>
    <t>Wtd Avg</t>
  </si>
  <si>
    <t>tons</t>
  </si>
  <si>
    <t>1000 gal</t>
  </si>
  <si>
    <t>mcf</t>
  </si>
  <si>
    <t>Lookup Areas</t>
  </si>
  <si>
    <t>Area</t>
  </si>
  <si>
    <t>Downtown</t>
  </si>
  <si>
    <t>Wainwright</t>
  </si>
  <si>
    <t>Airport</t>
  </si>
  <si>
    <t>Steese</t>
  </si>
  <si>
    <t>University</t>
  </si>
  <si>
    <t>FNSB Community Research Quarterly-Based Heating Fuel Energy Content, Heater Efficiency and Historical Prices</t>
  </si>
  <si>
    <t>Heater</t>
  </si>
  <si>
    <t>$/100,000</t>
  </si>
  <si>
    <t>Useful</t>
  </si>
  <si>
    <t>Historical Heating Oil Prices</t>
  </si>
  <si>
    <t>#2</t>
  </si>
  <si>
    <t>Gross Heat</t>
  </si>
  <si>
    <t>Unit</t>
  </si>
  <si>
    <t>Fuel Prices (November/December of indicated year)</t>
  </si>
  <si>
    <t>BTUs of</t>
  </si>
  <si>
    <t>BTUs per</t>
  </si>
  <si>
    <t>#1 Fuel Oil</t>
  </si>
  <si>
    <t>#2 Fuel Oil</t>
  </si>
  <si>
    <t>#1</t>
  </si>
  <si>
    <t>Content (BTU)</t>
  </si>
  <si>
    <t>MultYrAvg</t>
  </si>
  <si>
    <t>Useful Heat</t>
  </si>
  <si>
    <t>Dollar</t>
  </si>
  <si>
    <t>Average</t>
  </si>
  <si>
    <t>WtdComp</t>
  </si>
  <si>
    <t>Electricity</t>
  </si>
  <si>
    <t>/kWh</t>
  </si>
  <si>
    <t>Actual</t>
  </si>
  <si>
    <t>(1.330-1.400)</t>
  </si>
  <si>
    <t>(1.270-1.360)</t>
  </si>
  <si>
    <t>District Hot Water Heat</t>
  </si>
  <si>
    <t>/mmBTU</t>
  </si>
  <si>
    <t>(1.300-1.380)</t>
  </si>
  <si>
    <t>(1.260-1.310)</t>
  </si>
  <si>
    <t>District Steam Heat</t>
  </si>
  <si>
    <t>/1,000 lb</t>
  </si>
  <si>
    <t>(1.175-1.310)</t>
  </si>
  <si>
    <t>(1.110-1.280)</t>
  </si>
  <si>
    <t>Fuel Oil (common #2/#1 blend)</t>
  </si>
  <si>
    <t>/gal</t>
  </si>
  <si>
    <t>(1.220-1.320)</t>
  </si>
  <si>
    <t>(1.200-1.260)</t>
  </si>
  <si>
    <t>/mcf</t>
  </si>
  <si>
    <t>(1.770-1.870)</t>
  </si>
  <si>
    <t>(1.770-1.840)</t>
  </si>
  <si>
    <t>(2.500-2.610)</t>
  </si>
  <si>
    <t>(2.480-2.560)</t>
  </si>
  <si>
    <t>Wood, Pellet</t>
  </si>
  <si>
    <t>/ton</t>
  </si>
  <si>
    <t>lb/cord (at Baseline MC)</t>
  </si>
  <si>
    <t>(2.390-2.580)</t>
  </si>
  <si>
    <t>(2.380-2.550)</t>
  </si>
  <si>
    <t>Wood, Birch Cordwood</t>
  </si>
  <si>
    <t>/cord</t>
  </si>
  <si>
    <t>(2.640-2.730)</t>
  </si>
  <si>
    <t>(2.540-2.640)</t>
  </si>
  <si>
    <t>Wood, Spruce Cordwood</t>
  </si>
  <si>
    <t>(3.610-3.790)</t>
  </si>
  <si>
    <t>(3.630-3.770)</t>
  </si>
  <si>
    <t>Wood, Aspen Cordwood</t>
  </si>
  <si>
    <t>(2.680-2.750)</t>
  </si>
  <si>
    <t>(2.690-2.740)</t>
  </si>
  <si>
    <t>Wood, Cordwood Wtd. Avg.</t>
  </si>
  <si>
    <t>(2.980-3.060)</t>
  </si>
  <si>
    <t>(2.960-3.060)</t>
  </si>
  <si>
    <t>Coal, Stoker</t>
  </si>
  <si>
    <t>(3.890-3.950)</t>
  </si>
  <si>
    <t>(3.820-3.880)</t>
  </si>
  <si>
    <t>(4.010-4.080)</t>
  </si>
  <si>
    <t>(3.940-4.010)</t>
  </si>
  <si>
    <t>(3.850-3.960)</t>
  </si>
  <si>
    <t>(3.780-3.860)</t>
  </si>
  <si>
    <t>Electricity (distributed) price includes rate, customer change, RCA charge,cost of fuel adjustment charge</t>
  </si>
  <si>
    <t>0.293 Wh</t>
  </si>
  <si>
    <t>per BTU</t>
  </si>
  <si>
    <t>(3.720-3.850)</t>
  </si>
  <si>
    <t>(3.670-3.850)</t>
  </si>
  <si>
    <t>Wood energy content based on data for Interior Alaska species from George Sampson, Institute of Northern Forestry</t>
  </si>
  <si>
    <t>(2.280-2.400)</t>
  </si>
  <si>
    <t>(2.190-2.600)</t>
  </si>
  <si>
    <t>Natural gas price based on liquefied gas, trucked to Fairbanks or delivered by pipeline, includes rate, customer charge, RCA</t>
  </si>
  <si>
    <t>(2.050-2.410)</t>
  </si>
  <si>
    <t>(2.110-2.360)</t>
  </si>
  <si>
    <t>Propane price assumes delivery by truck to homes</t>
  </si>
  <si>
    <t>(2.600-2.770)</t>
  </si>
  <si>
    <t>(2.555-2.670)</t>
  </si>
  <si>
    <t>High</t>
  </si>
  <si>
    <t>Low</t>
  </si>
  <si>
    <t>Coal price assumes delivery to a downtown location</t>
  </si>
  <si>
    <t>Forecasted</t>
  </si>
  <si>
    <t>Local Species Splits</t>
  </si>
  <si>
    <t>At Baseline Moisture Content (36.4% db):</t>
  </si>
  <si>
    <t>Volume</t>
  </si>
  <si>
    <t>Mass</t>
  </si>
  <si>
    <t>Cordwood Species-Composite HHV:</t>
  </si>
  <si>
    <t>BTU/ton</t>
  </si>
  <si>
    <t>BTU/lb</t>
  </si>
  <si>
    <r>
      <rPr>
        <u/>
        <sz val="11"/>
        <color indexed="8"/>
        <rFont val="Calibri"/>
        <family val="2"/>
        <scheme val="minor"/>
      </rPr>
      <t>Note</t>
    </r>
    <r>
      <rPr>
        <sz val="11"/>
        <color indexed="8"/>
        <rFont val="Calibri"/>
        <family val="2"/>
        <scheme val="minor"/>
      </rPr>
      <t>:  Prices based on automatic delivery of 500 gallons of heating oil, without early payment discount.</t>
    </r>
  </si>
  <si>
    <t>Calculation of Wood Moisture and Other Wood Combustion Heating Loss Effects</t>
  </si>
  <si>
    <t>Equations:</t>
  </si>
  <si>
    <t>MCd (%, dry basis)  =  100 (wet weight - dry weight) / dry weight</t>
  </si>
  <si>
    <t>MCw (%, wet basis)  =  100 (wet weight - dry weight) / wet weight</t>
  </si>
  <si>
    <t>To convert MC wet basis to  MC dry basis:    MCd  =  100 x MCw / (100-MCw)</t>
  </si>
  <si>
    <t>To convert MC dry basis  to  MC wet basis:    MCw  =  100 x MCd / (100+MCd)</t>
  </si>
  <si>
    <t xml:space="preserve">Available Potential Heat =  </t>
  </si>
  <si>
    <t>HHV(OD) x (1 - MCw)</t>
  </si>
  <si>
    <t>where</t>
  </si>
  <si>
    <t>Assumptions:</t>
  </si>
  <si>
    <t xml:space="preserve">HHV(OD) = </t>
  </si>
  <si>
    <t>Higher Heating Value, Oven Dry (BTU/lb)</t>
  </si>
  <si>
    <t>Tw:</t>
  </si>
  <si>
    <t>°F</t>
  </si>
  <si>
    <t>Heat Losses</t>
  </si>
  <si>
    <t xml:space="preserve">APH = </t>
  </si>
  <si>
    <t>Available Potential Heat (BTU/lb)</t>
  </si>
  <si>
    <t>Ts:</t>
  </si>
  <si>
    <t xml:space="preserve">Fuel Moisture  =  </t>
  </si>
  <si>
    <t>MCw x [ 970 + (212-Tw) + (0.46 x (Ts-Tw)) ]</t>
  </si>
  <si>
    <t xml:space="preserve">MCw = </t>
  </si>
  <si>
    <t>Wood Moisture Content, wt basis (%)</t>
  </si>
  <si>
    <t>ExAir:</t>
  </si>
  <si>
    <t xml:space="preserve">Fuel Hydrogen  =  </t>
  </si>
  <si>
    <t>0.54 x (1-MCw) x [ 970 + (212-Tw) + (0.46 x (Ts-Tw)) ]</t>
  </si>
  <si>
    <t xml:space="preserve">Tw = </t>
  </si>
  <si>
    <r>
      <t>Temp of wood and air entering furnace (</t>
    </r>
    <r>
      <rPr>
        <sz val="11"/>
        <color theme="1"/>
        <rFont val="Calibri"/>
        <family val="2"/>
      </rPr>
      <t>°</t>
    </r>
    <r>
      <rPr>
        <sz val="11"/>
        <color theme="1"/>
        <rFont val="Calibri"/>
        <family val="2"/>
        <scheme val="minor"/>
      </rPr>
      <t>F)</t>
    </r>
  </si>
  <si>
    <t>ConvLoss:</t>
  </si>
  <si>
    <t xml:space="preserve">Dry Gases &amp; ExAir  =  </t>
  </si>
  <si>
    <t>(Ts-Tw) x (1-MCw) x [ (1.44 x ExAir) + 1.56]</t>
  </si>
  <si>
    <t xml:space="preserve">Ts = </t>
  </si>
  <si>
    <t>Temp of stack gases beyond heat recovery (°F)</t>
  </si>
  <si>
    <t xml:space="preserve">Conventional  =  </t>
  </si>
  <si>
    <t>APH x ConvLoss</t>
  </si>
  <si>
    <t xml:space="preserve">ExAir = </t>
  </si>
  <si>
    <t>Excess air (% volume)</t>
  </si>
  <si>
    <t>Complete combustion</t>
  </si>
  <si>
    <t xml:space="preserve">ConvLoss = </t>
  </si>
  <si>
    <t>Conventional heat loss factor (%)</t>
  </si>
  <si>
    <t xml:space="preserve">Recoverable Heat Energy =  </t>
  </si>
  <si>
    <t>APH - [Total Heat Losses]</t>
  </si>
  <si>
    <t>Available</t>
  </si>
  <si>
    <t>Potential</t>
  </si>
  <si>
    <t>Stack Gas Heat Losses (BTU/lb)</t>
  </si>
  <si>
    <t>Wt Relative</t>
  </si>
  <si>
    <t>Heat</t>
  </si>
  <si>
    <t>%BTU Red</t>
  </si>
  <si>
    <t>%BTU Incr to</t>
  </si>
  <si>
    <t>Dry Gases &amp;</t>
  </si>
  <si>
    <t>Recoverable Heat Energy</t>
  </si>
  <si>
    <t>MC Dry (%)</t>
  </si>
  <si>
    <t>to OD Wt</t>
  </si>
  <si>
    <t>MC Wet (%)</t>
  </si>
  <si>
    <t>(BTU/lb)</t>
  </si>
  <si>
    <t>vs. OD</t>
  </si>
  <si>
    <t>Match OD</t>
  </si>
  <si>
    <t>Moisture</t>
  </si>
  <si>
    <t>Hydrogen</t>
  </si>
  <si>
    <t>Excess Air</t>
  </si>
  <si>
    <t>Conventional</t>
  </si>
  <si>
    <t>(mmBTU/ton)</t>
  </si>
  <si>
    <t>Oven Dry (OD) ---&gt;</t>
  </si>
  <si>
    <t>Episode Wtd Avg ---&gt;</t>
  </si>
  <si>
    <t>Jan/Feb ---&gt;</t>
  </si>
  <si>
    <t>Nov ---&gt;</t>
  </si>
  <si>
    <t>Avg from 2011 CCHRC Inst Survey ---&gt;</t>
  </si>
  <si>
    <t>Dennis Used ---&gt;</t>
  </si>
  <si>
    <t>Adjustment to DMC BTUs ---&gt;</t>
  </si>
  <si>
    <t>Figure 1 above and equations from "How to Estimate Recoverable Heat Energy in Wood or Bark Fuels", US Dept of Agric., General Tech Report FPL 29, 1979</t>
  </si>
  <si>
    <t>&lt;--- From 2013 Tag Survey, on volumetric basis</t>
  </si>
  <si>
    <t>&lt;--- Calculated from 2013 Tag splits on mass basis using "Purchasing Firewood in Alaska" specie densities</t>
  </si>
  <si>
    <t>Calculation of Baseline Fairbanks Wood-Burning Device Moisture Content</t>
  </si>
  <si>
    <t>&lt;--- Compiled from FNSB timber sales provided by Alaska Deparment of Natural Resource, Division of Forestry</t>
  </si>
  <si>
    <t>Birch</t>
  </si>
  <si>
    <t>Spruce</t>
  </si>
  <si>
    <t>Composite</t>
  </si>
  <si>
    <t>Split Log %</t>
  </si>
  <si>
    <t>Whole Log %</t>
  </si>
  <si>
    <t>Usage:</t>
  </si>
  <si>
    <t>WB HH</t>
  </si>
  <si>
    <t>Moisture %</t>
  </si>
  <si>
    <t>&lt;--- Usage %</t>
  </si>
  <si>
    <t>HHV (BTU/lb OD):</t>
  </si>
  <si>
    <t>BTU/lb OD</t>
  </si>
  <si>
    <t>mmBTU/ton OD</t>
  </si>
  <si>
    <t>Wood-Burning Group</t>
  </si>
  <si>
    <t>Fraction</t>
  </si>
  <si>
    <t>Birch-split</t>
  </si>
  <si>
    <t>Birch-whole</t>
  </si>
  <si>
    <t>Spruce-split</t>
  </si>
  <si>
    <t>Spruce-whole</t>
  </si>
  <si>
    <t>Aspen-split</t>
  </si>
  <si>
    <t>Aspen-whole</t>
  </si>
  <si>
    <t>Buy Wood - Jan/Feb Burn</t>
  </si>
  <si>
    <t>Harvest Splits</t>
  </si>
  <si>
    <t>Buy Wood - Nov Burn</t>
  </si>
  <si>
    <t>Spring</t>
  </si>
  <si>
    <t>Fall</t>
  </si>
  <si>
    <t>Cut Own</t>
  </si>
  <si>
    <t>&lt;--- Average of 2011 CCHRC Wood Moisture Measurements from Instrumented Device Study</t>
  </si>
  <si>
    <t>Both (Buy &amp; Cut)</t>
  </si>
  <si>
    <t>All Wood-Burning Households - Jan/Feb</t>
  </si>
  <si>
    <t>All Wood-Burning Households - Nov</t>
  </si>
  <si>
    <t>Day-Weighted Average of E1 &amp; E2:</t>
  </si>
  <si>
    <t>BTU Factor Relative to Dry (20%) Wood:</t>
  </si>
  <si>
    <t>HH Survey</t>
  </si>
  <si>
    <t>Tag Survey</t>
  </si>
  <si>
    <t>Purch Survey</t>
  </si>
  <si>
    <t>Fractions</t>
  </si>
  <si>
    <t>Buy Wood</t>
  </si>
  <si>
    <t>Renormalized Buy/Cut</t>
  </si>
  <si>
    <t>Resulting Moisture Levels:</t>
  </si>
  <si>
    <t>Day-Wtd E1 &amp; E2 Avg</t>
  </si>
  <si>
    <t>BTU Factor Relative to Dry (20% MC):</t>
  </si>
  <si>
    <t xml:space="preserve">Measure:  </t>
  </si>
  <si>
    <t>Fairbanks Space Heating Oil Characteristics - Baseline</t>
  </si>
  <si>
    <t>Methodology Summary:</t>
  </si>
  <si>
    <t>- Local heating oil used for space heating reflects a blend of #1 and #2 distillate.</t>
  </si>
  <si>
    <r>
      <t xml:space="preserve">- </t>
    </r>
    <r>
      <rPr>
        <i/>
        <u/>
        <sz val="11"/>
        <color theme="1"/>
        <rFont val="Calibri"/>
        <family val="2"/>
        <scheme val="minor"/>
      </rPr>
      <t>Residential</t>
    </r>
    <r>
      <rPr>
        <i/>
        <sz val="11"/>
        <color theme="1"/>
        <rFont val="Calibri"/>
        <family val="2"/>
        <scheme val="minor"/>
      </rPr>
      <t xml:space="preserve"> #1 and #2 split based on responses from 2011-2015 Fairbanks Home Heating (HH) Survey.</t>
    </r>
  </si>
  <si>
    <r>
      <t xml:space="preserve">- </t>
    </r>
    <r>
      <rPr>
        <i/>
        <u/>
        <sz val="11"/>
        <color theme="1"/>
        <rFont val="Calibri"/>
        <family val="2"/>
        <scheme val="minor"/>
      </rPr>
      <t>Commercial</t>
    </r>
    <r>
      <rPr>
        <i/>
        <sz val="11"/>
        <color theme="1"/>
        <rFont val="Calibri"/>
        <family val="2"/>
        <scheme val="minor"/>
      </rPr>
      <t xml:space="preserve"> use assumed to be #1 distillate.</t>
    </r>
  </si>
  <si>
    <t>- Local #1 and #2 fuel sulfur content based on 2012 samples measured by SwRI.</t>
  </si>
  <si>
    <t>- Winter heating fuel use fraction (relative to annual) calculated from 2011-2015 HH Survey.</t>
  </si>
  <si>
    <t>Distillate Blend (%)</t>
  </si>
  <si>
    <t>Sulfur</t>
  </si>
  <si>
    <t>Winter vs. Annual</t>
  </si>
  <si>
    <t>Winter %</t>
  </si>
  <si>
    <t>Sector</t>
  </si>
  <si>
    <t>(ppm)</t>
  </si>
  <si>
    <t>Heating Fuel Use</t>
  </si>
  <si>
    <t>(Oct-Mar)</t>
  </si>
  <si>
    <t>Residential</t>
  </si>
  <si>
    <t>Heating Oil:</t>
  </si>
  <si>
    <t>Commercial</t>
  </si>
  <si>
    <t>Wood:</t>
  </si>
  <si>
    <t>Fuel Sulfur (ppm)</t>
  </si>
  <si>
    <t>Fuel/Sector</t>
  </si>
  <si>
    <t>Baseline Resid. Oil Blend</t>
  </si>
  <si>
    <t>Baseline Comm. Oil Blend</t>
  </si>
  <si>
    <t>All Wood Devices</t>
  </si>
  <si>
    <t>Tested Heating Oil Device PM2.5 Emission Factors (lb/mmBTU) vs. Fuel Sulfur (ppm)</t>
  </si>
  <si>
    <t>x S      +</t>
  </si>
  <si>
    <t>Predicted</t>
  </si>
  <si>
    <t>Without Implementation of this Measure</t>
  </si>
  <si>
    <t>- Set baseline nonattainment area heating energy use using average winter modeling episode day.</t>
  </si>
  <si>
    <t>- Scaled average winter day to annual day heating energy use based on 2011-2015 HH Survey data.</t>
  </si>
  <si>
    <t>- Calculate baseline annual emissions by affected fuel/sector using lb/mmBTU emission factors.</t>
  </si>
  <si>
    <t xml:space="preserve">  (Wood heating devices included to later account for price-based demand shift.)</t>
  </si>
  <si>
    <t>Affected Fuel/Sector (mmBTU/day)</t>
  </si>
  <si>
    <t>Wtr/Ann</t>
  </si>
  <si>
    <t>Annual</t>
  </si>
  <si>
    <t>Use (%)</t>
  </si>
  <si>
    <t>(12 mths)</t>
  </si>
  <si>
    <t>Residential Heating Oil</t>
  </si>
  <si>
    <t>Commercial Heating Oil</t>
  </si>
  <si>
    <t>All Wood Heating Devices</t>
  </si>
  <si>
    <t>Space Heating Emission Factors (lb/mmBTU)</t>
  </si>
  <si>
    <t>Residential Oil, Baseline</t>
  </si>
  <si>
    <t>Commercial Oil, Baseline</t>
  </si>
  <si>
    <t>With Implementation of this Measure</t>
  </si>
  <si>
    <t>Devices</t>
  </si>
  <si>
    <t>Factor</t>
  </si>
  <si>
    <t>All With</t>
  </si>
  <si>
    <t>% Obs</t>
  </si>
  <si>
    <t>No</t>
  </si>
  <si>
    <t>Yes</t>
  </si>
  <si>
    <t># Obs</t>
  </si>
  <si>
    <t>N/A</t>
  </si>
  <si>
    <t>Outdoor Pellet Boiler</t>
  </si>
  <si>
    <t>Non-Qualified OWB</t>
  </si>
  <si>
    <t>EPA Qualified OWB</t>
  </si>
  <si>
    <t>OWB Type (Q39)</t>
  </si>
  <si>
    <t>Per Equipped Household</t>
  </si>
  <si>
    <t>Mean</t>
  </si>
  <si>
    <t>Price of Natural Gas to Trigger Shift From Wood (Q77)</t>
  </si>
  <si>
    <t>#2 Oil</t>
  </si>
  <si>
    <t>#1 Oil</t>
  </si>
  <si>
    <t>Unknown</t>
  </si>
  <si>
    <t>Both, #2 Split</t>
  </si>
  <si>
    <t>Both, #1 Split</t>
  </si>
  <si>
    <t>Both (#1 and #2)</t>
  </si>
  <si>
    <t>Use #1 or #2 Heating Oil and Splits if Both (Q76)</t>
  </si>
  <si>
    <t>Fuel Oil</t>
  </si>
  <si>
    <t>Kerosene - No</t>
  </si>
  <si>
    <t>Kerosene - Yes</t>
  </si>
  <si>
    <t>Fuel Oil - No</t>
  </si>
  <si>
    <t>Fuel Oil - Yes</t>
  </si>
  <si>
    <t>Portable Heater Fuel Type (Q55 &amp; Q56)</t>
  </si>
  <si>
    <t>Not Using</t>
  </si>
  <si>
    <t>Occasional</t>
  </si>
  <si>
    <t>Eve&amp;WkEnd</t>
  </si>
  <si>
    <t>Weekend</t>
  </si>
  <si>
    <t>Day&amp;Eve</t>
  </si>
  <si>
    <t>Evening</t>
  </si>
  <si>
    <t>Daytime</t>
  </si>
  <si>
    <t>Refused</t>
  </si>
  <si>
    <t>Portable Heater Daily Use Profile, Winter (Q60)</t>
  </si>
  <si>
    <t>Municipal Heating Fuel Cost (dollars), Winter (Q74)</t>
  </si>
  <si>
    <t>Municipal Heating Fuel Cost (dollars), Annual (Q73)</t>
  </si>
  <si>
    <t>Coal Use (tons), Winter (Q71)</t>
  </si>
  <si>
    <t>Coal Use (tons), Annual (Q69)</t>
  </si>
  <si>
    <t>Natural Gas Heating Fuel Cost (dollars), Winter (Q67)</t>
  </si>
  <si>
    <t>Natural Gas Heating Fuel Cost (dollars), Annual (Q66)</t>
  </si>
  <si>
    <t>Direct Vent Heater Fuel Use (gallons), Winter (Q62)</t>
  </si>
  <si>
    <t>Direct Vent Heater Fuel Use (gallons), Annual (Q61)</t>
  </si>
  <si>
    <t>Portable Heater Fuel Use (gallons), Winter (Q58)</t>
  </si>
  <si>
    <t>Portable Heater Fuel Use (gallons), Annual (Q57)</t>
  </si>
  <si>
    <t>Central Oil Use (gallons), Winter (Q53)</t>
  </si>
  <si>
    <t>Central Oil Use (gallons), Annual (Q52)</t>
  </si>
  <si>
    <t>OWB Wood Use (cords), Winter (Q46)</t>
  </si>
  <si>
    <t>OWB Wood Use (cords), Annual (Q45)</t>
  </si>
  <si>
    <t>Fireplace Wood Use (cords), Winter (Q37)</t>
  </si>
  <si>
    <t>Fireplace Wood Use (cords), Annual (Q36)</t>
  </si>
  <si>
    <t>Stove/Insert Wood Use (pellets, tons), Winter (Q26)</t>
  </si>
  <si>
    <t>Stove/Insert Wood Use (pellets, tons), Annual (Q25)</t>
  </si>
  <si>
    <t>Stove/Insert Wood Use (cords), Winter (Q24)</t>
  </si>
  <si>
    <t>Stove/Insert Wood Use (cords), Annual (Q23)</t>
  </si>
  <si>
    <t>Wood Fireplace Cutting Permit Obtained (Q33)</t>
  </si>
  <si>
    <t>Both (Buy &amp; Cut Own)</t>
  </si>
  <si>
    <t>Buy</t>
  </si>
  <si>
    <t>Cut Own-multi response</t>
  </si>
  <si>
    <t>Wood Fireplace Wood Source (Q32)</t>
  </si>
  <si>
    <t>Wood Fireplace Daily Use Profile, Winter (Q31)</t>
  </si>
  <si>
    <t>Wood Stove/Insert Moisture Content (%) (Q21)</t>
  </si>
  <si>
    <t>Responding Households</t>
  </si>
  <si>
    <t>Wood Stove/Insert Seasoning (months) (Q20)</t>
  </si>
  <si>
    <t>Wood Stove/Insert Cutting Permit Obtained (Q19a)</t>
  </si>
  <si>
    <t>Wood Stove/Insert Wood Source (Q18)</t>
  </si>
  <si>
    <t>Wood Stove/Insert Daily Use Profile, Winter (Q17)</t>
  </si>
  <si>
    <t>Both</t>
  </si>
  <si>
    <t>Cord Wood</t>
  </si>
  <si>
    <t>Wood Stove/Insert Fuel Type (Q15)</t>
  </si>
  <si>
    <t>Non-Catalytic</t>
  </si>
  <si>
    <t>Wood Stove/Insert Catalyst Type (Q11b)</t>
  </si>
  <si>
    <t>15+ years</t>
  </si>
  <si>
    <t>10-15 years</t>
  </si>
  <si>
    <t>5-10 years</t>
  </si>
  <si>
    <t>1-5 years</t>
  </si>
  <si>
    <t>&lt;1 year</t>
  </si>
  <si>
    <t>Wood Stove/Insert Age, years (Q14)</t>
  </si>
  <si>
    <t>&gt;=1988 (Certified)</t>
  </si>
  <si>
    <t>&lt;1988 (Un-Certified)</t>
  </si>
  <si>
    <t>Wood Stove/Insert Installation Year / Cert Type (Q13)</t>
  </si>
  <si>
    <t>Wood Boiler</t>
  </si>
  <si>
    <t>Stove</t>
  </si>
  <si>
    <t>FP+Insert</t>
  </si>
  <si>
    <t>Fireplace</t>
  </si>
  <si>
    <t>Wood Burning Type (Q11)</t>
  </si>
  <si>
    <t>Other</t>
  </si>
  <si>
    <t>Muni. Heat</t>
  </si>
  <si>
    <t>Coal Heat</t>
  </si>
  <si>
    <t>Portable</t>
  </si>
  <si>
    <t>Central Oil</t>
  </si>
  <si>
    <t>Average Use by Type, Winter (October-March)</t>
  </si>
  <si>
    <t>% of Multi-Use HHs</t>
  </si>
  <si>
    <t>Use %</t>
  </si>
  <si>
    <t>Multiple Type Use %</t>
  </si>
  <si>
    <t>(1.0=Single)</t>
  </si>
  <si>
    <t>UseFactor</t>
  </si>
  <si>
    <t>Multiple Type Heating</t>
  </si>
  <si>
    <t>Household Heating Device Fractions by Type (Q2-Q8)</t>
  </si>
  <si>
    <t>Household Heating Device Counts by Type (Q2-Q8)</t>
  </si>
  <si>
    <t>2010 Census Household Weightings</t>
  </si>
  <si>
    <t>(Self-weighted by ZIP households)</t>
  </si>
  <si>
    <t>Survey Sample</t>
  </si>
  <si>
    <t>+Cell</t>
  </si>
  <si>
    <t>Overall</t>
  </si>
  <si>
    <t>No Zip</t>
  </si>
  <si>
    <t>Code</t>
  </si>
  <si>
    <t>Stat</t>
  </si>
  <si>
    <t>Parameter</t>
  </si>
  <si>
    <t>Zip-Wtd</t>
  </si>
  <si>
    <t>&gt;=2011</t>
  </si>
  <si>
    <t>Calendar Year Filter:</t>
  </si>
  <si>
    <t>TABULATIONS OF FAIRBANKS 2011-2015 HOME HEATING SURVEYS - ZIP WEIGHTED USING 2010 CENSUS (with cell HH adjustments)</t>
  </si>
  <si>
    <t>Energy Content (BTU/gal)</t>
  </si>
  <si>
    <t>PM2.5 (lb/1000 gal)</t>
  </si>
  <si>
    <t>PM2.5 (lb/mmBTU)</t>
  </si>
  <si>
    <t>Std Dev PM2.5 (mg/kg)</t>
  </si>
  <si>
    <t>PM2.5 (mg/kg)</t>
  </si>
  <si>
    <t>PM2.5 (mg/MJ)</t>
  </si>
  <si>
    <t>Table 40, N=3</t>
  </si>
  <si>
    <t>Cast Iron Boiler, Combustion Gas Recirculation (blue flame) Burner, Steady-State Operation</t>
  </si>
  <si>
    <t>Table 37, N=2</t>
  </si>
  <si>
    <t>Table 35, N=2</t>
  </si>
  <si>
    <t>Table 33, N=3</t>
  </si>
  <si>
    <t>Condensing Warm Air Furnace, Flame Retention Head Burner, Steady-State Operation (95% AFUE)</t>
  </si>
  <si>
    <t>Tested Heating Oil Device PM2.5 Emission Factors (lb/100 gal) vs. Fuel Sulfur (ppm)</t>
  </si>
  <si>
    <t>Table 27, N=3</t>
  </si>
  <si>
    <t>Table 26, N=3</t>
  </si>
  <si>
    <t>PM2.5 =</t>
  </si>
  <si>
    <t>Condensing Steel Boiler, Flame Retention Head Burner, Steady-State Operation</t>
  </si>
  <si>
    <t>Linear Eqn - PM2.5 (lb/mmBTU) vs. S (ppm):</t>
  </si>
  <si>
    <t>No Intercept</t>
  </si>
  <si>
    <t>With Intercept</t>
  </si>
  <si>
    <t>Table 15, N=2</t>
  </si>
  <si>
    <t>Table 13, N=3</t>
  </si>
  <si>
    <t>Table 11, N=3</t>
  </si>
  <si>
    <t>Warm Air Furnace, Flame Retention Head Burner, Steady-State Operation</t>
  </si>
  <si>
    <t>Table 2, N=3</t>
  </si>
  <si>
    <t>Table 10, N=3</t>
  </si>
  <si>
    <t>Cast Iron Boiler, Flame Retention Head Burner, Cyclic Operation</t>
  </si>
  <si>
    <t>Table 6, N=2</t>
  </si>
  <si>
    <t>Table 4, N=2</t>
  </si>
  <si>
    <t>Table 1, N=4</t>
  </si>
  <si>
    <t>Table 8, N=3</t>
  </si>
  <si>
    <t>Cast Iron Boiler, Flame Retention Head Burner, Steady-State Operation</t>
  </si>
  <si>
    <t>No. 2</t>
  </si>
  <si>
    <t>Device &amp; Data</t>
  </si>
  <si>
    <t>Tested Heating Oil Energy Content (BTU/gal) vs. Fuel Sulfur (ppm)</t>
  </si>
  <si>
    <t>ULS</t>
  </si>
  <si>
    <t>LS</t>
  </si>
  <si>
    <t>ASTM</t>
  </si>
  <si>
    <t>Average PM2.5 Emission Factors for Different Oil Devices and Sulfur Contents (extracted from report tables):</t>
  </si>
  <si>
    <t>Cast Iron Boiler, CGR Burner, Steady-State</t>
  </si>
  <si>
    <t>Condensing Warm Air Furnace, Steady-State</t>
  </si>
  <si>
    <t>Condensing Boiler</t>
  </si>
  <si>
    <t>Boiler</t>
  </si>
  <si>
    <t>Condensing Steel Boiler, Steady-State</t>
  </si>
  <si>
    <t>Furnace</t>
  </si>
  <si>
    <t>mg/kg</t>
  </si>
  <si>
    <t>Natural Gas-Fired Appliances</t>
  </si>
  <si>
    <t>Warm Air Furnace, Steady-State</t>
  </si>
  <si>
    <t>PM2.5 EFs</t>
  </si>
  <si>
    <t>S</t>
  </si>
  <si>
    <t>Condensing Furnace</t>
  </si>
  <si>
    <t>Cast Iron Boiler, Cyclic</t>
  </si>
  <si>
    <t>Conventional Furnace</t>
  </si>
  <si>
    <t>Cast Iron Boiler, Steady-State</t>
  </si>
  <si>
    <t>Conventional Boiler</t>
  </si>
  <si>
    <t>Conventional &amp; Condensing Oil-Fired Appliances</t>
  </si>
  <si>
    <t>Cast Iron Boiler, Flame Retention Head Burner</t>
  </si>
  <si>
    <t>R2</t>
  </si>
  <si>
    <t>Oil Device</t>
  </si>
  <si>
    <t>(BTU/gal)</t>
  </si>
  <si>
    <t xml:space="preserve"> (lb/1000 gal)</t>
  </si>
  <si>
    <t xml:space="preserve"> (lb/mmBTU)</t>
  </si>
  <si>
    <t>(mg/kg)</t>
  </si>
  <si>
    <t>(mg/MJ)</t>
  </si>
  <si>
    <t>Size</t>
  </si>
  <si>
    <t>Device/Operation</t>
  </si>
  <si>
    <t>PM (mg/kg) vs. S (ppm)</t>
  </si>
  <si>
    <t>Content</t>
  </si>
  <si>
    <t>Std Dev</t>
  </si>
  <si>
    <t>Sample</t>
  </si>
  <si>
    <t>Executive Summary Figures &amp; Tables:</t>
  </si>
  <si>
    <t>Energy</t>
  </si>
  <si>
    <t>From 2009 Brookhaven National Laboratory Report (BNL-91286-2009-IR)</t>
  </si>
  <si>
    <t>ULS:</t>
  </si>
  <si>
    <t>Total: All Combustor Types</t>
  </si>
  <si>
    <t>LEVEL4:</t>
  </si>
  <si>
    <t>No. 2:</t>
  </si>
  <si>
    <t>Distillate Oil</t>
  </si>
  <si>
    <t>LEVEL3:</t>
  </si>
  <si>
    <t>LEVEL2:</t>
  </si>
  <si>
    <t>Energy Content (BTU/gal):</t>
  </si>
  <si>
    <t>142 x S</t>
  </si>
  <si>
    <t>Stationary Source Fuel Combustion</t>
  </si>
  <si>
    <t>LEVEL1:</t>
  </si>
  <si>
    <t>Sulfur Content (ppm):</t>
  </si>
  <si>
    <t>PM-FIL</t>
  </si>
  <si>
    <t>SCC:</t>
  </si>
  <si>
    <t>Comm</t>
  </si>
  <si>
    <t>Resid</t>
  </si>
  <si>
    <t>Emission Factors (lb/1000 gal, except SO2 in lb/ton)</t>
  </si>
  <si>
    <t>Baseline Fairbanks Heating Oil Properties</t>
  </si>
  <si>
    <t>From EPA (WebFIRE, AP-42)</t>
  </si>
  <si>
    <t>EMISSION FACTORS FOR HEATING OIL (including ULS oil)</t>
  </si>
  <si>
    <t xml:space="preserve">Measure: </t>
  </si>
  <si>
    <t>Key Data Sources, Assumptions, Methods:</t>
  </si>
  <si>
    <t>Phase II Wood Heaters (Cert cordwood insert or stove):</t>
  </si>
  <si>
    <t>Residential Oil Devices (central, DV, portable):</t>
  </si>
  <si>
    <t>Other Residential Fuels:</t>
  </si>
  <si>
    <t>Commercial Oil:</t>
  </si>
  <si>
    <t>All Wood Devices:</t>
  </si>
  <si>
    <t>All Other Devices/Fuels:</t>
  </si>
  <si>
    <t>CheckSum:</t>
  </si>
  <si>
    <t>PM Non-Attainment Area Emission Factors (lb/mmBTU), Baseline MC</t>
  </si>
  <si>
    <t xml:space="preserve">  Total =</t>
  </si>
  <si>
    <t>Fairbanks Community Research Quarterly, 2016 Vol. 4 -- highest value in last 15 years (2007), to reflect projected new housing growth from Eielson F-35s:  243 in City of Fairbanks, 37 in City of North Pole, 704 in remainder of Borough, all assumed within nonattainment area</t>
  </si>
  <si>
    <t xml:space="preserve">  With fireplaces =</t>
  </si>
  <si>
    <t>Fairbanks Home Heating 2011-2015 Survey data  -- product of wood device and fireplace (of wood device) household fractions (38.5% x 5.5%) -- FNSB_2011-2015_HHSurvey_Unified_Tabulations_GIS_FPCorrections.xlsx, TabsAll</t>
  </si>
  <si>
    <t xml:space="preserve">  With outdoor hydronic heaters =</t>
  </si>
  <si>
    <t xml:space="preserve">Fairbanks Home Heating 2011-2015 Survey data -- product of wood device and outdoor wood boiler household fractions (38.5% x 5.4%); we use all OWB fractions here since the Borough already has an ordinance (21.28.020) that required new wood devices, including OWBs to be EPA-Certified -- FNSB_2011-2015_HHSurvey_Unified_Tabulations_GIS_FPCorrections.xlsx, TabsAll </t>
  </si>
  <si>
    <t>Annual number of new residences constructed within nonattainment area:</t>
  </si>
  <si>
    <t>New Residence Type</t>
  </si>
  <si>
    <t>Heating Device/Fuel</t>
  </si>
  <si>
    <t>Fireplaces</t>
  </si>
  <si>
    <t xml:space="preserve">[Compute first year emission reduction as the first year increase without </t>
  </si>
  <si>
    <t>implementation minus the first year increase with implementation of this</t>
  </si>
  <si>
    <t>measure.  In each succeeding year, the emission reduction equals the first year</t>
  </si>
  <si>
    <t>reduction x number of years since first year of implementation.]</t>
  </si>
  <si>
    <t xml:space="preserve">Starting Calendar Year: </t>
  </si>
  <si>
    <t>Heating Efficiency Factors</t>
  </si>
  <si>
    <t>Uncert</t>
  </si>
  <si>
    <t>Cert</t>
  </si>
  <si>
    <t>Fairbanks 2011-2015 Home Heating Survey Tabulations by 4 km Grid 2 Cell</t>
  </si>
  <si>
    <t>Minimum G2 Sample Size:</t>
  </si>
  <si>
    <t>Cells w/Min SS:</t>
  </si>
  <si>
    <t>%Cells w/Min SS:</t>
  </si>
  <si>
    <t>% NA Area Cells:</t>
  </si>
  <si>
    <t>Winter Season (Oct-Mar) Energy Use (BTUs) by Device</t>
  </si>
  <si>
    <t>G2 Occ HH</t>
  </si>
  <si>
    <t>G2 Cell</t>
  </si>
  <si>
    <t>WSCW</t>
  </si>
  <si>
    <t>WSPlt</t>
  </si>
  <si>
    <t>InsrtCrd</t>
  </si>
  <si>
    <t>InsrtPlt</t>
  </si>
  <si>
    <t>OWB-Adj</t>
  </si>
  <si>
    <t>Cntrl Oil</t>
  </si>
  <si>
    <t>DV Oil</t>
  </si>
  <si>
    <t>NtGas</t>
  </si>
  <si>
    <t>MnHt</t>
  </si>
  <si>
    <t>Weights</t>
  </si>
  <si>
    <t>132,138</t>
  </si>
  <si>
    <t>132,139</t>
  </si>
  <si>
    <t>133,136</t>
  </si>
  <si>
    <t>133,137</t>
  </si>
  <si>
    <t>133,140</t>
  </si>
  <si>
    <t>134,134</t>
  </si>
  <si>
    <t>134,136</t>
  </si>
  <si>
    <t>134,137</t>
  </si>
  <si>
    <t>134,139</t>
  </si>
  <si>
    <t>134,140</t>
  </si>
  <si>
    <t>135,134</t>
  </si>
  <si>
    <t>135,135</t>
  </si>
  <si>
    <t>135,136</t>
  </si>
  <si>
    <t>135,137</t>
  </si>
  <si>
    <t>135,138</t>
  </si>
  <si>
    <t>135,139</t>
  </si>
  <si>
    <t>135,141</t>
  </si>
  <si>
    <t>136,135</t>
  </si>
  <si>
    <t>136,136</t>
  </si>
  <si>
    <t>136,137</t>
  </si>
  <si>
    <t>136,138</t>
  </si>
  <si>
    <t>136,139</t>
  </si>
  <si>
    <t>137,136</t>
  </si>
  <si>
    <t>137,137</t>
  </si>
  <si>
    <t>137,138</t>
  </si>
  <si>
    <t>137,139</t>
  </si>
  <si>
    <t>137,140</t>
  </si>
  <si>
    <t>137,144</t>
  </si>
  <si>
    <t>138,136</t>
  </si>
  <si>
    <t>138,137</t>
  </si>
  <si>
    <t>138,138</t>
  </si>
  <si>
    <t>138,139</t>
  </si>
  <si>
    <t>138,140</t>
  </si>
  <si>
    <t>139,136</t>
  </si>
  <si>
    <t>139,137</t>
  </si>
  <si>
    <t>139,138</t>
  </si>
  <si>
    <t>139,139</t>
  </si>
  <si>
    <t>139,140</t>
  </si>
  <si>
    <t>139,143</t>
  </si>
  <si>
    <t>139,144</t>
  </si>
  <si>
    <t>140,136</t>
  </si>
  <si>
    <t>140,137</t>
  </si>
  <si>
    <t>140,138</t>
  </si>
  <si>
    <t>140,139</t>
  </si>
  <si>
    <t>140,140</t>
  </si>
  <si>
    <t>140,144</t>
  </si>
  <si>
    <t>141,135</t>
  </si>
  <si>
    <t>141,136</t>
  </si>
  <si>
    <t>141,137</t>
  </si>
  <si>
    <t>141,138</t>
  </si>
  <si>
    <t>141,139</t>
  </si>
  <si>
    <t>141,140</t>
  </si>
  <si>
    <t>141,145</t>
  </si>
  <si>
    <t>142,135</t>
  </si>
  <si>
    <t>142,136</t>
  </si>
  <si>
    <t>142,137</t>
  </si>
  <si>
    <t>142,138</t>
  </si>
  <si>
    <t>142,140</t>
  </si>
  <si>
    <t>143,134</t>
  </si>
  <si>
    <t>143,135</t>
  </si>
  <si>
    <t>143,136</t>
  </si>
  <si>
    <t>143,137</t>
  </si>
  <si>
    <t>143,138</t>
  </si>
  <si>
    <t>143,139</t>
  </si>
  <si>
    <t>144,133</t>
  </si>
  <si>
    <t>144,134</t>
  </si>
  <si>
    <t>144,135</t>
  </si>
  <si>
    <t>144,138</t>
  </si>
  <si>
    <t>145,132</t>
  </si>
  <si>
    <t>145,133</t>
  </si>
  <si>
    <t>145,137</t>
  </si>
  <si>
    <t>145,138</t>
  </si>
  <si>
    <t>145,147</t>
  </si>
  <si>
    <t>146,131</t>
  </si>
  <si>
    <t>146,133</t>
  </si>
  <si>
    <t>146,137</t>
  </si>
  <si>
    <t>146,138</t>
  </si>
  <si>
    <t>147,129</t>
  </si>
  <si>
    <t>147,132</t>
  </si>
  <si>
    <t>147,137</t>
  </si>
  <si>
    <t>147,138</t>
  </si>
  <si>
    <t>148,137</t>
  </si>
  <si>
    <t>148,138</t>
  </si>
  <si>
    <t>149,138</t>
  </si>
  <si>
    <t>Grand Total</t>
  </si>
  <si>
    <t>Low SS Total</t>
  </si>
  <si>
    <t>Winter Season (Oct-Mar) Energy Use Percentages by Device</t>
  </si>
  <si>
    <t>Percentages of Stove/Insert Technologies</t>
  </si>
  <si>
    <t>Cell Sample-Adjusted Percentages of Stove/Insert Technology Splits</t>
  </si>
  <si>
    <t>Uncertified</t>
  </si>
  <si>
    <t>Non-Cat</t>
  </si>
  <si>
    <t>Catalyst</t>
  </si>
  <si>
    <t>Residential Heating Device Group Allocation by Year</t>
  </si>
  <si>
    <t>Proxy Question Offset:</t>
  </si>
  <si>
    <t>&lt;-- Accounts for undercounted uncert. fraction in HH surveys</t>
  </si>
  <si>
    <t>Undercounted</t>
  </si>
  <si>
    <t>Curve Fit</t>
  </si>
  <si>
    <t>Estimated</t>
  </si>
  <si>
    <t>Curve Fit of Uncertified Wood Stove/InsertTrend from 2006-2015 Fairbanks Home Heating Surveys</t>
  </si>
  <si>
    <t>Device/Tech</t>
  </si>
  <si>
    <t>Census Wtd, Adj</t>
  </si>
  <si>
    <t>COil</t>
  </si>
  <si>
    <t>Winter Season (Oct-Mar) Energy Use Percentages by Device, ZIP Code-Adjusted for Cell Sample and Normalized by CCHRC Instrumentation Sample Devices</t>
  </si>
  <si>
    <t>Summed into CCHRC Device Groups</t>
  </si>
  <si>
    <t>Re-Normalized CCHRC Devices</t>
  </si>
  <si>
    <t>1-WS</t>
  </si>
  <si>
    <t>2-FP</t>
  </si>
  <si>
    <t>3-OWB</t>
  </si>
  <si>
    <t>4-COil</t>
  </si>
  <si>
    <t>5-DVOil</t>
  </si>
  <si>
    <t>InstDevTotal</t>
  </si>
  <si>
    <t>Counts of Specific Device Usage (and Valid Fuel Usage) by Device and ZIP Code</t>
  </si>
  <si>
    <t>2011-2015</t>
  </si>
  <si>
    <t>Survey</t>
  </si>
  <si>
    <t>Average Winter Daily Energy Use (BTUs/Day) by Household</t>
  </si>
  <si>
    <t>Average Winter Daily Energy Use (BTUs/Day) by Equipped Household</t>
  </si>
  <si>
    <t>Winter Season (Oct-Mar) Fuel Use by Device (Average of Households Where Device Used)</t>
  </si>
  <si>
    <t>WS-CW (tons)</t>
  </si>
  <si>
    <t>WS-Plts (tons)</t>
  </si>
  <si>
    <t>Insrt-CW (tons)</t>
  </si>
  <si>
    <t>Insrt-Plts (tons)</t>
  </si>
  <si>
    <t>FP-CW (tons)</t>
  </si>
  <si>
    <t>OWB-CW (tons)</t>
  </si>
  <si>
    <t>CentOil (gal)</t>
  </si>
  <si>
    <t>PtblHtr (gal)</t>
  </si>
  <si>
    <t>DVOil (gal)</t>
  </si>
  <si>
    <t>NatGas (ft3)</t>
  </si>
  <si>
    <t>Coal (tons)</t>
  </si>
  <si>
    <t>MunHt (kw-hr)</t>
  </si>
  <si>
    <t>Avg Wtr Day Use</t>
  </si>
  <si>
    <t>Needed Aggregations for Measure Benefit Calcs</t>
  </si>
  <si>
    <t>Uncertified Wood Heaters (cordwood insert or stove):</t>
  </si>
  <si>
    <t>Unqualified OHHs</t>
  </si>
  <si>
    <t>Phase 2 (Certified) OHHs</t>
  </si>
  <si>
    <t>Emission Benefits by Calendar Year:</t>
  </si>
  <si>
    <t>Calendar Year</t>
  </si>
  <si>
    <t>Starting Calendar Year:</t>
  </si>
  <si>
    <t>- Total and wood device-specific average household energy use estimated from 2011-2015 Home Heating Survey</t>
  </si>
  <si>
    <r>
      <t>- PM</t>
    </r>
    <r>
      <rPr>
        <i/>
        <vertAlign val="subscript"/>
        <sz val="11"/>
        <color theme="1"/>
        <rFont val="Calibri"/>
        <family val="2"/>
        <scheme val="minor"/>
      </rPr>
      <t>2.5</t>
    </r>
    <r>
      <rPr>
        <i/>
        <sz val="11"/>
        <color theme="1"/>
        <rFont val="Calibri"/>
        <family val="2"/>
        <scheme val="minor"/>
      </rPr>
      <t xml:space="preserve"> (and PM</t>
    </r>
    <r>
      <rPr>
        <i/>
        <vertAlign val="subscript"/>
        <sz val="11"/>
        <color theme="1"/>
        <rFont val="Calibri"/>
        <family val="2"/>
        <scheme val="minor"/>
      </rPr>
      <t>10</t>
    </r>
    <r>
      <rPr>
        <i/>
        <sz val="11"/>
        <color theme="1"/>
        <rFont val="Calibri"/>
        <family val="2"/>
        <scheme val="minor"/>
      </rPr>
      <t>) factors based on relative differences in emission factors from 2009 Brookhaven Lab study</t>
    </r>
  </si>
  <si>
    <t>Episodic</t>
  </si>
  <si>
    <t>Emission Benefits by Calendar Year</t>
  </si>
  <si>
    <t>Implmnt.</t>
  </si>
  <si>
    <t>Assumed Compliance Rate:</t>
  </si>
  <si>
    <t>- High-side estimate of annual new home sales in Borough to account for Eielson-related growth</t>
  </si>
  <si>
    <t>Uncertified Inserts</t>
  </si>
  <si>
    <t>From FNSB_2011-2015_HHSurvey_Unified_Tabulations_GIS_FPCorrections.xlsx</t>
  </si>
  <si>
    <t>(DevCntsXXXX tabs, Extrapolated column)</t>
  </si>
  <si>
    <t xml:space="preserve">      1b/c.w - Cord Wood</t>
  </si>
  <si>
    <t xml:space="preserve">      1b/c.p - Pellet Bags</t>
  </si>
  <si>
    <t xml:space="preserve">      1b/c.u+e - Uncertified (&lt;1988) Stove/Insert</t>
  </si>
  <si>
    <t>Growth-Extrapolated from 2011-2015 Composite Averages</t>
  </si>
  <si>
    <t>Housing growth relative to 2013 from Growth_Pop&amp;HHs_AKDOTForecasts.xlsx, FMATSGrowthFacs tab:</t>
  </si>
  <si>
    <t>NA Area Households from Growth_Pop&amp;HHs_AKDOTForecasts.xlsx, BuildSizeG3C tab:</t>
  </si>
  <si>
    <t>TotalHHs</t>
  </si>
  <si>
    <t>OccHHs</t>
  </si>
  <si>
    <t>2013-2025</t>
  </si>
  <si>
    <t>CW</t>
  </si>
  <si>
    <t>Uncertified Stoves</t>
  </si>
  <si>
    <t>mmBTU/</t>
  </si>
  <si>
    <t>Fireplaces --&gt; Oil</t>
  </si>
  <si>
    <t>Oil/Uncert Ins:</t>
  </si>
  <si>
    <t>Oil/Uncert WS:</t>
  </si>
  <si>
    <t>Oil/Unq OHH:</t>
  </si>
  <si>
    <t>Oil/Fireplace:</t>
  </si>
  <si>
    <t>Oil/Uncert SFBA</t>
  </si>
  <si>
    <t>Oil/Coal:</t>
  </si>
  <si>
    <t>Sold Wood MC:</t>
  </si>
  <si>
    <t>Sold Wood BTU Factor Relative to Dry (20%) Wood:</t>
  </si>
  <si>
    <t>Commercially Sold ---&gt;</t>
  </si>
  <si>
    <t>Insert, Uncertified</t>
  </si>
  <si>
    <t>Insert, Non-Catalytic Certified</t>
  </si>
  <si>
    <t>Insert, Catalytic Certified</t>
  </si>
  <si>
    <t>Woodstove, Uncertified</t>
  </si>
  <si>
    <t>Woodstove, Non-Catalytic Certified</t>
  </si>
  <si>
    <t>Woodstove, Catalytic Certified</t>
  </si>
  <si>
    <t>Pellet Stove, Exempt</t>
  </si>
  <si>
    <t>Pellet Stove, EPA-Certified</t>
  </si>
  <si>
    <t>OWB (80% Unq/20% Phase 2)</t>
  </si>
  <si>
    <t>Wood Device/Technology</t>
  </si>
  <si>
    <t>Fully dry, Measure 31 ---&gt;</t>
  </si>
  <si>
    <t>Fully dry, Stakeholder Measure 13 ---&gt;</t>
  </si>
  <si>
    <t>mmBTU/episode day</t>
  </si>
  <si>
    <t>BTU/HH/episode day</t>
  </si>
  <si>
    <t>Relative Benefit of Condensing vs. Conventional Warm Air Furnace:</t>
  </si>
  <si>
    <t>Heating</t>
  </si>
  <si>
    <t>Relative Benefit of Condensing vs. Conventional Warm Air Furnace (with Efficiency Improvement):</t>
  </si>
  <si>
    <t>Yearly Penetration Rate:</t>
  </si>
  <si>
    <t>Calculation of Oil Boiler/Furnace Replacement Impacts</t>
  </si>
  <si>
    <t>Eff Inc:</t>
  </si>
  <si>
    <t xml:space="preserve">  (BNL-91286-2009-IR) for condensing vs. conventional warm air furnaces, with an efficiency improvement.</t>
  </si>
  <si>
    <t>PM Emission Reduction Condensing vs. Conventional Oil Furnace (with efficiency improvement):</t>
  </si>
  <si>
    <t>Condensing vs. Conventional Oil Furnace Efficiency improvement:</t>
  </si>
  <si>
    <t>- Apply only to Residential heating oil sector</t>
  </si>
  <si>
    <t>- Factors for all other pollutants assumed equal to baseline residential heating oil with only efficiency adjustment.</t>
  </si>
  <si>
    <t>- Adjust Residential sector based on emission differences and assumed annual penetration rate</t>
  </si>
  <si>
    <t>One-time measure, so no accumulation of benefits over time</t>
  </si>
  <si>
    <t>Measure benefits accumulate over time based on simple annual penetration rate</t>
  </si>
  <si>
    <t>Measure benefits accumulate over time.</t>
  </si>
  <si>
    <t>Wood stove</t>
  </si>
  <si>
    <t>Outdoor hydronic heater</t>
  </si>
  <si>
    <t>Pellet stove</t>
  </si>
  <si>
    <t>Cost Analysis:</t>
  </si>
  <si>
    <t>Annual Cost:</t>
  </si>
  <si>
    <t>Cap. Rec.</t>
  </si>
  <si>
    <t>Useful Life, yrs</t>
  </si>
  <si>
    <t>Cost</t>
  </si>
  <si>
    <t>O&amp;M Cost</t>
  </si>
  <si>
    <t>Fuel Cost</t>
  </si>
  <si>
    <t>No. of</t>
  </si>
  <si>
    <t>Cost-Effectiveness Analysis:</t>
  </si>
  <si>
    <t xml:space="preserve">  With fireplaces + inserts =</t>
  </si>
  <si>
    <t>Fairbanks Home Heating 2011-2015 Survey data  -- product of wood device and fireplace insert household fractions [38.5% x 5.2%] -- FNSB_2011-2015_HHSurvey_Unified_Tabulations_GIS_FPCorrections.xlsx, TabsAll</t>
  </si>
  <si>
    <t xml:space="preserve">  With stoves =</t>
  </si>
  <si>
    <t>Fairbanks Home Heating 2011-2015 Survey data  -- product of wood device and woodstove household fractions [38.5% x 86.2%] -- FNSB_2011-2015_HHSurvey_Unified_Tabulations_GIS_FPCorrections.xlsx, TabsAll</t>
  </si>
  <si>
    <t>ROUND($D21*VLOOKUP($B$4,HHSurveyG2!$A$280:$E$300,2,FALSE),0)</t>
  </si>
  <si>
    <t>Cordwood</t>
  </si>
  <si>
    <t>Fireplace insert, cordwood uncertified</t>
  </si>
  <si>
    <t>Fireplace insert, cordwood certified</t>
  </si>
  <si>
    <t>Fireplace insert, pellet exempt</t>
  </si>
  <si>
    <t>Fireplace insert, pellet certified</t>
  </si>
  <si>
    <t>Non-heating Device Costs</t>
  </si>
  <si>
    <t>Moisture meter</t>
  </si>
  <si>
    <t>Wet firewood testing labor</t>
  </si>
  <si>
    <t>PM2.5 Emission Reduction =</t>
  </si>
  <si>
    <t>/ton PM2.5</t>
  </si>
  <si>
    <t>Btu/gal</t>
  </si>
  <si>
    <t>Oil heater</t>
  </si>
  <si>
    <t>Common Parametric Data</t>
  </si>
  <si>
    <t>Installation Cost</t>
  </si>
  <si>
    <t>Annual Operation &amp; Maintenance Cost</t>
  </si>
  <si>
    <t>Useful Life</t>
  </si>
  <si>
    <t>Moisture Meter</t>
  </si>
  <si>
    <t>Wood, Cordwood Wtd. Avg., 20% MC</t>
  </si>
  <si>
    <t>Wood, Cordwood Wtd. Avg., 64.3% MC</t>
  </si>
  <si>
    <t>Labor</t>
  </si>
  <si>
    <t>Fuel Prices</t>
  </si>
  <si>
    <t>(November/December)</t>
  </si>
  <si>
    <t>Energy Input</t>
  </si>
  <si>
    <t>Wood@36.5%MC</t>
  </si>
  <si>
    <t>Fuel Combusted</t>
  </si>
  <si>
    <t>Wood, Cordwood Wtd. Avg., 36.5% MC</t>
  </si>
  <si>
    <t>MC</t>
  </si>
  <si>
    <t>Unit Fuel Cost</t>
  </si>
  <si>
    <t>Fireplace capping cost</t>
  </si>
  <si>
    <t>R. Dulla email 9/12/18</t>
  </si>
  <si>
    <t>Pellet stove and boiler removal</t>
  </si>
  <si>
    <t>OHH and boiler removal and disposal</t>
  </si>
  <si>
    <t>Coal stove removal</t>
  </si>
  <si>
    <t>years</t>
  </si>
  <si>
    <t>Capital Recovery Factor =</t>
  </si>
  <si>
    <t>/yr</t>
  </si>
  <si>
    <t>Capital</t>
  </si>
  <si>
    <t>Number</t>
  </si>
  <si>
    <t>Total Cost</t>
  </si>
  <si>
    <t>Per</t>
  </si>
  <si>
    <t>mmBtu/gal</t>
  </si>
  <si>
    <t>Cost With Implementation =</t>
  </si>
  <si>
    <t>Cost Without Implementation =</t>
  </si>
  <si>
    <t>Cost Increase =</t>
  </si>
  <si>
    <t>Implementation Cost-Effectiveness =</t>
  </si>
  <si>
    <t>Installation Costs</t>
  </si>
  <si>
    <t>Materials</t>
  </si>
  <si>
    <t>Borough Support Staff</t>
  </si>
  <si>
    <t>/hr salary and benefits</t>
  </si>
  <si>
    <t>Borough Website Technician</t>
  </si>
  <si>
    <t xml:space="preserve">                                                               =</t>
  </si>
  <si>
    <t>Number of Winter Days =</t>
  </si>
  <si>
    <t>winter days/yr</t>
  </si>
  <si>
    <t>- Baseline emissions (from both wood and other fuels) first calculated for affected households</t>
  </si>
  <si>
    <t>- "With Measure" emissions calculated assuming residential heating systems are replaced by district heat</t>
  </si>
  <si>
    <t>of Units</t>
  </si>
  <si>
    <t>Central Oil Furnace</t>
  </si>
  <si>
    <t>Portable Heater</t>
  </si>
  <si>
    <t>Direct Vent Heater</t>
  </si>
  <si>
    <t>Natural Gas Heating</t>
  </si>
  <si>
    <t>Per 2000 residences</t>
  </si>
  <si>
    <t>% of</t>
  </si>
  <si>
    <t>$</t>
  </si>
  <si>
    <t>Total Cost Without Implementation =</t>
  </si>
  <si>
    <t>Service Connection Trench Length =</t>
  </si>
  <si>
    <t>Service Connection Cost =</t>
  </si>
  <si>
    <t xml:space="preserve">                                                  =</t>
  </si>
  <si>
    <t>/service connection</t>
  </si>
  <si>
    <t>Residence Interior Installation Cost =</t>
  </si>
  <si>
    <t>/residence (R. Dulla email, 9/12/18)</t>
  </si>
  <si>
    <t>ft (R. Dulla email, 9/12/18)</t>
  </si>
  <si>
    <t>/trench ft (R. Dulla email, 9/12/18)</t>
  </si>
  <si>
    <t>Total Residence Installation Cost =</t>
  </si>
  <si>
    <t>/residence</t>
  </si>
  <si>
    <t>Installation Useful Life =</t>
  </si>
  <si>
    <t>years (Placeholder value)</t>
  </si>
  <si>
    <t>Annualized Capital Cost Factor =</t>
  </si>
  <si>
    <t>Residence Installation Annualized Capital Cost =</t>
  </si>
  <si>
    <t>/yr-residence</t>
  </si>
  <si>
    <t>District Heating Energy Cost =</t>
  </si>
  <si>
    <t>Residential Heating Demand =</t>
  </si>
  <si>
    <t>BTU/hr (Aurora Energy Phase Study, May 2008)</t>
  </si>
  <si>
    <t>/mmBtu</t>
  </si>
  <si>
    <t xml:space="preserve">                                                          =</t>
  </si>
  <si>
    <t xml:space="preserve">                   =</t>
  </si>
  <si>
    <t>Total Cost per Residence =</t>
  </si>
  <si>
    <t xml:space="preserve">                                                                           =</t>
  </si>
  <si>
    <t>Total Cost per 2000 Residences =</t>
  </si>
  <si>
    <t>/winter hour-residence</t>
  </si>
  <si>
    <t>Per Residence Weighted Average</t>
  </si>
  <si>
    <t>Energy, mmBtu/HH</t>
  </si>
  <si>
    <t>Energy Content</t>
  </si>
  <si>
    <t>Certified wood stove</t>
  </si>
  <si>
    <t>Fireplace with uncertified insert</t>
  </si>
  <si>
    <t>Uncertified wood stove</t>
  </si>
  <si>
    <t>Uncertified OHH</t>
  </si>
  <si>
    <t>/year</t>
  </si>
  <si>
    <t>Energy Use</t>
  </si>
  <si>
    <t>mmBtu/</t>
  </si>
  <si>
    <t>Per Device</t>
  </si>
  <si>
    <t>Total Fuel Costs</t>
  </si>
  <si>
    <t>Energy Consumption</t>
  </si>
  <si>
    <t>BACM Measure 8</t>
  </si>
  <si>
    <t>Oil/Cert Ins:</t>
  </si>
  <si>
    <t>Oil/Cert WS:</t>
  </si>
  <si>
    <t>Oil/P2 OHH:</t>
  </si>
  <si>
    <t>Uncert Inserts --&gt; Oil</t>
  </si>
  <si>
    <t>Certified Inserts --&gt; Oil</t>
  </si>
  <si>
    <t>Uncert WS --&gt; Oil</t>
  </si>
  <si>
    <t>Certified WS --&gt; Oil</t>
  </si>
  <si>
    <t>Unqualified OHH --&gt; Oil</t>
  </si>
  <si>
    <t>Phase 2 OHH --&gt; Oil</t>
  </si>
  <si>
    <t>Fireplace with certified insert</t>
  </si>
  <si>
    <t>Phase 2 certified OHH</t>
  </si>
  <si>
    <t>mmBtu/device</t>
  </si>
  <si>
    <t>ton/yr-dv</t>
  </si>
  <si>
    <t>Wtr Day</t>
  </si>
  <si>
    <t>Oil Furnace</t>
  </si>
  <si>
    <t>Fuel Oil (#1/#2 blend)</t>
  </si>
  <si>
    <t>gal/yr-dv</t>
  </si>
  <si>
    <t>- Assume measure allows only oil furnaces in new construction</t>
  </si>
  <si>
    <t>- Baseline emissions (from both wood and other fuels) first calculated for affected households with solid fuel devices</t>
  </si>
  <si>
    <t>- "With Measure" emissions then calculated using oil furnace emission factors</t>
  </si>
  <si>
    <t>- Heating efficiency differences also accounted for between solid fuel devices and oil furnaces</t>
  </si>
  <si>
    <t>Certified Inserts</t>
  </si>
  <si>
    <t>Certified Stoves</t>
  </si>
  <si>
    <t>Oil Furnaces</t>
  </si>
  <si>
    <t>Total Non-Oil Devices</t>
  </si>
  <si>
    <t>New</t>
  </si>
  <si>
    <t>Total Energy Use</t>
  </si>
  <si>
    <t>SFBDs</t>
  </si>
  <si>
    <t>Oil Furn.</t>
  </si>
  <si>
    <t>device</t>
  </si>
  <si>
    <t>Annual Remodel Rate</t>
  </si>
  <si>
    <t>Fireplace remodel cost</t>
  </si>
  <si>
    <t>Wood stove chimney remodel cost</t>
  </si>
  <si>
    <t>OHH chimney remodel cost</t>
  </si>
  <si>
    <t>Fraction of 2019 New Residences on Parcels &gt; 0.5 acres =</t>
  </si>
  <si>
    <t>Fraction of 2019 New Residences on Parcels &lt; 0.5 acres =</t>
  </si>
  <si>
    <t>Affected</t>
  </si>
  <si>
    <t>Ratio</t>
  </si>
  <si>
    <t>Certified/Uncertified</t>
  </si>
  <si>
    <t>Fraction of 2019 Residences that are Rentals =</t>
  </si>
  <si>
    <t>Fuel Oil (#2/#1 blend)</t>
  </si>
  <si>
    <t>BACM Measure 52</t>
  </si>
  <si>
    <t>Operation and Sale of Small "Pot Burners" Prohibited</t>
  </si>
  <si>
    <t>BACM Measure 53</t>
  </si>
  <si>
    <t>Measure 52 - Pot Burners</t>
  </si>
  <si>
    <t>Number of Pot Burners in Nonattainment Area =</t>
  </si>
  <si>
    <t>PM2.5 Emission Factor =</t>
  </si>
  <si>
    <t>lb/1000 gal (OMNI Labs test)</t>
  </si>
  <si>
    <t>Waste Oil Heat Content =</t>
  </si>
  <si>
    <t>- Assume Pot Burner heat output is replace by oil furnace heat</t>
  </si>
  <si>
    <t>Pot Burner Combustion Efficiency =</t>
  </si>
  <si>
    <t>(assumed)</t>
  </si>
  <si>
    <t>Number of Affected Pot Burners =</t>
  </si>
  <si>
    <t>Pot Burners</t>
  </si>
  <si>
    <t>lb/mmBtu</t>
  </si>
  <si>
    <t>Oil Furnace/Pot Burner</t>
  </si>
  <si>
    <t xml:space="preserve">  -Assume that baseline costs are limited to fuel and maintenance costs for existing Pot Burners</t>
  </si>
  <si>
    <t>Waste Oil</t>
  </si>
  <si>
    <t>Pot Burner</t>
  </si>
  <si>
    <t>BTU/gal (JACPA, Vol. 33, No. 7, July 1983)</t>
  </si>
  <si>
    <t>R. Dulla email, 11/21/18</t>
  </si>
  <si>
    <t>- Assume only used oil mixed with halogenated solvents is prohibited from burning for space heating</t>
  </si>
  <si>
    <t>- Assume that used oil prohibited from burning for space heating will be replaced by #1/#2 blend fuel oil</t>
  </si>
  <si>
    <t>gal/yr (assumed)</t>
  </si>
  <si>
    <t>Used oil heat content =</t>
  </si>
  <si>
    <t xml:space="preserve">  solvents burned =</t>
  </si>
  <si>
    <t>Annual quantity of used oil containing halogenated</t>
  </si>
  <si>
    <t>mmBtu/yr</t>
  </si>
  <si>
    <t>Used oil heat input =</t>
  </si>
  <si>
    <t xml:space="preserve">                                        =</t>
  </si>
  <si>
    <t>Oil furnaces burning used oil</t>
  </si>
  <si>
    <t>tons/yr</t>
  </si>
  <si>
    <t>Fuel Oil (#1/#2 blend) heat content =</t>
  </si>
  <si>
    <t>Fuel Oil/Used Oil</t>
  </si>
  <si>
    <t>Oil Furnace/Oil Furnace</t>
  </si>
  <si>
    <t>Oil furnaces burning fuel oil</t>
  </si>
  <si>
    <t xml:space="preserve"> - Assume that differential costs are limited to fuel costs</t>
  </si>
  <si>
    <t xml:space="preserve"> - Assume that used oil cost is zero (i.e., used oil is combusted within generating facilities)</t>
  </si>
  <si>
    <t>Fuel oil heat input =</t>
  </si>
  <si>
    <t>Used fuel oil cost =</t>
  </si>
  <si>
    <t>Fuel Combusted, gal</t>
  </si>
  <si>
    <t>R. Dulla email 11/14/18</t>
  </si>
  <si>
    <t>Increase Coverage of the District Heating System</t>
  </si>
  <si>
    <t>BACM Measure R15</t>
  </si>
  <si>
    <t>Ban New Installations - Wood Stoves</t>
  </si>
  <si>
    <t>Calculation of Ultra Low Sulfur Heating Oil Emission Factors</t>
  </si>
  <si>
    <t xml:space="preserve">  (see figure below).</t>
  </si>
  <si>
    <t>- NOx factors estimated as 25% reduction from average of NOx factors for baseline residential and</t>
  </si>
  <si>
    <t xml:space="preserve">  commercial heating oil based on 2002 V. Turk "Factors Affecting Oil Burner NOx Emissions" paper.</t>
  </si>
  <si>
    <t>- Factors for all other pollutants assumed equal to those for baseline residential heating oil.</t>
  </si>
  <si>
    <t>Linear Eqn:  PM2.5 (lb/mmBTU) vs. S (ppm)</t>
  </si>
  <si>
    <t>PM2.5    =</t>
  </si>
  <si>
    <t>Heating Oil Grade</t>
  </si>
  <si>
    <t>Baseline Residential Oil</t>
  </si>
  <si>
    <t>ULS Heating Oil</t>
  </si>
  <si>
    <t>Relative Reduction:</t>
  </si>
  <si>
    <t>- Adjust for decreased oil use from ULS due to eliminated boiler fouling/deposits.</t>
  </si>
  <si>
    <t>- Account for reduced oil demand from increased ULS price (using demand elasticity).</t>
  </si>
  <si>
    <t>- Assume energy from price-reduced oil demand replaced with "same-BTU" wood energy.</t>
  </si>
  <si>
    <t>- Translate "same-BTU" energy to equivalent wood BTUs, accounting for wood/oil efficiency difference.</t>
  </si>
  <si>
    <t>Heating Efficiency Improvement Using ULS Oil</t>
  </si>
  <si>
    <t>Baseline Oil Device Efficiency:</t>
  </si>
  <si>
    <t>Fuel Use Increase from Fouling:</t>
  </si>
  <si>
    <t>per 2015 Brookhaven report (BNL-108353-2015-IR)</t>
  </si>
  <si>
    <t>Fouling Eliminated Fuel Use Decrease:</t>
  </si>
  <si>
    <t>Heating Oil Price Elasticity Impacts on Wood Demand</t>
  </si>
  <si>
    <t>Estimated Oil Demand Price Elasticity:</t>
  </si>
  <si>
    <t>Decrease in Oil Use:</t>
  </si>
  <si>
    <t>Wood-Oil Cross-Price Elasticity:</t>
  </si>
  <si>
    <t>Increase in Wood Use:</t>
  </si>
  <si>
    <t>Relative Heating Efficiency Between Oil and All Wood Devices</t>
  </si>
  <si>
    <t>(Wood efficiency is usage weighted composite)</t>
  </si>
  <si>
    <t>Efficiency (%)</t>
  </si>
  <si>
    <t>Relative</t>
  </si>
  <si>
    <t>Wood/Oil</t>
  </si>
  <si>
    <t>ULS-</t>
  </si>
  <si>
    <t>After</t>
  </si>
  <si>
    <t>Price</t>
  </si>
  <si>
    <t>Reduced</t>
  </si>
  <si>
    <t>Demand</t>
  </si>
  <si>
    <t>Fouling</t>
  </si>
  <si>
    <t>Impact</t>
  </si>
  <si>
    <t>Adj.</t>
  </si>
  <si>
    <t>After ULS</t>
  </si>
  <si>
    <t>Residential Oil, ULS</t>
  </si>
  <si>
    <t>Commercial Oil, ULS</t>
  </si>
  <si>
    <r>
      <t>- SO</t>
    </r>
    <r>
      <rPr>
        <i/>
        <vertAlign val="subscript"/>
        <sz val="11"/>
        <color theme="1"/>
        <rFont val="Calibri"/>
        <family val="2"/>
        <scheme val="minor"/>
      </rPr>
      <t>2</t>
    </r>
    <r>
      <rPr>
        <i/>
        <sz val="11"/>
        <color theme="1"/>
        <rFont val="Calibri"/>
        <family val="2"/>
        <scheme val="minor"/>
      </rPr>
      <t xml:space="preserve"> emission factors scaled from baseline heating oil emission factors based on sulfur content.</t>
    </r>
  </si>
  <si>
    <r>
      <rPr>
        <i/>
        <u/>
        <sz val="11"/>
        <color theme="1"/>
        <rFont val="Calibri"/>
        <family val="2"/>
        <scheme val="minor"/>
      </rPr>
      <t>Source</t>
    </r>
    <r>
      <rPr>
        <i/>
        <sz val="11"/>
        <color theme="1"/>
        <rFont val="Calibri"/>
        <family val="2"/>
        <scheme val="minor"/>
      </rPr>
      <t>:  2009 Brookhaven National Laboratory Report (BNL-91286-2009-IR)</t>
    </r>
  </si>
  <si>
    <r>
      <t>- Use ULS emission factors from 2009 Brookhaven report for PM</t>
    </r>
    <r>
      <rPr>
        <i/>
        <vertAlign val="subscript"/>
        <sz val="11"/>
        <color theme="1"/>
        <rFont val="Calibri"/>
        <family val="2"/>
        <scheme val="minor"/>
      </rPr>
      <t>2.5</t>
    </r>
    <r>
      <rPr>
        <i/>
        <sz val="11"/>
        <color theme="1"/>
        <rFont val="Calibri"/>
        <family val="2"/>
        <scheme val="minor"/>
      </rPr>
      <t xml:space="preserve"> (and scaled SO</t>
    </r>
    <r>
      <rPr>
        <i/>
        <vertAlign val="subscript"/>
        <sz val="11"/>
        <color theme="1"/>
        <rFont val="Calibri"/>
        <family val="2"/>
        <scheme val="minor"/>
      </rPr>
      <t>2</t>
    </r>
    <r>
      <rPr>
        <i/>
        <sz val="11"/>
        <color theme="1"/>
        <rFont val="Calibri"/>
        <family val="2"/>
        <scheme val="minor"/>
      </rPr>
      <t>).</t>
    </r>
  </si>
  <si>
    <t>PBSR, 2024</t>
  </si>
  <si>
    <t>PBSR, 2023</t>
  </si>
  <si>
    <t>PBSR, 2022</t>
  </si>
  <si>
    <t>PBSR, 2021</t>
  </si>
  <si>
    <t>PBSR, 2020</t>
  </si>
  <si>
    <t>PBSR, 2019</t>
  </si>
  <si>
    <t>tons/day</t>
  </si>
  <si>
    <t>cords/episode day</t>
  </si>
  <si>
    <t>HDD-Based Episode Day/Avg Annual Day Use:</t>
  </si>
  <si>
    <t>cords/year</t>
  </si>
  <si>
    <t>Energy Content Differences</t>
  </si>
  <si>
    <t>Energy Content #2:</t>
  </si>
  <si>
    <t>Energy Content #1:</t>
  </si>
  <si>
    <t>% Difference (#1 vs. #2):</t>
  </si>
  <si>
    <t>#1 Heating Oil</t>
  </si>
  <si>
    <t>#1 Heating Oil Emission Factors (lb/mmBTU)</t>
  </si>
  <si>
    <t>Price Premium for #1 Oil:</t>
  </si>
  <si>
    <t>Base Price:</t>
  </si>
  <si>
    <t>per gallon</t>
  </si>
  <si>
    <t>Relative Price Increase:</t>
  </si>
  <si>
    <t>Costs - Without Implementation of this Measure</t>
  </si>
  <si>
    <t xml:space="preserve">  - Assume that baseline costs are limited to fuel costs for oil and wood and maintenance costs for existing heating oil units used in residential and commercial space heating</t>
  </si>
  <si>
    <t xml:space="preserve">  - 2011-2015 Fairbanks Home Heating Survey data household percentages:</t>
  </si>
  <si>
    <t>Residential Oil:</t>
  </si>
  <si>
    <t>Residential Wood:</t>
  </si>
  <si>
    <t xml:space="preserve">  - Assume 98% of commercial building use heating oil (remaining 2% use natural gas) -- consistent with SIP EI assumption</t>
  </si>
  <si>
    <t>Back-Calculated</t>
  </si>
  <si>
    <t>Oil Device Repair/Maintenance Costs</t>
  </si>
  <si>
    <t>Total Operating Cost</t>
  </si>
  <si>
    <t>Affected Devices</t>
  </si>
  <si>
    <t>Fuel Price</t>
  </si>
  <si>
    <t>Interval</t>
  </si>
  <si>
    <t>Avg Cost/</t>
  </si>
  <si>
    <t>Counts</t>
  </si>
  <si>
    <t>Per Unit</t>
  </si>
  <si>
    <t>(years)</t>
  </si>
  <si>
    <t>Service</t>
  </si>
  <si>
    <t>Residential Oil Devices</t>
  </si>
  <si>
    <t>res. units w/oil</t>
  </si>
  <si>
    <t>gallons</t>
  </si>
  <si>
    <t>Resid. Oil Blend</t>
  </si>
  <si>
    <t>/gallon</t>
  </si>
  <si>
    <t>Commercial Oil Devices</t>
  </si>
  <si>
    <t>comm. units w/oil</t>
  </si>
  <si>
    <t>Comm. Oil Blend</t>
  </si>
  <si>
    <t>res. units w/wood</t>
  </si>
  <si>
    <t>Costs - With Implementation of this Measure</t>
  </si>
  <si>
    <t xml:space="preserve">  - Adjust fuel usage to reflect decrease from elimination of fouling using ULSHO</t>
  </si>
  <si>
    <t xml:space="preserve">  - Also adjust oil usage to reflect own-price and cross-price elasticity assumptions above</t>
  </si>
  <si>
    <t xml:space="preserve">  - Account for price change of ULSHO</t>
  </si>
  <si>
    <t xml:space="preserve">  - Adjust maintenance/repair cost to reflect longer interval between services per Brookhaven/NYSERDA report</t>
  </si>
  <si>
    <t>Unchanged</t>
  </si>
  <si>
    <t>Cost Effectiveness:</t>
  </si>
  <si>
    <t>SO2 Emission Reduction =</t>
  </si>
  <si>
    <t>/ton SO2</t>
  </si>
  <si>
    <t>2010 Census &amp; 2012 Assessor Parcel FNSB Population/Household and Parcel Tabulations</t>
  </si>
  <si>
    <t>Backcasted 2008 Housing Units/Buildings</t>
  </si>
  <si>
    <t>Historically Backcasted 2006-2010 Units/Buildings</t>
  </si>
  <si>
    <t>2011 &amp; Later Forecasted Housing Units/Buildings, Less Those Units on District Heat (DH)</t>
  </si>
  <si>
    <t>Total Residential (incl. DH):</t>
  </si>
  <si>
    <t>SumCheck:</t>
  </si>
  <si>
    <t>Census Block-Level Data</t>
  </si>
  <si>
    <t>Assessor Parcel Data</t>
  </si>
  <si>
    <t>Average Building Size (sq ft)</t>
  </si>
  <si>
    <t>Buildings, Res. Counts Adjusted to 2010 Census HUs</t>
  </si>
  <si>
    <t>Occupied 2010 Housing Units</t>
  </si>
  <si>
    <t>Total Housing Units</t>
  </si>
  <si>
    <t>Occupied Housing Units</t>
  </si>
  <si>
    <t>Non-Residential</t>
  </si>
  <si>
    <t>Total Housing Units (excluding DH)</t>
  </si>
  <si>
    <t>Occupied Housing Units (excluding DH)</t>
  </si>
  <si>
    <t>Non-Residential (Commercial, excluding DH)</t>
  </si>
  <si>
    <t>Residential District Heat (DH)</t>
  </si>
  <si>
    <t>Non-Residential District Heat (DH)</t>
  </si>
  <si>
    <t>XIndex</t>
  </si>
  <si>
    <t>YIndex</t>
  </si>
  <si>
    <t>G3Cell</t>
  </si>
  <si>
    <t>Zip10</t>
  </si>
  <si>
    <t>Zip00</t>
  </si>
  <si>
    <t>NA Area?</t>
  </si>
  <si>
    <t>Popn</t>
  </si>
  <si>
    <t>Hus</t>
  </si>
  <si>
    <t>Occ HUs</t>
  </si>
  <si>
    <t>Vac HUs</t>
  </si>
  <si>
    <t>ResMF</t>
  </si>
  <si>
    <t>ResElse</t>
  </si>
  <si>
    <t>ResTotal</t>
  </si>
  <si>
    <t>NR</t>
  </si>
  <si>
    <t>DH-Res</t>
  </si>
  <si>
    <t>DH-NR</t>
  </si>
  <si>
    <t>ResTot</t>
  </si>
  <si>
    <t>R-2006</t>
  </si>
  <si>
    <t>R-2007</t>
  </si>
  <si>
    <t>R-2008</t>
  </si>
  <si>
    <t>R-2009</t>
  </si>
  <si>
    <t>R-2010</t>
  </si>
  <si>
    <t>O-2006</t>
  </si>
  <si>
    <t>O-2007</t>
  </si>
  <si>
    <t>O-2008</t>
  </si>
  <si>
    <t>O-2009</t>
  </si>
  <si>
    <t>O-2010</t>
  </si>
  <si>
    <t>NR-2006</t>
  </si>
  <si>
    <t>NR-2007</t>
  </si>
  <si>
    <t>NR-2008</t>
  </si>
  <si>
    <t>NR-2009</t>
  </si>
  <si>
    <t>NR-2010</t>
  </si>
  <si>
    <t>R-2011</t>
  </si>
  <si>
    <t>R-2012</t>
  </si>
  <si>
    <t>R-2013</t>
  </si>
  <si>
    <t>R-2014</t>
  </si>
  <si>
    <t>R-2015</t>
  </si>
  <si>
    <t>R-2016</t>
  </si>
  <si>
    <t>R-2017</t>
  </si>
  <si>
    <t>R-2018</t>
  </si>
  <si>
    <t>R-2019</t>
  </si>
  <si>
    <t>R-2020</t>
  </si>
  <si>
    <t>R-2021</t>
  </si>
  <si>
    <t>R-2022</t>
  </si>
  <si>
    <t>R-2023</t>
  </si>
  <si>
    <t>R-2024</t>
  </si>
  <si>
    <t>R-2025</t>
  </si>
  <si>
    <t>O-2011</t>
  </si>
  <si>
    <t>O-2012</t>
  </si>
  <si>
    <t>O-2013</t>
  </si>
  <si>
    <t>O-2014</t>
  </si>
  <si>
    <t>O-2015</t>
  </si>
  <si>
    <t>O-2016</t>
  </si>
  <si>
    <t>O-2017</t>
  </si>
  <si>
    <t>O-2018</t>
  </si>
  <si>
    <t>O-2019</t>
  </si>
  <si>
    <t>O-2020</t>
  </si>
  <si>
    <t>O-2021</t>
  </si>
  <si>
    <t>O-2022</t>
  </si>
  <si>
    <t>O-2023</t>
  </si>
  <si>
    <t>O-2024</t>
  </si>
  <si>
    <t>O-2025</t>
  </si>
  <si>
    <t>NR-2011</t>
  </si>
  <si>
    <t>NR-2012</t>
  </si>
  <si>
    <t>NR-2013</t>
  </si>
  <si>
    <t>NR-2014</t>
  </si>
  <si>
    <t>NR-2015</t>
  </si>
  <si>
    <t>NR-2016</t>
  </si>
  <si>
    <t>NR-2017</t>
  </si>
  <si>
    <t>NR-2018</t>
  </si>
  <si>
    <t>NR-2019</t>
  </si>
  <si>
    <t>NR-2020</t>
  </si>
  <si>
    <t>NR-2021</t>
  </si>
  <si>
    <t>NR-2022</t>
  </si>
  <si>
    <t>NR-2023</t>
  </si>
  <si>
    <t>NR-2024</t>
  </si>
  <si>
    <t>NR-2025</t>
  </si>
  <si>
    <t>RDH-2011</t>
  </si>
  <si>
    <t>RDH-2012</t>
  </si>
  <si>
    <t>RDH-2013</t>
  </si>
  <si>
    <t>RDH-2014</t>
  </si>
  <si>
    <t>RDH-2015</t>
  </si>
  <si>
    <t>RDH-2016</t>
  </si>
  <si>
    <t>RDH-2017</t>
  </si>
  <si>
    <t>RDH-2018</t>
  </si>
  <si>
    <t>RDH-2019</t>
  </si>
  <si>
    <t>RDH-2020</t>
  </si>
  <si>
    <t>RDH-2021</t>
  </si>
  <si>
    <t>RDH-2022</t>
  </si>
  <si>
    <t>RDH-2023</t>
  </si>
  <si>
    <t>RDH-2024</t>
  </si>
  <si>
    <t>RDH-2025</t>
  </si>
  <si>
    <t>NRDH-2011</t>
  </si>
  <si>
    <t>NRDH-2012</t>
  </si>
  <si>
    <t>NRDH-2013</t>
  </si>
  <si>
    <t>NRDH-2014</t>
  </si>
  <si>
    <t>NRDH-2015</t>
  </si>
  <si>
    <t>NRDH-2016</t>
  </si>
  <si>
    <t>NRDH-2017</t>
  </si>
  <si>
    <t>NRDH-2018</t>
  </si>
  <si>
    <t>NRDH-2019</t>
  </si>
  <si>
    <t>NRDH-2020</t>
  </si>
  <si>
    <t>NRDH-2021</t>
  </si>
  <si>
    <t>NRDH-2022</t>
  </si>
  <si>
    <t>NRDH-2023</t>
  </si>
  <si>
    <t>NRDH-2024</t>
  </si>
  <si>
    <t>NRDH-2025</t>
  </si>
  <si>
    <t>108,49</t>
  </si>
  <si>
    <t>N</t>
  </si>
  <si>
    <t>133,49</t>
  </si>
  <si>
    <t>156,49</t>
  </si>
  <si>
    <t>158,49</t>
  </si>
  <si>
    <t>148,50</t>
  </si>
  <si>
    <t>143,52</t>
  </si>
  <si>
    <t>138,54</t>
  </si>
  <si>
    <t>139,56</t>
  </si>
  <si>
    <t>137,57</t>
  </si>
  <si>
    <t>151,57</t>
  </si>
  <si>
    <t>139,58</t>
  </si>
  <si>
    <t>141,58</t>
  </si>
  <si>
    <t>137,59</t>
  </si>
  <si>
    <t>139,59</t>
  </si>
  <si>
    <t>141,59</t>
  </si>
  <si>
    <t>142,59</t>
  </si>
  <si>
    <t>136,61</t>
  </si>
  <si>
    <t>135,62</t>
  </si>
  <si>
    <t>137,62</t>
  </si>
  <si>
    <t>138,62</t>
  </si>
  <si>
    <t>137,63</t>
  </si>
  <si>
    <t>138,63</t>
  </si>
  <si>
    <t>136,64</t>
  </si>
  <si>
    <t>137,64</t>
  </si>
  <si>
    <t>143,64</t>
  </si>
  <si>
    <t>136,65</t>
  </si>
  <si>
    <t>141,66</t>
  </si>
  <si>
    <t>152,66</t>
  </si>
  <si>
    <t>100,68</t>
  </si>
  <si>
    <t>135,68</t>
  </si>
  <si>
    <t>158,68</t>
  </si>
  <si>
    <t>138,69</t>
  </si>
  <si>
    <t>152,69</t>
  </si>
  <si>
    <t>134,70</t>
  </si>
  <si>
    <t>133,71</t>
  </si>
  <si>
    <t>133,72</t>
  </si>
  <si>
    <t>137,72</t>
  </si>
  <si>
    <t>132,73</t>
  </si>
  <si>
    <t>133,73</t>
  </si>
  <si>
    <t>131,74</t>
  </si>
  <si>
    <t>132,74</t>
  </si>
  <si>
    <t>133,74</t>
  </si>
  <si>
    <t>131,75</t>
  </si>
  <si>
    <t>130,76</t>
  </si>
  <si>
    <t>131,76</t>
  </si>
  <si>
    <t>134,76</t>
  </si>
  <si>
    <t>168,76</t>
  </si>
  <si>
    <t>130,77</t>
  </si>
  <si>
    <t>129,78</t>
  </si>
  <si>
    <t>130,78</t>
  </si>
  <si>
    <t>200,78</t>
  </si>
  <si>
    <t>128,79</t>
  </si>
  <si>
    <t>129,79</t>
  </si>
  <si>
    <t>128,80</t>
  </si>
  <si>
    <t>129,80</t>
  </si>
  <si>
    <t>132,80</t>
  </si>
  <si>
    <t>81,81</t>
  </si>
  <si>
    <t>126,81</t>
  </si>
  <si>
    <t>128,81</t>
  </si>
  <si>
    <t>131,81</t>
  </si>
  <si>
    <t>132,81</t>
  </si>
  <si>
    <t>133,81</t>
  </si>
  <si>
    <t>126,82</t>
  </si>
  <si>
    <t>127,82</t>
  </si>
  <si>
    <t>132,82</t>
  </si>
  <si>
    <t>178,82</t>
  </si>
  <si>
    <t>88,83</t>
  </si>
  <si>
    <t>129,83</t>
  </si>
  <si>
    <t>130,83</t>
  </si>
  <si>
    <t>124,84</t>
  </si>
  <si>
    <t>Y</t>
  </si>
  <si>
    <t>125,84</t>
  </si>
  <si>
    <t>128,84</t>
  </si>
  <si>
    <t>129,84</t>
  </si>
  <si>
    <t>122,85</t>
  </si>
  <si>
    <t>123,85</t>
  </si>
  <si>
    <t>124,85</t>
  </si>
  <si>
    <t>125,85</t>
  </si>
  <si>
    <t>126,85</t>
  </si>
  <si>
    <t>96,86</t>
  </si>
  <si>
    <t>122,86</t>
  </si>
  <si>
    <t>123,86</t>
  </si>
  <si>
    <t>124,86</t>
  </si>
  <si>
    <t>125,86</t>
  </si>
  <si>
    <t>126,86</t>
  </si>
  <si>
    <t>83,87</t>
  </si>
  <si>
    <t>96,87</t>
  </si>
  <si>
    <t>98,87</t>
  </si>
  <si>
    <t>120,87</t>
  </si>
  <si>
    <t>121,87</t>
  </si>
  <si>
    <t>122,87</t>
  </si>
  <si>
    <t>123,87</t>
  </si>
  <si>
    <t>124,87</t>
  </si>
  <si>
    <t>125,87</t>
  </si>
  <si>
    <t>126,87</t>
  </si>
  <si>
    <t>95,88</t>
  </si>
  <si>
    <t>97,88</t>
  </si>
  <si>
    <t>98,88</t>
  </si>
  <si>
    <t>119,88</t>
  </si>
  <si>
    <t>120,88</t>
  </si>
  <si>
    <t>121,88</t>
  </si>
  <si>
    <t>122,88</t>
  </si>
  <si>
    <t>123,88</t>
  </si>
  <si>
    <t>124,88</t>
  </si>
  <si>
    <t>125,88</t>
  </si>
  <si>
    <t>126,88</t>
  </si>
  <si>
    <t>129,88</t>
  </si>
  <si>
    <t>98,89</t>
  </si>
  <si>
    <t>99,89</t>
  </si>
  <si>
    <t>100,89</t>
  </si>
  <si>
    <t>116,89</t>
  </si>
  <si>
    <t>117,89</t>
  </si>
  <si>
    <t>118,89</t>
  </si>
  <si>
    <t>120,89</t>
  </si>
  <si>
    <t>121,89</t>
  </si>
  <si>
    <t>122,89</t>
  </si>
  <si>
    <t>123,89</t>
  </si>
  <si>
    <t>124,89</t>
  </si>
  <si>
    <t>125,89</t>
  </si>
  <si>
    <t>126,89</t>
  </si>
  <si>
    <t>97,90</t>
  </si>
  <si>
    <t>98,90</t>
  </si>
  <si>
    <t>99,90</t>
  </si>
  <si>
    <t>100,90</t>
  </si>
  <si>
    <t>101,90</t>
  </si>
  <si>
    <t>115,90</t>
  </si>
  <si>
    <t>116,90</t>
  </si>
  <si>
    <t>118,90</t>
  </si>
  <si>
    <t>120,90</t>
  </si>
  <si>
    <t>121,90</t>
  </si>
  <si>
    <t>122,90</t>
  </si>
  <si>
    <t>123,90</t>
  </si>
  <si>
    <t>95,91</t>
  </si>
  <si>
    <t>96,91</t>
  </si>
  <si>
    <t>97,91</t>
  </si>
  <si>
    <t>100,91</t>
  </si>
  <si>
    <t>101,91</t>
  </si>
  <si>
    <t>102,91</t>
  </si>
  <si>
    <t>103,91</t>
  </si>
  <si>
    <t>104,91</t>
  </si>
  <si>
    <t>106,91</t>
  </si>
  <si>
    <t>107,91</t>
  </si>
  <si>
    <t>108,91</t>
  </si>
  <si>
    <t>109,91</t>
  </si>
  <si>
    <t>110,91</t>
  </si>
  <si>
    <t>111,91</t>
  </si>
  <si>
    <t>115,91</t>
  </si>
  <si>
    <t>116,91</t>
  </si>
  <si>
    <t>119,91</t>
  </si>
  <si>
    <t>120,91</t>
  </si>
  <si>
    <t>121,91</t>
  </si>
  <si>
    <t>90,92</t>
  </si>
  <si>
    <t>95,92</t>
  </si>
  <si>
    <t>97,92</t>
  </si>
  <si>
    <t>98,92</t>
  </si>
  <si>
    <t>101,92</t>
  </si>
  <si>
    <t>102,92</t>
  </si>
  <si>
    <t>103,92</t>
  </si>
  <si>
    <t>104,92</t>
  </si>
  <si>
    <t>105,92</t>
  </si>
  <si>
    <t>106,92</t>
  </si>
  <si>
    <t>107,92</t>
  </si>
  <si>
    <t>108,92</t>
  </si>
  <si>
    <t>109,92</t>
  </si>
  <si>
    <t>110,92</t>
  </si>
  <si>
    <t>111,92</t>
  </si>
  <si>
    <t>113,92</t>
  </si>
  <si>
    <t>115,92</t>
  </si>
  <si>
    <t>116,92</t>
  </si>
  <si>
    <t>117,92</t>
  </si>
  <si>
    <t>118,92</t>
  </si>
  <si>
    <t>119,92</t>
  </si>
  <si>
    <t>120,92</t>
  </si>
  <si>
    <t>121,92</t>
  </si>
  <si>
    <t>122,92</t>
  </si>
  <si>
    <t>124,92</t>
  </si>
  <si>
    <t>85,93</t>
  </si>
  <si>
    <t>93,93</t>
  </si>
  <si>
    <t>98,93</t>
  </si>
  <si>
    <t>99,93</t>
  </si>
  <si>
    <t>100,93</t>
  </si>
  <si>
    <t>101,93</t>
  </si>
  <si>
    <t>102,93</t>
  </si>
  <si>
    <t>103,93</t>
  </si>
  <si>
    <t>104,93</t>
  </si>
  <si>
    <t>105,93</t>
  </si>
  <si>
    <t>106,93</t>
  </si>
  <si>
    <t>107,93</t>
  </si>
  <si>
    <t>108,93</t>
  </si>
  <si>
    <t>109,93</t>
  </si>
  <si>
    <t>110,93</t>
  </si>
  <si>
    <t>111,93</t>
  </si>
  <si>
    <t>112,93</t>
  </si>
  <si>
    <t>113,93</t>
  </si>
  <si>
    <t>115,93</t>
  </si>
  <si>
    <t>116,93</t>
  </si>
  <si>
    <t>117,93</t>
  </si>
  <si>
    <t>118,93</t>
  </si>
  <si>
    <t>119,93</t>
  </si>
  <si>
    <t>120,93</t>
  </si>
  <si>
    <t>121,93</t>
  </si>
  <si>
    <t>98,94</t>
  </si>
  <si>
    <t>99,94</t>
  </si>
  <si>
    <t>100,94</t>
  </si>
  <si>
    <t>101,94</t>
  </si>
  <si>
    <t>102,94</t>
  </si>
  <si>
    <t>103,94</t>
  </si>
  <si>
    <t>104,94</t>
  </si>
  <si>
    <t>105,94</t>
  </si>
  <si>
    <t>106,94</t>
  </si>
  <si>
    <t>107,94</t>
  </si>
  <si>
    <t>108,94</t>
  </si>
  <si>
    <t>109,94</t>
  </si>
  <si>
    <t>110,94</t>
  </si>
  <si>
    <t>111,94</t>
  </si>
  <si>
    <t>112,94</t>
  </si>
  <si>
    <t>113,94</t>
  </si>
  <si>
    <t>114,94</t>
  </si>
  <si>
    <t>115,94</t>
  </si>
  <si>
    <t>116,94</t>
  </si>
  <si>
    <t>117,94</t>
  </si>
  <si>
    <t>118,94</t>
  </si>
  <si>
    <t>119,94</t>
  </si>
  <si>
    <t>120,94</t>
  </si>
  <si>
    <t>121,94</t>
  </si>
  <si>
    <t>122,94</t>
  </si>
  <si>
    <t>123,94</t>
  </si>
  <si>
    <t>125,94</t>
  </si>
  <si>
    <t>99,95</t>
  </si>
  <si>
    <t>100,95</t>
  </si>
  <si>
    <t>101,95</t>
  </si>
  <si>
    <t>102,95</t>
  </si>
  <si>
    <t>103,95</t>
  </si>
  <si>
    <t>105,95</t>
  </si>
  <si>
    <t>106,95</t>
  </si>
  <si>
    <t>107,95</t>
  </si>
  <si>
    <t>108,95</t>
  </si>
  <si>
    <t>109,95</t>
  </si>
  <si>
    <t>110,95</t>
  </si>
  <si>
    <t>111,95</t>
  </si>
  <si>
    <t>117,95</t>
  </si>
  <si>
    <t>118,95</t>
  </si>
  <si>
    <t>120,95</t>
  </si>
  <si>
    <t>94,96</t>
  </si>
  <si>
    <t>98,96</t>
  </si>
  <si>
    <t>101,96</t>
  </si>
  <si>
    <t>103,96</t>
  </si>
  <si>
    <t>105,96</t>
  </si>
  <si>
    <t>106,96</t>
  </si>
  <si>
    <t>107,96</t>
  </si>
  <si>
    <t>108,96</t>
  </si>
  <si>
    <t>109,96</t>
  </si>
  <si>
    <t>111,96</t>
  </si>
  <si>
    <t>112,96</t>
  </si>
  <si>
    <t>115,96</t>
  </si>
  <si>
    <t>128,96</t>
  </si>
  <si>
    <t>131,96</t>
  </si>
  <si>
    <t>132,96</t>
  </si>
  <si>
    <t>138,96</t>
  </si>
  <si>
    <t>100,97</t>
  </si>
  <si>
    <t>101,97</t>
  </si>
  <si>
    <t>102,97</t>
  </si>
  <si>
    <t>103,97</t>
  </si>
  <si>
    <t>104,97</t>
  </si>
  <si>
    <t>105,97</t>
  </si>
  <si>
    <t>106,97</t>
  </si>
  <si>
    <t>107,97</t>
  </si>
  <si>
    <t>108,97</t>
  </si>
  <si>
    <t>109,97</t>
  </si>
  <si>
    <t>110,97</t>
  </si>
  <si>
    <t>111,97</t>
  </si>
  <si>
    <t>112,97</t>
  </si>
  <si>
    <t>113,97</t>
  </si>
  <si>
    <t>114,97</t>
  </si>
  <si>
    <t>115,97</t>
  </si>
  <si>
    <t>116,97</t>
  </si>
  <si>
    <t>119,97</t>
  </si>
  <si>
    <t>120,97</t>
  </si>
  <si>
    <t>122,97</t>
  </si>
  <si>
    <t>125,97</t>
  </si>
  <si>
    <t>129,97</t>
  </si>
  <si>
    <t>132,97</t>
  </si>
  <si>
    <t>133,97</t>
  </si>
  <si>
    <t>134,97</t>
  </si>
  <si>
    <t>135,97</t>
  </si>
  <si>
    <t>136,97</t>
  </si>
  <si>
    <t>137,97</t>
  </si>
  <si>
    <t>138,97</t>
  </si>
  <si>
    <t>139,97</t>
  </si>
  <si>
    <t>141,97</t>
  </si>
  <si>
    <t>89,98</t>
  </si>
  <si>
    <t>90,98</t>
  </si>
  <si>
    <t>101,98</t>
  </si>
  <si>
    <t>102,98</t>
  </si>
  <si>
    <t>105,98</t>
  </si>
  <si>
    <t>106,98</t>
  </si>
  <si>
    <t>107,98</t>
  </si>
  <si>
    <t>108,98</t>
  </si>
  <si>
    <t>109,98</t>
  </si>
  <si>
    <t>110,98</t>
  </si>
  <si>
    <t>111,98</t>
  </si>
  <si>
    <t>112,98</t>
  </si>
  <si>
    <t>113,98</t>
  </si>
  <si>
    <t>114,98</t>
  </si>
  <si>
    <t>115,98</t>
  </si>
  <si>
    <t>117,98</t>
  </si>
  <si>
    <t>118,98</t>
  </si>
  <si>
    <t>119,98</t>
  </si>
  <si>
    <t>120,98</t>
  </si>
  <si>
    <t>122,98</t>
  </si>
  <si>
    <t>124,98</t>
  </si>
  <si>
    <t>125,98</t>
  </si>
  <si>
    <t>128,98</t>
  </si>
  <si>
    <t>131,98</t>
  </si>
  <si>
    <t>141,98</t>
  </si>
  <si>
    <t>90,99</t>
  </si>
  <si>
    <t>92,99</t>
  </si>
  <si>
    <t>101,99</t>
  </si>
  <si>
    <t>102,99</t>
  </si>
  <si>
    <t>103,99</t>
  </si>
  <si>
    <t>104,99</t>
  </si>
  <si>
    <t>105,99</t>
  </si>
  <si>
    <t>106,99</t>
  </si>
  <si>
    <t>107,99</t>
  </si>
  <si>
    <t>108,99</t>
  </si>
  <si>
    <t>109,99</t>
  </si>
  <si>
    <t>110,99</t>
  </si>
  <si>
    <t>111,99</t>
  </si>
  <si>
    <t>112,99</t>
  </si>
  <si>
    <t>113,99</t>
  </si>
  <si>
    <t>114,99</t>
  </si>
  <si>
    <t>115,99</t>
  </si>
  <si>
    <t>116,99</t>
  </si>
  <si>
    <t>117,99</t>
  </si>
  <si>
    <t>121,99</t>
  </si>
  <si>
    <t>134,99</t>
  </si>
  <si>
    <t>138,99</t>
  </si>
  <si>
    <t>194,99</t>
  </si>
  <si>
    <t>90,100</t>
  </si>
  <si>
    <t>91,100</t>
  </si>
  <si>
    <t>93,100</t>
  </si>
  <si>
    <t>94,100</t>
  </si>
  <si>
    <t>101,100</t>
  </si>
  <si>
    <t>102,100</t>
  </si>
  <si>
    <t>103,100</t>
  </si>
  <si>
    <t>104,100</t>
  </si>
  <si>
    <t>109,100</t>
  </si>
  <si>
    <t>110,100</t>
  </si>
  <si>
    <t>111,100</t>
  </si>
  <si>
    <t>112,100</t>
  </si>
  <si>
    <t>113,100</t>
  </si>
  <si>
    <t>114,100</t>
  </si>
  <si>
    <t>115,100</t>
  </si>
  <si>
    <t>116,100</t>
  </si>
  <si>
    <t>122,100</t>
  </si>
  <si>
    <t>153,100</t>
  </si>
  <si>
    <t>98,101</t>
  </si>
  <si>
    <t>100,101</t>
  </si>
  <si>
    <t>101,101</t>
  </si>
  <si>
    <t>104,101</t>
  </si>
  <si>
    <t>106,101</t>
  </si>
  <si>
    <t>109,101</t>
  </si>
  <si>
    <t>112,101</t>
  </si>
  <si>
    <t>113,101</t>
  </si>
  <si>
    <t>114,101</t>
  </si>
  <si>
    <t>115,101</t>
  </si>
  <si>
    <t>117,101</t>
  </si>
  <si>
    <t>119,101</t>
  </si>
  <si>
    <t>135,101</t>
  </si>
  <si>
    <t>136,101</t>
  </si>
  <si>
    <t>92,102</t>
  </si>
  <si>
    <t>95,102</t>
  </si>
  <si>
    <t>103,102</t>
  </si>
  <si>
    <t>107,102</t>
  </si>
  <si>
    <t>111,102</t>
  </si>
  <si>
    <t>112,102</t>
  </si>
  <si>
    <t>114,102</t>
  </si>
  <si>
    <t>115,102</t>
  </si>
  <si>
    <t>116,102</t>
  </si>
  <si>
    <t>91,103</t>
  </si>
  <si>
    <t>92,103</t>
  </si>
  <si>
    <t>101,103</t>
  </si>
  <si>
    <t>108,103</t>
  </si>
  <si>
    <t>111,103</t>
  </si>
  <si>
    <t>112,103</t>
  </si>
  <si>
    <t>113,103</t>
  </si>
  <si>
    <t>114,103</t>
  </si>
  <si>
    <t>107,104</t>
  </si>
  <si>
    <t>108,104</t>
  </si>
  <si>
    <t>112,104</t>
  </si>
  <si>
    <t>113,104</t>
  </si>
  <si>
    <t>114,104</t>
  </si>
  <si>
    <t>115,104</t>
  </si>
  <si>
    <t>104,105</t>
  </si>
  <si>
    <t>112,105</t>
  </si>
  <si>
    <t>114,105</t>
  </si>
  <si>
    <t>115,105</t>
  </si>
  <si>
    <t>148,105</t>
  </si>
  <si>
    <t>91,106</t>
  </si>
  <si>
    <t>114,106</t>
  </si>
  <si>
    <t>116,106</t>
  </si>
  <si>
    <t>116,107</t>
  </si>
  <si>
    <t>111,108</t>
  </si>
  <si>
    <t>117,108</t>
  </si>
  <si>
    <t>118,108</t>
  </si>
  <si>
    <t>112,109</t>
  </si>
  <si>
    <t>114,109</t>
  </si>
  <si>
    <t>118,109</t>
  </si>
  <si>
    <t>118,110</t>
  </si>
  <si>
    <t>142,110</t>
  </si>
  <si>
    <t>161,110</t>
  </si>
  <si>
    <t>111,111</t>
  </si>
  <si>
    <t>112,111</t>
  </si>
  <si>
    <t>118,111</t>
  </si>
  <si>
    <t>119,111</t>
  </si>
  <si>
    <t>120,111</t>
  </si>
  <si>
    <t>89,112</t>
  </si>
  <si>
    <t>110,112</t>
  </si>
  <si>
    <t>120,112</t>
  </si>
  <si>
    <t>111,113</t>
  </si>
  <si>
    <t>112,113</t>
  </si>
  <si>
    <t>163,113</t>
  </si>
  <si>
    <t>167,113</t>
  </si>
  <si>
    <t>172,113</t>
  </si>
  <si>
    <t>106,114</t>
  </si>
  <si>
    <t>165,114</t>
  </si>
  <si>
    <t>116,115</t>
  </si>
  <si>
    <t>119,115</t>
  </si>
  <si>
    <t>99,116</t>
  </si>
  <si>
    <t>106,116</t>
  </si>
  <si>
    <t>107,116</t>
  </si>
  <si>
    <t>109,116</t>
  </si>
  <si>
    <t>110,116</t>
  </si>
  <si>
    <t>118,116</t>
  </si>
  <si>
    <t>119,116</t>
  </si>
  <si>
    <t>104,117</t>
  </si>
  <si>
    <t>106,117</t>
  </si>
  <si>
    <t>111,117</t>
  </si>
  <si>
    <t>112,117</t>
  </si>
  <si>
    <t>117,117</t>
  </si>
  <si>
    <t>111,118</t>
  </si>
  <si>
    <t>119,119</t>
  </si>
  <si>
    <t>112,120</t>
  </si>
  <si>
    <t>122,120</t>
  </si>
  <si>
    <t>138,121</t>
  </si>
  <si>
    <t>160,121</t>
  </si>
  <si>
    <t>103,122</t>
  </si>
  <si>
    <t>99,123</t>
  </si>
  <si>
    <t>126,124</t>
  </si>
  <si>
    <t>127,124</t>
  </si>
  <si>
    <t>122,125</t>
  </si>
  <si>
    <t>128,125</t>
  </si>
  <si>
    <t>130,125</t>
  </si>
  <si>
    <t>135,129</t>
  </si>
  <si>
    <t>157,134</t>
  </si>
  <si>
    <t>Nonattainment Area Only:</t>
  </si>
  <si>
    <t>Resid.</t>
  </si>
  <si>
    <t>- Assume cost differences are limited to costs of upgrades and costs of fuel use</t>
  </si>
  <si>
    <t>Average Daily Fuel Use =</t>
  </si>
  <si>
    <t>Number of Residential Oil Devices =</t>
  </si>
  <si>
    <t>central oil furnaces, portable heater, and direct vent heaters</t>
  </si>
  <si>
    <t>Average Daily Per Device Fuel Use =</t>
  </si>
  <si>
    <t>Residential Oil Device</t>
  </si>
  <si>
    <t>Number of Devices Upgraded =</t>
  </si>
  <si>
    <t>oil devices/yr</t>
  </si>
  <si>
    <t>#1/#2 Fuel Oil Blend</t>
  </si>
  <si>
    <t>mmBTU/gal</t>
  </si>
  <si>
    <t>Fuel Use Reduction from Upgrade =</t>
  </si>
  <si>
    <t xml:space="preserve">(2015 Ultra Low Sulfur Report, prepared by Brookhaven </t>
  </si>
  <si>
    <t xml:space="preserve">   Laboratories for NYSERDA)</t>
  </si>
  <si>
    <t>Oil Device Upgrade Cost:</t>
  </si>
  <si>
    <t>Fuel Oil Device Upgrade</t>
  </si>
  <si>
    <t>Burner Replacement Cost =</t>
  </si>
  <si>
    <t>(Stews Heating Invoice, 7/31/18)</t>
  </si>
  <si>
    <t>Controller Replacement Cost =</t>
  </si>
  <si>
    <t>Labor Cost =</t>
  </si>
  <si>
    <t>Complete Device Replacement Cost =</t>
  </si>
  <si>
    <t>Geometric Mean of Cost Range =</t>
  </si>
  <si>
    <t>Upgrade Cost</t>
  </si>
  <si>
    <t>Recovery</t>
  </si>
  <si>
    <t>per device upgrade</t>
  </si>
  <si>
    <t>ESP</t>
  </si>
  <si>
    <t>Sold/Cut</t>
  </si>
  <si>
    <t>Useful Life (yrs) --&gt;</t>
  </si>
  <si>
    <t>Bank Prime Loan</t>
  </si>
  <si>
    <t>Capital Recovery Rate (CRR):</t>
  </si>
  <si>
    <t>BTU/HH/day, from 2019 Baseline EI</t>
  </si>
  <si>
    <t>BTU/HH/day, from 2011-2015 HH Survey</t>
  </si>
  <si>
    <t>Residential Episodic Day Heating Energy Use:</t>
  </si>
  <si>
    <t>Residential Winter (Oct-Mar) Day Heating Energy Use:</t>
  </si>
  <si>
    <t>Residential Annual Average Day Heating Energy Use:</t>
  </si>
  <si>
    <t>Episodic to Annual Average Heating Factor:</t>
  </si>
  <si>
    <t>&lt;-- This factor is used to adjust episodic average daily emission reductions to annual average daily emission reductions.</t>
  </si>
  <si>
    <t>Capital Recovery Factor (CRR):</t>
  </si>
  <si>
    <t>mmBtu/episodic day</t>
  </si>
  <si>
    <t>/episodic day</t>
  </si>
  <si>
    <t>tons/episodic day</t>
  </si>
  <si>
    <t>/episodic day-residence</t>
  </si>
  <si>
    <t>Net Emission Benefits (tons/year)</t>
  </si>
  <si>
    <t>EpsdDay</t>
  </si>
  <si>
    <t>Winter to Annual Average Heating Factor:</t>
  </si>
  <si>
    <t>&lt;-- This factor is used to adjust winter average daily emission reductions to annual average daily emission reductions.</t>
  </si>
  <si>
    <t>mmBtu/Epsd Day</t>
  </si>
  <si>
    <t>mmBtu/Epsd Day-</t>
  </si>
  <si>
    <t>mmBtu/Episodic Day-device</t>
  </si>
  <si>
    <t>Epsd Day</t>
  </si>
  <si>
    <r>
      <t xml:space="preserve">Net Emission Benefits (tons/year) -- </t>
    </r>
    <r>
      <rPr>
        <sz val="11"/>
        <color rgb="FFFF0000"/>
        <rFont val="Calibri"/>
        <family val="2"/>
        <scheme val="minor"/>
      </rPr>
      <t>Residential Only</t>
    </r>
  </si>
  <si>
    <t>mmBtu/annual average day - all residential oil devices</t>
  </si>
  <si>
    <t>mmBtu/annual average day-device</t>
  </si>
  <si>
    <t>mmBTU/day-</t>
  </si>
  <si>
    <t>Annual Fuel Use</t>
  </si>
  <si>
    <t>Total Annual Fuel Cost</t>
  </si>
  <si>
    <t>Annual Costs</t>
  </si>
  <si>
    <t>mmBtu/EpsdDay-</t>
  </si>
  <si>
    <t>Annual Daily Energy</t>
  </si>
  <si>
    <t>Use (mmBTU/day)</t>
  </si>
  <si>
    <t>Annual Daily Fuel Use</t>
  </si>
  <si>
    <t>Per Year</t>
  </si>
  <si>
    <t>Maintenance Costs</t>
  </si>
  <si>
    <t>https://www.improvenet.com/r/costs-and-prices/fireplace-remodeling-cost</t>
  </si>
  <si>
    <t>&lt;&lt;- % of ComWood Price</t>
  </si>
  <si>
    <t>&lt;-- Estimated from 2016 ACS and 2010 Census by Block Group</t>
  </si>
  <si>
    <t>Exempt Pellet Devices (Inserts/Stoves)</t>
  </si>
  <si>
    <t>Certified Pellet Devices (Inserts/Stoves)</t>
  </si>
  <si>
    <t>mmBTU/episodic day</t>
  </si>
  <si>
    <t>epsd day</t>
  </si>
  <si>
    <t>Heating Energy Use</t>
  </si>
  <si>
    <t>Oil/Exempt PS:</t>
  </si>
  <si>
    <t>(3.130-3.180)</t>
  </si>
  <si>
    <t>(3.050-3.100)</t>
  </si>
  <si>
    <r>
      <rPr>
        <u/>
        <sz val="11"/>
        <color indexed="8"/>
        <rFont val="Calibri"/>
        <family val="2"/>
        <scheme val="minor"/>
      </rPr>
      <t>Source</t>
    </r>
    <r>
      <rPr>
        <sz val="11"/>
        <color indexed="8"/>
        <rFont val="Calibri"/>
        <family val="2"/>
        <scheme val="minor"/>
      </rPr>
      <t>: FNSB, Community research surveys, 2000-2018.</t>
    </r>
  </si>
  <si>
    <t>Tons/Cord</t>
  </si>
  <si>
    <t>$/ton</t>
  </si>
  <si>
    <t>Episodic to Winter Average Heating Factor:</t>
  </si>
  <si>
    <t>&lt;-- This factor is used to adjust episodic average daily emission reductions to winter season average daily emission reductions.</t>
  </si>
  <si>
    <t>Oil Furnace Energy</t>
  </si>
  <si>
    <t>year</t>
  </si>
  <si>
    <t>All Devices/year</t>
  </si>
  <si>
    <t>Annual Pot Burner</t>
  </si>
  <si>
    <t>Annual Fuel &amp;</t>
  </si>
  <si>
    <t>mmBTU/device</t>
  </si>
  <si>
    <t>Total Annual</t>
  </si>
  <si>
    <t>Pot Burners (burning waste oil)</t>
  </si>
  <si>
    <t>mmBtu/EpsdDay-device</t>
  </si>
  <si>
    <t xml:space="preserve">NA Area Occupied Households: </t>
  </si>
  <si>
    <t>excludes residences currently served by District heating</t>
  </si>
  <si>
    <t>&lt;-- reciprocal of assumed residential oil heater useful life</t>
  </si>
  <si>
    <t>From "WasteOilUse" tab in Space Heating EI spreadsheet, based on local survey</t>
  </si>
  <si>
    <t>- Also include new installations when devices are "normally" replaced after average useful life</t>
  </si>
  <si>
    <t>- Assume it applies to all wood-burning devices</t>
  </si>
  <si>
    <t>- Assume measure allows only oil furnaces in new construction, device replacements</t>
  </si>
  <si>
    <t xml:space="preserve">  With fireplaces + inserts, cordwood =</t>
  </si>
  <si>
    <t xml:space="preserve">  With stoves, cordwood =</t>
  </si>
  <si>
    <t xml:space="preserve">  With exempt pellet stoves =</t>
  </si>
  <si>
    <t xml:space="preserve">  With certified pellet stoves =</t>
  </si>
  <si>
    <t>Total Affected New Construction Devices:</t>
  </si>
  <si>
    <t>&lt;-- equal to reciprocal of assumed useful life (years)</t>
  </si>
  <si>
    <t>Annual Replacement Rate, Fireplace:</t>
  </si>
  <si>
    <t>Annual Replacement Rate, Cordwood Stove/Insert:</t>
  </si>
  <si>
    <t>Annual Replacement Rate, Pellet Stove:</t>
  </si>
  <si>
    <t>Annual Replacement Rate, Outdoor Hydronic Heater:</t>
  </si>
  <si>
    <t>- Assume no overlap with Borough Wood Stove Change Out (WSCO) Program on replacement</t>
  </si>
  <si>
    <t>Total Wood-Burning Devices</t>
  </si>
  <si>
    <t>Annual Replacement</t>
  </si>
  <si>
    <t>Rate (%)</t>
  </si>
  <si>
    <t>Construct.</t>
  </si>
  <si>
    <t>Exempt Pellet Stoves --&gt; Oil</t>
  </si>
  <si>
    <t>Certified Pellet Stoves --&gt; Oil</t>
  </si>
  <si>
    <t>Exempt pellet stove</t>
  </si>
  <si>
    <t>Certified pellet stove</t>
  </si>
  <si>
    <t>Oil/Certified PS:</t>
  </si>
  <si>
    <t>Wood Pellets</t>
  </si>
  <si>
    <t xml:space="preserve">Steam Energy Transmission Efficiency from Aurora to customer = </t>
  </si>
  <si>
    <t>Aurora Coal Boiler PM2.5 Emission Factor (lb/mmBTU) =</t>
  </si>
  <si>
    <t>Aurora Coal Boiler SO2 Emission Factor (lb/mmBTU) =</t>
  </si>
  <si>
    <t>&lt;-- from Serious SIP episodic emission inventory</t>
  </si>
  <si>
    <t>District Heat</t>
  </si>
  <si>
    <t>Use</t>
  </si>
  <si>
    <t xml:space="preserve">Aurora Combustion to Steam Efficiency: </t>
  </si>
  <si>
    <t>Current Heating Energy per 2000 Residences =</t>
  </si>
  <si>
    <t xml:space="preserve">Aurora Combustion Energy to Steam Efficiency = </t>
  </si>
  <si>
    <t>Aurora Combustion Energy Needed per 2000 Residences =</t>
  </si>
  <si>
    <t>Aurora Combustion Emission Calculations:</t>
  </si>
  <si>
    <t>PM2.5/PM10</t>
  </si>
  <si>
    <t>Emission Factor (lb/mmBTU):</t>
  </si>
  <si>
    <t>Emissions (tons/episodic day per 2000 residences):</t>
  </si>
  <si>
    <t>Emis Ratio</t>
  </si>
  <si>
    <t>Undr/Ovr</t>
  </si>
  <si>
    <t>Adjustment Factors</t>
  </si>
  <si>
    <t>Certified Device EF</t>
  </si>
  <si>
    <t>&lt;</t>
  </si>
  <si>
    <t>&gt;</t>
  </si>
  <si>
    <t>Relative Benefit of Condensing vs. Conventional Boiler: (with Efficiency Improvement):</t>
  </si>
  <si>
    <t>Relative Benefit of Condensing vs. Conventional Boiler (2000 ppm):</t>
  </si>
  <si>
    <t>Linearly-Fitted Boiler Test Data at Same User-Selected Sulfur Level</t>
  </si>
  <si>
    <t>2009 Brookhaven Study (BNL-91286-2009-IR)</t>
  </si>
  <si>
    <t>Boiler Fraction of All Oil Heaters:</t>
  </si>
  <si>
    <t>Existing Fraction of Flame Retention Burners:</t>
  </si>
  <si>
    <t>&lt;-- estimated of fraction of Fairbanks residential oil devices that are boilers, not furnaces</t>
  </si>
  <si>
    <t xml:space="preserve">Fraction of All Residential Oil Heaters That Are Boilers = </t>
  </si>
  <si>
    <t>Existing Fraction of Boilers Using Flame Retention Burners =</t>
  </si>
  <si>
    <t>Anecdotal estimate based on SIP EI emission factor from OMNI Labs test and introduction of flame retention boilers in 1960s-70s</t>
  </si>
  <si>
    <t>Anecdotal estimate from discussions with FNSB staff (3/25/2019)</t>
  </si>
  <si>
    <t>&lt;-- estimated fraction of existing oil boilers with flame retention burners</t>
  </si>
  <si>
    <t>http://www.oilheatamerica.com/knowledge-base/equipment/burners/</t>
  </si>
  <si>
    <t>- Oil industry websites cite 5-15% reduction on fuel use using flame retention burner technology:</t>
  </si>
  <si>
    <t xml:space="preserve">  http://www.oilheatamerica.com/knowledge-base/equipment/burners/ </t>
  </si>
  <si>
    <t>- Flame retention burner technology introduced in 1960s-70s, so assume it exists on most currently installed boilers</t>
  </si>
  <si>
    <t>Efficiency Improvement of Flame Retention Burner:</t>
  </si>
  <si>
    <t>&lt;-- relative to conventional/older oil burners</t>
  </si>
  <si>
    <t>Relative Efficiency Improvement of Flame Retention Burners =</t>
  </si>
  <si>
    <t>- Adjust Residential sector based on efficiency improvement, affected oil device fraction and assumed annual penetration rate</t>
  </si>
  <si>
    <t>&lt;-- Adjusted for Flame Retention Burner Penetration</t>
  </si>
  <si>
    <t>Resulting Annual Adjustment Factor:</t>
  </si>
  <si>
    <t>&lt;-- includes annual penetration/application rate</t>
  </si>
  <si>
    <t>&lt;-- excludes annual penetration/application rate</t>
  </si>
  <si>
    <t>Average Daily Residential Oil Energy Use =</t>
  </si>
  <si>
    <t>Fuel &amp; Energy Use Reduction from Upgrade =</t>
  </si>
  <si>
    <t>Average Daily Per Device Energy Use =</t>
  </si>
  <si>
    <t>Oil Device Burner Replacement Costs:</t>
  </si>
  <si>
    <t>per device</t>
  </si>
  <si>
    <t>ULS Heating Oil Sulfur Level (ppm):</t>
  </si>
  <si>
    <t xml:space="preserve">Ultra Low Sulfur Heating Oil Sulfur Content (ppm) = </t>
  </si>
  <si>
    <t>ppm</t>
  </si>
  <si>
    <t>Relative Reduction, #2/#1 to ULS:</t>
  </si>
  <si>
    <t>ULS Heating Oil Emission Factors (lb/mmBTU)</t>
  </si>
  <si>
    <t>Heating Oil Type</t>
  </si>
  <si>
    <t>ULS Heating Oil (15 ppm S)</t>
  </si>
  <si>
    <t>- Assume ULSHO energy content is same as #1 based on data reported from 2009 Brookhaven Labs study</t>
  </si>
  <si>
    <t>Energy Prices Residential Distillate Fuel Oil (Region Pacific)</t>
  </si>
  <si>
    <t>https://www.eia.gov/outlooks/aeo/data/browser/#/?id=3-AEO2018&amp;region=1-9&amp;cases=ref2018~highprice~lowprice&amp;start=2016&amp;end=2050&amp;f=A&amp;linechart=~~~ref2018-d121317a.4-3-AEO2018.1-9~highprice-d122017a.4-3-AEO2018.1-9~lowprice-d121317a.4-3-AEO2018.1-9&amp;map=highprice-d122017a.3-3-AEO2018.1-9&amp;ctype=linechart&amp;sourcekey=0</t>
  </si>
  <si>
    <t>08:44:03 GMT-0900 (Alaskan Standard Time)</t>
  </si>
  <si>
    <t>EIA Distillate EC:</t>
  </si>
  <si>
    <t>https://www.eia.gov/energyexplained/?page=about_energy_units</t>
  </si>
  <si>
    <t>EIA 2018 Outlook Pacific Region</t>
  </si>
  <si>
    <t>mmBTU/bbl</t>
  </si>
  <si>
    <t>https://www.eia.gov/totalenergy/data/monthly/pdf/sec13_3.pdf</t>
  </si>
  <si>
    <t>gal/bbl</t>
  </si>
  <si>
    <t>Source: U.S. Energy Information Administration</t>
  </si>
  <si>
    <t>Ref case $/MMBtu 2017</t>
  </si>
  <si>
    <t xml:space="preserve">High oil price $/MMBtu 2017 </t>
  </si>
  <si>
    <t>Low oil price $/MMBtu 2017</t>
  </si>
  <si>
    <t>Ref case $/Gallon 2017</t>
  </si>
  <si>
    <t xml:space="preserve">High oil price $/Gallon 2017 </t>
  </si>
  <si>
    <t>Low oil price $/Gallon 2017</t>
  </si>
  <si>
    <t>% change Ref case</t>
  </si>
  <si>
    <t>% change high oil price</t>
  </si>
  <si>
    <t>% change low oil price</t>
  </si>
  <si>
    <t>FAI Indexed Ref case $/Gal</t>
  </si>
  <si>
    <t>FAI Indexed high oil price $/Gal</t>
  </si>
  <si>
    <t>FAI Indexed low oil price $/Gal</t>
  </si>
  <si>
    <t>EIA-Based Forecasted Heating Oil Prices</t>
  </si>
  <si>
    <t>Flame Retention vs. Conventional Oil Burner Efficiency improvement:</t>
  </si>
  <si>
    <t>Effort</t>
  </si>
  <si>
    <t>Criteria</t>
  </si>
  <si>
    <t>Medium</t>
  </si>
  <si>
    <t>Requires minor modification to existing program</t>
  </si>
  <si>
    <t>Requires significant modification to existing program</t>
  </si>
  <si>
    <t>Requires development of new and/or complex program elements</t>
  </si>
  <si>
    <t>Labor Categories</t>
  </si>
  <si>
    <t>Effort (FTE)</t>
  </si>
  <si>
    <t>Program only addresses new construction, new devices, or limited set of devices</t>
  </si>
  <si>
    <t>Program addresses significant portion of device population</t>
  </si>
  <si>
    <t>Program address entire population of devices</t>
  </si>
  <si>
    <t>Labor Cost</t>
  </si>
  <si>
    <t>per FTE</t>
  </si>
  <si>
    <t xml:space="preserve">Labor cost derived from FNSB 2019 budget breadout. Includes management, supervisory, and technical staff. Averaged for department. Costs include: salary, benefits, office supplies, computer supplies, operating supplies, equipent, contractor support, communications, travel, training, advertising, janitoral, and utilities. </t>
  </si>
  <si>
    <t>Average cost of FTE</t>
  </si>
  <si>
    <t>Program Development Cost (one time capital cost)</t>
  </si>
  <si>
    <t>Life of program:</t>
  </si>
  <si>
    <t>CRR=</t>
  </si>
  <si>
    <t>Annualized Cost</t>
  </si>
  <si>
    <t>Effort:</t>
  </si>
  <si>
    <t>Annaul</t>
  </si>
  <si>
    <t>None</t>
  </si>
  <si>
    <t>For List</t>
  </si>
  <si>
    <t>Net Emission Benefits (tons/year-2000 residences)</t>
  </si>
  <si>
    <t>Episodic Day</t>
  </si>
  <si>
    <t>Annual Fuel Costs</t>
  </si>
  <si>
    <t xml:space="preserve"> Per Device</t>
  </si>
  <si>
    <t>/year-all residences</t>
  </si>
  <si>
    <t>/year-residence</t>
  </si>
  <si>
    <t>/year-2000 residences</t>
  </si>
  <si>
    <t>/winter day-residence</t>
  </si>
  <si>
    <t>tons/year-2000 residences</t>
  </si>
  <si>
    <t>Price Premium forULS Oil:</t>
  </si>
  <si>
    <t>2019 After ULS Emissions by Affected Fuel Type (tons/year)</t>
  </si>
  <si>
    <t>Daily</t>
  </si>
  <si>
    <t xml:space="preserve">  - Assume 98% of commercial buildings use heating oil (remaining 2% use natural gas) -- consistent with SIP EI assumption</t>
  </si>
  <si>
    <t>After #1</t>
  </si>
  <si>
    <t>Affected Fuel/Sector (mmBTU/avg annual day)</t>
  </si>
  <si>
    <t>% Change</t>
  </si>
  <si>
    <t>Petro Star, 7/11/19 email, LHV</t>
  </si>
  <si>
    <t>Wood, tons/year</t>
  </si>
  <si>
    <t>Commercial heating oil, gallons/year</t>
  </si>
  <si>
    <t>Residential heating oil, gallons/year</t>
  </si>
  <si>
    <t>per 2015 Brookhaven report (BNL-108353-2015-IR), RGD scaled to #1 sulfur</t>
  </si>
  <si>
    <t>Prohibit Installation of Solid Fuel Heating Devices in New Construction</t>
  </si>
  <si>
    <t>BACM Measure 51a</t>
  </si>
  <si>
    <t>No. 2 to No. 1 home heating oil</t>
  </si>
  <si>
    <t>BACM Measure 51b</t>
  </si>
  <si>
    <t>No. 2 to ULS home heating oil</t>
  </si>
  <si>
    <t>No Use, Sale, or Exchange of Used Oil for Fuel Unless It Meets Constituent Property Limits Ban</t>
  </si>
  <si>
    <t>BACM Measure R29</t>
  </si>
  <si>
    <t>EPA - Fuel oil boiler upgrade - burner upgrade/repair</t>
  </si>
  <si>
    <t>BACM Measure 61</t>
  </si>
  <si>
    <t>EPA - Fuel oil boiler upgrade - replacement</t>
  </si>
  <si>
    <t>Engineering Judgement</t>
  </si>
  <si>
    <t>Measure 51b - No. 2 to ULS home heating oil</t>
  </si>
  <si>
    <t>Measure R29 - Increase Coverage of the District Heating System</t>
  </si>
  <si>
    <t>Measure 61 - Fuel Oil Boiler Upgrades - Repair</t>
  </si>
  <si>
    <t>Fairbanks PM2.5 Serious SIP</t>
  </si>
  <si>
    <t>Sheet Tab(s)</t>
  </si>
  <si>
    <t>Description</t>
  </si>
  <si>
    <t>BuildSizeG3C</t>
  </si>
  <si>
    <t>This sheet contains estimates of housing unit size, population and the number of housing units (occupied and unoccupied) by grid cells developed from block-level 2010 Census data, block group 2016 ACS Census projections in the Fairbanks Borough.  These data are used to support some of the measure benefit calculations.</t>
  </si>
  <si>
    <t>EFs-BTU</t>
  </si>
  <si>
    <t>TabsAll</t>
  </si>
  <si>
    <t>This sheet contains tabulations of various metrics from the 2011-2015 Fairbanks Home Heating surveys for both the entire nonattainment area, and by individual ZIP code and provides supporting data for some of the control measure benefits calculations.</t>
  </si>
  <si>
    <t>HHSurveyG2</t>
  </si>
  <si>
    <t>Lookup</t>
  </si>
  <si>
    <t>This sheet includes miscellaneous data such as historical fuel prices and emission ratios for certified devices below/above specific certification levels (the latter compiled from the 2013 Wood Tag Survey) used to support elements of some of the emission benefit calculations</t>
  </si>
  <si>
    <r>
      <t>DevSumOut-</t>
    </r>
    <r>
      <rPr>
        <i/>
        <sz val="11"/>
        <color rgb="FFFF0000"/>
        <rFont val="Calibri"/>
        <family val="2"/>
        <scheme val="minor"/>
      </rPr>
      <t>YYYY</t>
    </r>
    <r>
      <rPr>
        <sz val="11"/>
        <color theme="1"/>
        <rFont val="Calibri"/>
        <family val="2"/>
        <scheme val="minor"/>
      </rPr>
      <t>PB</t>
    </r>
  </si>
  <si>
    <r>
      <t>This is the first of three sets of calendar year-specific sheets (identified by the</t>
    </r>
    <r>
      <rPr>
        <i/>
        <sz val="11"/>
        <color rgb="FFFF0000"/>
        <rFont val="Calibri"/>
        <family val="2"/>
        <scheme val="minor"/>
      </rPr>
      <t xml:space="preserve"> YYYY</t>
    </r>
    <r>
      <rPr>
        <sz val="11"/>
        <color theme="1"/>
        <rFont val="Calibri"/>
        <family val="2"/>
        <scheme val="minor"/>
      </rPr>
      <t xml:space="preserve"> in the sheet name) that contain SCC-level baseline episodic emissions for space heating sources imported from the SIP inventories and are used to provide SIP inventory-consistent baseline emissions and fuel/energy use within the measure benefit calculations.  This sheet contains emissions totaled across both the entire Grid 3 domain and the nonattainment area.  Emissions are given in tons per day, averaged across the 35 episode days.</t>
    </r>
  </si>
  <si>
    <t>ULSEFs</t>
  </si>
  <si>
    <t>This sheet contains assumptions and methods used within the SIP inventory to adjust wood burning energy use and emissions as a function of wood moisture level.</t>
  </si>
  <si>
    <t>EFs-OMNI</t>
  </si>
  <si>
    <t>EPA*</t>
  </si>
  <si>
    <t>These are a series of sheets that contain information on various type of certified solid fuel burning devices complied from EPA's "Burn Wise" certification databases.</t>
  </si>
  <si>
    <t>BACM Measure Cost Effectiveness Calculation Spreadsheet</t>
  </si>
  <si>
    <t>(11/15/19)</t>
  </si>
  <si>
    <t>This sheet contains emission factor data complied from the 2009 Brookhaven testing study that are used within the Measure 51 &amp; 52 calculation sheets to represent PM2.5 emissions in heating oil devices as a function of fuel sulfur level</t>
  </si>
  <si>
    <t>EIAProjections</t>
  </si>
  <si>
    <t>CostData</t>
  </si>
  <si>
    <t>Measure8</t>
  </si>
  <si>
    <t>Measure51a</t>
  </si>
  <si>
    <t>Measure51b</t>
  </si>
  <si>
    <t>Measure52</t>
  </si>
  <si>
    <t>Measure53</t>
  </si>
  <si>
    <t>MeasureR15</t>
  </si>
  <si>
    <t>MeasureR29</t>
  </si>
  <si>
    <t>Measure61</t>
  </si>
  <si>
    <t>Measure62</t>
  </si>
  <si>
    <t>Miner 33</t>
  </si>
  <si>
    <t>11756-35388</t>
  </si>
  <si>
    <t>Soul Pellet Stove Insert, Soul 700 free standing, Soul 700 Insert</t>
  </si>
  <si>
    <t>6100-30000</t>
  </si>
  <si>
    <t>Spirit 500, Classic 500</t>
  </si>
  <si>
    <t>8700-21700</t>
  </si>
  <si>
    <t>EFs-AP42</t>
  </si>
  <si>
    <t>This is the first of nine "Measure" sheets in the spreadsheet for which detailed control measure-specific cost effectiveness calculations were performed.   The top several rows of each of these Measure sheets contain summary information about the control measure: its name, initial implementation year, projected compliance/penetration rate (where applicable) and other key assumptions and calculation methods. Emissions and costs are then calculated both with and without implmentation of the measure.  The emission benefit estimates are based on daily episodic conditions and then scaled to an annual average basis based on episodic-to-annual energy use ratios developed from local Fairbanks heating data.  The conversion to annual emission reductions is necessary to compare to annualized costs.  This sheet computes cost effectiveness for Measure 8, which prohibits installation of solid-fuel devices in new home construction.</t>
  </si>
  <si>
    <t>Emission benefits and cost effectiveness calculations for the measure banning new installations of solid fuel devices are contained in this sheet.  Unlike many of the other measures, emission benefits for this measure accumulate over time (relative to a business as usual case).</t>
  </si>
  <si>
    <t>This sheet contains tabulations of additional metrics from the 2011-2015 Fairbanks Home Heating surveys at 4 km grid cell (G2) level that were used to spatially refine ZIP code-based estimates from these surveys for the Serious SIP.  They are used to support calculations in the Devices sheet and some of the control measure benefit sheets.</t>
  </si>
  <si>
    <t>This sheet computes cost-effectiveness for shifting from #2 to Ultra Low Sulfur (ULS) heating oil (15 ppm S) for both residential and commercial space heating.  The "baseline" reflect the currently estimated mix of 68% #2 and 32% #1 oil.  PM2.5 and SO2 emission benefits from shifting entirely to ULS oil are based on emission factors and fuel usage data from the SIP emissions inventory coupled with a 2009 Brookhaven study that demonstrated a linear relationship between PM2.5 emissions and fuel oil sulfur content.  The analysis also accounts for the difference in energy content between the two distillate grades.  Costs include differences in retail oil prices (between #2 and #1) based on an economic analysis by DEC and UAF economists.  The emission benefits also include a cross-price elasticity (wood-oil) effect associated with this price difference based on the DEC/UAF economnic analysis. Maintenance and other costs are also reflected and account for lower maintenance using ULS oil from reduced fouling per a related 2015 Brookhaven study.</t>
  </si>
  <si>
    <t>This sheet was developed from the 2011-2015 Fairbanks Home Heating survey data coupled with Census-based projection to estimate device counts within the nonattainment area by device type and calendar year and is used as supporting data for some of the measure benefit and cost-effectiveness calculations.</t>
  </si>
  <si>
    <t>BACM Measure 62</t>
  </si>
  <si>
    <t>This sheet calculates emission benefits and cost-effectiveness for the first of two fuel oil boiler-related measures.  This measure involves upgrading the burner unit to flame retention burner technology, which can yield a 5-15% reduction in oil use relative to conventional oil burner technology.</t>
  </si>
  <si>
    <t>This sheet calculates emission benefits and cost-effectiveness for the second fuel oil boiler-related measure.  This measure involves upgrading/replacing the boiler with a newer condensing boiler technology which provides both efficiency improvements and PM2.5 emission reductions relative to a conventional boiler based on a 2009 Brookhaven study.</t>
  </si>
  <si>
    <t>This sheet contains the cost effectiveness calculations for Measure53, which prohibits use/sale/exchange of used oil for fuel unless it meets fuel property limits.  Baseline (pre-measure) emissions and fuel usage associated with waste oil burning are based on data collected by the Borough and used to represent this source category in the SIP emission inventory.</t>
  </si>
  <si>
    <t>This sheet contains the cost effectiveness calculations for Measure52, removal of waste oil "pot burners".  Baseline (pre-measure) emissions and fuel usage associated with waste oil burning are based on data collected by the Borough and used to represent this source category in the SIP emission inventory. With implmentation, the measure assumes the lost heat is replaced by burning conventional #2/#1 heating oil.  Costs reflect current retail heating oil prices.</t>
  </si>
  <si>
    <t>This sheet calculates emission benefits and cost-effectiveness for the measure that expands the Fairbanks area currently served by District/Municipal steam heat associated with coal combustion at the Chena Power Plant.  Baseline emissions are reflective of a typical Fairbanks household not using District heat from the SIP inventory.  "With Measure" emissions replace these emissions with that associated with the energy increase in coal combustion at the power plant and include an estimated District heat transmission efficiency.</t>
  </si>
  <si>
    <t>This sheet contains space heating device emission factors on a lb/mmBTU basis that are used in the measure benefit and cost-effectiveness calculations.  These factors are consistent with those used elsewhere in the SIP inventories and include an adjustment for wood devices to reflect baseline wood moisture levels in the nonattainment area.</t>
  </si>
  <si>
    <t>Distillate fuel oil historical &amp; forecasted prices for the Pacific region from the U.S. Energy Information Administration (EIA) 2018 Annual Energy Outlook (AEO). The Pacific region AEO oil price forecast is used on a relative basis to project local Fairbanks heating oil prices contained in the Lookup sheet.</t>
  </si>
  <si>
    <t>This is a version of the EFs-BRU sheet that shows emission factors in original units (before energy content-based conversions to lb/mmBTU) that were compiled from a combination of OMNI Labs emission testing and AP-42 (where not OMNI tests were available).  Again these emission factors are consistent with those used in the SIP inventories.</t>
  </si>
  <si>
    <t>The CostData sheet is a centralized sheet where key cost-related and other data used in the measure cost-effectiveness calculations are stored.  The cost data include heating fuel prices, heating device purchase, installation and annual maintenance costs.  Other data include fuel energy contents and device heating efficiencies.</t>
  </si>
  <si>
    <t>This sheet computes cost-effectiveness for shifting from #2 to #1 heating oil for both residential and commercial space heating.  The "baseline" reflects the currently estimated mix of 68% #2 and 32% #1 oil.  Sulfur contents (based on local fuel samples) are 2,566 ppm for #2 and 896 ppm for #1 oil.  PM2.5 and SO2 emission benefits from shifting entirely to #1 oil are based on emission factors and fuel usage data from the SIP emissions inventory.  Based on a 2009 Brookhaven study, PM2.5 emission reductions are linearly-related to fuel oil sulfur content.  The analysis also accounts for the difference in energy content between the two distillate grades.  Costs include differences in retail oil prices (between #2 and #1) based on an economic analysis by DEC and UAF economists.  The emission benefits also include a cross-price elasticity (wood-oil) effect associated with this price difference based on the DEC/UAF economic analysis. Maintenance and other costs are are also reflected and account for lower maintenance using ULS oil from reduced fouling per a related 2015 Brookhaven study.</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</si>
</sst>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164" formatCode="0.0"/>
    <numFmt numFmtId="165" formatCode="0.000"/>
    <numFmt numFmtId="166" formatCode="#,##0.000"/>
    <numFmt numFmtId="167" formatCode="#,##0.0"/>
    <numFmt numFmtId="168" formatCode="&quot;$&quot;#,##0.000_);[Red]\(&quot;$&quot;#,##0.000\)"/>
    <numFmt numFmtId="169" formatCode="0.0000"/>
    <numFmt numFmtId="170" formatCode="0.0%"/>
    <numFmt numFmtId="171" formatCode="&quot;$&quot;#,##0.00"/>
    <numFmt numFmtId="172" formatCode="\+0.0%;\-0.0%"/>
    <numFmt numFmtId="173" formatCode="&quot;$&quot;#,##0.0000"/>
    <numFmt numFmtId="174" formatCode="&quot;$&quot;#,##0.000"/>
    <numFmt numFmtId="175" formatCode="&quot;$&quot;#,##0"/>
    <numFmt numFmtId="176" formatCode="0.000000"/>
    <numFmt numFmtId="177" formatCode="#,##0.0000"/>
    <numFmt numFmtId="178" formatCode="0.000;[Red]\-0.000"/>
    <numFmt numFmtId="179" formatCode="\+#,##0;[Red]\-#,##0"/>
    <numFmt numFmtId="180" formatCode="0.0000;[Red]\-0.0000"/>
    <numFmt numFmtId="181" formatCode="_(&quot;$&quot;* #,##0_);_(&quot;$&quot;* \(#,##0\);_(&quot;$&quot;* &quot;-&quot;??_);_(@_)"/>
    <numFmt numFmtId="182" formatCode="0.00000"/>
    <numFmt numFmtId="183" formatCode="\+#,##0;\-#,##0"/>
    <numFmt numFmtId="184" formatCode="#,##0.000_);\(#,##0.000\)"/>
    <numFmt numFmtId="185" formatCode="0.00;[Red]\-0.00"/>
    <numFmt numFmtId="186" formatCode="&quot;$&quot;#,##0;[Red]\-&quot;$&quot;#,##0"/>
    <numFmt numFmtId="187" formatCode="\+0.0%;[Red]\-0.0%"/>
  </numFmts>
  <fonts count="100" x14ac:knownFonts="1">
    <font>
      <sz val="11"/>
      <color theme="1"/>
      <name val="Calibri"/>
      <family val="2"/>
      <scheme val="minor"/>
    </font>
    <font>
      <sz val="10"/>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sz val="10"/>
      <name val="Verdana"/>
      <family val="2"/>
    </font>
    <font>
      <b/>
      <sz val="12"/>
      <name val="Calibri"/>
      <family val="2"/>
      <scheme val="minor"/>
    </font>
    <font>
      <sz val="10"/>
      <name val="Calibri"/>
      <family val="2"/>
      <scheme val="minor"/>
    </font>
    <font>
      <b/>
      <sz val="11"/>
      <name val="Calibri"/>
      <family val="2"/>
      <scheme val="minor"/>
    </font>
    <font>
      <b/>
      <sz val="11"/>
      <color rgb="FFFF0000"/>
      <name val="Calibri"/>
      <family val="2"/>
      <scheme val="minor"/>
    </font>
    <font>
      <sz val="11"/>
      <name val="Calibri"/>
      <family val="2"/>
      <scheme val="minor"/>
    </font>
    <font>
      <sz val="10"/>
      <name val="MS Sans Serif"/>
      <family val="2"/>
    </font>
    <font>
      <sz val="11"/>
      <color indexed="8"/>
      <name val="Calibri"/>
      <family val="2"/>
      <scheme val="minor"/>
    </font>
    <font>
      <sz val="9"/>
      <color indexed="81"/>
      <name val="Tahoma"/>
      <family val="2"/>
    </font>
    <font>
      <b/>
      <sz val="9"/>
      <color indexed="81"/>
      <name val="Tahoma"/>
      <family val="2"/>
    </font>
    <font>
      <b/>
      <sz val="12"/>
      <color theme="1"/>
      <name val="Calibri"/>
      <family val="2"/>
      <scheme val="minor"/>
    </font>
    <font>
      <b/>
      <sz val="12"/>
      <color rgb="FFFF0000"/>
      <name val="Calibri"/>
      <family val="2"/>
      <scheme val="minor"/>
    </font>
    <font>
      <b/>
      <sz val="12"/>
      <color rgb="FF0066FF"/>
      <name val="Calibri"/>
      <family val="2"/>
      <scheme val="minor"/>
    </font>
    <font>
      <b/>
      <sz val="11"/>
      <color indexed="8"/>
      <name val="Calibri"/>
      <family val="2"/>
      <scheme val="minor"/>
    </font>
    <font>
      <sz val="11"/>
      <color rgb="FF00B0F0"/>
      <name val="Calibri"/>
      <family val="2"/>
      <scheme val="minor"/>
    </font>
    <font>
      <sz val="11"/>
      <color rgb="FF0066FF"/>
      <name val="Calibri"/>
      <family val="2"/>
      <scheme val="minor"/>
    </font>
    <font>
      <sz val="11"/>
      <color rgb="FF0070C0"/>
      <name val="Calibri"/>
      <family val="2"/>
      <scheme val="minor"/>
    </font>
    <font>
      <vertAlign val="superscript"/>
      <sz val="11"/>
      <color theme="1"/>
      <name val="Calibri"/>
      <family val="2"/>
      <scheme val="minor"/>
    </font>
    <font>
      <sz val="11"/>
      <color rgb="FF7030A0"/>
      <name val="Calibri"/>
      <family val="2"/>
      <scheme val="minor"/>
    </font>
    <font>
      <u/>
      <sz val="11"/>
      <color theme="1"/>
      <name val="Calibri"/>
      <family val="2"/>
      <scheme val="minor"/>
    </font>
    <font>
      <u/>
      <sz val="11"/>
      <color theme="10"/>
      <name val="Calibri"/>
      <family val="2"/>
      <scheme val="minor"/>
    </font>
    <font>
      <sz val="8"/>
      <color theme="1"/>
      <name val="Calibri"/>
      <family val="2"/>
      <scheme val="minor"/>
    </font>
    <font>
      <sz val="16"/>
      <color theme="1"/>
      <name val="Calibri"/>
      <family val="2"/>
      <scheme val="minor"/>
    </font>
    <font>
      <b/>
      <sz val="11"/>
      <color rgb="FF000000"/>
      <name val="Calibri"/>
      <family val="2"/>
      <scheme val="minor"/>
    </font>
    <font>
      <b/>
      <vertAlign val="superscript"/>
      <sz val="11"/>
      <color rgb="FF000000"/>
      <name val="Calibri"/>
      <family val="2"/>
      <scheme val="minor"/>
    </font>
    <font>
      <sz val="11"/>
      <color rgb="FF000000"/>
      <name val="Calibri"/>
      <family val="2"/>
      <scheme val="minor"/>
    </font>
    <font>
      <sz val="10.1"/>
      <color rgb="FF000000"/>
      <name val="Calibri"/>
      <family val="2"/>
      <scheme val="minor"/>
    </font>
    <font>
      <sz val="10"/>
      <color rgb="FF000000"/>
      <name val="Calibri"/>
      <family val="2"/>
      <scheme val="minor"/>
    </font>
    <font>
      <u/>
      <sz val="10"/>
      <color indexed="12"/>
      <name val="Arial"/>
      <family val="2"/>
    </font>
    <font>
      <u/>
      <sz val="10"/>
      <color indexed="12"/>
      <name val="Calibri"/>
      <family val="2"/>
      <scheme val="minor"/>
    </font>
    <font>
      <b/>
      <sz val="10"/>
      <name val="Calibri"/>
      <family val="2"/>
      <scheme val="minor"/>
    </font>
    <font>
      <sz val="10"/>
      <color theme="1"/>
      <name val="Calibri"/>
      <family val="2"/>
      <scheme val="minor"/>
    </font>
    <font>
      <u/>
      <sz val="10"/>
      <name val="Calibri"/>
      <family val="2"/>
      <scheme val="minor"/>
    </font>
    <font>
      <u/>
      <sz val="11"/>
      <color indexed="12"/>
      <name val="Calibri"/>
      <family val="2"/>
      <scheme val="minor"/>
    </font>
    <font>
      <i/>
      <sz val="11"/>
      <color theme="5" tint="-0.249977111117893"/>
      <name val="Calibri"/>
      <family val="2"/>
      <scheme val="minor"/>
    </font>
    <font>
      <b/>
      <sz val="8"/>
      <color indexed="81"/>
      <name val="Tahoma"/>
      <family val="2"/>
    </font>
    <font>
      <sz val="8"/>
      <color indexed="81"/>
      <name val="Tahoma"/>
      <family val="2"/>
    </font>
    <font>
      <i/>
      <sz val="11"/>
      <color rgb="FFC00000"/>
      <name val="Calibri"/>
      <family val="2"/>
      <scheme val="minor"/>
    </font>
    <font>
      <b/>
      <sz val="11"/>
      <color rgb="FF0000FF"/>
      <name val="Calibri"/>
      <family val="2"/>
      <scheme val="minor"/>
    </font>
    <font>
      <sz val="11"/>
      <color rgb="FF0000FF"/>
      <name val="Calibri"/>
      <family val="2"/>
      <scheme val="minor"/>
    </font>
    <font>
      <sz val="10"/>
      <name val="MS Sans Serif"/>
    </font>
    <font>
      <b/>
      <sz val="18"/>
      <name val="Arial Narrow"/>
      <family val="2"/>
    </font>
    <font>
      <b/>
      <sz val="11"/>
      <name val="Arial Narrow"/>
      <family val="2"/>
    </font>
    <font>
      <b/>
      <i/>
      <sz val="9"/>
      <color rgb="FFFF0000"/>
      <name val="Arial Narrow"/>
      <family val="2"/>
    </font>
    <font>
      <b/>
      <sz val="8"/>
      <name val="Arial Narrow"/>
      <family val="2"/>
    </font>
    <font>
      <b/>
      <sz val="10"/>
      <name val="Arial Narrow"/>
      <family val="2"/>
    </font>
    <font>
      <b/>
      <i/>
      <sz val="10"/>
      <color rgb="FFFF0000"/>
      <name val="Arial Narrow"/>
      <family val="2"/>
    </font>
    <font>
      <b/>
      <i/>
      <sz val="11"/>
      <color rgb="FFFF0000"/>
      <name val="Arial Narrow"/>
      <family val="2"/>
    </font>
    <font>
      <b/>
      <sz val="10"/>
      <color rgb="FFFF0000"/>
      <name val="Arial Narrow"/>
      <family val="2"/>
    </font>
    <font>
      <b/>
      <sz val="11"/>
      <color rgb="FFFF0000"/>
      <name val="Arial Narrow"/>
      <family val="2"/>
    </font>
    <font>
      <b/>
      <sz val="10"/>
      <name val="MS Sans Serif"/>
    </font>
    <font>
      <b/>
      <i/>
      <sz val="12"/>
      <color rgb="FFFF0000"/>
      <name val="Calibri"/>
      <family val="2"/>
      <scheme val="minor"/>
    </font>
    <font>
      <i/>
      <sz val="11"/>
      <color theme="1"/>
      <name val="Calibri"/>
      <family val="2"/>
      <scheme val="minor"/>
    </font>
    <font>
      <b/>
      <sz val="12"/>
      <color indexed="8"/>
      <name val="Calibri"/>
      <family val="2"/>
      <scheme val="minor"/>
    </font>
    <font>
      <u/>
      <sz val="11"/>
      <color indexed="8"/>
      <name val="Calibri"/>
      <family val="2"/>
      <scheme val="minor"/>
    </font>
    <font>
      <b/>
      <sz val="11"/>
      <color rgb="FF00B050"/>
      <name val="Calibri"/>
      <family val="2"/>
      <scheme val="minor"/>
    </font>
    <font>
      <b/>
      <u/>
      <sz val="11"/>
      <color indexed="8"/>
      <name val="Calibri"/>
      <family val="2"/>
      <scheme val="minor"/>
    </font>
    <font>
      <sz val="10"/>
      <name val="Arial"/>
      <family val="2"/>
    </font>
    <font>
      <b/>
      <u/>
      <sz val="11"/>
      <color theme="1"/>
      <name val="Calibri"/>
      <family val="2"/>
      <scheme val="minor"/>
    </font>
    <font>
      <b/>
      <u/>
      <sz val="11"/>
      <name val="Calibri"/>
      <family val="2"/>
      <scheme val="minor"/>
    </font>
    <font>
      <sz val="11"/>
      <name val="Calibri"/>
      <family val="2"/>
    </font>
    <font>
      <u/>
      <sz val="11"/>
      <name val="Calibri"/>
      <family val="2"/>
      <scheme val="minor"/>
    </font>
    <font>
      <sz val="11"/>
      <color theme="1"/>
      <name val="Calibri"/>
      <family val="2"/>
    </font>
    <font>
      <b/>
      <u/>
      <sz val="12"/>
      <name val="Calibri"/>
      <family val="2"/>
      <scheme val="minor"/>
    </font>
    <font>
      <b/>
      <sz val="14"/>
      <color theme="1"/>
      <name val="Calibri"/>
      <family val="2"/>
      <scheme val="minor"/>
    </font>
    <font>
      <i/>
      <u/>
      <sz val="11"/>
      <color theme="1"/>
      <name val="Calibri"/>
      <family val="2"/>
      <scheme val="minor"/>
    </font>
    <font>
      <i/>
      <vertAlign val="subscript"/>
      <sz val="11"/>
      <color theme="1"/>
      <name val="Calibri"/>
      <family val="2"/>
      <scheme val="minor"/>
    </font>
    <font>
      <sz val="10"/>
      <color indexed="8"/>
      <name val="MS Sans Serif"/>
      <family val="2"/>
    </font>
    <font>
      <sz val="10"/>
      <color indexed="30"/>
      <name val="Calibri"/>
      <family val="2"/>
      <scheme val="minor"/>
    </font>
    <font>
      <sz val="10"/>
      <color theme="5" tint="-0.499984740745262"/>
      <name val="Calibri"/>
      <family val="2"/>
      <scheme val="minor"/>
    </font>
    <font>
      <b/>
      <sz val="10"/>
      <color indexed="30"/>
      <name val="Calibri"/>
      <family val="2"/>
      <scheme val="minor"/>
    </font>
    <font>
      <sz val="10"/>
      <color indexed="8"/>
      <name val="Calibri"/>
      <family val="2"/>
      <scheme val="minor"/>
    </font>
    <font>
      <b/>
      <sz val="10"/>
      <color theme="5" tint="-0.499984740745262"/>
      <name val="Calibri"/>
      <family val="2"/>
      <scheme val="minor"/>
    </font>
    <font>
      <b/>
      <sz val="10"/>
      <color indexed="12"/>
      <name val="Calibri"/>
      <family val="2"/>
      <scheme val="minor"/>
    </font>
    <font>
      <b/>
      <sz val="10"/>
      <color indexed="10"/>
      <name val="Calibri"/>
      <family val="2"/>
      <scheme val="minor"/>
    </font>
    <font>
      <b/>
      <sz val="10"/>
      <color indexed="8"/>
      <name val="Calibri"/>
      <family val="2"/>
      <scheme val="minor"/>
    </font>
    <font>
      <b/>
      <sz val="10"/>
      <color rgb="FF0000FF"/>
      <name val="Calibri"/>
      <family val="2"/>
      <scheme val="minor"/>
    </font>
    <font>
      <b/>
      <sz val="14"/>
      <name val="Calibri"/>
      <family val="2"/>
      <scheme val="minor"/>
    </font>
    <font>
      <b/>
      <i/>
      <sz val="11"/>
      <color theme="1"/>
      <name val="Calibri"/>
      <family val="2"/>
      <scheme val="minor"/>
    </font>
    <font>
      <b/>
      <u/>
      <sz val="12"/>
      <color theme="1"/>
      <name val="Calibri"/>
      <family val="2"/>
      <scheme val="minor"/>
    </font>
    <font>
      <b/>
      <i/>
      <u/>
      <sz val="11"/>
      <color theme="1"/>
      <name val="Calibri"/>
      <family val="2"/>
      <scheme val="minor"/>
    </font>
    <font>
      <b/>
      <sz val="14"/>
      <color indexed="8"/>
      <name val="Calibri"/>
      <family val="2"/>
      <scheme val="minor"/>
    </font>
    <font>
      <b/>
      <sz val="11"/>
      <color theme="5" tint="-0.249977111117893"/>
      <name val="Calibri"/>
      <family val="2"/>
      <scheme val="minor"/>
    </font>
    <font>
      <b/>
      <sz val="11"/>
      <color theme="5" tint="-0.499984740745262"/>
      <name val="Calibri"/>
      <family val="2"/>
      <scheme val="minor"/>
    </font>
    <font>
      <sz val="11"/>
      <color theme="9" tint="-0.249977111117893"/>
      <name val="Calibri"/>
      <family val="2"/>
      <scheme val="minor"/>
    </font>
    <font>
      <b/>
      <sz val="11"/>
      <color rgb="FFC00000"/>
      <name val="Calibri"/>
      <family val="2"/>
      <scheme val="minor"/>
    </font>
    <font>
      <b/>
      <i/>
      <sz val="11"/>
      <name val="Calibri"/>
      <family val="2"/>
      <scheme val="minor"/>
    </font>
    <font>
      <i/>
      <sz val="11"/>
      <color rgb="FFFF0000"/>
      <name val="Calibri"/>
      <family val="2"/>
      <scheme val="minor"/>
    </font>
    <font>
      <u/>
      <sz val="11"/>
      <color rgb="FFFF0000"/>
      <name val="Calibri"/>
      <family val="2"/>
      <scheme val="minor"/>
    </font>
    <font>
      <i/>
      <sz val="11"/>
      <name val="Calibri"/>
      <family val="2"/>
      <scheme val="minor"/>
    </font>
    <font>
      <u val="singleAccounting"/>
      <sz val="11"/>
      <color theme="1"/>
      <name val="Calibri"/>
      <family val="2"/>
      <scheme val="minor"/>
    </font>
    <font>
      <sz val="12"/>
      <color theme="1"/>
      <name val="Calibri"/>
      <family val="2"/>
      <scheme val="minor"/>
    </font>
    <font>
      <sz val="10"/>
      <color rgb="FF0000FF"/>
      <name val="Calibri"/>
      <family val="2"/>
      <scheme val="minor"/>
    </font>
    <font>
      <sz val="11"/>
      <color rgb="FF00B050"/>
      <name val="Calibri"/>
      <family val="2"/>
      <scheme val="minor"/>
    </font>
    <font>
      <sz val="9"/>
      <color theme="1"/>
      <name val="Calibri"/>
      <family val="2"/>
      <scheme val="minor"/>
    </font>
  </fonts>
  <fills count="29">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CC"/>
        <bgColor indexed="64"/>
      </patternFill>
    </fill>
    <fill>
      <patternFill patternType="solid">
        <fgColor rgb="FFFFFFFF"/>
        <bgColor indexed="64"/>
      </patternFill>
    </fill>
    <fill>
      <patternFill patternType="solid">
        <fgColor rgb="FFEEEEEE"/>
        <bgColor indexed="64"/>
      </patternFill>
    </fill>
    <fill>
      <patternFill patternType="solid">
        <fgColor theme="6" tint="0.59999389629810485"/>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44"/>
        <bgColor indexed="64"/>
      </patternFill>
    </fill>
    <fill>
      <patternFill patternType="solid">
        <fgColor indexed="4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C0C0C0"/>
        <bgColor rgb="FFC0C0C0"/>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CFF"/>
        <bgColor indexed="64"/>
      </patternFill>
    </fill>
    <fill>
      <patternFill patternType="solid">
        <fgColor theme="3" tint="0.79998168889431442"/>
        <bgColor indexed="64"/>
      </patternFill>
    </fill>
  </fills>
  <borders count="39">
    <border>
      <left/>
      <right/>
      <top/>
      <bottom/>
      <diagonal/>
    </border>
    <border>
      <left/>
      <right/>
      <top/>
      <bottom style="double">
        <color indexed="64"/>
      </bottom>
      <diagonal/>
    </border>
    <border>
      <left/>
      <right/>
      <top/>
      <bottom style="thin">
        <color indexed="64"/>
      </bottom>
      <diagonal/>
    </border>
    <border>
      <left style="thick">
        <color rgb="FF435258"/>
      </left>
      <right style="medium">
        <color rgb="FFDDDDDD"/>
      </right>
      <top style="thick">
        <color rgb="FF435258"/>
      </top>
      <bottom style="double">
        <color indexed="64"/>
      </bottom>
      <diagonal/>
    </border>
    <border>
      <left/>
      <right style="medium">
        <color rgb="FFDDDDDD"/>
      </right>
      <top style="thick">
        <color rgb="FF435258"/>
      </top>
      <bottom style="double">
        <color indexed="64"/>
      </bottom>
      <diagonal/>
    </border>
    <border>
      <left/>
      <right style="thick">
        <color rgb="FF435258"/>
      </right>
      <top style="thick">
        <color rgb="FF435258"/>
      </top>
      <bottom style="double">
        <color indexed="64"/>
      </bottom>
      <diagonal/>
    </border>
    <border>
      <left style="thick">
        <color rgb="FF435258"/>
      </left>
      <right style="medium">
        <color rgb="FFDDDDDD"/>
      </right>
      <top/>
      <bottom style="medium">
        <color rgb="FFDDDDDD"/>
      </bottom>
      <diagonal/>
    </border>
    <border>
      <left/>
      <right style="medium">
        <color rgb="FFDDDDDD"/>
      </right>
      <top/>
      <bottom style="medium">
        <color rgb="FFDDDDDD"/>
      </bottom>
      <diagonal/>
    </border>
    <border>
      <left/>
      <right style="thick">
        <color rgb="FF435258"/>
      </right>
      <top/>
      <bottom style="medium">
        <color rgb="FFDDDDDD"/>
      </bottom>
      <diagonal/>
    </border>
    <border>
      <left style="thick">
        <color rgb="FF435258"/>
      </left>
      <right style="medium">
        <color rgb="FFDDDDDD"/>
      </right>
      <top/>
      <bottom style="thick">
        <color rgb="FF435258"/>
      </bottom>
      <diagonal/>
    </border>
    <border>
      <left/>
      <right style="medium">
        <color rgb="FFDDDDDD"/>
      </right>
      <top/>
      <bottom style="thick">
        <color rgb="FF435258"/>
      </bottom>
      <diagonal/>
    </border>
    <border>
      <left/>
      <right style="thick">
        <color rgb="FF435258"/>
      </right>
      <top/>
      <bottom style="thick">
        <color rgb="FF435258"/>
      </bottom>
      <diagonal/>
    </border>
    <border>
      <left style="medium">
        <color indexed="64"/>
      </left>
      <right style="medium">
        <color rgb="FFDDDDDD"/>
      </right>
      <top style="medium">
        <color indexed="64"/>
      </top>
      <bottom style="double">
        <color indexed="64"/>
      </bottom>
      <diagonal/>
    </border>
    <border>
      <left/>
      <right style="medium">
        <color rgb="FFDDDDDD"/>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rgb="FFDDDDDD"/>
      </right>
      <top/>
      <bottom style="medium">
        <color rgb="FFDDDDDD"/>
      </bottom>
      <diagonal/>
    </border>
    <border>
      <left/>
      <right style="medium">
        <color indexed="64"/>
      </right>
      <top/>
      <bottom style="medium">
        <color rgb="FFDDDDDD"/>
      </bottom>
      <diagonal/>
    </border>
    <border>
      <left style="medium">
        <color indexed="64"/>
      </left>
      <right style="medium">
        <color rgb="FFDDDDDD"/>
      </right>
      <top/>
      <bottom style="medium">
        <color indexed="64"/>
      </bottom>
      <diagonal/>
    </border>
    <border>
      <left/>
      <right style="medium">
        <color rgb="FFDDDDDD"/>
      </right>
      <top/>
      <bottom style="medium">
        <color indexed="64"/>
      </bottom>
      <diagonal/>
    </border>
    <border>
      <left/>
      <right style="medium">
        <color indexed="64"/>
      </right>
      <top/>
      <bottom style="medium">
        <color indexed="64"/>
      </bottom>
      <diagonal/>
    </border>
    <border>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bottom style="double">
        <color indexed="64"/>
      </bottom>
      <diagonal/>
    </border>
    <border>
      <left/>
      <right/>
      <top style="double">
        <color indexed="64"/>
      </top>
      <bottom style="thin">
        <color indexed="64"/>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style="thin">
        <color indexed="8"/>
      </left>
      <right/>
      <top/>
      <bottom/>
      <diagonal/>
    </border>
    <border>
      <left style="thin">
        <color indexed="8"/>
      </left>
      <right/>
      <top/>
      <bottom style="thin">
        <color indexed="64"/>
      </bottom>
      <diagonal/>
    </border>
    <border>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9">
    <xf numFmtId="0" fontId="0" fillId="0" borderId="0"/>
    <xf numFmtId="9" fontId="2" fillId="0" borderId="0" applyFont="0" applyFill="0" applyBorder="0" applyAlignment="0" applyProtection="0"/>
    <xf numFmtId="0" fontId="5" fillId="0" borderId="0"/>
    <xf numFmtId="0" fontId="11" fillId="0" borderId="0"/>
    <xf numFmtId="0" fontId="11" fillId="0" borderId="0"/>
    <xf numFmtId="0" fontId="25"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45" fillId="0" borderId="0"/>
    <xf numFmtId="9" fontId="1" fillId="0" borderId="0" applyFont="0" applyFill="0" applyBorder="0" applyAlignment="0" applyProtection="0"/>
    <xf numFmtId="0" fontId="2" fillId="0" borderId="0"/>
    <xf numFmtId="0" fontId="62" fillId="0" borderId="0"/>
    <xf numFmtId="9" fontId="62" fillId="0" borderId="0" applyFont="0" applyFill="0" applyBorder="0" applyAlignment="0" applyProtection="0"/>
    <xf numFmtId="0" fontId="62" fillId="0" borderId="0"/>
    <xf numFmtId="0" fontId="72" fillId="0" borderId="0"/>
    <xf numFmtId="9" fontId="7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25" fillId="0" borderId="0" applyNumberFormat="0" applyFill="0" applyBorder="0" applyAlignment="0" applyProtection="0"/>
  </cellStyleXfs>
  <cellXfs count="958">
    <xf numFmtId="0" fontId="0" fillId="0" borderId="0" xfId="0"/>
    <xf numFmtId="0" fontId="0" fillId="0" borderId="0" xfId="0" applyAlignment="1">
      <alignment horizontal="right"/>
    </xf>
    <xf numFmtId="0" fontId="0" fillId="0" borderId="0" xfId="0" applyAlignment="1">
      <alignment horizontal="center"/>
    </xf>
    <xf numFmtId="0" fontId="0" fillId="0" borderId="0" xfId="0" quotePrefix="1" applyAlignment="1">
      <alignment horizontal="center"/>
    </xf>
    <xf numFmtId="2" fontId="0" fillId="0" borderId="0" xfId="0" quotePrefix="1" applyNumberFormat="1"/>
    <xf numFmtId="3" fontId="0" fillId="0" borderId="0" xfId="0" quotePrefix="1" applyNumberFormat="1" applyAlignment="1">
      <alignment horizontal="center"/>
    </xf>
    <xf numFmtId="0" fontId="0" fillId="0" borderId="0" xfId="0" applyAlignment="1">
      <alignment horizontal="left"/>
    </xf>
    <xf numFmtId="165" fontId="0" fillId="0" borderId="0" xfId="0" quotePrefix="1" applyNumberFormat="1"/>
    <xf numFmtId="166" fontId="0" fillId="0" borderId="0" xfId="0" quotePrefix="1" applyNumberFormat="1"/>
    <xf numFmtId="0" fontId="0" fillId="0" borderId="2" xfId="0" applyBorder="1"/>
    <xf numFmtId="9" fontId="4" fillId="2" borderId="0" xfId="0" applyNumberFormat="1" applyFont="1" applyFill="1" applyAlignment="1">
      <alignment horizontal="center"/>
    </xf>
    <xf numFmtId="165" fontId="0" fillId="0" borderId="0" xfId="0" applyNumberFormat="1"/>
    <xf numFmtId="3" fontId="0" fillId="0" borderId="0" xfId="0" quotePrefix="1" applyNumberFormat="1" applyAlignment="1">
      <alignment horizontal="right"/>
    </xf>
    <xf numFmtId="9" fontId="18" fillId="2" borderId="0" xfId="0" quotePrefix="1" applyNumberFormat="1" applyFont="1" applyFill="1" applyAlignment="1">
      <alignment horizontal="center"/>
    </xf>
    <xf numFmtId="3" fontId="0" fillId="0" borderId="0" xfId="0" quotePrefix="1" applyNumberFormat="1"/>
    <xf numFmtId="0" fontId="0" fillId="0" borderId="1" xfId="0" applyBorder="1" applyAlignment="1">
      <alignment horizontal="center"/>
    </xf>
    <xf numFmtId="0" fontId="19" fillId="0" borderId="0" xfId="0" applyFont="1"/>
    <xf numFmtId="0" fontId="19" fillId="0" borderId="0" xfId="0" applyFont="1" applyAlignment="1">
      <alignment horizontal="left"/>
    </xf>
    <xf numFmtId="164" fontId="19"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3" fontId="10" fillId="0" borderId="0" xfId="0" applyNumberFormat="1" applyFont="1" applyAlignment="1">
      <alignment horizontal="center"/>
    </xf>
    <xf numFmtId="9" fontId="10" fillId="0" borderId="0" xfId="1" applyFont="1" applyAlignment="1">
      <alignment horizontal="center"/>
    </xf>
    <xf numFmtId="165" fontId="10" fillId="0" borderId="0" xfId="0" applyNumberFormat="1" applyFont="1"/>
    <xf numFmtId="0" fontId="10" fillId="3" borderId="0" xfId="0" applyFont="1" applyFill="1" applyAlignment="1">
      <alignment horizontal="center"/>
    </xf>
    <xf numFmtId="164" fontId="0" fillId="0" borderId="0" xfId="0" applyNumberFormat="1" applyAlignment="1">
      <alignment horizontal="center"/>
    </xf>
    <xf numFmtId="0" fontId="20" fillId="0" borderId="0" xfId="0" applyFont="1"/>
    <xf numFmtId="0" fontId="20" fillId="0" borderId="0" xfId="0" applyFont="1" applyAlignment="1">
      <alignment horizontal="left"/>
    </xf>
    <xf numFmtId="164" fontId="20" fillId="0" borderId="0" xfId="0" applyNumberFormat="1" applyFont="1" applyAlignment="1">
      <alignment horizontal="center"/>
    </xf>
    <xf numFmtId="0" fontId="20" fillId="0" borderId="0" xfId="0" applyFont="1" applyAlignment="1">
      <alignment horizontal="center"/>
    </xf>
    <xf numFmtId="0" fontId="0" fillId="0" borderId="1" xfId="0" applyBorder="1" applyAlignment="1">
      <alignment horizontal="center" wrapText="1"/>
    </xf>
    <xf numFmtId="0" fontId="0" fillId="4" borderId="1" xfId="0" applyFill="1" applyBorder="1" applyAlignment="1">
      <alignment horizontal="center" wrapText="1"/>
    </xf>
    <xf numFmtId="0" fontId="21" fillId="0" borderId="1" xfId="0" applyFont="1" applyBorder="1" applyAlignment="1">
      <alignment horizontal="center" wrapText="1"/>
    </xf>
    <xf numFmtId="3" fontId="0" fillId="0" borderId="0" xfId="0" applyNumberFormat="1" applyAlignment="1">
      <alignment horizontal="center"/>
    </xf>
    <xf numFmtId="2" fontId="0" fillId="4" borderId="0" xfId="0" applyNumberFormat="1" applyFill="1" applyAlignment="1">
      <alignment horizontal="center"/>
    </xf>
    <xf numFmtId="165" fontId="21" fillId="0" borderId="0" xfId="0" applyNumberFormat="1" applyFont="1" applyAlignment="1">
      <alignment horizontal="center"/>
    </xf>
    <xf numFmtId="0" fontId="23" fillId="0" borderId="0" xfId="0" applyFont="1"/>
    <xf numFmtId="3" fontId="23" fillId="0" borderId="0" xfId="0" applyNumberFormat="1" applyFont="1" applyAlignment="1">
      <alignment horizontal="center"/>
    </xf>
    <xf numFmtId="0" fontId="23" fillId="0" borderId="0" xfId="0" applyFont="1" applyAlignment="1">
      <alignment horizontal="center"/>
    </xf>
    <xf numFmtId="2" fontId="23" fillId="4" borderId="0" xfId="0" applyNumberFormat="1" applyFont="1" applyFill="1" applyAlignment="1">
      <alignment horizontal="center"/>
    </xf>
    <xf numFmtId="0" fontId="24" fillId="0" borderId="0" xfId="0" applyFont="1"/>
    <xf numFmtId="0" fontId="25" fillId="0" borderId="0" xfId="5"/>
    <xf numFmtId="1" fontId="0" fillId="0" borderId="0" xfId="0" applyNumberFormat="1"/>
    <xf numFmtId="2" fontId="0" fillId="0" borderId="0" xfId="0" applyNumberFormat="1"/>
    <xf numFmtId="0" fontId="0" fillId="0" borderId="2" xfId="0" applyBorder="1" applyAlignment="1">
      <alignment horizontal="center"/>
    </xf>
    <xf numFmtId="0" fontId="26" fillId="0" borderId="2" xfId="0" applyFont="1" applyBorder="1" applyAlignment="1">
      <alignment horizontal="center"/>
    </xf>
    <xf numFmtId="164" fontId="0" fillId="4" borderId="0" xfId="0" applyNumberFormat="1" applyFill="1" applyAlignment="1">
      <alignment horizontal="center"/>
    </xf>
    <xf numFmtId="165" fontId="3" fillId="4" borderId="0" xfId="0" applyNumberFormat="1" applyFont="1" applyFill="1" applyAlignment="1">
      <alignment horizontal="center"/>
    </xf>
    <xf numFmtId="0" fontId="27" fillId="0" borderId="0" xfId="0" applyFont="1"/>
    <xf numFmtId="0" fontId="0" fillId="0" borderId="0" xfId="0" applyAlignment="1">
      <alignment vertical="top" wrapText="1"/>
    </xf>
    <xf numFmtId="3" fontId="0" fillId="0" borderId="0" xfId="0" applyNumberFormat="1" applyAlignment="1">
      <alignment horizontal="center" vertical="top" wrapText="1"/>
    </xf>
    <xf numFmtId="0" fontId="0" fillId="0" borderId="0" xfId="0" applyAlignment="1">
      <alignment horizontal="center" vertical="top" wrapText="1"/>
    </xf>
    <xf numFmtId="0" fontId="0" fillId="0" borderId="0" xfId="0" applyAlignment="1">
      <alignment horizontal="left" vertical="top" wrapText="1"/>
    </xf>
    <xf numFmtId="0" fontId="24" fillId="0" borderId="0" xfId="0" applyFont="1" applyAlignment="1">
      <alignment vertical="top" wrapText="1"/>
    </xf>
    <xf numFmtId="0" fontId="28" fillId="5" borderId="3" xfId="0" applyFont="1" applyFill="1" applyBorder="1" applyAlignment="1">
      <alignment horizontal="center" wrapText="1"/>
    </xf>
    <xf numFmtId="0" fontId="28" fillId="5" borderId="4" xfId="0" applyFont="1" applyFill="1" applyBorder="1" applyAlignment="1">
      <alignment horizontal="center" wrapText="1"/>
    </xf>
    <xf numFmtId="0" fontId="28" fillId="5" borderId="5" xfId="0" applyFont="1" applyFill="1" applyBorder="1" applyAlignment="1">
      <alignment horizontal="center" wrapText="1"/>
    </xf>
    <xf numFmtId="0" fontId="30" fillId="6" borderId="6" xfId="0" applyFont="1" applyFill="1" applyBorder="1" applyAlignment="1">
      <alignment vertical="top" wrapText="1"/>
    </xf>
    <xf numFmtId="0" fontId="30" fillId="6" borderId="7" xfId="0" applyFont="1" applyFill="1" applyBorder="1" applyAlignment="1">
      <alignment vertical="top" wrapText="1"/>
    </xf>
    <xf numFmtId="0" fontId="30" fillId="6" borderId="7" xfId="0" applyFont="1" applyFill="1" applyBorder="1" applyAlignment="1">
      <alignment horizontal="center" vertical="top" wrapText="1"/>
    </xf>
    <xf numFmtId="0" fontId="30" fillId="6" borderId="8" xfId="0" applyFont="1" applyFill="1" applyBorder="1" applyAlignment="1">
      <alignment horizontal="center" vertical="top" wrapText="1"/>
    </xf>
    <xf numFmtId="0" fontId="30" fillId="7" borderId="6" xfId="0" applyFont="1" applyFill="1" applyBorder="1" applyAlignment="1">
      <alignment vertical="top" wrapText="1"/>
    </xf>
    <xf numFmtId="0" fontId="30" fillId="7" borderId="7" xfId="0" applyFont="1" applyFill="1" applyBorder="1" applyAlignment="1">
      <alignment vertical="top" wrapText="1"/>
    </xf>
    <xf numFmtId="0" fontId="30" fillId="7" borderId="7" xfId="0" applyFont="1" applyFill="1" applyBorder="1" applyAlignment="1">
      <alignment horizontal="center" vertical="top" wrapText="1"/>
    </xf>
    <xf numFmtId="0" fontId="30" fillId="7" borderId="8" xfId="0" applyFont="1" applyFill="1" applyBorder="1" applyAlignment="1">
      <alignment horizontal="center" vertical="top" wrapText="1"/>
    </xf>
    <xf numFmtId="0" fontId="30" fillId="7" borderId="9" xfId="0" applyFont="1" applyFill="1" applyBorder="1" applyAlignment="1">
      <alignment vertical="top" wrapText="1"/>
    </xf>
    <xf numFmtId="0" fontId="30" fillId="7" borderId="10" xfId="0" applyFont="1" applyFill="1" applyBorder="1" applyAlignment="1">
      <alignment vertical="top" wrapText="1"/>
    </xf>
    <xf numFmtId="0" fontId="30" fillId="7" borderId="10" xfId="0" applyFont="1" applyFill="1" applyBorder="1" applyAlignment="1">
      <alignment horizontal="center" vertical="top" wrapText="1"/>
    </xf>
    <xf numFmtId="0" fontId="30" fillId="7" borderId="11" xfId="0" applyFont="1" applyFill="1" applyBorder="1" applyAlignment="1">
      <alignment horizontal="center" vertical="top" wrapText="1"/>
    </xf>
    <xf numFmtId="0" fontId="0" fillId="0" borderId="0" xfId="0" applyAlignment="1">
      <alignment horizontal="left" vertical="center" indent="1"/>
    </xf>
    <xf numFmtId="0" fontId="31" fillId="0" borderId="0" xfId="0" applyFont="1" applyAlignment="1">
      <alignment horizontal="left" vertical="center" indent="1"/>
    </xf>
    <xf numFmtId="0" fontId="4" fillId="0" borderId="0" xfId="0" applyFont="1" applyAlignment="1">
      <alignment horizontal="center"/>
    </xf>
    <xf numFmtId="0" fontId="28" fillId="5" borderId="12" xfId="0" applyFont="1" applyFill="1" applyBorder="1" applyAlignment="1">
      <alignment horizontal="center" wrapText="1"/>
    </xf>
    <xf numFmtId="0" fontId="28" fillId="5" borderId="13" xfId="0" applyFont="1" applyFill="1" applyBorder="1" applyAlignment="1">
      <alignment horizontal="center" wrapText="1"/>
    </xf>
    <xf numFmtId="0" fontId="28" fillId="5" borderId="14" xfId="0" applyFont="1" applyFill="1" applyBorder="1" applyAlignment="1">
      <alignment horizontal="center" wrapText="1"/>
    </xf>
    <xf numFmtId="0" fontId="30" fillId="6" borderId="15" xfId="0" applyFont="1" applyFill="1" applyBorder="1" applyAlignment="1">
      <alignment vertical="top" wrapText="1"/>
    </xf>
    <xf numFmtId="0" fontId="30" fillId="6" borderId="16" xfId="0" applyFont="1" applyFill="1" applyBorder="1" applyAlignment="1">
      <alignment horizontal="center" vertical="top" wrapText="1"/>
    </xf>
    <xf numFmtId="0" fontId="30" fillId="6" borderId="17" xfId="0" applyFont="1" applyFill="1" applyBorder="1" applyAlignment="1">
      <alignment vertical="top" wrapText="1"/>
    </xf>
    <xf numFmtId="0" fontId="30" fillId="6" borderId="18" xfId="0" applyFont="1" applyFill="1" applyBorder="1" applyAlignment="1">
      <alignment vertical="top" wrapText="1"/>
    </xf>
    <xf numFmtId="0" fontId="30" fillId="6" borderId="18" xfId="0" applyFont="1" applyFill="1" applyBorder="1" applyAlignment="1">
      <alignment horizontal="center" vertical="top" wrapText="1"/>
    </xf>
    <xf numFmtId="0" fontId="30" fillId="6" borderId="19" xfId="0" applyFont="1" applyFill="1" applyBorder="1" applyAlignment="1">
      <alignment horizontal="center" vertical="top" wrapText="1"/>
    </xf>
    <xf numFmtId="0" fontId="32" fillId="0" borderId="0" xfId="0" applyFont="1" applyAlignment="1">
      <alignment horizontal="left" vertical="center" indent="1"/>
    </xf>
    <xf numFmtId="0" fontId="34" fillId="0" borderId="0" xfId="6" applyFont="1" applyAlignment="1" applyProtection="1">
      <alignment horizontal="left" vertical="center" indent="1"/>
    </xf>
    <xf numFmtId="0" fontId="6" fillId="0" borderId="0" xfId="0" applyFont="1"/>
    <xf numFmtId="167" fontId="8" fillId="9" borderId="0" xfId="0" applyNumberFormat="1" applyFont="1" applyFill="1"/>
    <xf numFmtId="0" fontId="35" fillId="0" borderId="0" xfId="0" applyFont="1" applyAlignment="1">
      <alignment horizontal="right"/>
    </xf>
    <xf numFmtId="0" fontId="35" fillId="9" borderId="0" xfId="0" applyFont="1" applyFill="1" applyAlignment="1">
      <alignment horizontal="right"/>
    </xf>
    <xf numFmtId="0" fontId="35" fillId="0" borderId="0" xfId="0" applyFont="1"/>
    <xf numFmtId="4" fontId="8" fillId="9" borderId="0" xfId="0" applyNumberFormat="1" applyFont="1" applyFill="1"/>
    <xf numFmtId="2" fontId="35" fillId="9" borderId="0" xfId="0" applyNumberFormat="1" applyFont="1" applyFill="1" applyAlignment="1">
      <alignment horizontal="right"/>
    </xf>
    <xf numFmtId="0" fontId="36" fillId="0" borderId="0" xfId="0" applyFont="1" applyAlignment="1">
      <alignment horizontal="center"/>
    </xf>
    <xf numFmtId="0" fontId="36" fillId="0" borderId="0" xfId="0" applyFont="1"/>
    <xf numFmtId="0" fontId="37" fillId="0" borderId="0" xfId="0" applyFont="1" applyAlignment="1">
      <alignment horizontal="center"/>
    </xf>
    <xf numFmtId="3" fontId="35" fillId="9" borderId="0" xfId="0" applyNumberFormat="1" applyFont="1" applyFill="1"/>
    <xf numFmtId="2" fontId="35" fillId="10" borderId="0" xfId="0" applyNumberFormat="1" applyFont="1" applyFill="1"/>
    <xf numFmtId="165" fontId="35" fillId="11" borderId="0" xfId="0" applyNumberFormat="1" applyFont="1" applyFill="1"/>
    <xf numFmtId="4" fontId="35" fillId="12" borderId="0" xfId="0" applyNumberFormat="1" applyFont="1" applyFill="1"/>
    <xf numFmtId="4" fontId="35" fillId="13" borderId="0" xfId="0" applyNumberFormat="1" applyFont="1" applyFill="1"/>
    <xf numFmtId="3" fontId="8" fillId="9" borderId="0" xfId="0" applyNumberFormat="1" applyFont="1" applyFill="1"/>
    <xf numFmtId="4" fontId="35" fillId="0" borderId="0" xfId="0" applyNumberFormat="1" applyFont="1"/>
    <xf numFmtId="0" fontId="38" fillId="0" borderId="0" xfId="6" applyFont="1" applyAlignment="1" applyProtection="1"/>
    <xf numFmtId="0" fontId="7" fillId="0" borderId="0" xfId="0" applyFont="1"/>
    <xf numFmtId="0" fontId="36" fillId="12" borderId="0" xfId="0" applyFont="1" applyFill="1" applyAlignment="1">
      <alignment horizontal="center"/>
    </xf>
    <xf numFmtId="0" fontId="36" fillId="13" borderId="0" xfId="0" applyFont="1" applyFill="1" applyAlignment="1">
      <alignment horizontal="center"/>
    </xf>
    <xf numFmtId="0" fontId="7" fillId="0" borderId="0" xfId="0" applyFont="1" applyAlignment="1">
      <alignment horizontal="right"/>
    </xf>
    <xf numFmtId="164" fontId="36" fillId="12" borderId="0" xfId="0" applyNumberFormat="1" applyFont="1" applyFill="1"/>
    <xf numFmtId="164" fontId="36" fillId="13" borderId="0" xfId="0" applyNumberFormat="1" applyFont="1" applyFill="1"/>
    <xf numFmtId="164" fontId="0" fillId="0" borderId="0" xfId="0" applyNumberFormat="1"/>
    <xf numFmtId="0" fontId="12" fillId="0" borderId="0" xfId="2" applyFont="1"/>
    <xf numFmtId="0" fontId="36" fillId="0" borderId="0" xfId="0" applyFont="1" applyAlignment="1">
      <alignment horizontal="right"/>
    </xf>
    <xf numFmtId="0" fontId="36" fillId="12" borderId="0" xfId="0" applyFont="1" applyFill="1"/>
    <xf numFmtId="0" fontId="36" fillId="13" borderId="0" xfId="0" applyFont="1" applyFill="1"/>
    <xf numFmtId="0" fontId="10" fillId="0" borderId="0" xfId="2" applyFont="1"/>
    <xf numFmtId="0" fontId="3" fillId="0" borderId="0" xfId="0" applyFont="1"/>
    <xf numFmtId="3" fontId="0" fillId="0" borderId="0" xfId="0" applyNumberFormat="1"/>
    <xf numFmtId="2" fontId="36" fillId="0" borderId="0" xfId="0" applyNumberFormat="1" applyFont="1"/>
    <xf numFmtId="166" fontId="4" fillId="4" borderId="0" xfId="0" applyNumberFormat="1" applyFont="1" applyFill="1"/>
    <xf numFmtId="0" fontId="12" fillId="0" borderId="0" xfId="7" applyFont="1"/>
    <xf numFmtId="0" fontId="0" fillId="0" borderId="1" xfId="0" applyBorder="1"/>
    <xf numFmtId="0" fontId="8" fillId="0" borderId="1" xfId="0" applyFont="1" applyBorder="1" applyAlignment="1">
      <alignment horizontal="center"/>
    </xf>
    <xf numFmtId="6" fontId="8" fillId="9" borderId="0" xfId="0" applyNumberFormat="1" applyFont="1" applyFill="1"/>
    <xf numFmtId="9" fontId="4" fillId="2" borderId="0" xfId="1" applyFont="1" applyFill="1"/>
    <xf numFmtId="8" fontId="8" fillId="9" borderId="0" xfId="0" applyNumberFormat="1" applyFont="1" applyFill="1"/>
    <xf numFmtId="168" fontId="8" fillId="9" borderId="0" xfId="0" applyNumberFormat="1" applyFont="1" applyFill="1"/>
    <xf numFmtId="0" fontId="0" fillId="4" borderId="0" xfId="0" applyFill="1"/>
    <xf numFmtId="9" fontId="8" fillId="3" borderId="0" xfId="1" applyFont="1" applyFill="1" applyAlignment="1">
      <alignment horizontal="center"/>
    </xf>
    <xf numFmtId="165" fontId="0" fillId="8" borderId="0" xfId="0" applyNumberFormat="1" applyFill="1"/>
    <xf numFmtId="165" fontId="3" fillId="8" borderId="0" xfId="0" applyNumberFormat="1" applyFont="1" applyFill="1"/>
    <xf numFmtId="165" fontId="10" fillId="8" borderId="0" xfId="0" applyNumberFormat="1" applyFont="1" applyFill="1"/>
    <xf numFmtId="0" fontId="0" fillId="8" borderId="0" xfId="0" applyFill="1"/>
    <xf numFmtId="165" fontId="0" fillId="8" borderId="0" xfId="0" applyNumberFormat="1" applyFill="1" applyAlignment="1">
      <alignment horizontal="right"/>
    </xf>
    <xf numFmtId="165" fontId="39" fillId="0" borderId="0" xfId="0" applyNumberFormat="1" applyFont="1"/>
    <xf numFmtId="165" fontId="39" fillId="8" borderId="0" xfId="0" applyNumberFormat="1" applyFont="1" applyFill="1"/>
    <xf numFmtId="11" fontId="0" fillId="0" borderId="0" xfId="0" applyNumberFormat="1"/>
    <xf numFmtId="11" fontId="0" fillId="8" borderId="0" xfId="0" applyNumberFormat="1" applyFill="1"/>
    <xf numFmtId="0" fontId="0" fillId="14" borderId="1" xfId="0" applyFill="1" applyBorder="1" applyAlignment="1">
      <alignment horizontal="center"/>
    </xf>
    <xf numFmtId="9" fontId="0" fillId="0" borderId="0" xfId="0" applyNumberFormat="1" applyAlignment="1">
      <alignment horizontal="center"/>
    </xf>
    <xf numFmtId="165" fontId="0" fillId="14" borderId="0" xfId="0" applyNumberFormat="1" applyFill="1"/>
    <xf numFmtId="9" fontId="0" fillId="0" borderId="0" xfId="1" applyFont="1" applyAlignment="1">
      <alignment horizontal="center"/>
    </xf>
    <xf numFmtId="164" fontId="10" fillId="0" borderId="0" xfId="0" applyNumberFormat="1" applyFont="1"/>
    <xf numFmtId="164" fontId="0" fillId="8" borderId="0" xfId="0" applyNumberFormat="1" applyFill="1"/>
    <xf numFmtId="2" fontId="3" fillId="8" borderId="0" xfId="0" applyNumberFormat="1" applyFont="1" applyFill="1"/>
    <xf numFmtId="2" fontId="0" fillId="8" borderId="0" xfId="0" applyNumberFormat="1" applyFill="1" applyAlignment="1">
      <alignment horizontal="right"/>
    </xf>
    <xf numFmtId="2" fontId="0" fillId="8" borderId="0" xfId="0" applyNumberFormat="1" applyFill="1"/>
    <xf numFmtId="164" fontId="39" fillId="0" borderId="0" xfId="0" applyNumberFormat="1" applyFont="1"/>
    <xf numFmtId="164" fontId="39" fillId="8" borderId="0" xfId="0" applyNumberFormat="1" applyFont="1" applyFill="1"/>
    <xf numFmtId="2" fontId="39" fillId="8" borderId="0" xfId="0" applyNumberFormat="1" applyFont="1" applyFill="1"/>
    <xf numFmtId="164" fontId="42" fillId="0" borderId="0" xfId="0" applyNumberFormat="1" applyFont="1"/>
    <xf numFmtId="0" fontId="12" fillId="0" borderId="2" xfId="0" applyFont="1" applyBorder="1" applyAlignment="1">
      <alignment horizontal="center"/>
    </xf>
    <xf numFmtId="0" fontId="12" fillId="0" borderId="0" xfId="0" applyFont="1" applyAlignment="1">
      <alignment horizontal="right"/>
    </xf>
    <xf numFmtId="9" fontId="43" fillId="4" borderId="0" xfId="0" applyNumberFormat="1" applyFont="1" applyFill="1" applyAlignment="1">
      <alignment horizontal="center"/>
    </xf>
    <xf numFmtId="2" fontId="43" fillId="4" borderId="0" xfId="0" applyNumberFormat="1" applyFont="1" applyFill="1" applyAlignment="1">
      <alignment horizontal="center"/>
    </xf>
    <xf numFmtId="164" fontId="0" fillId="2" borderId="0" xfId="0" applyNumberFormat="1" applyFill="1" applyAlignment="1">
      <alignment horizontal="center"/>
    </xf>
    <xf numFmtId="165" fontId="0" fillId="15" borderId="0" xfId="0" applyNumberFormat="1" applyFill="1" applyAlignment="1">
      <alignment horizontal="center"/>
    </xf>
    <xf numFmtId="2" fontId="0" fillId="14" borderId="0" xfId="0" applyNumberFormat="1" applyFill="1" applyAlignment="1">
      <alignment horizontal="center"/>
    </xf>
    <xf numFmtId="164" fontId="44" fillId="2" borderId="0" xfId="0" applyNumberFormat="1" applyFont="1" applyFill="1" applyAlignment="1">
      <alignment horizontal="center"/>
    </xf>
    <xf numFmtId="165" fontId="0" fillId="0" borderId="0" xfId="0" applyNumberFormat="1" applyAlignment="1">
      <alignment horizontal="center"/>
    </xf>
    <xf numFmtId="164" fontId="44" fillId="2" borderId="2" xfId="0" applyNumberFormat="1" applyFont="1" applyFill="1" applyBorder="1" applyAlignment="1">
      <alignment horizontal="center"/>
    </xf>
    <xf numFmtId="169" fontId="0" fillId="0" borderId="2" xfId="0" applyNumberFormat="1" applyBorder="1" applyAlignment="1">
      <alignment horizontal="center"/>
    </xf>
    <xf numFmtId="2" fontId="0" fillId="14" borderId="2" xfId="0" applyNumberFormat="1" applyFill="1" applyBorder="1" applyAlignment="1">
      <alignment horizontal="center"/>
    </xf>
    <xf numFmtId="0" fontId="0" fillId="0" borderId="21" xfId="0" applyBorder="1" applyAlignment="1">
      <alignment horizontal="center"/>
    </xf>
    <xf numFmtId="164" fontId="0" fillId="2" borderId="21" xfId="0" applyNumberFormat="1" applyFill="1" applyBorder="1" applyAlignment="1">
      <alignment horizontal="center"/>
    </xf>
    <xf numFmtId="165" fontId="0" fillId="0" borderId="21" xfId="0" applyNumberFormat="1" applyBorder="1" applyAlignment="1">
      <alignment horizontal="center"/>
    </xf>
    <xf numFmtId="2" fontId="0" fillId="14" borderId="21" xfId="0" applyNumberFormat="1" applyFill="1" applyBorder="1" applyAlignment="1">
      <alignment horizontal="center"/>
    </xf>
    <xf numFmtId="0" fontId="0" fillId="0" borderId="21" xfId="0" applyBorder="1"/>
    <xf numFmtId="164" fontId="0" fillId="14" borderId="2" xfId="0" applyNumberFormat="1" applyFill="1" applyBorder="1" applyAlignment="1">
      <alignment horizontal="center"/>
    </xf>
    <xf numFmtId="2" fontId="0" fillId="2" borderId="2" xfId="0" applyNumberFormat="1" applyFill="1" applyBorder="1" applyAlignment="1">
      <alignment horizontal="center"/>
    </xf>
    <xf numFmtId="164" fontId="0" fillId="14" borderId="0" xfId="0" applyNumberFormat="1" applyFill="1" applyAlignment="1">
      <alignment horizontal="center"/>
    </xf>
    <xf numFmtId="169" fontId="0" fillId="0" borderId="0" xfId="0" applyNumberFormat="1" applyAlignment="1">
      <alignment horizontal="center"/>
    </xf>
    <xf numFmtId="0" fontId="0" fillId="2" borderId="0" xfId="0" applyFill="1" applyAlignment="1">
      <alignment horizontal="center"/>
    </xf>
    <xf numFmtId="165" fontId="0" fillId="0" borderId="2" xfId="0" applyNumberFormat="1" applyBorder="1" applyAlignment="1">
      <alignment horizontal="center"/>
    </xf>
    <xf numFmtId="0" fontId="47" fillId="16" borderId="22" xfId="0" applyFont="1" applyFill="1" applyBorder="1" applyAlignment="1">
      <alignment horizontal="center" vertical="center" wrapText="1"/>
    </xf>
    <xf numFmtId="2" fontId="47" fillId="16" borderId="22" xfId="0" applyNumberFormat="1" applyFont="1" applyFill="1" applyBorder="1" applyAlignment="1">
      <alignment horizontal="center" vertical="center" wrapText="1"/>
    </xf>
    <xf numFmtId="3" fontId="47" fillId="16" borderId="22" xfId="0" applyNumberFormat="1" applyFont="1" applyFill="1" applyBorder="1" applyAlignment="1">
      <alignment horizontal="center" vertical="center" wrapText="1" shrinkToFit="1"/>
    </xf>
    <xf numFmtId="3" fontId="47" fillId="16" borderId="23" xfId="0" applyNumberFormat="1" applyFont="1" applyFill="1" applyBorder="1" applyAlignment="1">
      <alignment horizontal="center" vertical="center" wrapText="1" shrinkToFit="1"/>
    </xf>
    <xf numFmtId="1" fontId="47" fillId="16" borderId="23" xfId="0" applyNumberFormat="1" applyFont="1" applyFill="1" applyBorder="1" applyAlignment="1">
      <alignment horizontal="center" vertical="center" wrapText="1" shrinkToFit="1"/>
    </xf>
    <xf numFmtId="2" fontId="47" fillId="16" borderId="23" xfId="0" applyNumberFormat="1" applyFont="1" applyFill="1" applyBorder="1" applyAlignment="1">
      <alignment horizontal="center" vertical="center" wrapText="1" shrinkToFit="1"/>
    </xf>
    <xf numFmtId="0" fontId="47" fillId="16" borderId="23" xfId="0" applyFont="1" applyFill="1" applyBorder="1" applyAlignment="1">
      <alignment horizontal="center" vertical="center" wrapText="1" shrinkToFit="1"/>
    </xf>
    <xf numFmtId="0" fontId="48" fillId="16" borderId="23" xfId="0" applyFont="1" applyFill="1" applyBorder="1" applyAlignment="1">
      <alignment horizontal="center" vertical="top" wrapText="1"/>
    </xf>
    <xf numFmtId="0" fontId="47" fillId="16" borderId="23" xfId="0" applyFont="1" applyFill="1" applyBorder="1" applyAlignment="1">
      <alignment horizontal="center" vertical="top" wrapText="1"/>
    </xf>
    <xf numFmtId="2" fontId="47" fillId="16" borderId="23" xfId="0" applyNumberFormat="1" applyFont="1" applyFill="1" applyBorder="1" applyAlignment="1">
      <alignment horizontal="center" vertical="top" wrapText="1"/>
    </xf>
    <xf numFmtId="3" fontId="47" fillId="16" borderId="23" xfId="0" applyNumberFormat="1" applyFont="1" applyFill="1" applyBorder="1" applyAlignment="1">
      <alignment vertical="top" wrapText="1" shrinkToFit="1"/>
    </xf>
    <xf numFmtId="1" fontId="47" fillId="16" borderId="23" xfId="0" applyNumberFormat="1" applyFont="1" applyFill="1" applyBorder="1" applyAlignment="1">
      <alignment horizontal="center" vertical="top" wrapText="1" shrinkToFit="1"/>
    </xf>
    <xf numFmtId="2" fontId="49" fillId="16" borderId="23" xfId="0" applyNumberFormat="1" applyFont="1" applyFill="1" applyBorder="1" applyAlignment="1">
      <alignment horizontal="center" vertical="top" wrapText="1" shrinkToFit="1"/>
    </xf>
    <xf numFmtId="2" fontId="47" fillId="16" borderId="23" xfId="0" applyNumberFormat="1" applyFont="1" applyFill="1" applyBorder="1" applyAlignment="1">
      <alignment horizontal="center" vertical="top" wrapText="1" shrinkToFit="1"/>
    </xf>
    <xf numFmtId="0" fontId="47" fillId="16" borderId="23" xfId="0" applyFont="1" applyFill="1" applyBorder="1" applyAlignment="1">
      <alignment horizontal="center" vertical="top" wrapText="1" shrinkToFit="1"/>
    </xf>
    <xf numFmtId="0" fontId="50" fillId="0" borderId="24" xfId="0" applyFont="1" applyBorder="1" applyAlignment="1">
      <alignment vertical="center" wrapText="1"/>
    </xf>
    <xf numFmtId="0" fontId="47" fillId="0" borderId="24" xfId="0" applyFont="1" applyBorder="1" applyAlignment="1">
      <alignment vertical="center" wrapText="1"/>
    </xf>
    <xf numFmtId="0" fontId="47" fillId="0" borderId="24" xfId="0" applyFont="1" applyBorder="1" applyAlignment="1">
      <alignment horizontal="center" vertical="center" wrapText="1"/>
    </xf>
    <xf numFmtId="3" fontId="47" fillId="0" borderId="24" xfId="0" applyNumberFormat="1" applyFont="1" applyBorder="1" applyAlignment="1">
      <alignment vertical="center" wrapText="1"/>
    </xf>
    <xf numFmtId="1" fontId="47" fillId="0" borderId="24" xfId="0" applyNumberFormat="1" applyFont="1" applyBorder="1" applyAlignment="1">
      <alignment horizontal="center" vertical="center" wrapText="1"/>
    </xf>
    <xf numFmtId="0" fontId="50" fillId="0" borderId="24" xfId="0" applyFont="1" applyBorder="1" applyAlignment="1">
      <alignment horizontal="center" vertical="center" wrapText="1"/>
    </xf>
    <xf numFmtId="0" fontId="50" fillId="0" borderId="24" xfId="0" applyFont="1" applyBorder="1" applyAlignment="1">
      <alignment wrapText="1"/>
    </xf>
    <xf numFmtId="2" fontId="47" fillId="0" borderId="24" xfId="0" applyNumberFormat="1" applyFont="1" applyBorder="1" applyAlignment="1">
      <alignment horizontal="center" vertical="center" wrapText="1"/>
    </xf>
    <xf numFmtId="3" fontId="50" fillId="0" borderId="24" xfId="0" applyNumberFormat="1" applyFont="1" applyBorder="1"/>
    <xf numFmtId="1" fontId="50" fillId="0" borderId="24" xfId="0" applyNumberFormat="1" applyFont="1" applyBorder="1" applyAlignment="1">
      <alignment horizontal="center"/>
    </xf>
    <xf numFmtId="2" fontId="50" fillId="0" borderId="24" xfId="0" applyNumberFormat="1" applyFont="1" applyBorder="1" applyAlignment="1">
      <alignment horizontal="center"/>
    </xf>
    <xf numFmtId="0" fontId="50" fillId="0" borderId="24" xfId="0" applyFont="1" applyBorder="1" applyAlignment="1">
      <alignment horizontal="center"/>
    </xf>
    <xf numFmtId="3" fontId="50" fillId="0" borderId="24" xfId="0" applyNumberFormat="1" applyFont="1" applyBorder="1" applyAlignment="1">
      <alignment vertical="center" wrapText="1"/>
    </xf>
    <xf numFmtId="1" fontId="50" fillId="0" borderId="24" xfId="0" applyNumberFormat="1" applyFont="1" applyBorder="1" applyAlignment="1">
      <alignment horizontal="center" vertical="center" wrapText="1"/>
    </xf>
    <xf numFmtId="2" fontId="50" fillId="0" borderId="24" xfId="0" applyNumberFormat="1" applyFont="1" applyBorder="1" applyAlignment="1">
      <alignment horizontal="center" vertical="center" wrapText="1"/>
    </xf>
    <xf numFmtId="0" fontId="50" fillId="0" borderId="24" xfId="0" applyFont="1" applyBorder="1" applyAlignment="1">
      <alignment horizontal="center" wrapText="1"/>
    </xf>
    <xf numFmtId="2" fontId="47" fillId="0" borderId="24" xfId="0" applyNumberFormat="1" applyFont="1" applyBorder="1" applyAlignment="1">
      <alignment horizontal="center"/>
    </xf>
    <xf numFmtId="0" fontId="50" fillId="0" borderId="0" xfId="0" applyFont="1"/>
    <xf numFmtId="0" fontId="50" fillId="0" borderId="0" xfId="0" applyFont="1" applyAlignment="1">
      <alignment wrapText="1"/>
    </xf>
    <xf numFmtId="0" fontId="50" fillId="0" borderId="0" xfId="0" applyFont="1" applyAlignment="1">
      <alignment horizontal="center"/>
    </xf>
    <xf numFmtId="3" fontId="50" fillId="0" borderId="0" xfId="0" applyNumberFormat="1" applyFont="1"/>
    <xf numFmtId="0" fontId="51" fillId="0" borderId="24" xfId="0" applyFont="1" applyBorder="1" applyAlignment="1">
      <alignment vertical="center" wrapText="1"/>
    </xf>
    <xf numFmtId="0" fontId="51" fillId="0" borderId="24" xfId="0" applyFont="1" applyBorder="1" applyAlignment="1">
      <alignment horizontal="center" vertical="center" wrapText="1"/>
    </xf>
    <xf numFmtId="0" fontId="52" fillId="0" borderId="24" xfId="0" applyFont="1" applyBorder="1" applyAlignment="1">
      <alignment horizontal="center" vertical="center" wrapText="1"/>
    </xf>
    <xf numFmtId="3" fontId="51" fillId="0" borderId="24" xfId="0" applyNumberFormat="1" applyFont="1" applyBorder="1" applyAlignment="1">
      <alignment vertical="center" wrapText="1"/>
    </xf>
    <xf numFmtId="1" fontId="51" fillId="0" borderId="24" xfId="0" applyNumberFormat="1" applyFont="1" applyBorder="1" applyAlignment="1">
      <alignment horizontal="center" vertical="center" wrapText="1"/>
    </xf>
    <xf numFmtId="2" fontId="51" fillId="0" borderId="24" xfId="0" applyNumberFormat="1" applyFont="1" applyBorder="1" applyAlignment="1">
      <alignment horizontal="center" vertical="center" wrapText="1"/>
    </xf>
    <xf numFmtId="0" fontId="51" fillId="0" borderId="24" xfId="0" applyFont="1" applyBorder="1" applyAlignment="1">
      <alignment horizontal="center"/>
    </xf>
    <xf numFmtId="0" fontId="50" fillId="6" borderId="24" xfId="0" applyFont="1" applyFill="1" applyBorder="1" applyAlignment="1">
      <alignment vertical="center" wrapText="1"/>
    </xf>
    <xf numFmtId="0" fontId="47" fillId="6" borderId="24" xfId="0" applyFont="1" applyFill="1" applyBorder="1" applyAlignment="1">
      <alignment vertical="center" wrapText="1"/>
    </xf>
    <xf numFmtId="0" fontId="47" fillId="6" borderId="24" xfId="0" applyFont="1" applyFill="1" applyBorder="1" applyAlignment="1">
      <alignment horizontal="center" vertical="center" wrapText="1"/>
    </xf>
    <xf numFmtId="3" fontId="47" fillId="6" borderId="24" xfId="0" applyNumberFormat="1" applyFont="1" applyFill="1" applyBorder="1" applyAlignment="1">
      <alignment vertical="center" wrapText="1"/>
    </xf>
    <xf numFmtId="1" fontId="47" fillId="6" borderId="24" xfId="0" applyNumberFormat="1" applyFont="1" applyFill="1" applyBorder="1" applyAlignment="1">
      <alignment horizontal="center" vertical="center" wrapText="1"/>
    </xf>
    <xf numFmtId="0" fontId="50" fillId="6" borderId="20" xfId="0" applyFont="1" applyFill="1" applyBorder="1" applyAlignment="1">
      <alignment vertical="center" wrapText="1"/>
    </xf>
    <xf numFmtId="49" fontId="50" fillId="0" borderId="24" xfId="0" applyNumberFormat="1" applyFont="1" applyBorder="1" applyAlignment="1">
      <alignment horizontal="center" vertical="center" wrapText="1"/>
    </xf>
    <xf numFmtId="0" fontId="50" fillId="0" borderId="25" xfId="0" applyFont="1" applyBorder="1" applyAlignment="1">
      <alignment wrapText="1"/>
    </xf>
    <xf numFmtId="0" fontId="50" fillId="0" borderId="26" xfId="0" applyFont="1" applyBorder="1" applyAlignment="1">
      <alignment wrapText="1"/>
    </xf>
    <xf numFmtId="2" fontId="50" fillId="0" borderId="27" xfId="0" applyNumberFormat="1" applyFont="1" applyBorder="1" applyAlignment="1">
      <alignment horizontal="center"/>
    </xf>
    <xf numFmtId="0" fontId="50" fillId="0" borderId="28" xfId="0" applyFont="1" applyBorder="1" applyAlignment="1">
      <alignment horizontal="center"/>
    </xf>
    <xf numFmtId="0" fontId="50" fillId="0" borderId="26" xfId="0" applyFont="1" applyBorder="1" applyAlignment="1">
      <alignment vertical="center" wrapText="1"/>
    </xf>
    <xf numFmtId="2" fontId="50" fillId="0" borderId="27" xfId="0" applyNumberFormat="1" applyFont="1" applyBorder="1" applyAlignment="1">
      <alignment horizontal="center" vertical="center" wrapText="1"/>
    </xf>
    <xf numFmtId="0" fontId="50" fillId="6" borderId="26" xfId="0" applyFont="1" applyFill="1" applyBorder="1" applyAlignment="1">
      <alignment vertical="center" wrapText="1"/>
    </xf>
    <xf numFmtId="0" fontId="47" fillId="0" borderId="27" xfId="0" applyFont="1" applyBorder="1" applyAlignment="1">
      <alignment horizontal="center" vertical="center" wrapText="1"/>
    </xf>
    <xf numFmtId="0" fontId="47" fillId="6" borderId="28" xfId="0" applyFont="1" applyFill="1" applyBorder="1" applyAlignment="1">
      <alignment horizontal="center" vertical="center" wrapText="1"/>
    </xf>
    <xf numFmtId="0" fontId="53" fillId="6" borderId="26" xfId="0" applyFont="1" applyFill="1" applyBorder="1" applyAlignment="1">
      <alignment vertical="center" wrapText="1"/>
    </xf>
    <xf numFmtId="0" fontId="54" fillId="6" borderId="24" xfId="0" applyFont="1" applyFill="1" applyBorder="1" applyAlignment="1">
      <alignment vertical="center" wrapText="1"/>
    </xf>
    <xf numFmtId="0" fontId="54" fillId="6" borderId="24" xfId="0" applyFont="1" applyFill="1" applyBorder="1" applyAlignment="1">
      <alignment horizontal="center" vertical="center" wrapText="1"/>
    </xf>
    <xf numFmtId="0" fontId="54" fillId="0" borderId="24" xfId="0" applyFont="1" applyBorder="1" applyAlignment="1">
      <alignment vertical="center" wrapText="1"/>
    </xf>
    <xf numFmtId="3" fontId="54" fillId="6" borderId="24" xfId="0" applyNumberFormat="1" applyFont="1" applyFill="1" applyBorder="1" applyAlignment="1">
      <alignment vertical="center" wrapText="1"/>
    </xf>
    <xf numFmtId="1" fontId="54" fillId="6" borderId="24" xfId="0" applyNumberFormat="1" applyFont="1" applyFill="1" applyBorder="1" applyAlignment="1">
      <alignment horizontal="center" vertical="center" wrapText="1"/>
    </xf>
    <xf numFmtId="0" fontId="54" fillId="0" borderId="24" xfId="0" applyFont="1" applyBorder="1" applyAlignment="1">
      <alignment horizontal="center" vertical="center" wrapText="1"/>
    </xf>
    <xf numFmtId="0" fontId="54" fillId="0" borderId="27" xfId="0" applyFont="1" applyBorder="1" applyAlignment="1">
      <alignment horizontal="center" vertical="center" wrapText="1"/>
    </xf>
    <xf numFmtId="0" fontId="54" fillId="6" borderId="28" xfId="0" applyFont="1" applyFill="1" applyBorder="1" applyAlignment="1">
      <alignment horizontal="center" vertical="center" wrapText="1"/>
    </xf>
    <xf numFmtId="0" fontId="47" fillId="6" borderId="27" xfId="0" applyFont="1" applyFill="1" applyBorder="1" applyAlignment="1">
      <alignment horizontal="center" vertical="center" wrapText="1"/>
    </xf>
    <xf numFmtId="0" fontId="44" fillId="0" borderId="0" xfId="0" applyFont="1"/>
    <xf numFmtId="0" fontId="4" fillId="0" borderId="0" xfId="0" applyFont="1"/>
    <xf numFmtId="0" fontId="4" fillId="0" borderId="1" xfId="0" applyFont="1" applyBorder="1" applyAlignment="1">
      <alignment horizontal="center"/>
    </xf>
    <xf numFmtId="0" fontId="9" fillId="0" borderId="0" xfId="0" applyFont="1"/>
    <xf numFmtId="3" fontId="4" fillId="0" borderId="0" xfId="0" applyNumberFormat="1" applyFont="1"/>
    <xf numFmtId="3" fontId="0" fillId="0" borderId="2" xfId="0" applyNumberFormat="1" applyBorder="1"/>
    <xf numFmtId="3" fontId="3" fillId="0" borderId="0" xfId="0" applyNumberFormat="1" applyFont="1"/>
    <xf numFmtId="0" fontId="10" fillId="0" borderId="0" xfId="0" applyFont="1"/>
    <xf numFmtId="0" fontId="10" fillId="0" borderId="29" xfId="10" applyFont="1" applyBorder="1"/>
    <xf numFmtId="0" fontId="10" fillId="0" borderId="1" xfId="10" applyFont="1" applyBorder="1"/>
    <xf numFmtId="0" fontId="10" fillId="14" borderId="30" xfId="10" applyFont="1" applyFill="1" applyBorder="1"/>
    <xf numFmtId="3" fontId="12" fillId="14" borderId="30" xfId="10" applyNumberFormat="1" applyFont="1" applyFill="1" applyBorder="1"/>
    <xf numFmtId="172" fontId="0" fillId="0" borderId="0" xfId="1" applyNumberFormat="1" applyFont="1"/>
    <xf numFmtId="170" fontId="12" fillId="14" borderId="30" xfId="1" applyNumberFormat="1" applyFont="1" applyFill="1" applyBorder="1"/>
    <xf numFmtId="170" fontId="0" fillId="0" borderId="0" xfId="0" applyNumberFormat="1"/>
    <xf numFmtId="0" fontId="10" fillId="14" borderId="31" xfId="10" applyFont="1" applyFill="1" applyBorder="1" applyAlignment="1">
      <alignment horizontal="left" indent="1"/>
    </xf>
    <xf numFmtId="3" fontId="12" fillId="14" borderId="32" xfId="10" applyNumberFormat="1" applyFont="1" applyFill="1" applyBorder="1"/>
    <xf numFmtId="170" fontId="12" fillId="14" borderId="32" xfId="1" applyNumberFormat="1" applyFont="1" applyFill="1" applyBorder="1"/>
    <xf numFmtId="170" fontId="12" fillId="14" borderId="32" xfId="10" applyNumberFormat="1" applyFont="1" applyFill="1" applyBorder="1"/>
    <xf numFmtId="0" fontId="10" fillId="14" borderId="33" xfId="10" applyFont="1" applyFill="1" applyBorder="1" applyAlignment="1">
      <alignment horizontal="left" indent="2"/>
    </xf>
    <xf numFmtId="0" fontId="10" fillId="14" borderId="0" xfId="10" applyFont="1" applyFill="1" applyAlignment="1">
      <alignment horizontal="left" indent="2"/>
    </xf>
    <xf numFmtId="3" fontId="12" fillId="14" borderId="0" xfId="10" applyNumberFormat="1" applyFont="1" applyFill="1"/>
    <xf numFmtId="170" fontId="12" fillId="14" borderId="0" xfId="10" applyNumberFormat="1" applyFont="1" applyFill="1"/>
    <xf numFmtId="0" fontId="10" fillId="14" borderId="2" xfId="10" applyFont="1" applyFill="1" applyBorder="1" applyAlignment="1">
      <alignment horizontal="left" indent="2"/>
    </xf>
    <xf numFmtId="3" fontId="12" fillId="14" borderId="2" xfId="10" applyNumberFormat="1" applyFont="1" applyFill="1" applyBorder="1"/>
    <xf numFmtId="170" fontId="12" fillId="14" borderId="2" xfId="10" applyNumberFormat="1" applyFont="1" applyFill="1" applyBorder="1"/>
    <xf numFmtId="0" fontId="10" fillId="14" borderId="34" xfId="10" applyFont="1" applyFill="1" applyBorder="1" applyAlignment="1">
      <alignment horizontal="left" indent="1"/>
    </xf>
    <xf numFmtId="0" fontId="10" fillId="14" borderId="33" xfId="10" applyFont="1" applyFill="1" applyBorder="1"/>
    <xf numFmtId="0" fontId="10" fillId="14" borderId="0" xfId="10" applyFont="1" applyFill="1" applyAlignment="1">
      <alignment horizontal="left" indent="1"/>
    </xf>
    <xf numFmtId="9" fontId="0" fillId="2" borderId="0" xfId="0" applyNumberFormat="1" applyFill="1" applyAlignment="1">
      <alignment horizontal="center"/>
    </xf>
    <xf numFmtId="0" fontId="10" fillId="14" borderId="1" xfId="10" applyFont="1" applyFill="1" applyBorder="1" applyAlignment="1">
      <alignment horizontal="left" indent="1"/>
    </xf>
    <xf numFmtId="3" fontId="12" fillId="14" borderId="1" xfId="10" applyNumberFormat="1" applyFont="1" applyFill="1" applyBorder="1"/>
    <xf numFmtId="170" fontId="12" fillId="14" borderId="1" xfId="10" applyNumberFormat="1" applyFont="1" applyFill="1" applyBorder="1"/>
    <xf numFmtId="0" fontId="10" fillId="0" borderId="0" xfId="10" applyFont="1"/>
    <xf numFmtId="3" fontId="12" fillId="0" borderId="0" xfId="10" applyNumberFormat="1" applyFont="1"/>
    <xf numFmtId="170" fontId="0" fillId="0" borderId="35" xfId="0" applyNumberFormat="1" applyBorder="1"/>
    <xf numFmtId="170" fontId="0" fillId="0" borderId="0" xfId="0" applyNumberFormat="1" applyAlignment="1">
      <alignment horizontal="right"/>
    </xf>
    <xf numFmtId="3" fontId="12" fillId="0" borderId="1" xfId="10" applyNumberFormat="1" applyFont="1" applyBorder="1"/>
    <xf numFmtId="170" fontId="0" fillId="0" borderId="1" xfId="0" applyNumberFormat="1" applyBorder="1"/>
    <xf numFmtId="170" fontId="0" fillId="0" borderId="1" xfId="0" applyNumberFormat="1" applyBorder="1" applyAlignment="1">
      <alignment horizontal="right"/>
    </xf>
    <xf numFmtId="0" fontId="10" fillId="0" borderId="0" xfId="10" applyFont="1" applyAlignment="1">
      <alignment horizontal="left" indent="1"/>
    </xf>
    <xf numFmtId="3" fontId="12" fillId="0" borderId="0" xfId="10" applyNumberFormat="1" applyFont="1" applyAlignment="1">
      <alignment horizontal="right"/>
    </xf>
    <xf numFmtId="3" fontId="57" fillId="0" borderId="0" xfId="0" applyNumberFormat="1" applyFont="1"/>
    <xf numFmtId="3" fontId="12" fillId="4" borderId="0" xfId="10" applyNumberFormat="1" applyFont="1" applyFill="1"/>
    <xf numFmtId="170" fontId="12" fillId="4" borderId="0" xfId="10" applyNumberFormat="1" applyFont="1" applyFill="1"/>
    <xf numFmtId="3" fontId="12" fillId="4" borderId="2" xfId="10" applyNumberFormat="1" applyFont="1" applyFill="1" applyBorder="1"/>
    <xf numFmtId="170" fontId="12" fillId="4" borderId="2" xfId="10" applyNumberFormat="1" applyFont="1" applyFill="1" applyBorder="1"/>
    <xf numFmtId="0" fontId="9" fillId="0" borderId="0" xfId="10" applyFont="1"/>
    <xf numFmtId="3" fontId="9" fillId="0" borderId="0" xfId="0" applyNumberFormat="1" applyFont="1"/>
    <xf numFmtId="9" fontId="4" fillId="4" borderId="0" xfId="0" applyNumberFormat="1" applyFont="1" applyFill="1"/>
    <xf numFmtId="169" fontId="0" fillId="0" borderId="0" xfId="0" applyNumberFormat="1"/>
    <xf numFmtId="167" fontId="0" fillId="0" borderId="0" xfId="0" applyNumberFormat="1"/>
    <xf numFmtId="169" fontId="0" fillId="0" borderId="2" xfId="0" applyNumberFormat="1" applyBorder="1"/>
    <xf numFmtId="167" fontId="0" fillId="0" borderId="2" xfId="0" applyNumberFormat="1" applyBorder="1"/>
    <xf numFmtId="169" fontId="4" fillId="0" borderId="0" xfId="0" applyNumberFormat="1" applyFont="1"/>
    <xf numFmtId="0" fontId="12" fillId="0" borderId="1" xfId="7" applyFont="1" applyBorder="1" applyAlignment="1">
      <alignment horizontal="center"/>
    </xf>
    <xf numFmtId="0" fontId="12" fillId="0" borderId="0" xfId="7" applyFont="1" applyAlignment="1">
      <alignment horizontal="center"/>
    </xf>
    <xf numFmtId="9" fontId="18" fillId="0" borderId="0" xfId="1" applyFont="1" applyAlignment="1">
      <alignment horizontal="center"/>
    </xf>
    <xf numFmtId="0" fontId="18" fillId="0" borderId="0" xfId="7" applyFont="1" applyAlignment="1">
      <alignment horizontal="center"/>
    </xf>
    <xf numFmtId="0" fontId="18" fillId="0" borderId="0" xfId="7" applyFont="1"/>
    <xf numFmtId="0" fontId="18" fillId="0" borderId="2" xfId="7" applyFont="1" applyBorder="1"/>
    <xf numFmtId="0" fontId="18" fillId="0" borderId="2" xfId="7" applyFont="1" applyBorder="1" applyAlignment="1">
      <alignment horizontal="center"/>
    </xf>
    <xf numFmtId="0" fontId="12" fillId="0" borderId="2" xfId="7" applyFont="1" applyBorder="1" applyAlignment="1">
      <alignment horizontal="center"/>
    </xf>
    <xf numFmtId="3" fontId="12" fillId="0" borderId="0" xfId="7" applyNumberFormat="1" applyFont="1"/>
    <xf numFmtId="9" fontId="12" fillId="0" borderId="0" xfId="7" applyNumberFormat="1" applyFont="1" applyAlignment="1">
      <alignment horizontal="center"/>
    </xf>
    <xf numFmtId="171" fontId="12" fillId="0" borderId="0" xfId="7" applyNumberFormat="1" applyFont="1"/>
    <xf numFmtId="173" fontId="12" fillId="0" borderId="0" xfId="7" applyNumberFormat="1" applyFont="1"/>
    <xf numFmtId="174" fontId="12" fillId="0" borderId="0" xfId="7" applyNumberFormat="1" applyFont="1" applyAlignment="1">
      <alignment horizontal="center"/>
    </xf>
    <xf numFmtId="3" fontId="12" fillId="0" borderId="0" xfId="7" applyNumberFormat="1" applyFont="1" applyAlignment="1">
      <alignment horizontal="center"/>
    </xf>
    <xf numFmtId="8" fontId="12" fillId="0" borderId="0" xfId="7" applyNumberFormat="1" applyFont="1" applyAlignment="1">
      <alignment horizontal="center"/>
    </xf>
    <xf numFmtId="171" fontId="0" fillId="0" borderId="0" xfId="0" applyNumberFormat="1" applyAlignment="1">
      <alignment horizontal="center"/>
    </xf>
    <xf numFmtId="0" fontId="12" fillId="0" borderId="0" xfId="7" quotePrefix="1" applyFont="1"/>
    <xf numFmtId="3" fontId="18" fillId="0" borderId="0" xfId="7" applyNumberFormat="1" applyFont="1"/>
    <xf numFmtId="9" fontId="18" fillId="0" borderId="0" xfId="7" applyNumberFormat="1" applyFont="1" applyAlignment="1">
      <alignment horizontal="center"/>
    </xf>
    <xf numFmtId="171" fontId="18" fillId="0" borderId="0" xfId="7" applyNumberFormat="1" applyFont="1"/>
    <xf numFmtId="0" fontId="18" fillId="0" borderId="0" xfId="7" quotePrefix="1" applyFont="1"/>
    <xf numFmtId="0" fontId="59" fillId="0" borderId="0" xfId="7" applyFont="1"/>
    <xf numFmtId="8" fontId="12" fillId="0" borderId="0" xfId="7" applyNumberFormat="1" applyFont="1"/>
    <xf numFmtId="171" fontId="60" fillId="4" borderId="0" xfId="0" applyNumberFormat="1" applyFont="1" applyFill="1" applyAlignment="1">
      <alignment horizontal="center"/>
    </xf>
    <xf numFmtId="171" fontId="12" fillId="0" borderId="0" xfId="7" applyNumberFormat="1" applyFont="1" applyAlignment="1">
      <alignment horizontal="center"/>
    </xf>
    <xf numFmtId="0" fontId="61" fillId="0" borderId="0" xfId="7" applyFont="1"/>
    <xf numFmtId="170" fontId="18" fillId="0" borderId="0" xfId="1" applyNumberFormat="1" applyFont="1" applyAlignment="1">
      <alignment horizontal="center"/>
    </xf>
    <xf numFmtId="170" fontId="4" fillId="0" borderId="0" xfId="0" applyNumberFormat="1" applyFont="1" applyAlignment="1">
      <alignment horizontal="center"/>
    </xf>
    <xf numFmtId="170" fontId="18" fillId="0" borderId="2" xfId="1" applyNumberFormat="1" applyFont="1" applyBorder="1" applyAlignment="1">
      <alignment horizontal="center"/>
    </xf>
    <xf numFmtId="170" fontId="4" fillId="0" borderId="2" xfId="0" applyNumberFormat="1" applyFont="1" applyBorder="1" applyAlignment="1">
      <alignment horizontal="center"/>
    </xf>
    <xf numFmtId="170" fontId="18" fillId="0" borderId="0" xfId="7" applyNumberFormat="1" applyFont="1" applyAlignment="1">
      <alignment horizontal="center"/>
    </xf>
    <xf numFmtId="0" fontId="10" fillId="0" borderId="0" xfId="11" applyFont="1"/>
    <xf numFmtId="0" fontId="63" fillId="0" borderId="0" xfId="0" applyFont="1"/>
    <xf numFmtId="0" fontId="10" fillId="0" borderId="0" xfId="11" applyFont="1" applyAlignment="1">
      <alignment horizontal="left"/>
    </xf>
    <xf numFmtId="0" fontId="64" fillId="0" borderId="0" xfId="11" applyFont="1"/>
    <xf numFmtId="0" fontId="10" fillId="0" borderId="0" xfId="11" applyFont="1" applyAlignment="1">
      <alignment horizontal="right"/>
    </xf>
    <xf numFmtId="0" fontId="4" fillId="2" borderId="0" xfId="0" applyFont="1" applyFill="1"/>
    <xf numFmtId="0" fontId="65" fillId="0" borderId="0" xfId="11" applyFont="1"/>
    <xf numFmtId="0" fontId="66" fillId="0" borderId="0" xfId="11" applyFont="1" applyAlignment="1">
      <alignment horizontal="center"/>
    </xf>
    <xf numFmtId="9" fontId="4" fillId="2" borderId="0" xfId="0" applyNumberFormat="1" applyFont="1" applyFill="1"/>
    <xf numFmtId="170" fontId="4" fillId="2" borderId="0" xfId="0" applyNumberFormat="1" applyFont="1" applyFill="1"/>
    <xf numFmtId="170" fontId="2" fillId="0" borderId="0" xfId="0" applyNumberFormat="1" applyFont="1" applyAlignment="1">
      <alignment horizontal="center"/>
    </xf>
    <xf numFmtId="0" fontId="10" fillId="0" borderId="0" xfId="11" applyFont="1" applyAlignment="1">
      <alignment horizontal="center"/>
    </xf>
    <xf numFmtId="0" fontId="10" fillId="0" borderId="2" xfId="11" applyFont="1" applyBorder="1" applyAlignment="1">
      <alignment horizontal="center"/>
    </xf>
    <xf numFmtId="170" fontId="10" fillId="0" borderId="0" xfId="1" applyNumberFormat="1" applyFont="1"/>
    <xf numFmtId="165" fontId="10" fillId="0" borderId="0" xfId="1" applyNumberFormat="1" applyFont="1" applyAlignment="1">
      <alignment horizontal="center"/>
    </xf>
    <xf numFmtId="170" fontId="10" fillId="0" borderId="0" xfId="11" applyNumberFormat="1" applyFont="1"/>
    <xf numFmtId="3" fontId="10" fillId="19" borderId="0" xfId="11" applyNumberFormat="1" applyFont="1" applyFill="1"/>
    <xf numFmtId="3" fontId="10" fillId="0" borderId="0" xfId="11" applyNumberFormat="1" applyFont="1"/>
    <xf numFmtId="3" fontId="2" fillId="0" borderId="0" xfId="0" applyNumberFormat="1" applyFont="1"/>
    <xf numFmtId="4" fontId="10" fillId="0" borderId="0" xfId="11" applyNumberFormat="1" applyFont="1"/>
    <xf numFmtId="170" fontId="0" fillId="0" borderId="0" xfId="12" applyNumberFormat="1" applyFont="1"/>
    <xf numFmtId="170" fontId="10" fillId="4" borderId="0" xfId="11" applyNumberFormat="1" applyFont="1" applyFill="1"/>
    <xf numFmtId="165" fontId="10" fillId="4" borderId="0" xfId="1" applyNumberFormat="1" applyFont="1" applyFill="1" applyAlignment="1">
      <alignment horizontal="center"/>
    </xf>
    <xf numFmtId="3" fontId="10" fillId="4" borderId="0" xfId="11" applyNumberFormat="1" applyFont="1" applyFill="1"/>
    <xf numFmtId="3" fontId="2" fillId="4" borderId="0" xfId="0" applyNumberFormat="1" applyFont="1" applyFill="1"/>
    <xf numFmtId="4" fontId="10" fillId="4" borderId="0" xfId="11" applyNumberFormat="1" applyFont="1" applyFill="1"/>
    <xf numFmtId="170" fontId="10" fillId="14" borderId="0" xfId="11" applyNumberFormat="1" applyFont="1" applyFill="1"/>
    <xf numFmtId="165" fontId="10" fillId="14" borderId="0" xfId="1" applyNumberFormat="1" applyFont="1" applyFill="1" applyAlignment="1">
      <alignment horizontal="center"/>
    </xf>
    <xf numFmtId="3" fontId="10" fillId="14" borderId="0" xfId="11" applyNumberFormat="1" applyFont="1" applyFill="1"/>
    <xf numFmtId="3" fontId="2" fillId="14" borderId="0" xfId="0" applyNumberFormat="1" applyFont="1" applyFill="1"/>
    <xf numFmtId="4" fontId="10" fillId="14" borderId="0" xfId="11" applyNumberFormat="1" applyFont="1" applyFill="1"/>
    <xf numFmtId="170" fontId="10" fillId="20" borderId="0" xfId="1" applyNumberFormat="1" applyFont="1" applyFill="1"/>
    <xf numFmtId="165" fontId="10" fillId="20" borderId="0" xfId="1" applyNumberFormat="1" applyFont="1" applyFill="1" applyAlignment="1">
      <alignment horizontal="center"/>
    </xf>
    <xf numFmtId="3" fontId="10" fillId="20" borderId="0" xfId="11" applyNumberFormat="1" applyFont="1" applyFill="1"/>
    <xf numFmtId="3" fontId="2" fillId="20" borderId="0" xfId="0" applyNumberFormat="1" applyFont="1" applyFill="1"/>
    <xf numFmtId="4" fontId="10" fillId="20" borderId="0" xfId="11" applyNumberFormat="1" applyFont="1" applyFill="1"/>
    <xf numFmtId="9" fontId="10" fillId="18" borderId="0" xfId="11" applyNumberFormat="1" applyFont="1" applyFill="1"/>
    <xf numFmtId="165" fontId="10" fillId="18" borderId="0" xfId="1" applyNumberFormat="1" applyFont="1" applyFill="1" applyAlignment="1">
      <alignment horizontal="center"/>
    </xf>
    <xf numFmtId="170" fontId="10" fillId="18" borderId="0" xfId="1" applyNumberFormat="1" applyFont="1" applyFill="1"/>
    <xf numFmtId="3" fontId="10" fillId="18" borderId="0" xfId="11" applyNumberFormat="1" applyFont="1" applyFill="1"/>
    <xf numFmtId="3" fontId="2" fillId="18" borderId="0" xfId="0" applyNumberFormat="1" applyFont="1" applyFill="1"/>
    <xf numFmtId="4" fontId="10" fillId="18" borderId="0" xfId="11" applyNumberFormat="1" applyFont="1" applyFill="1"/>
    <xf numFmtId="170" fontId="10" fillId="21" borderId="0" xfId="11" applyNumberFormat="1" applyFont="1" applyFill="1"/>
    <xf numFmtId="165" fontId="10" fillId="21" borderId="0" xfId="1" applyNumberFormat="1" applyFont="1" applyFill="1" applyAlignment="1">
      <alignment horizontal="center"/>
    </xf>
    <xf numFmtId="170" fontId="10" fillId="21" borderId="0" xfId="1" applyNumberFormat="1" applyFont="1" applyFill="1"/>
    <xf numFmtId="3" fontId="10" fillId="21" borderId="0" xfId="11" applyNumberFormat="1" applyFont="1" applyFill="1"/>
    <xf numFmtId="3" fontId="2" fillId="21" borderId="0" xfId="0" applyNumberFormat="1" applyFont="1" applyFill="1"/>
    <xf numFmtId="4" fontId="10" fillId="21" borderId="0" xfId="11" applyNumberFormat="1" applyFont="1" applyFill="1"/>
    <xf numFmtId="169" fontId="10" fillId="22" borderId="0" xfId="11" applyNumberFormat="1" applyFont="1" applyFill="1"/>
    <xf numFmtId="0" fontId="9" fillId="0" borderId="0" xfId="0" applyFont="1" applyAlignment="1">
      <alignment horizontal="left"/>
    </xf>
    <xf numFmtId="165" fontId="10" fillId="0" borderId="0" xfId="11" applyNumberFormat="1" applyFont="1"/>
    <xf numFmtId="170" fontId="4" fillId="4" borderId="0" xfId="1" applyNumberFormat="1" applyFont="1" applyFill="1" applyAlignment="1">
      <alignment horizontal="center"/>
    </xf>
    <xf numFmtId="0" fontId="68" fillId="0" borderId="0" xfId="11" applyFont="1"/>
    <xf numFmtId="9" fontId="4" fillId="4" borderId="0" xfId="1" applyFont="1" applyFill="1" applyAlignment="1">
      <alignment horizontal="center"/>
    </xf>
    <xf numFmtId="9" fontId="4" fillId="2" borderId="0" xfId="1" applyFont="1" applyFill="1" applyAlignment="1">
      <alignment horizontal="center"/>
    </xf>
    <xf numFmtId="9" fontId="10" fillId="2" borderId="0" xfId="11" applyNumberFormat="1" applyFont="1" applyFill="1" applyAlignment="1">
      <alignment horizontal="center"/>
    </xf>
    <xf numFmtId="3" fontId="10" fillId="0" borderId="0" xfId="11" applyNumberFormat="1" applyFont="1" applyAlignment="1">
      <alignment horizontal="center"/>
    </xf>
    <xf numFmtId="3" fontId="8" fillId="0" borderId="0" xfId="11" applyNumberFormat="1" applyFont="1" applyAlignment="1">
      <alignment horizontal="center"/>
    </xf>
    <xf numFmtId="0" fontId="10" fillId="0" borderId="1" xfId="11" applyFont="1" applyBorder="1"/>
    <xf numFmtId="0" fontId="10" fillId="0" borderId="1" xfId="11" applyFont="1" applyBorder="1" applyAlignment="1">
      <alignment horizontal="center"/>
    </xf>
    <xf numFmtId="0" fontId="10" fillId="0" borderId="0" xfId="13" applyFont="1" applyAlignment="1">
      <alignment horizontal="right"/>
    </xf>
    <xf numFmtId="3" fontId="8" fillId="4" borderId="0" xfId="11" applyNumberFormat="1" applyFont="1" applyFill="1" applyAlignment="1">
      <alignment horizontal="center"/>
    </xf>
    <xf numFmtId="3" fontId="8" fillId="19" borderId="0" xfId="11" applyNumberFormat="1" applyFont="1" applyFill="1" applyAlignment="1">
      <alignment horizontal="center"/>
    </xf>
    <xf numFmtId="0" fontId="10" fillId="0" borderId="0" xfId="11" applyFont="1" applyAlignment="1">
      <alignment horizontal="left" indent="1"/>
    </xf>
    <xf numFmtId="170" fontId="10" fillId="0" borderId="35" xfId="1" applyNumberFormat="1" applyFont="1" applyBorder="1" applyAlignment="1">
      <alignment horizontal="center" vertical="center"/>
    </xf>
    <xf numFmtId="170" fontId="10" fillId="0" borderId="0" xfId="1" applyNumberFormat="1" applyFont="1" applyAlignment="1">
      <alignment horizontal="center"/>
    </xf>
    <xf numFmtId="9" fontId="10" fillId="0" borderId="0" xfId="11" applyNumberFormat="1" applyFont="1" applyAlignment="1">
      <alignment horizontal="center"/>
    </xf>
    <xf numFmtId="170" fontId="10" fillId="2" borderId="0" xfId="1" applyNumberFormat="1" applyFont="1" applyFill="1" applyAlignment="1">
      <alignment horizontal="center" vertical="center"/>
    </xf>
    <xf numFmtId="170" fontId="10" fillId="2" borderId="0" xfId="1" applyNumberFormat="1" applyFont="1" applyFill="1" applyAlignment="1">
      <alignment horizontal="center"/>
    </xf>
    <xf numFmtId="170" fontId="10" fillId="0" borderId="0" xfId="11" applyNumberFormat="1" applyFont="1" applyAlignment="1">
      <alignment horizontal="center"/>
    </xf>
    <xf numFmtId="0" fontId="10" fillId="0" borderId="1" xfId="11" applyFont="1" applyBorder="1" applyAlignment="1">
      <alignment horizontal="left" indent="1"/>
    </xf>
    <xf numFmtId="170" fontId="10" fillId="2" borderId="1" xfId="1" applyNumberFormat="1" applyFont="1" applyFill="1" applyBorder="1" applyAlignment="1">
      <alignment horizontal="center"/>
    </xf>
    <xf numFmtId="170" fontId="10" fillId="0" borderId="1" xfId="1" applyNumberFormat="1" applyFont="1" applyBorder="1" applyAlignment="1">
      <alignment horizontal="center"/>
    </xf>
    <xf numFmtId="0" fontId="8" fillId="0" borderId="0" xfId="11" applyFont="1"/>
    <xf numFmtId="170" fontId="8" fillId="14" borderId="0" xfId="1" applyNumberFormat="1" applyFont="1" applyFill="1" applyAlignment="1">
      <alignment horizontal="center"/>
    </xf>
    <xf numFmtId="170" fontId="8" fillId="20" borderId="0" xfId="11" applyNumberFormat="1" applyFont="1" applyFill="1" applyAlignment="1">
      <alignment horizontal="center"/>
    </xf>
    <xf numFmtId="170" fontId="8" fillId="4" borderId="0" xfId="11" applyNumberFormat="1" applyFont="1" applyFill="1" applyAlignment="1">
      <alignment horizontal="center"/>
    </xf>
    <xf numFmtId="2" fontId="8" fillId="19" borderId="0" xfId="11" applyNumberFormat="1" applyFont="1" applyFill="1" applyAlignment="1">
      <alignment horizontal="center"/>
    </xf>
    <xf numFmtId="170" fontId="10" fillId="0" borderId="0" xfId="1" applyNumberFormat="1" applyFont="1" applyAlignment="1">
      <alignment horizontal="center" vertical="center"/>
    </xf>
    <xf numFmtId="0" fontId="4" fillId="0" borderId="0" xfId="0" applyFont="1" applyAlignment="1">
      <alignment horizontal="right"/>
    </xf>
    <xf numFmtId="0" fontId="70" fillId="0" borderId="0" xfId="0" applyFont="1"/>
    <xf numFmtId="0" fontId="57" fillId="0" borderId="0" xfId="0" quotePrefix="1" applyFont="1" applyAlignment="1">
      <alignment horizontal="left" indent="1"/>
    </xf>
    <xf numFmtId="170" fontId="4" fillId="2" borderId="0" xfId="1" applyNumberFormat="1" applyFont="1" applyFill="1"/>
    <xf numFmtId="1" fontId="4" fillId="4" borderId="0" xfId="0" applyNumberFormat="1" applyFont="1" applyFill="1"/>
    <xf numFmtId="0" fontId="0" fillId="2" borderId="0" xfId="0" applyFill="1"/>
    <xf numFmtId="0" fontId="0" fillId="0" borderId="0" xfId="0" quotePrefix="1"/>
    <xf numFmtId="170" fontId="0" fillId="0" borderId="0" xfId="1" applyNumberFormat="1" applyFont="1"/>
    <xf numFmtId="0" fontId="57" fillId="0" borderId="0" xfId="0" applyFont="1"/>
    <xf numFmtId="0" fontId="57" fillId="4" borderId="0" xfId="0" applyFont="1" applyFill="1"/>
    <xf numFmtId="11" fontId="57" fillId="4" borderId="0" xfId="0" applyNumberFormat="1" applyFont="1" applyFill="1"/>
    <xf numFmtId="0" fontId="57" fillId="4" borderId="0" xfId="0" quotePrefix="1" applyFont="1" applyFill="1"/>
    <xf numFmtId="170" fontId="0" fillId="0" borderId="2" xfId="0" applyNumberFormat="1" applyBorder="1" applyAlignment="1">
      <alignment horizontal="center"/>
    </xf>
    <xf numFmtId="164" fontId="4" fillId="0" borderId="0" xfId="0" applyNumberFormat="1" applyFont="1"/>
    <xf numFmtId="2" fontId="0" fillId="0" borderId="0" xfId="0" applyNumberFormat="1" applyAlignment="1">
      <alignment horizontal="center"/>
    </xf>
    <xf numFmtId="9" fontId="0" fillId="0" borderId="0" xfId="0" applyNumberFormat="1"/>
    <xf numFmtId="0" fontId="15" fillId="0" borderId="36" xfId="0" applyFont="1" applyBorder="1"/>
    <xf numFmtId="0" fontId="0" fillId="0" borderId="37" xfId="0" applyBorder="1"/>
    <xf numFmtId="0" fontId="0" fillId="0" borderId="38" xfId="0" applyBorder="1"/>
    <xf numFmtId="0" fontId="15" fillId="0" borderId="0" xfId="0" applyFont="1"/>
    <xf numFmtId="0" fontId="73" fillId="0" borderId="0" xfId="14" applyFont="1"/>
    <xf numFmtId="170" fontId="73" fillId="0" borderId="0" xfId="14" applyNumberFormat="1" applyFont="1"/>
    <xf numFmtId="0" fontId="74" fillId="0" borderId="0" xfId="14" applyFont="1"/>
    <xf numFmtId="0" fontId="73" fillId="0" borderId="0" xfId="14" applyFont="1" applyAlignment="1">
      <alignment horizontal="center"/>
    </xf>
    <xf numFmtId="0" fontId="75" fillId="0" borderId="0" xfId="14" applyFont="1"/>
    <xf numFmtId="170" fontId="76" fillId="0" borderId="0" xfId="7" applyNumberFormat="1" applyFont="1"/>
    <xf numFmtId="170" fontId="77" fillId="0" borderId="0" xfId="15" applyNumberFormat="1" applyFont="1" applyAlignment="1">
      <alignment horizontal="right"/>
    </xf>
    <xf numFmtId="170" fontId="78" fillId="0" borderId="0" xfId="15" applyNumberFormat="1" applyFont="1" applyAlignment="1">
      <alignment horizontal="right"/>
    </xf>
    <xf numFmtId="170" fontId="35" fillId="0" borderId="0" xfId="14" applyNumberFormat="1" applyFont="1" applyAlignment="1">
      <alignment horizontal="right"/>
    </xf>
    <xf numFmtId="0" fontId="35" fillId="0" borderId="0" xfId="14" applyFont="1" applyAlignment="1">
      <alignment horizontal="center"/>
    </xf>
    <xf numFmtId="170" fontId="35" fillId="0" borderId="0" xfId="15" applyNumberFormat="1" applyFont="1" applyAlignment="1">
      <alignment horizontal="right"/>
    </xf>
    <xf numFmtId="0" fontId="35" fillId="0" borderId="0" xfId="14" applyFont="1"/>
    <xf numFmtId="170" fontId="36" fillId="0" borderId="0" xfId="15" applyNumberFormat="1" applyFont="1"/>
    <xf numFmtId="170" fontId="74" fillId="0" borderId="0" xfId="7" applyNumberFormat="1" applyFont="1"/>
    <xf numFmtId="0" fontId="76" fillId="0" borderId="0" xfId="7" applyFont="1"/>
    <xf numFmtId="3" fontId="7" fillId="0" borderId="0" xfId="14" applyNumberFormat="1" applyFont="1" applyAlignment="1">
      <alignment horizontal="right"/>
    </xf>
    <xf numFmtId="1" fontId="7" fillId="0" borderId="0" xfId="14" applyNumberFormat="1" applyFont="1" applyAlignment="1">
      <alignment horizontal="right"/>
    </xf>
    <xf numFmtId="0" fontId="7" fillId="0" borderId="0" xfId="14" applyFont="1" applyAlignment="1">
      <alignment horizontal="center"/>
    </xf>
    <xf numFmtId="0" fontId="7" fillId="3" borderId="0" xfId="14" applyFont="1" applyFill="1" applyAlignment="1">
      <alignment horizontal="center"/>
    </xf>
    <xf numFmtId="0" fontId="74" fillId="0" borderId="0" xfId="7" applyFont="1"/>
    <xf numFmtId="0" fontId="75" fillId="0" borderId="0" xfId="14" applyFont="1" applyAlignment="1">
      <alignment horizontal="center"/>
    </xf>
    <xf numFmtId="3" fontId="35" fillId="0" borderId="0" xfId="14" applyNumberFormat="1" applyFont="1" applyAlignment="1">
      <alignment horizontal="right"/>
    </xf>
    <xf numFmtId="171" fontId="77" fillId="0" borderId="0" xfId="15" applyNumberFormat="1" applyFont="1" applyAlignment="1">
      <alignment horizontal="right"/>
    </xf>
    <xf numFmtId="171" fontId="78" fillId="0" borderId="0" xfId="15" applyNumberFormat="1" applyFont="1" applyAlignment="1">
      <alignment horizontal="right"/>
    </xf>
    <xf numFmtId="171" fontId="35" fillId="0" borderId="0" xfId="14" applyNumberFormat="1" applyFont="1" applyAlignment="1">
      <alignment horizontal="right"/>
    </xf>
    <xf numFmtId="3" fontId="7" fillId="0" borderId="0" xfId="14" applyNumberFormat="1" applyFont="1"/>
    <xf numFmtId="9" fontId="7" fillId="0" borderId="0" xfId="1" applyFont="1" applyAlignment="1">
      <alignment horizontal="right"/>
    </xf>
    <xf numFmtId="170" fontId="79" fillId="0" borderId="0" xfId="14" applyNumberFormat="1" applyFont="1" applyAlignment="1">
      <alignment horizontal="right"/>
    </xf>
    <xf numFmtId="0" fontId="79" fillId="0" borderId="0" xfId="14" applyFont="1" applyAlignment="1">
      <alignment horizontal="center"/>
    </xf>
    <xf numFmtId="3" fontId="77" fillId="0" borderId="0" xfId="15" applyNumberFormat="1" applyFont="1" applyAlignment="1">
      <alignment horizontal="right"/>
    </xf>
    <xf numFmtId="3" fontId="78" fillId="0" borderId="0" xfId="15" applyNumberFormat="1" applyFont="1" applyAlignment="1">
      <alignment horizontal="right"/>
    </xf>
    <xf numFmtId="175" fontId="77" fillId="0" borderId="0" xfId="15" applyNumberFormat="1" applyFont="1" applyAlignment="1">
      <alignment horizontal="right"/>
    </xf>
    <xf numFmtId="175" fontId="78" fillId="0" borderId="0" xfId="15" applyNumberFormat="1" applyFont="1" applyAlignment="1">
      <alignment horizontal="right"/>
    </xf>
    <xf numFmtId="175" fontId="35" fillId="0" borderId="0" xfId="14" applyNumberFormat="1" applyFont="1" applyAlignment="1">
      <alignment horizontal="right"/>
    </xf>
    <xf numFmtId="2" fontId="77" fillId="0" borderId="0" xfId="15" applyNumberFormat="1" applyFont="1" applyAlignment="1">
      <alignment horizontal="right"/>
    </xf>
    <xf numFmtId="2" fontId="78" fillId="0" borderId="0" xfId="15" applyNumberFormat="1" applyFont="1" applyAlignment="1">
      <alignment horizontal="right"/>
    </xf>
    <xf numFmtId="2" fontId="35" fillId="0" borderId="0" xfId="14" applyNumberFormat="1" applyFont="1" applyAlignment="1">
      <alignment horizontal="right"/>
    </xf>
    <xf numFmtId="4" fontId="77" fillId="0" borderId="0" xfId="15" applyNumberFormat="1" applyFont="1" applyAlignment="1">
      <alignment horizontal="right"/>
    </xf>
    <xf numFmtId="4" fontId="78" fillId="0" borderId="0" xfId="15" applyNumberFormat="1" applyFont="1" applyAlignment="1">
      <alignment horizontal="right"/>
    </xf>
    <xf numFmtId="4" fontId="35" fillId="0" borderId="0" xfId="14" applyNumberFormat="1" applyFont="1" applyAlignment="1">
      <alignment horizontal="right"/>
    </xf>
    <xf numFmtId="1" fontId="7" fillId="0" borderId="0" xfId="14" applyNumberFormat="1" applyFont="1"/>
    <xf numFmtId="0" fontId="73" fillId="0" borderId="0" xfId="14" applyFont="1" applyAlignment="1">
      <alignment horizontal="right"/>
    </xf>
    <xf numFmtId="0" fontId="80" fillId="0" borderId="0" xfId="7" applyFont="1" applyAlignment="1">
      <alignment horizontal="center"/>
    </xf>
    <xf numFmtId="0" fontId="7" fillId="0" borderId="0" xfId="14" applyFont="1"/>
    <xf numFmtId="10" fontId="77" fillId="0" borderId="0" xfId="16" applyNumberFormat="1" applyFont="1" applyAlignment="1">
      <alignment horizontal="right"/>
    </xf>
    <xf numFmtId="10" fontId="78" fillId="0" borderId="0" xfId="16" applyNumberFormat="1" applyFont="1" applyAlignment="1">
      <alignment horizontal="right"/>
    </xf>
    <xf numFmtId="170" fontId="35" fillId="0" borderId="0" xfId="16" applyNumberFormat="1" applyFont="1" applyAlignment="1">
      <alignment horizontal="right"/>
    </xf>
    <xf numFmtId="167" fontId="77" fillId="0" borderId="0" xfId="15" applyNumberFormat="1" applyFont="1" applyAlignment="1">
      <alignment horizontal="right"/>
    </xf>
    <xf numFmtId="167" fontId="78" fillId="0" borderId="0" xfId="15" applyNumberFormat="1" applyFont="1" applyAlignment="1">
      <alignment horizontal="right"/>
    </xf>
    <xf numFmtId="164" fontId="35" fillId="0" borderId="0" xfId="14" applyNumberFormat="1" applyFont="1" applyAlignment="1">
      <alignment horizontal="right"/>
    </xf>
    <xf numFmtId="170" fontId="7" fillId="0" borderId="0" xfId="9" applyNumberFormat="1" applyFont="1"/>
    <xf numFmtId="170" fontId="74" fillId="0" borderId="0" xfId="14" applyNumberFormat="1" applyFont="1" applyAlignment="1">
      <alignment horizontal="right"/>
    </xf>
    <xf numFmtId="170" fontId="78" fillId="13" borderId="0" xfId="15" applyNumberFormat="1" applyFont="1" applyFill="1" applyAlignment="1">
      <alignment horizontal="right"/>
    </xf>
    <xf numFmtId="170" fontId="78" fillId="12" borderId="0" xfId="15" applyNumberFormat="1" applyFont="1" applyFill="1" applyAlignment="1">
      <alignment horizontal="right"/>
    </xf>
    <xf numFmtId="170" fontId="7" fillId="0" borderId="0" xfId="1" applyNumberFormat="1" applyFont="1" applyAlignment="1">
      <alignment horizontal="right"/>
    </xf>
    <xf numFmtId="2" fontId="35" fillId="0" borderId="0" xfId="15" applyNumberFormat="1" applyFont="1" applyAlignment="1">
      <alignment horizontal="right"/>
    </xf>
    <xf numFmtId="170" fontId="7" fillId="0" borderId="0" xfId="14" applyNumberFormat="1" applyFont="1"/>
    <xf numFmtId="170" fontId="74" fillId="0" borderId="0" xfId="14" applyNumberFormat="1" applyFont="1"/>
    <xf numFmtId="0" fontId="78" fillId="0" borderId="0" xfId="7" applyFont="1" applyAlignment="1">
      <alignment horizontal="right"/>
    </xf>
    <xf numFmtId="0" fontId="76" fillId="0" borderId="0" xfId="7" applyFont="1" applyAlignment="1">
      <alignment horizontal="center"/>
    </xf>
    <xf numFmtId="0" fontId="81" fillId="0" borderId="0" xfId="7" applyFont="1"/>
    <xf numFmtId="170" fontId="78" fillId="0" borderId="0" xfId="7" applyNumberFormat="1" applyFont="1" applyAlignment="1">
      <alignment horizontal="right"/>
    </xf>
    <xf numFmtId="0" fontId="77" fillId="0" borderId="1" xfId="14" quotePrefix="1" applyFont="1" applyBorder="1" applyAlignment="1">
      <alignment horizontal="center"/>
    </xf>
    <xf numFmtId="0" fontId="78" fillId="0" borderId="1" xfId="7" applyFont="1" applyBorder="1" applyAlignment="1">
      <alignment horizontal="center"/>
    </xf>
    <xf numFmtId="0" fontId="35" fillId="0" borderId="1" xfId="14" applyFont="1" applyBorder="1" applyAlignment="1">
      <alignment horizontal="center"/>
    </xf>
    <xf numFmtId="0" fontId="77" fillId="0" borderId="0" xfId="7" applyFont="1" applyAlignment="1">
      <alignment horizontal="center"/>
    </xf>
    <xf numFmtId="0" fontId="78" fillId="0" borderId="0" xfId="7" applyFont="1" applyAlignment="1">
      <alignment horizontal="center"/>
    </xf>
    <xf numFmtId="1" fontId="35" fillId="0" borderId="0" xfId="14" applyNumberFormat="1" applyFont="1" applyAlignment="1">
      <alignment horizontal="center"/>
    </xf>
    <xf numFmtId="0" fontId="9" fillId="2" borderId="0" xfId="14" applyFont="1" applyFill="1" applyAlignment="1">
      <alignment horizontal="center"/>
    </xf>
    <xf numFmtId="0" fontId="9" fillId="0" borderId="0" xfId="14" applyFont="1" applyAlignment="1">
      <alignment horizontal="right"/>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right" vertical="center"/>
    </xf>
    <xf numFmtId="0" fontId="83" fillId="0" borderId="0" xfId="0" applyFont="1"/>
    <xf numFmtId="176" fontId="0" fillId="0" borderId="0" xfId="0" applyNumberFormat="1"/>
    <xf numFmtId="0" fontId="4" fillId="0" borderId="2" xfId="0" applyFont="1" applyBorder="1" applyAlignment="1">
      <alignment horizontal="center"/>
    </xf>
    <xf numFmtId="0" fontId="4" fillId="0" borderId="2" xfId="0" applyFont="1" applyBorder="1"/>
    <xf numFmtId="0" fontId="84" fillId="0" borderId="0" xfId="0" applyFont="1"/>
    <xf numFmtId="3" fontId="0" fillId="2" borderId="0" xfId="0" applyNumberFormat="1" applyFill="1"/>
    <xf numFmtId="3" fontId="10" fillId="2" borderId="0" xfId="0" applyNumberFormat="1" applyFont="1" applyFill="1"/>
    <xf numFmtId="0" fontId="0" fillId="4" borderId="0" xfId="0" applyFill="1" applyAlignment="1">
      <alignment horizontal="center"/>
    </xf>
    <xf numFmtId="0" fontId="0" fillId="23" borderId="0" xfId="0" applyFill="1" applyAlignment="1">
      <alignment horizontal="center"/>
    </xf>
    <xf numFmtId="3" fontId="0" fillId="2" borderId="0" xfId="0" applyNumberFormat="1" applyFill="1" applyAlignment="1">
      <alignment horizontal="center"/>
    </xf>
    <xf numFmtId="0" fontId="85" fillId="0" borderId="0" xfId="0" applyFont="1"/>
    <xf numFmtId="0" fontId="4" fillId="4" borderId="1" xfId="0" applyFont="1" applyFill="1" applyBorder="1" applyAlignment="1">
      <alignment horizontal="center"/>
    </xf>
    <xf numFmtId="0" fontId="4" fillId="14" borderId="1" xfId="0" applyFont="1" applyFill="1" applyBorder="1" applyAlignment="1">
      <alignment horizontal="center"/>
    </xf>
    <xf numFmtId="165" fontId="4" fillId="4" borderId="0" xfId="0" applyNumberFormat="1" applyFont="1" applyFill="1"/>
    <xf numFmtId="165" fontId="4" fillId="14" borderId="0" xfId="0" applyNumberFormat="1" applyFont="1" applyFill="1"/>
    <xf numFmtId="2" fontId="0" fillId="0" borderId="2" xfId="0" applyNumberFormat="1" applyBorder="1"/>
    <xf numFmtId="165" fontId="0" fillId="0" borderId="2" xfId="0" applyNumberFormat="1" applyBorder="1"/>
    <xf numFmtId="165" fontId="4" fillId="4" borderId="2" xfId="0" applyNumberFormat="1" applyFont="1" applyFill="1" applyBorder="1"/>
    <xf numFmtId="165" fontId="4" fillId="14" borderId="2" xfId="0" applyNumberFormat="1" applyFont="1" applyFill="1" applyBorder="1"/>
    <xf numFmtId="0" fontId="4" fillId="4" borderId="2" xfId="0" applyFont="1" applyFill="1" applyBorder="1" applyAlignment="1">
      <alignment horizontal="center"/>
    </xf>
    <xf numFmtId="0" fontId="4" fillId="14" borderId="2" xfId="0" applyFont="1" applyFill="1" applyBorder="1" applyAlignment="1">
      <alignment horizontal="center"/>
    </xf>
    <xf numFmtId="0" fontId="4" fillId="2" borderId="0" xfId="0" applyFont="1" applyFill="1" applyAlignment="1">
      <alignment horizontal="center"/>
    </xf>
    <xf numFmtId="0" fontId="24" fillId="0" borderId="0" xfId="0" applyFont="1" applyAlignment="1">
      <alignment horizontal="center"/>
    </xf>
    <xf numFmtId="0" fontId="9" fillId="4" borderId="0" xfId="14" applyFont="1" applyFill="1" applyAlignment="1">
      <alignment horizontal="center"/>
    </xf>
    <xf numFmtId="0" fontId="18" fillId="0" borderId="0" xfId="7" applyFont="1" applyAlignment="1">
      <alignment horizontal="right"/>
    </xf>
    <xf numFmtId="0" fontId="2" fillId="0" borderId="2" xfId="0" applyFont="1" applyBorder="1" applyAlignment="1">
      <alignment horizontal="center"/>
    </xf>
    <xf numFmtId="10" fontId="12" fillId="0" borderId="0" xfId="7" applyNumberFormat="1" applyFont="1"/>
    <xf numFmtId="3" fontId="10" fillId="0" borderId="2" xfId="0" applyNumberFormat="1" applyFont="1" applyBorder="1" applyAlignment="1">
      <alignment horizontal="center"/>
    </xf>
    <xf numFmtId="3" fontId="2" fillId="0" borderId="2" xfId="0" applyNumberFormat="1" applyFont="1" applyBorder="1"/>
    <xf numFmtId="3" fontId="18" fillId="0" borderId="2" xfId="7" applyNumberFormat="1" applyFont="1" applyBorder="1"/>
    <xf numFmtId="3" fontId="12" fillId="0" borderId="2" xfId="7" applyNumberFormat="1" applyFont="1" applyBorder="1"/>
    <xf numFmtId="10" fontId="12" fillId="0" borderId="2" xfId="7" applyNumberFormat="1" applyFont="1" applyBorder="1"/>
    <xf numFmtId="3" fontId="43" fillId="0" borderId="0" xfId="0" applyNumberFormat="1" applyFont="1" applyAlignment="1">
      <alignment horizontal="center"/>
    </xf>
    <xf numFmtId="3" fontId="43" fillId="0" borderId="0" xfId="0" applyNumberFormat="1" applyFont="1"/>
    <xf numFmtId="3" fontId="43" fillId="0" borderId="0" xfId="7" applyNumberFormat="1" applyFont="1"/>
    <xf numFmtId="0" fontId="43" fillId="0" borderId="0" xfId="7" applyFont="1"/>
    <xf numFmtId="10" fontId="2" fillId="0" borderId="0" xfId="9" applyNumberFormat="1" applyFont="1"/>
    <xf numFmtId="10" fontId="2" fillId="0" borderId="2" xfId="9" applyNumberFormat="1" applyFont="1" applyBorder="1"/>
    <xf numFmtId="0" fontId="12" fillId="0" borderId="2" xfId="7" applyFont="1" applyBorder="1"/>
    <xf numFmtId="10" fontId="18" fillId="0" borderId="0" xfId="9" applyNumberFormat="1" applyFont="1"/>
    <xf numFmtId="10" fontId="43" fillId="0" borderId="0" xfId="9" applyNumberFormat="1" applyFont="1"/>
    <xf numFmtId="0" fontId="87" fillId="0" borderId="0" xfId="7" applyFont="1" applyAlignment="1">
      <alignment horizontal="center"/>
    </xf>
    <xf numFmtId="10" fontId="87" fillId="0" borderId="0" xfId="9" applyNumberFormat="1" applyFont="1"/>
    <xf numFmtId="10" fontId="88" fillId="0" borderId="0" xfId="9" applyNumberFormat="1" applyFont="1"/>
    <xf numFmtId="3" fontId="12" fillId="0" borderId="2" xfId="7" applyNumberFormat="1" applyFont="1" applyBorder="1" applyAlignment="1">
      <alignment horizontal="center"/>
    </xf>
    <xf numFmtId="10" fontId="18" fillId="0" borderId="0" xfId="7" applyNumberFormat="1" applyFont="1"/>
    <xf numFmtId="10" fontId="12" fillId="0" borderId="0" xfId="9" applyNumberFormat="1" applyFont="1"/>
    <xf numFmtId="10" fontId="12" fillId="0" borderId="2" xfId="9" applyNumberFormat="1" applyFont="1" applyBorder="1"/>
    <xf numFmtId="10" fontId="18" fillId="0" borderId="2" xfId="7" applyNumberFormat="1" applyFont="1" applyBorder="1"/>
    <xf numFmtId="10" fontId="4" fillId="0" borderId="0" xfId="9" applyNumberFormat="1" applyFont="1"/>
    <xf numFmtId="10" fontId="43" fillId="0" borderId="0" xfId="1" applyNumberFormat="1" applyFont="1"/>
    <xf numFmtId="170" fontId="0" fillId="14" borderId="0" xfId="0" applyNumberFormat="1" applyFill="1" applyAlignment="1">
      <alignment horizontal="center"/>
    </xf>
    <xf numFmtId="3" fontId="89" fillId="0" borderId="0" xfId="7" applyNumberFormat="1" applyFont="1"/>
    <xf numFmtId="10" fontId="8" fillId="0" borderId="0" xfId="7" applyNumberFormat="1" applyFont="1" applyAlignment="1">
      <alignment horizontal="center"/>
    </xf>
    <xf numFmtId="0" fontId="12" fillId="14" borderId="0" xfId="7" applyFont="1" applyFill="1" applyAlignment="1">
      <alignment horizontal="center"/>
    </xf>
    <xf numFmtId="3" fontId="8" fillId="0" borderId="2" xfId="7" applyNumberFormat="1" applyFont="1" applyBorder="1" applyAlignment="1">
      <alignment horizontal="center"/>
    </xf>
    <xf numFmtId="0" fontId="0" fillId="14" borderId="2" xfId="0" applyFill="1" applyBorder="1" applyAlignment="1">
      <alignment horizontal="center"/>
    </xf>
    <xf numFmtId="0" fontId="90" fillId="0" borderId="0" xfId="7" applyFont="1" applyAlignment="1">
      <alignment horizontal="center"/>
    </xf>
    <xf numFmtId="10" fontId="90" fillId="0" borderId="0" xfId="9" applyNumberFormat="1" applyFont="1"/>
    <xf numFmtId="10" fontId="8" fillId="0" borderId="0" xfId="1" applyNumberFormat="1" applyFont="1" applyAlignment="1">
      <alignment horizontal="center"/>
    </xf>
    <xf numFmtId="170" fontId="0" fillId="14" borderId="0" xfId="0" applyNumberFormat="1" applyFill="1"/>
    <xf numFmtId="10" fontId="90" fillId="4" borderId="0" xfId="1" applyNumberFormat="1" applyFont="1" applyFill="1"/>
    <xf numFmtId="10" fontId="8" fillId="0" borderId="0" xfId="9" applyNumberFormat="1" applyFont="1"/>
    <xf numFmtId="10" fontId="9" fillId="8" borderId="0" xfId="1" applyNumberFormat="1" applyFont="1" applyFill="1" applyAlignment="1">
      <alignment horizontal="center"/>
    </xf>
    <xf numFmtId="10" fontId="9" fillId="0" borderId="0" xfId="9" applyNumberFormat="1" applyFont="1"/>
    <xf numFmtId="10" fontId="87" fillId="14" borderId="0" xfId="9" applyNumberFormat="1" applyFont="1" applyFill="1"/>
    <xf numFmtId="0" fontId="87" fillId="0" borderId="0" xfId="0" applyFont="1" applyAlignment="1">
      <alignment horizontal="center"/>
    </xf>
    <xf numFmtId="10" fontId="10" fillId="0" borderId="2" xfId="1" applyNumberFormat="1" applyFont="1" applyBorder="1" applyAlignment="1">
      <alignment horizontal="center"/>
    </xf>
    <xf numFmtId="10" fontId="0" fillId="4" borderId="0" xfId="0" applyNumberFormat="1" applyFill="1"/>
    <xf numFmtId="10" fontId="10" fillId="4" borderId="0" xfId="1" applyNumberFormat="1" applyFont="1" applyFill="1"/>
    <xf numFmtId="3" fontId="10" fillId="18" borderId="0" xfId="0" applyNumberFormat="1" applyFont="1" applyFill="1" applyAlignment="1">
      <alignment horizontal="center"/>
    </xf>
    <xf numFmtId="10" fontId="12" fillId="18" borderId="0" xfId="7" applyNumberFormat="1" applyFont="1" applyFill="1"/>
    <xf numFmtId="10" fontId="0" fillId="18" borderId="0" xfId="0" applyNumberFormat="1" applyFill="1"/>
    <xf numFmtId="10" fontId="10" fillId="18" borderId="0" xfId="1" applyNumberFormat="1" applyFont="1" applyFill="1"/>
    <xf numFmtId="10" fontId="0" fillId="4" borderId="2" xfId="0" applyNumberFormat="1" applyFill="1" applyBorder="1"/>
    <xf numFmtId="10" fontId="10" fillId="4" borderId="2" xfId="1" applyNumberFormat="1" applyFont="1" applyFill="1" applyBorder="1"/>
    <xf numFmtId="10" fontId="8" fillId="0" borderId="0" xfId="1" applyNumberFormat="1" applyFont="1"/>
    <xf numFmtId="10" fontId="8" fillId="0" borderId="0" xfId="0" applyNumberFormat="1" applyFont="1"/>
    <xf numFmtId="10" fontId="8" fillId="4" borderId="0" xfId="0" applyNumberFormat="1" applyFont="1" applyFill="1"/>
    <xf numFmtId="10" fontId="8" fillId="4" borderId="0" xfId="1" applyNumberFormat="1" applyFont="1" applyFill="1"/>
    <xf numFmtId="10" fontId="43" fillId="0" borderId="0" xfId="0" applyNumberFormat="1" applyFont="1"/>
    <xf numFmtId="10" fontId="43" fillId="4" borderId="0" xfId="0" applyNumberFormat="1" applyFont="1" applyFill="1"/>
    <xf numFmtId="10" fontId="43" fillId="4" borderId="0" xfId="1" applyNumberFormat="1" applyFont="1" applyFill="1"/>
    <xf numFmtId="10" fontId="4" fillId="0" borderId="0" xfId="16" applyNumberFormat="1" applyFont="1"/>
    <xf numFmtId="170" fontId="12" fillId="0" borderId="0" xfId="7" applyNumberFormat="1" applyFont="1"/>
    <xf numFmtId="10" fontId="4" fillId="0" borderId="2" xfId="16" applyNumberFormat="1" applyFont="1" applyBorder="1"/>
    <xf numFmtId="3" fontId="12" fillId="0" borderId="0" xfId="7" applyNumberFormat="1" applyFont="1" applyAlignment="1">
      <alignment horizontal="right"/>
    </xf>
    <xf numFmtId="3" fontId="18" fillId="0" borderId="0" xfId="7" applyNumberFormat="1" applyFont="1" applyAlignment="1">
      <alignment horizontal="right"/>
    </xf>
    <xf numFmtId="3" fontId="12" fillId="0" borderId="2" xfId="7" applyNumberFormat="1" applyFont="1" applyBorder="1" applyAlignment="1">
      <alignment horizontal="right"/>
    </xf>
    <xf numFmtId="3" fontId="18" fillId="0" borderId="2" xfId="7" applyNumberFormat="1" applyFont="1" applyBorder="1" applyAlignment="1">
      <alignment horizontal="right"/>
    </xf>
    <xf numFmtId="3" fontId="43" fillId="0" borderId="0" xfId="7" applyNumberFormat="1" applyFont="1" applyAlignment="1">
      <alignment horizontal="right"/>
    </xf>
    <xf numFmtId="3" fontId="87" fillId="0" borderId="0" xfId="9" applyNumberFormat="1" applyFont="1"/>
    <xf numFmtId="4" fontId="12" fillId="0" borderId="0" xfId="7" applyNumberFormat="1" applyFont="1" applyAlignment="1">
      <alignment horizontal="right"/>
    </xf>
    <xf numFmtId="167" fontId="12" fillId="0" borderId="0" xfId="7" applyNumberFormat="1" applyFont="1" applyAlignment="1">
      <alignment horizontal="right"/>
    </xf>
    <xf numFmtId="4" fontId="12" fillId="0" borderId="2" xfId="7" applyNumberFormat="1" applyFont="1" applyBorder="1" applyAlignment="1">
      <alignment horizontal="right"/>
    </xf>
    <xf numFmtId="167" fontId="12" fillId="0" borderId="2" xfId="7" applyNumberFormat="1" applyFont="1" applyBorder="1" applyAlignment="1">
      <alignment horizontal="right"/>
    </xf>
    <xf numFmtId="4" fontId="18" fillId="0" borderId="0" xfId="7" applyNumberFormat="1" applyFont="1" applyAlignment="1">
      <alignment horizontal="right"/>
    </xf>
    <xf numFmtId="167" fontId="18" fillId="0" borderId="0" xfId="7" applyNumberFormat="1" applyFont="1" applyAlignment="1">
      <alignment horizontal="right"/>
    </xf>
    <xf numFmtId="4" fontId="43" fillId="0" borderId="0" xfId="7" applyNumberFormat="1" applyFont="1" applyAlignment="1">
      <alignment horizontal="right"/>
    </xf>
    <xf numFmtId="167" fontId="43" fillId="0" borderId="0" xfId="7" applyNumberFormat="1" applyFont="1" applyAlignment="1">
      <alignment horizontal="right"/>
    </xf>
    <xf numFmtId="10" fontId="43" fillId="0" borderId="0" xfId="7" applyNumberFormat="1" applyFont="1"/>
    <xf numFmtId="3" fontId="87" fillId="4" borderId="0" xfId="7" applyNumberFormat="1" applyFont="1" applyFill="1" applyAlignment="1">
      <alignment horizontal="center"/>
    </xf>
    <xf numFmtId="177" fontId="87" fillId="4" borderId="0" xfId="9" applyNumberFormat="1" applyFont="1" applyFill="1" applyAlignment="1">
      <alignment horizontal="right"/>
    </xf>
    <xf numFmtId="166" fontId="87" fillId="4" borderId="0" xfId="9" applyNumberFormat="1" applyFont="1" applyFill="1" applyAlignment="1">
      <alignment horizontal="right"/>
    </xf>
    <xf numFmtId="4" fontId="87" fillId="4" borderId="0" xfId="9" applyNumberFormat="1" applyFont="1" applyFill="1" applyAlignment="1">
      <alignment horizontal="right"/>
    </xf>
    <xf numFmtId="3" fontId="87" fillId="4" borderId="0" xfId="9" applyNumberFormat="1" applyFont="1" applyFill="1" applyAlignment="1">
      <alignment horizontal="right"/>
    </xf>
    <xf numFmtId="167" fontId="87" fillId="4" borderId="0" xfId="9" applyNumberFormat="1" applyFont="1" applyFill="1" applyAlignment="1">
      <alignment horizontal="right"/>
    </xf>
    <xf numFmtId="0" fontId="57" fillId="0" borderId="0" xfId="0" applyFont="1" applyAlignment="1">
      <alignment horizontal="center"/>
    </xf>
    <xf numFmtId="0" fontId="0" fillId="4" borderId="0" xfId="0" quotePrefix="1" applyFill="1"/>
    <xf numFmtId="165" fontId="4" fillId="0" borderId="0" xfId="0" applyNumberFormat="1" applyFont="1"/>
    <xf numFmtId="178" fontId="0" fillId="0" borderId="0" xfId="0" applyNumberFormat="1"/>
    <xf numFmtId="0" fontId="0" fillId="24" borderId="2" xfId="0" applyFill="1" applyBorder="1" applyAlignment="1">
      <alignment horizontal="center"/>
    </xf>
    <xf numFmtId="0" fontId="4" fillId="24" borderId="2" xfId="0" applyFont="1" applyFill="1" applyBorder="1" applyAlignment="1">
      <alignment horizontal="center"/>
    </xf>
    <xf numFmtId="178" fontId="4" fillId="24" borderId="0" xfId="0" applyNumberFormat="1" applyFont="1" applyFill="1"/>
    <xf numFmtId="0" fontId="0" fillId="4" borderId="2" xfId="0" applyFill="1" applyBorder="1" applyAlignment="1">
      <alignment horizontal="center"/>
    </xf>
    <xf numFmtId="2" fontId="0" fillId="4" borderId="0" xfId="0" applyNumberFormat="1" applyFill="1"/>
    <xf numFmtId="3" fontId="80" fillId="0" borderId="30" xfId="7" applyNumberFormat="1" applyFont="1" applyBorder="1"/>
    <xf numFmtId="3" fontId="80" fillId="0" borderId="32" xfId="7" applyNumberFormat="1" applyFont="1" applyBorder="1"/>
    <xf numFmtId="3" fontId="76" fillId="0" borderId="0" xfId="7" applyNumberFormat="1" applyFont="1"/>
    <xf numFmtId="3" fontId="76" fillId="0" borderId="2" xfId="7" applyNumberFormat="1" applyFont="1" applyBorder="1"/>
    <xf numFmtId="3" fontId="80" fillId="0" borderId="2" xfId="7" applyNumberFormat="1" applyFont="1" applyBorder="1"/>
    <xf numFmtId="3" fontId="80" fillId="0" borderId="0" xfId="7" applyNumberFormat="1" applyFont="1"/>
    <xf numFmtId="3" fontId="76" fillId="0" borderId="1" xfId="7" applyNumberFormat="1" applyFont="1" applyBorder="1"/>
    <xf numFmtId="3" fontId="80" fillId="0" borderId="1" xfId="7" applyNumberFormat="1" applyFont="1" applyBorder="1"/>
    <xf numFmtId="0" fontId="3" fillId="0" borderId="0" xfId="0" applyFont="1" applyAlignment="1">
      <alignment horizontal="right"/>
    </xf>
    <xf numFmtId="165" fontId="57" fillId="0" borderId="0" xfId="0" applyNumberFormat="1" applyFont="1"/>
    <xf numFmtId="179" fontId="12" fillId="0" borderId="0" xfId="10" applyNumberFormat="1" applyFont="1"/>
    <xf numFmtId="3" fontId="12" fillId="25" borderId="32" xfId="10" applyNumberFormat="1" applyFont="1" applyFill="1" applyBorder="1"/>
    <xf numFmtId="3" fontId="12" fillId="25" borderId="2" xfId="10" applyNumberFormat="1" applyFont="1" applyFill="1" applyBorder="1"/>
    <xf numFmtId="0" fontId="15" fillId="0" borderId="0" xfId="0" applyFont="1" applyAlignment="1">
      <alignment horizontal="center"/>
    </xf>
    <xf numFmtId="2" fontId="8" fillId="25" borderId="0" xfId="11" applyNumberFormat="1" applyFont="1" applyFill="1" applyAlignment="1">
      <alignment horizontal="center"/>
    </xf>
    <xf numFmtId="0" fontId="0" fillId="25" borderId="0" xfId="0" applyFill="1"/>
    <xf numFmtId="170" fontId="8" fillId="25" borderId="0" xfId="1" applyNumberFormat="1" applyFont="1" applyFill="1" applyAlignment="1">
      <alignment horizontal="center"/>
    </xf>
    <xf numFmtId="170" fontId="0" fillId="25" borderId="0" xfId="1" applyNumberFormat="1" applyFont="1" applyFill="1"/>
    <xf numFmtId="170" fontId="10" fillId="8" borderId="0" xfId="11" applyNumberFormat="1" applyFont="1" applyFill="1"/>
    <xf numFmtId="165" fontId="10" fillId="8" borderId="0" xfId="1" applyNumberFormat="1" applyFont="1" applyFill="1" applyAlignment="1">
      <alignment horizontal="center"/>
    </xf>
    <xf numFmtId="170" fontId="10" fillId="8" borderId="0" xfId="1" applyNumberFormat="1" applyFont="1" applyFill="1"/>
    <xf numFmtId="3" fontId="10" fillId="8" borderId="0" xfId="11" applyNumberFormat="1" applyFont="1" applyFill="1"/>
    <xf numFmtId="3" fontId="2" fillId="8" borderId="0" xfId="0" applyNumberFormat="1" applyFont="1" applyFill="1"/>
    <xf numFmtId="4" fontId="10" fillId="8" borderId="0" xfId="11" applyNumberFormat="1" applyFont="1" applyFill="1"/>
    <xf numFmtId="170" fontId="0" fillId="4" borderId="0" xfId="1" applyNumberFormat="1" applyFont="1" applyFill="1"/>
    <xf numFmtId="164" fontId="0" fillId="0" borderId="2" xfId="0" applyNumberFormat="1" applyBorder="1"/>
    <xf numFmtId="164" fontId="0" fillId="4" borderId="0" xfId="0" applyNumberFormat="1" applyFill="1"/>
    <xf numFmtId="0" fontId="0" fillId="14" borderId="0" xfId="0" applyFill="1"/>
    <xf numFmtId="0" fontId="0" fillId="14" borderId="0" xfId="0" applyFill="1" applyAlignment="1">
      <alignment horizontal="right"/>
    </xf>
    <xf numFmtId="164" fontId="0" fillId="14" borderId="0" xfId="0" applyNumberFormat="1" applyFill="1"/>
    <xf numFmtId="3" fontId="0" fillId="14" borderId="0" xfId="0" applyNumberFormat="1" applyFill="1"/>
    <xf numFmtId="2" fontId="0" fillId="14" borderId="0" xfId="0" applyNumberFormat="1" applyFill="1"/>
    <xf numFmtId="165" fontId="0" fillId="4" borderId="0" xfId="0" applyNumberFormat="1" applyFill="1"/>
    <xf numFmtId="0" fontId="0" fillId="0" borderId="0" xfId="0" quotePrefix="1" applyAlignment="1">
      <alignment horizontal="right"/>
    </xf>
    <xf numFmtId="0" fontId="0" fillId="3" borderId="2" xfId="0" applyFill="1" applyBorder="1"/>
    <xf numFmtId="180" fontId="0" fillId="0" borderId="21" xfId="0" applyNumberFormat="1" applyBorder="1"/>
    <xf numFmtId="180" fontId="0" fillId="4" borderId="21" xfId="0" applyNumberFormat="1" applyFill="1" applyBorder="1"/>
    <xf numFmtId="180" fontId="0" fillId="24" borderId="21" xfId="0" applyNumberFormat="1" applyFill="1" applyBorder="1"/>
    <xf numFmtId="180" fontId="0" fillId="3" borderId="2" xfId="0" applyNumberFormat="1" applyFill="1" applyBorder="1"/>
    <xf numFmtId="180" fontId="4" fillId="0" borderId="0" xfId="0" applyNumberFormat="1" applyFont="1"/>
    <xf numFmtId="180" fontId="4" fillId="4" borderId="0" xfId="0" applyNumberFormat="1" applyFont="1" applyFill="1"/>
    <xf numFmtId="180" fontId="4" fillId="24" borderId="0" xfId="0" applyNumberFormat="1" applyFont="1" applyFill="1"/>
    <xf numFmtId="180" fontId="0" fillId="0" borderId="0" xfId="0" applyNumberFormat="1"/>
    <xf numFmtId="3" fontId="0" fillId="3" borderId="0" xfId="0" applyNumberFormat="1" applyFill="1"/>
    <xf numFmtId="169" fontId="0" fillId="4" borderId="0" xfId="0" applyNumberFormat="1" applyFill="1"/>
    <xf numFmtId="3" fontId="0" fillId="4" borderId="0" xfId="0" applyNumberFormat="1" applyFill="1"/>
    <xf numFmtId="44" fontId="0" fillId="0" borderId="0" xfId="17" applyFont="1"/>
    <xf numFmtId="181" fontId="0" fillId="0" borderId="0" xfId="17" applyNumberFormat="1" applyFont="1"/>
    <xf numFmtId="0" fontId="10" fillId="0" borderId="0" xfId="10" applyFont="1" applyAlignment="1">
      <alignment horizontal="left" indent="2"/>
    </xf>
    <xf numFmtId="10" fontId="0" fillId="0" borderId="0" xfId="0" applyNumberFormat="1"/>
    <xf numFmtId="42" fontId="0" fillId="0" borderId="0" xfId="0" applyNumberFormat="1"/>
    <xf numFmtId="0" fontId="24" fillId="0" borderId="0" xfId="0" applyFont="1" applyAlignment="1">
      <alignment horizontal="right"/>
    </xf>
    <xf numFmtId="175" fontId="0" fillId="0" borderId="0" xfId="0" applyNumberFormat="1"/>
    <xf numFmtId="175" fontId="4" fillId="0" borderId="0" xfId="0" applyNumberFormat="1" applyFont="1"/>
    <xf numFmtId="175" fontId="0" fillId="0" borderId="0" xfId="0" applyNumberFormat="1" applyAlignment="1">
      <alignment horizontal="right"/>
    </xf>
    <xf numFmtId="175" fontId="24" fillId="0" borderId="0" xfId="0" applyNumberFormat="1" applyFont="1" applyAlignment="1">
      <alignment horizontal="right"/>
    </xf>
    <xf numFmtId="0" fontId="92" fillId="0" borderId="0" xfId="0" quotePrefix="1" applyFont="1" applyAlignment="1">
      <alignment horizontal="left" indent="1"/>
    </xf>
    <xf numFmtId="0" fontId="93" fillId="0" borderId="0" xfId="0" applyFont="1" applyAlignment="1">
      <alignment horizontal="right"/>
    </xf>
    <xf numFmtId="0" fontId="10" fillId="0" borderId="0" xfId="0" applyFont="1" applyAlignment="1">
      <alignment horizontal="right"/>
    </xf>
    <xf numFmtId="0" fontId="66" fillId="0" borderId="0" xfId="0" applyFont="1" applyAlignment="1">
      <alignment horizontal="right"/>
    </xf>
    <xf numFmtId="44" fontId="0" fillId="0" borderId="0" xfId="0" applyNumberFormat="1"/>
    <xf numFmtId="10" fontId="0" fillId="0" borderId="0" xfId="1" applyNumberFormat="1" applyFont="1"/>
    <xf numFmtId="181" fontId="0" fillId="0" borderId="0" xfId="0" applyNumberFormat="1"/>
    <xf numFmtId="0" fontId="0" fillId="26" borderId="0" xfId="0" applyFill="1"/>
    <xf numFmtId="39" fontId="0" fillId="0" borderId="0" xfId="0" applyNumberFormat="1"/>
    <xf numFmtId="4" fontId="0" fillId="0" borderId="0" xfId="0" applyNumberFormat="1"/>
    <xf numFmtId="171" fontId="0" fillId="0" borderId="0" xfId="0" applyNumberFormat="1"/>
    <xf numFmtId="171" fontId="4" fillId="0" borderId="0" xfId="0" applyNumberFormat="1" applyFont="1"/>
    <xf numFmtId="0" fontId="94" fillId="0" borderId="0" xfId="0" quotePrefix="1" applyFont="1" applyAlignment="1">
      <alignment horizontal="left" indent="1"/>
    </xf>
    <xf numFmtId="44" fontId="0" fillId="0" borderId="0" xfId="0" quotePrefix="1" applyNumberFormat="1"/>
    <xf numFmtId="0" fontId="24" fillId="0" borderId="0" xfId="0" quotePrefix="1" applyFont="1" applyAlignment="1">
      <alignment horizontal="right"/>
    </xf>
    <xf numFmtId="3" fontId="24" fillId="0" borderId="0" xfId="0" applyNumberFormat="1" applyFont="1"/>
    <xf numFmtId="181" fontId="95" fillId="0" borderId="0" xfId="0" applyNumberFormat="1" applyFont="1"/>
    <xf numFmtId="42" fontId="95" fillId="0" borderId="0" xfId="0" applyNumberFormat="1" applyFont="1"/>
    <xf numFmtId="181" fontId="4" fillId="0" borderId="0" xfId="0" applyNumberFormat="1" applyFont="1"/>
    <xf numFmtId="178" fontId="4" fillId="0" borderId="0" xfId="0" applyNumberFormat="1" applyFont="1"/>
    <xf numFmtId="5" fontId="0" fillId="0" borderId="0" xfId="0" applyNumberFormat="1"/>
    <xf numFmtId="37" fontId="0" fillId="0" borderId="0" xfId="17" applyNumberFormat="1" applyFont="1"/>
    <xf numFmtId="166" fontId="0" fillId="0" borderId="0" xfId="0" applyNumberFormat="1"/>
    <xf numFmtId="42" fontId="4" fillId="0" borderId="0" xfId="0" applyNumberFormat="1" applyFont="1"/>
    <xf numFmtId="181" fontId="4" fillId="0" borderId="0" xfId="0" quotePrefix="1" applyNumberFormat="1" applyFont="1"/>
    <xf numFmtId="3" fontId="0" fillId="0" borderId="21" xfId="0" applyNumberFormat="1" applyBorder="1"/>
    <xf numFmtId="0" fontId="8" fillId="0" borderId="0" xfId="10" applyFont="1"/>
    <xf numFmtId="9" fontId="0" fillId="0" borderId="0" xfId="0" quotePrefix="1" applyNumberFormat="1" applyAlignment="1">
      <alignment horizontal="left"/>
    </xf>
    <xf numFmtId="42" fontId="4" fillId="0" borderId="0" xfId="0" applyNumberFormat="1" applyFont="1" applyAlignment="1">
      <alignment horizontal="center"/>
    </xf>
    <xf numFmtId="42" fontId="0" fillId="0" borderId="0" xfId="0" applyNumberFormat="1" applyAlignment="1">
      <alignment horizontal="right"/>
    </xf>
    <xf numFmtId="165" fontId="0" fillId="0" borderId="0" xfId="0" applyNumberFormat="1" applyAlignment="1">
      <alignment horizontal="right"/>
    </xf>
    <xf numFmtId="0" fontId="0" fillId="0" borderId="2" xfId="0" applyBorder="1" applyAlignment="1">
      <alignment horizontal="right"/>
    </xf>
    <xf numFmtId="0" fontId="24" fillId="0" borderId="0" xfId="0" quotePrefix="1" applyFont="1"/>
    <xf numFmtId="175" fontId="0" fillId="0" borderId="2" xfId="0" applyNumberFormat="1" applyBorder="1"/>
    <xf numFmtId="42" fontId="0" fillId="0" borderId="2" xfId="0" applyNumberFormat="1" applyBorder="1"/>
    <xf numFmtId="4" fontId="0" fillId="0" borderId="2" xfId="0" applyNumberFormat="1" applyBorder="1"/>
    <xf numFmtId="0" fontId="0" fillId="0" borderId="2" xfId="0" quotePrefix="1" applyBorder="1"/>
    <xf numFmtId="44" fontId="0" fillId="0" borderId="2" xfId="0" applyNumberFormat="1" applyBorder="1"/>
    <xf numFmtId="2" fontId="0" fillId="0" borderId="0" xfId="0" applyNumberFormat="1" applyAlignment="1">
      <alignment horizontal="right"/>
    </xf>
    <xf numFmtId="165" fontId="24" fillId="0" borderId="0" xfId="0" applyNumberFormat="1" applyFont="1" applyAlignment="1">
      <alignment horizontal="right"/>
    </xf>
    <xf numFmtId="2" fontId="10" fillId="0" borderId="0" xfId="0" applyNumberFormat="1" applyFont="1"/>
    <xf numFmtId="6" fontId="0" fillId="0" borderId="0" xfId="0" applyNumberFormat="1" applyAlignment="1">
      <alignment horizontal="right"/>
    </xf>
    <xf numFmtId="5" fontId="4" fillId="0" borderId="0" xfId="0" applyNumberFormat="1" applyFont="1"/>
    <xf numFmtId="42" fontId="4" fillId="0" borderId="0" xfId="0" applyNumberFormat="1" applyFont="1" applyAlignment="1">
      <alignment horizontal="right"/>
    </xf>
    <xf numFmtId="176" fontId="0" fillId="0" borderId="0" xfId="0" quotePrefix="1" applyNumberFormat="1"/>
    <xf numFmtId="176" fontId="3" fillId="0" borderId="0" xfId="0" applyNumberFormat="1" applyFont="1"/>
    <xf numFmtId="0" fontId="57" fillId="0" borderId="0" xfId="0" quotePrefix="1" applyFont="1"/>
    <xf numFmtId="0" fontId="94" fillId="0" borderId="0" xfId="0" applyFont="1"/>
    <xf numFmtId="167" fontId="8" fillId="0" borderId="0" xfId="0" applyNumberFormat="1" applyFont="1"/>
    <xf numFmtId="4" fontId="8" fillId="0" borderId="0" xfId="0" applyNumberFormat="1" applyFont="1"/>
    <xf numFmtId="3" fontId="8" fillId="0" borderId="0" xfId="0" applyNumberFormat="1" applyFont="1"/>
    <xf numFmtId="0" fontId="96" fillId="0" borderId="0" xfId="0" applyFont="1"/>
    <xf numFmtId="0" fontId="96" fillId="0" borderId="0" xfId="0" quotePrefix="1" applyFont="1"/>
    <xf numFmtId="6" fontId="0" fillId="0" borderId="0" xfId="0" applyNumberFormat="1"/>
    <xf numFmtId="0" fontId="69" fillId="0" borderId="0" xfId="0" applyFont="1"/>
    <xf numFmtId="0" fontId="15" fillId="0" borderId="37" xfId="0" applyFont="1" applyBorder="1"/>
    <xf numFmtId="0" fontId="15" fillId="0" borderId="38" xfId="0" applyFont="1" applyBorder="1"/>
    <xf numFmtId="0" fontId="9" fillId="0" borderId="0" xfId="0" applyFont="1" applyAlignment="1">
      <alignment horizontal="center"/>
    </xf>
    <xf numFmtId="0" fontId="8" fillId="0" borderId="0" xfId="0" applyFont="1" applyAlignment="1">
      <alignment horizontal="center"/>
    </xf>
    <xf numFmtId="182" fontId="0" fillId="0" borderId="0" xfId="0" applyNumberFormat="1"/>
    <xf numFmtId="182" fontId="0" fillId="0" borderId="2" xfId="0" applyNumberFormat="1" applyBorder="1"/>
    <xf numFmtId="170" fontId="4" fillId="0" borderId="0" xfId="0" applyNumberFormat="1" applyFont="1"/>
    <xf numFmtId="9" fontId="0" fillId="0" borderId="0" xfId="0" applyNumberFormat="1" applyAlignment="1">
      <alignment horizontal="right"/>
    </xf>
    <xf numFmtId="2" fontId="4" fillId="2" borderId="0" xfId="0" applyNumberFormat="1" applyFont="1" applyFill="1" applyAlignment="1">
      <alignment horizontal="center"/>
    </xf>
    <xf numFmtId="171" fontId="4" fillId="2" borderId="0" xfId="0" applyNumberFormat="1" applyFont="1" applyFill="1" applyAlignment="1">
      <alignment horizontal="center"/>
    </xf>
    <xf numFmtId="170" fontId="0" fillId="4" borderId="0" xfId="0" applyNumberFormat="1" applyFill="1" applyAlignment="1">
      <alignment horizontal="center"/>
    </xf>
    <xf numFmtId="183" fontId="0" fillId="0" borderId="0" xfId="0" applyNumberFormat="1"/>
    <xf numFmtId="0" fontId="0" fillId="3" borderId="0" xfId="0" applyFill="1"/>
    <xf numFmtId="3" fontId="0" fillId="3" borderId="2" xfId="0" applyNumberFormat="1" applyFill="1" applyBorder="1" applyAlignment="1">
      <alignment horizontal="right"/>
    </xf>
    <xf numFmtId="183" fontId="0" fillId="0" borderId="2" xfId="0" applyNumberFormat="1" applyBorder="1"/>
    <xf numFmtId="178" fontId="4" fillId="4" borderId="0" xfId="0" applyNumberFormat="1" applyFont="1" applyFill="1"/>
    <xf numFmtId="0" fontId="0" fillId="2" borderId="2" xfId="0" applyFill="1" applyBorder="1"/>
    <xf numFmtId="170" fontId="4" fillId="2" borderId="0" xfId="0" applyNumberFormat="1" applyFont="1" applyFill="1" applyAlignment="1">
      <alignment horizontal="center"/>
    </xf>
    <xf numFmtId="0" fontId="0" fillId="0" borderId="2" xfId="0" quotePrefix="1" applyBorder="1" applyAlignment="1">
      <alignment horizontal="right"/>
    </xf>
    <xf numFmtId="0" fontId="0" fillId="0" borderId="2" xfId="0" quotePrefix="1" applyBorder="1" applyAlignment="1">
      <alignment horizontal="left"/>
    </xf>
    <xf numFmtId="8" fontId="0" fillId="0" borderId="0" xfId="0" applyNumberFormat="1"/>
    <xf numFmtId="171" fontId="0" fillId="0" borderId="2" xfId="0" applyNumberFormat="1" applyBorder="1"/>
    <xf numFmtId="166" fontId="0" fillId="0" borderId="2" xfId="0" applyNumberFormat="1" applyBorder="1"/>
    <xf numFmtId="6" fontId="0" fillId="3" borderId="2" xfId="0" applyNumberFormat="1" applyFill="1" applyBorder="1"/>
    <xf numFmtId="8" fontId="0" fillId="3" borderId="2" xfId="0" applyNumberFormat="1" applyFill="1" applyBorder="1"/>
    <xf numFmtId="4" fontId="4" fillId="0" borderId="0" xfId="0" applyNumberFormat="1" applyFont="1"/>
    <xf numFmtId="175" fontId="4" fillId="4" borderId="0" xfId="0" applyNumberFormat="1" applyFont="1" applyFill="1"/>
    <xf numFmtId="178" fontId="8" fillId="0" borderId="0" xfId="0" applyNumberFormat="1" applyFont="1"/>
    <xf numFmtId="0" fontId="4" fillId="0" borderId="0" xfId="0" quotePrefix="1" applyFont="1"/>
    <xf numFmtId="0" fontId="7" fillId="0" borderId="0" xfId="11" applyFont="1"/>
    <xf numFmtId="0" fontId="8" fillId="0" borderId="0" xfId="11" applyFont="1" applyAlignment="1">
      <alignment horizontal="center"/>
    </xf>
    <xf numFmtId="0" fontId="7" fillId="0" borderId="0" xfId="11" applyFont="1" applyAlignment="1">
      <alignment horizontal="center"/>
    </xf>
    <xf numFmtId="0" fontId="97" fillId="0" borderId="0" xfId="11" applyFont="1" applyAlignment="1">
      <alignment horizontal="center"/>
    </xf>
    <xf numFmtId="3" fontId="4" fillId="4" borderId="0" xfId="0" applyNumberFormat="1" applyFont="1" applyFill="1"/>
    <xf numFmtId="3" fontId="43" fillId="4" borderId="0" xfId="0" applyNumberFormat="1" applyFont="1" applyFill="1"/>
    <xf numFmtId="0" fontId="4" fillId="8" borderId="1" xfId="0" applyFont="1" applyFill="1" applyBorder="1" applyAlignment="1">
      <alignment horizontal="center"/>
    </xf>
    <xf numFmtId="0" fontId="0" fillId="3" borderId="1" xfId="0" applyFill="1" applyBorder="1" applyAlignment="1">
      <alignment horizontal="center"/>
    </xf>
    <xf numFmtId="0" fontId="0" fillId="27" borderId="1" xfId="0" applyFill="1" applyBorder="1" applyAlignment="1">
      <alignment horizontal="center"/>
    </xf>
    <xf numFmtId="0" fontId="0" fillId="18" borderId="1" xfId="0" applyFill="1" applyBorder="1" applyAlignment="1">
      <alignment horizontal="center"/>
    </xf>
    <xf numFmtId="0" fontId="10" fillId="0" borderId="1" xfId="0" applyFont="1" applyBorder="1" applyAlignment="1">
      <alignment horizontal="center"/>
    </xf>
    <xf numFmtId="0" fontId="44" fillId="0" borderId="1" xfId="0" applyFont="1" applyBorder="1" applyAlignment="1">
      <alignment horizontal="center"/>
    </xf>
    <xf numFmtId="1" fontId="0" fillId="0" borderId="0" xfId="0" applyNumberFormat="1" applyAlignment="1">
      <alignment horizontal="center"/>
    </xf>
    <xf numFmtId="0" fontId="10" fillId="8" borderId="0" xfId="11" applyFont="1" applyFill="1" applyAlignment="1">
      <alignment horizontal="center"/>
    </xf>
    <xf numFmtId="3" fontId="0" fillId="27" borderId="0" xfId="0" applyNumberFormat="1" applyFill="1"/>
    <xf numFmtId="1" fontId="10" fillId="0" borderId="0" xfId="0" applyNumberFormat="1" applyFont="1"/>
    <xf numFmtId="1" fontId="10" fillId="18" borderId="0" xfId="0" applyNumberFormat="1" applyFont="1" applyFill="1"/>
    <xf numFmtId="164" fontId="10" fillId="14" borderId="0" xfId="0" applyNumberFormat="1" applyFont="1" applyFill="1"/>
    <xf numFmtId="164" fontId="44" fillId="14" borderId="0" xfId="0" applyNumberFormat="1" applyFont="1" applyFill="1"/>
    <xf numFmtId="164" fontId="10" fillId="3" borderId="0" xfId="0" applyNumberFormat="1" applyFont="1" applyFill="1"/>
    <xf numFmtId="164" fontId="44" fillId="3" borderId="0" xfId="0" applyNumberFormat="1" applyFont="1" applyFill="1"/>
    <xf numFmtId="3" fontId="3" fillId="24" borderId="0" xfId="0" applyNumberFormat="1" applyFont="1" applyFill="1"/>
    <xf numFmtId="1" fontId="0" fillId="0" borderId="2" xfId="0" applyNumberFormat="1" applyBorder="1" applyAlignment="1">
      <alignment horizontal="center"/>
    </xf>
    <xf numFmtId="0" fontId="10" fillId="8" borderId="2" xfId="11" applyFont="1" applyFill="1" applyBorder="1" applyAlignment="1">
      <alignment horizontal="center"/>
    </xf>
    <xf numFmtId="3" fontId="0" fillId="3" borderId="2" xfId="0" applyNumberFormat="1" applyFill="1" applyBorder="1"/>
    <xf numFmtId="3" fontId="0" fillId="27" borderId="2" xfId="0" applyNumberFormat="1" applyFill="1" applyBorder="1"/>
    <xf numFmtId="1" fontId="10" fillId="0" borderId="2" xfId="0" applyNumberFormat="1" applyFont="1" applyBorder="1"/>
    <xf numFmtId="1" fontId="10" fillId="18" borderId="2" xfId="0" applyNumberFormat="1" applyFont="1" applyFill="1" applyBorder="1"/>
    <xf numFmtId="164" fontId="10" fillId="14" borderId="2" xfId="0" applyNumberFormat="1" applyFont="1" applyFill="1" applyBorder="1"/>
    <xf numFmtId="164" fontId="44" fillId="14" borderId="2" xfId="0" applyNumberFormat="1" applyFont="1" applyFill="1" applyBorder="1"/>
    <xf numFmtId="164" fontId="10" fillId="3" borderId="2" xfId="0" applyNumberFormat="1" applyFont="1" applyFill="1" applyBorder="1"/>
    <xf numFmtId="164" fontId="44" fillId="3" borderId="2" xfId="0" applyNumberFormat="1" applyFont="1" applyFill="1" applyBorder="1"/>
    <xf numFmtId="3" fontId="4" fillId="3" borderId="0" xfId="0" applyNumberFormat="1" applyFont="1" applyFill="1"/>
    <xf numFmtId="3" fontId="4" fillId="27" borderId="0" xfId="0" applyNumberFormat="1" applyFont="1" applyFill="1"/>
    <xf numFmtId="3" fontId="4" fillId="18" borderId="0" xfId="0" applyNumberFormat="1" applyFont="1" applyFill="1"/>
    <xf numFmtId="1" fontId="10" fillId="0" borderId="0" xfId="11" applyNumberFormat="1" applyFont="1"/>
    <xf numFmtId="165" fontId="81" fillId="0" borderId="0" xfId="11" applyNumberFormat="1" applyFont="1"/>
    <xf numFmtId="0" fontId="35" fillId="0" borderId="0" xfId="11" applyFont="1" applyAlignment="1">
      <alignment horizontal="right"/>
    </xf>
    <xf numFmtId="3" fontId="4" fillId="19" borderId="0" xfId="0" applyNumberFormat="1" applyFont="1" applyFill="1"/>
    <xf numFmtId="6" fontId="0" fillId="0" borderId="2" xfId="0" applyNumberFormat="1" applyBorder="1"/>
    <xf numFmtId="184" fontId="0" fillId="0" borderId="0" xfId="0" applyNumberFormat="1"/>
    <xf numFmtId="0" fontId="63" fillId="0" borderId="0" xfId="0" applyFont="1" applyAlignment="1">
      <alignment horizontal="left"/>
    </xf>
    <xf numFmtId="10" fontId="0" fillId="0" borderId="0" xfId="0" applyNumberFormat="1" applyAlignment="1">
      <alignment horizontal="right"/>
    </xf>
    <xf numFmtId="9" fontId="0" fillId="2" borderId="0" xfId="0" applyNumberFormat="1" applyFill="1"/>
    <xf numFmtId="3" fontId="0" fillId="0" borderId="0" xfId="0" applyNumberFormat="1" applyAlignment="1">
      <alignment vertical="center"/>
    </xf>
    <xf numFmtId="170" fontId="0" fillId="4" borderId="0" xfId="0" applyNumberFormat="1" applyFill="1"/>
    <xf numFmtId="0" fontId="0" fillId="0" borderId="2" xfId="0" quotePrefix="1" applyBorder="1" applyAlignment="1">
      <alignment horizontal="center"/>
    </xf>
    <xf numFmtId="165" fontId="0" fillId="0" borderId="2" xfId="0" applyNumberFormat="1" applyBorder="1" applyAlignment="1">
      <alignment horizontal="right"/>
    </xf>
    <xf numFmtId="0" fontId="25" fillId="0" borderId="0" xfId="18"/>
    <xf numFmtId="9" fontId="8" fillId="0" borderId="0" xfId="1" applyFont="1" applyAlignment="1">
      <alignment horizontal="center"/>
    </xf>
    <xf numFmtId="169" fontId="0" fillId="3" borderId="0" xfId="0" applyNumberFormat="1" applyFill="1"/>
    <xf numFmtId="9" fontId="0" fillId="4" borderId="0" xfId="1" applyFont="1" applyFill="1"/>
    <xf numFmtId="2" fontId="0" fillId="4" borderId="2" xfId="0" applyNumberFormat="1" applyFill="1" applyBorder="1"/>
    <xf numFmtId="9" fontId="4" fillId="4" borderId="0" xfId="0" applyNumberFormat="1" applyFont="1" applyFill="1" applyAlignment="1">
      <alignment horizontal="center"/>
    </xf>
    <xf numFmtId="185" fontId="0" fillId="0" borderId="0" xfId="0" applyNumberFormat="1"/>
    <xf numFmtId="0" fontId="10" fillId="0" borderId="2" xfId="0" applyFont="1" applyBorder="1" applyAlignment="1">
      <alignment horizontal="right"/>
    </xf>
    <xf numFmtId="175" fontId="0" fillId="0" borderId="2" xfId="0" applyNumberFormat="1" applyBorder="1" applyAlignment="1">
      <alignment horizontal="right"/>
    </xf>
    <xf numFmtId="0" fontId="10" fillId="0" borderId="2" xfId="0" applyFont="1" applyBorder="1" applyAlignment="1">
      <alignment horizontal="center"/>
    </xf>
    <xf numFmtId="0" fontId="10" fillId="0" borderId="0" xfId="0" quotePrefix="1" applyFont="1"/>
    <xf numFmtId="186" fontId="4" fillId="0" borderId="0" xfId="0" applyNumberFormat="1" applyFont="1"/>
    <xf numFmtId="0" fontId="10" fillId="0" borderId="2" xfId="10" applyFont="1" applyBorder="1"/>
    <xf numFmtId="0" fontId="2" fillId="0" borderId="2" xfId="0" applyFont="1" applyBorder="1"/>
    <xf numFmtId="170" fontId="2" fillId="0" borderId="2" xfId="1" applyNumberFormat="1" applyBorder="1"/>
    <xf numFmtId="164" fontId="2" fillId="0" borderId="2" xfId="0" applyNumberFormat="1" applyFont="1" applyBorder="1"/>
    <xf numFmtId="3" fontId="4" fillId="2" borderId="0" xfId="0" applyNumberFormat="1" applyFont="1" applyFill="1" applyAlignment="1">
      <alignment horizontal="center"/>
    </xf>
    <xf numFmtId="10" fontId="87" fillId="28" borderId="0" xfId="9" applyNumberFormat="1" applyFont="1" applyFill="1"/>
    <xf numFmtId="170" fontId="0" fillId="0" borderId="0" xfId="1" quotePrefix="1" applyNumberFormat="1" applyFont="1"/>
    <xf numFmtId="170" fontId="10" fillId="0" borderId="0" xfId="0" quotePrefix="1" applyNumberFormat="1" applyFont="1"/>
    <xf numFmtId="170" fontId="10" fillId="0" borderId="2" xfId="0" quotePrefix="1" applyNumberFormat="1" applyFont="1" applyBorder="1"/>
    <xf numFmtId="3" fontId="0" fillId="0" borderId="0" xfId="0" applyNumberFormat="1" applyAlignment="1">
      <alignment horizontal="right"/>
    </xf>
    <xf numFmtId="2" fontId="4" fillId="0" borderId="0" xfId="0" applyNumberFormat="1" applyFont="1"/>
    <xf numFmtId="3" fontId="57" fillId="0" borderId="0" xfId="0" applyNumberFormat="1" applyFont="1" applyAlignment="1">
      <alignment horizontal="center"/>
    </xf>
    <xf numFmtId="0" fontId="10" fillId="23" borderId="0" xfId="10" applyFont="1" applyFill="1"/>
    <xf numFmtId="165" fontId="0" fillId="23" borderId="0" xfId="0" applyNumberFormat="1" applyFill="1"/>
    <xf numFmtId="165" fontId="4" fillId="23" borderId="0" xfId="0" applyNumberFormat="1" applyFont="1" applyFill="1"/>
    <xf numFmtId="3" fontId="0" fillId="23" borderId="0" xfId="0" applyNumberFormat="1" applyFill="1"/>
    <xf numFmtId="170" fontId="0" fillId="23" borderId="0" xfId="1" applyNumberFormat="1" applyFont="1" applyFill="1"/>
    <xf numFmtId="164" fontId="0" fillId="23" borderId="0" xfId="0" applyNumberFormat="1" applyFill="1"/>
    <xf numFmtId="165" fontId="4" fillId="0" borderId="0" xfId="0" applyNumberFormat="1" applyFont="1" applyAlignment="1">
      <alignment horizontal="center"/>
    </xf>
    <xf numFmtId="165" fontId="4" fillId="14" borderId="0" xfId="0" applyNumberFormat="1" applyFont="1" applyFill="1" applyAlignment="1">
      <alignment horizontal="center"/>
    </xf>
    <xf numFmtId="1" fontId="0" fillId="14" borderId="0" xfId="0" applyNumberFormat="1" applyFill="1"/>
    <xf numFmtId="170" fontId="0" fillId="14" borderId="0" xfId="1" applyNumberFormat="1" applyFont="1" applyFill="1"/>
    <xf numFmtId="0" fontId="0" fillId="4" borderId="0" xfId="0" applyFill="1" applyAlignment="1">
      <alignment horizontal="right"/>
    </xf>
    <xf numFmtId="9" fontId="0" fillId="4" borderId="0" xfId="0" applyNumberFormat="1" applyFill="1"/>
    <xf numFmtId="176" fontId="0" fillId="4" borderId="0" xfId="0" applyNumberFormat="1" applyFill="1"/>
    <xf numFmtId="0" fontId="0" fillId="0" borderId="0" xfId="0" applyAlignment="1">
      <alignment wrapText="1"/>
    </xf>
    <xf numFmtId="0" fontId="4" fillId="0" borderId="0" xfId="0" applyFont="1" applyAlignment="1">
      <alignment horizontal="center" vertical="top" wrapText="1"/>
    </xf>
    <xf numFmtId="0" fontId="0" fillId="0" borderId="0" xfId="0" quotePrefix="1" applyAlignment="1">
      <alignment horizontal="right" indent="1"/>
    </xf>
    <xf numFmtId="3" fontId="0" fillId="15" borderId="0" xfId="0" applyNumberFormat="1" applyFill="1"/>
    <xf numFmtId="0" fontId="0" fillId="15" borderId="0" xfId="0" applyFill="1"/>
    <xf numFmtId="169" fontId="4" fillId="14" borderId="0" xfId="0" applyNumberFormat="1" applyFont="1" applyFill="1"/>
    <xf numFmtId="182" fontId="4" fillId="14" borderId="0" xfId="0" applyNumberFormat="1" applyFont="1" applyFill="1"/>
    <xf numFmtId="9" fontId="0" fillId="4" borderId="0" xfId="0" applyNumberFormat="1" applyFill="1" applyAlignment="1">
      <alignment horizontal="center"/>
    </xf>
    <xf numFmtId="165" fontId="4" fillId="2" borderId="0" xfId="0" applyNumberFormat="1" applyFont="1" applyFill="1" applyAlignment="1">
      <alignment horizontal="center"/>
    </xf>
    <xf numFmtId="171" fontId="0" fillId="4" borderId="0" xfId="0" applyNumberFormat="1" applyFill="1" applyAlignment="1">
      <alignment horizontal="center"/>
    </xf>
    <xf numFmtId="0" fontId="4" fillId="0" borderId="0" xfId="0" applyFont="1" applyAlignment="1">
      <alignment horizontal="center" wrapText="1"/>
    </xf>
    <xf numFmtId="0" fontId="44" fillId="0" borderId="0" xfId="0" applyFont="1" applyAlignment="1">
      <alignment horizontal="center" vertical="top" wrapText="1"/>
    </xf>
    <xf numFmtId="171" fontId="44" fillId="0" borderId="0" xfId="0" applyNumberFormat="1" applyFont="1" applyAlignment="1">
      <alignment horizontal="center"/>
    </xf>
    <xf numFmtId="171" fontId="43" fillId="4" borderId="0" xfId="0" applyNumberFormat="1" applyFont="1" applyFill="1" applyAlignment="1">
      <alignment horizontal="center"/>
    </xf>
    <xf numFmtId="171" fontId="4" fillId="0" borderId="0" xfId="0" applyNumberFormat="1" applyFont="1" applyAlignment="1">
      <alignment horizontal="center"/>
    </xf>
    <xf numFmtId="8" fontId="12" fillId="23" borderId="0" xfId="7" applyNumberFormat="1" applyFont="1" applyFill="1" applyAlignment="1">
      <alignment horizontal="center"/>
    </xf>
    <xf numFmtId="0" fontId="12" fillId="23" borderId="0" xfId="7" applyFont="1" applyFill="1"/>
    <xf numFmtId="171" fontId="60" fillId="23" borderId="0" xfId="0" applyNumberFormat="1" applyFont="1" applyFill="1" applyAlignment="1">
      <alignment horizontal="center"/>
    </xf>
    <xf numFmtId="171" fontId="98" fillId="4" borderId="0" xfId="0" applyNumberFormat="1" applyFont="1" applyFill="1" applyAlignment="1">
      <alignment horizontal="center"/>
    </xf>
    <xf numFmtId="0" fontId="99" fillId="0" borderId="0" xfId="0" applyFont="1" applyAlignment="1">
      <alignment wrapText="1"/>
    </xf>
    <xf numFmtId="0" fontId="26" fillId="0" borderId="0" xfId="0" applyFont="1" applyAlignment="1">
      <alignment wrapText="1"/>
    </xf>
    <xf numFmtId="0" fontId="26" fillId="0" borderId="1" xfId="0" applyFont="1" applyBorder="1" applyAlignment="1">
      <alignment wrapText="1"/>
    </xf>
    <xf numFmtId="171" fontId="4" fillId="4" borderId="0" xfId="0" applyNumberFormat="1" applyFont="1" applyFill="1" applyAlignment="1">
      <alignment horizontal="center"/>
    </xf>
    <xf numFmtId="180" fontId="0" fillId="4" borderId="0" xfId="0" applyNumberFormat="1" applyFill="1"/>
    <xf numFmtId="180" fontId="0" fillId="14" borderId="0" xfId="0" applyNumberFormat="1" applyFill="1"/>
    <xf numFmtId="0" fontId="10" fillId="0" borderId="0" xfId="10" applyFont="1" applyAlignment="1">
      <alignment vertical="center"/>
    </xf>
    <xf numFmtId="167" fontId="0" fillId="0" borderId="0" xfId="0" applyNumberFormat="1" applyAlignment="1">
      <alignment vertical="center"/>
    </xf>
    <xf numFmtId="44" fontId="0" fillId="0" borderId="0" xfId="0" applyNumberFormat="1" applyAlignment="1">
      <alignment vertical="center"/>
    </xf>
    <xf numFmtId="164" fontId="0" fillId="0" borderId="0" xfId="0" quotePrefix="1" applyNumberFormat="1" applyAlignment="1">
      <alignment vertical="center"/>
    </xf>
    <xf numFmtId="42" fontId="0" fillId="0" borderId="0" xfId="0" applyNumberFormat="1" applyAlignment="1">
      <alignment vertical="center"/>
    </xf>
    <xf numFmtId="3" fontId="0" fillId="0" borderId="0" xfId="0" quotePrefix="1" applyNumberFormat="1" applyAlignment="1">
      <alignment vertical="center"/>
    </xf>
    <xf numFmtId="164" fontId="0" fillId="0" borderId="0" xfId="0" applyNumberFormat="1" applyAlignment="1">
      <alignment vertical="center"/>
    </xf>
    <xf numFmtId="9" fontId="0" fillId="0" borderId="0" xfId="0" applyNumberFormat="1" applyAlignment="1">
      <alignment horizontal="center" vertical="center"/>
    </xf>
    <xf numFmtId="3" fontId="24" fillId="0" borderId="0" xfId="0" applyNumberFormat="1" applyFont="1" applyAlignment="1">
      <alignment vertical="center"/>
    </xf>
    <xf numFmtId="181" fontId="95" fillId="0" borderId="0" xfId="0" applyNumberFormat="1" applyFont="1" applyAlignment="1">
      <alignment vertical="center"/>
    </xf>
    <xf numFmtId="42" fontId="4" fillId="0" borderId="0" xfId="0" applyNumberFormat="1" applyFont="1" applyAlignment="1">
      <alignment vertical="center"/>
    </xf>
    <xf numFmtId="9" fontId="0" fillId="0" borderId="0" xfId="0" quotePrefix="1" applyNumberFormat="1" applyAlignment="1">
      <alignment horizontal="left" vertical="center"/>
    </xf>
    <xf numFmtId="42" fontId="4" fillId="0" borderId="0" xfId="0" applyNumberFormat="1" applyFont="1" applyAlignment="1">
      <alignment horizontal="center" vertical="center"/>
    </xf>
    <xf numFmtId="0" fontId="10" fillId="0" borderId="2" xfId="10" applyFont="1" applyBorder="1" applyAlignment="1">
      <alignment vertical="center"/>
    </xf>
    <xf numFmtId="3" fontId="0" fillId="0" borderId="2" xfId="0" applyNumberFormat="1" applyBorder="1" applyAlignment="1">
      <alignment vertical="center"/>
    </xf>
    <xf numFmtId="9" fontId="0" fillId="0" borderId="2" xfId="0" applyNumberFormat="1" applyBorder="1" applyAlignment="1">
      <alignment horizontal="center" vertical="center"/>
    </xf>
    <xf numFmtId="0" fontId="0" fillId="0" borderId="2" xfId="0" applyBorder="1" applyAlignment="1">
      <alignment vertical="center"/>
    </xf>
    <xf numFmtId="164" fontId="0" fillId="0" borderId="2" xfId="0" applyNumberFormat="1" applyBorder="1" applyAlignment="1">
      <alignment vertical="center"/>
    </xf>
    <xf numFmtId="0" fontId="4" fillId="0" borderId="0" xfId="0" applyFont="1" applyAlignment="1">
      <alignment vertical="center"/>
    </xf>
    <xf numFmtId="42" fontId="0" fillId="0" borderId="0" xfId="0" quotePrefix="1" applyNumberFormat="1" applyAlignment="1">
      <alignment vertical="center"/>
    </xf>
    <xf numFmtId="42" fontId="0" fillId="0" borderId="2" xfId="0" quotePrefix="1" applyNumberFormat="1" applyBorder="1" applyAlignment="1">
      <alignment vertical="center"/>
    </xf>
    <xf numFmtId="181" fontId="0" fillId="0" borderId="0" xfId="0" applyNumberFormat="1" applyAlignment="1">
      <alignment vertical="center"/>
    </xf>
    <xf numFmtId="181" fontId="0" fillId="0" borderId="2" xfId="0" applyNumberFormat="1" applyBorder="1" applyAlignment="1">
      <alignment vertical="center"/>
    </xf>
    <xf numFmtId="181" fontId="4" fillId="0" borderId="0" xfId="0" applyNumberFormat="1" applyFont="1" applyAlignment="1">
      <alignment vertical="center"/>
    </xf>
    <xf numFmtId="185" fontId="4" fillId="4" borderId="0" xfId="0" applyNumberFormat="1" applyFont="1" applyFill="1"/>
    <xf numFmtId="185" fontId="4" fillId="24" borderId="0" xfId="0" applyNumberFormat="1" applyFont="1" applyFill="1"/>
    <xf numFmtId="2" fontId="0" fillId="0" borderId="21" xfId="0" applyNumberFormat="1" applyBorder="1"/>
    <xf numFmtId="2" fontId="0" fillId="4" borderId="21" xfId="0" applyNumberFormat="1" applyFill="1" applyBorder="1"/>
    <xf numFmtId="2" fontId="0" fillId="24" borderId="21" xfId="0" applyNumberFormat="1" applyFill="1" applyBorder="1"/>
    <xf numFmtId="2" fontId="0" fillId="24" borderId="0" xfId="0" applyNumberFormat="1" applyFill="1"/>
    <xf numFmtId="2" fontId="0" fillId="24" borderId="2" xfId="0" applyNumberFormat="1" applyFill="1" applyBorder="1"/>
    <xf numFmtId="2" fontId="4" fillId="4" borderId="0" xfId="0" applyNumberFormat="1" applyFont="1" applyFill="1"/>
    <xf numFmtId="2" fontId="4" fillId="24" borderId="0" xfId="0" applyNumberFormat="1" applyFont="1" applyFill="1"/>
    <xf numFmtId="187" fontId="0" fillId="0" borderId="0" xfId="1" applyNumberFormat="1" applyFont="1"/>
    <xf numFmtId="187" fontId="0" fillId="0" borderId="2" xfId="1" applyNumberFormat="1" applyFont="1" applyBorder="1"/>
    <xf numFmtId="187" fontId="4" fillId="0" borderId="0" xfId="1" applyNumberFormat="1" applyFont="1"/>
    <xf numFmtId="0" fontId="57" fillId="0" borderId="0" xfId="0" applyFont="1" applyFill="1"/>
    <xf numFmtId="0" fontId="0" fillId="0" borderId="0" xfId="0" applyFill="1"/>
    <xf numFmtId="0" fontId="0" fillId="0" borderId="0" xfId="0" quotePrefix="1" applyFill="1"/>
    <xf numFmtId="0" fontId="0" fillId="0" borderId="0" xfId="0" applyAlignment="1">
      <alignment horizontal="center"/>
    </xf>
    <xf numFmtId="0" fontId="10" fillId="0" borderId="0" xfId="0" applyFont="1" applyAlignment="1">
      <alignment horizontal="center"/>
    </xf>
    <xf numFmtId="0" fontId="4" fillId="0" borderId="0" xfId="0" applyFont="1" applyAlignment="1">
      <alignment horizontal="center"/>
    </xf>
    <xf numFmtId="0" fontId="0" fillId="0" borderId="0" xfId="0" applyAlignment="1">
      <alignment horizontal="left"/>
    </xf>
    <xf numFmtId="0" fontId="21" fillId="0" borderId="0" xfId="0" applyFont="1" applyAlignment="1">
      <alignment horizontal="center"/>
    </xf>
    <xf numFmtId="0" fontId="0" fillId="0" borderId="0" xfId="0" applyAlignment="1">
      <alignment vertical="top" wrapText="1"/>
    </xf>
    <xf numFmtId="0" fontId="0" fillId="0" borderId="0" xfId="0" applyAlignment="1">
      <alignment horizontal="left" vertical="center"/>
    </xf>
    <xf numFmtId="0" fontId="0" fillId="0" borderId="0" xfId="0" applyAlignment="1">
      <alignment horizontal="left" vertical="center" wrapText="1"/>
    </xf>
    <xf numFmtId="165" fontId="0" fillId="0" borderId="2" xfId="0" quotePrefix="1" applyNumberFormat="1" applyBorder="1"/>
    <xf numFmtId="0" fontId="69" fillId="0" borderId="0" xfId="0" applyFont="1" applyAlignment="1">
      <alignment horizontal="center"/>
    </xf>
    <xf numFmtId="0" fontId="26" fillId="0" borderId="0" xfId="0" applyFont="1" applyAlignment="1">
      <alignment horizontal="left" wrapText="1"/>
    </xf>
    <xf numFmtId="0" fontId="57" fillId="0" borderId="0" xfId="0" applyFont="1" applyAlignment="1">
      <alignment horizontal="center"/>
    </xf>
    <xf numFmtId="0" fontId="18" fillId="0" borderId="0" xfId="7" applyFont="1" applyAlignment="1">
      <alignment horizontal="center"/>
    </xf>
    <xf numFmtId="0" fontId="24" fillId="0" borderId="0" xfId="0" applyFont="1" applyAlignment="1">
      <alignment horizontal="center"/>
    </xf>
    <xf numFmtId="0" fontId="0" fillId="0" borderId="0" xfId="0" applyAlignment="1">
      <alignment horizontal="center"/>
    </xf>
    <xf numFmtId="0" fontId="0" fillId="0" borderId="2" xfId="0" applyBorder="1" applyAlignment="1">
      <alignment horizontal="center"/>
    </xf>
    <xf numFmtId="0" fontId="15" fillId="0" borderId="36" xfId="0" applyFont="1" applyBorder="1" applyAlignment="1">
      <alignment horizontal="center"/>
    </xf>
    <xf numFmtId="0" fontId="15" fillId="0" borderId="37" xfId="0" applyFont="1" applyBorder="1" applyAlignment="1">
      <alignment horizontal="center"/>
    </xf>
    <xf numFmtId="0" fontId="15" fillId="0" borderId="38" xfId="0" applyFont="1" applyBorder="1" applyAlignment="1">
      <alignment horizontal="center"/>
    </xf>
    <xf numFmtId="0" fontId="10" fillId="0" borderId="0" xfId="0" applyFont="1" applyAlignment="1">
      <alignment horizontal="center"/>
    </xf>
    <xf numFmtId="0" fontId="4" fillId="0" borderId="0" xfId="0" applyFont="1" applyAlignment="1">
      <alignment horizontal="center"/>
    </xf>
    <xf numFmtId="0" fontId="15" fillId="0" borderId="0" xfId="0" applyFont="1" applyAlignment="1">
      <alignment horizontal="center"/>
    </xf>
    <xf numFmtId="170" fontId="0" fillId="0" borderId="21" xfId="0" applyNumberFormat="1" applyBorder="1" applyAlignment="1">
      <alignment horizontal="center" vertical="center"/>
    </xf>
    <xf numFmtId="170" fontId="0" fillId="0" borderId="0" xfId="0" applyNumberFormat="1" applyAlignment="1">
      <alignment horizontal="center" vertical="center"/>
    </xf>
    <xf numFmtId="0" fontId="3" fillId="0" borderId="0" xfId="0" applyFont="1" applyAlignment="1">
      <alignment horizontal="center"/>
    </xf>
    <xf numFmtId="0" fontId="0" fillId="0" borderId="0" xfId="0" quotePrefix="1" applyAlignment="1">
      <alignment horizontal="center"/>
    </xf>
    <xf numFmtId="0" fontId="10" fillId="0" borderId="0" xfId="0" quotePrefix="1" applyFont="1" applyAlignment="1">
      <alignment horizontal="center"/>
    </xf>
    <xf numFmtId="9" fontId="0" fillId="0" borderId="0" xfId="0" applyNumberFormat="1" applyAlignment="1">
      <alignment horizontal="center"/>
    </xf>
    <xf numFmtId="0" fontId="16" fillId="0" borderId="0" xfId="0" applyFont="1" applyAlignment="1">
      <alignment horizontal="center"/>
    </xf>
    <xf numFmtId="0" fontId="6" fillId="0" borderId="0" xfId="0" applyFont="1" applyAlignment="1">
      <alignment horizontal="center"/>
    </xf>
    <xf numFmtId="0" fontId="15" fillId="0" borderId="1" xfId="0" applyFont="1" applyBorder="1" applyAlignment="1">
      <alignment horizontal="center"/>
    </xf>
    <xf numFmtId="0" fontId="9" fillId="0" borderId="0" xfId="0" applyFont="1" applyAlignment="1">
      <alignment horizontal="center"/>
    </xf>
    <xf numFmtId="0" fontId="56" fillId="0" borderId="0" xfId="0" applyFont="1" applyAlignment="1">
      <alignment horizontal="center"/>
    </xf>
    <xf numFmtId="0" fontId="82" fillId="0" borderId="0" xfId="14" applyFont="1" applyAlignment="1">
      <alignment horizontal="center"/>
    </xf>
    <xf numFmtId="0" fontId="58" fillId="0" borderId="0" xfId="7" applyFont="1" applyAlignment="1">
      <alignment horizontal="center"/>
    </xf>
    <xf numFmtId="0" fontId="0" fillId="0" borderId="21"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2" fillId="0" borderId="0" xfId="7" applyFont="1" applyAlignment="1">
      <alignment horizontal="center"/>
    </xf>
    <xf numFmtId="0" fontId="0" fillId="0" borderId="0" xfId="0" applyAlignment="1">
      <alignment horizontal="left"/>
    </xf>
    <xf numFmtId="0" fontId="0" fillId="0" borderId="0" xfId="0" applyAlignment="1">
      <alignment horizontal="center" vertical="center" wrapText="1"/>
    </xf>
    <xf numFmtId="0" fontId="8" fillId="0" borderId="0" xfId="11" applyFont="1" applyAlignment="1">
      <alignment horizontal="center"/>
    </xf>
    <xf numFmtId="0" fontId="8" fillId="0" borderId="0" xfId="0" applyFont="1" applyAlignment="1">
      <alignment horizontal="center"/>
    </xf>
    <xf numFmtId="0" fontId="43" fillId="0" borderId="0" xfId="0" applyFont="1" applyAlignment="1">
      <alignment horizontal="center"/>
    </xf>
    <xf numFmtId="0" fontId="10" fillId="0" borderId="0" xfId="11" applyFont="1" applyAlignment="1">
      <alignment horizontal="center"/>
    </xf>
    <xf numFmtId="0" fontId="18" fillId="0" borderId="0" xfId="0" applyFont="1" applyAlignment="1">
      <alignment horizontal="center"/>
    </xf>
    <xf numFmtId="10" fontId="91" fillId="0" borderId="0" xfId="1" applyNumberFormat="1" applyFont="1" applyAlignment="1">
      <alignment horizontal="center"/>
    </xf>
    <xf numFmtId="0" fontId="86" fillId="0" borderId="0" xfId="7" applyFont="1" applyAlignment="1">
      <alignment horizontal="center"/>
    </xf>
    <xf numFmtId="0" fontId="15" fillId="0" borderId="0" xfId="0" quotePrefix="1" applyFont="1" applyAlignment="1">
      <alignment horizontal="center"/>
    </xf>
    <xf numFmtId="0" fontId="21" fillId="0" borderId="0" xfId="0" applyFont="1" applyAlignment="1">
      <alignment horizontal="center"/>
    </xf>
    <xf numFmtId="0" fontId="0" fillId="0" borderId="0" xfId="0" applyAlignment="1">
      <alignment wrapText="1"/>
    </xf>
    <xf numFmtId="0" fontId="0" fillId="0" borderId="0" xfId="0" applyAlignment="1">
      <alignment vertical="top" wrapText="1"/>
    </xf>
    <xf numFmtId="0" fontId="4" fillId="0" borderId="0" xfId="0" applyFont="1" applyAlignment="1">
      <alignment horizontal="center" vertical="top" wrapText="1"/>
    </xf>
    <xf numFmtId="0" fontId="46" fillId="0" borderId="0" xfId="0" applyFont="1" applyAlignment="1">
      <alignment horizontal="center"/>
    </xf>
    <xf numFmtId="0" fontId="55" fillId="17" borderId="21" xfId="0" applyFont="1" applyFill="1" applyBorder="1" applyAlignment="1">
      <alignment horizontal="center" vertical="center"/>
    </xf>
  </cellXfs>
  <cellStyles count="19">
    <cellStyle name="Currency" xfId="17" builtinId="4"/>
    <cellStyle name="Hyperlink" xfId="18" builtinId="8"/>
    <cellStyle name="Hyperlink 2" xfId="6"/>
    <cellStyle name="Hyperlink 3" xfId="5"/>
    <cellStyle name="Normal" xfId="0" builtinId="0"/>
    <cellStyle name="Normal 2" xfId="2"/>
    <cellStyle name="Normal 2 2" xfId="7"/>
    <cellStyle name="Normal 2 2 2" xfId="10"/>
    <cellStyle name="Normal 2 4" xfId="4"/>
    <cellStyle name="Normal 3" xfId="8"/>
    <cellStyle name="Normal 3 2" xfId="14"/>
    <cellStyle name="Normal 4" xfId="11"/>
    <cellStyle name="Normal 4 3" xfId="13"/>
    <cellStyle name="Normal 8 2" xfId="3"/>
    <cellStyle name="Percent" xfId="1" builtinId="5"/>
    <cellStyle name="Percent 2" xfId="16"/>
    <cellStyle name="Percent 2 2" xfId="12"/>
    <cellStyle name="Percent 2 2 2" xfId="15"/>
    <cellStyle name="Percent 3" xfId="9"/>
  </cellStyles>
  <dxfs count="29">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color rgb="FF0000FF"/>
      </font>
      <fill>
        <patternFill patternType="none">
          <bgColor auto="1"/>
        </patternFill>
      </fill>
    </dxf>
    <dxf>
      <font>
        <color rgb="FF0000FF"/>
      </font>
      <fill>
        <patternFill patternType="none">
          <bgColor auto="1"/>
        </patternFill>
      </fill>
    </dxf>
    <dxf>
      <font>
        <color auto="1"/>
      </font>
      <fill>
        <patternFill>
          <bgColor rgb="FFFFFFCC"/>
        </patternFill>
      </fill>
    </dxf>
    <dxf>
      <font>
        <color rgb="FF0000FF"/>
      </font>
      <fill>
        <patternFill patternType="none">
          <bgColor auto="1"/>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28"/>
      <tableStyleElement type="headerRow" dxfId="27"/>
    </tableStyle>
  </tableStyles>
  <colors>
    <mruColors>
      <color rgb="FFFFFFCC"/>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[5]ULSEFs!$T$17:$T$31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[5]ULSEFs!$X$17:$X$31</c:f>
              <c:numCache>
                <c:formatCode>General</c:formatCode>
                <c:ptCount val="15"/>
                <c:pt idx="0">
                  <c:v>1.0999999999999999E-2</c:v>
                </c:pt>
                <c:pt idx="1">
                  <c:v>3.0999999999999999E-3</c:v>
                </c:pt>
                <c:pt idx="2">
                  <c:v>1.1999999999999999E-3</c:v>
                </c:pt>
                <c:pt idx="3">
                  <c:v>5.940095645607853E-5</c:v>
                </c:pt>
                <c:pt idx="4">
                  <c:v>1.2E-2</c:v>
                </c:pt>
                <c:pt idx="5">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xmlns:c16r2="http://schemas.microsoft.com/office/drawing/2015/06/chart">
            <c:ext xmlns:c16="http://schemas.microsoft.com/office/drawing/2014/chart" uri="{C3380CC4-5D6E-409C-BE32-E72D297353CC}">
              <c16:uniqueId val="{00000001-061C-4196-9E75-113AB3E046DE}"/>
            </c:ext>
          </c:extLst>
        </c:ser>
        <c:dLbls>
          <c:showLegendKey val="0"/>
          <c:showVal val="0"/>
          <c:showCatName val="0"/>
          <c:showSerName val="0"/>
          <c:showPercent val="0"/>
          <c:showBubbleSize val="0"/>
        </c:dLbls>
        <c:axId val="467836016"/>
        <c:axId val="467837192"/>
      </c:scatterChart>
      <c:valAx>
        <c:axId val="46783601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37192"/>
        <c:crosses val="autoZero"/>
        <c:crossBetween val="midCat"/>
      </c:valAx>
      <c:valAx>
        <c:axId val="467837192"/>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36016"/>
        <c:crosses val="autoZero"/>
        <c:crossBetween val="midCat"/>
      </c:valAx>
      <c:spPr>
        <a:noFill/>
        <a:ln w="12700">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[5]ULSEFs!$T$17:$T$31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[5]ULSEFs!$X$17:$X$31</c:f>
              <c:numCache>
                <c:formatCode>General</c:formatCode>
                <c:ptCount val="15"/>
                <c:pt idx="0">
                  <c:v>1.0999999999999999E-2</c:v>
                </c:pt>
                <c:pt idx="1">
                  <c:v>3.0999999999999999E-3</c:v>
                </c:pt>
                <c:pt idx="2">
                  <c:v>1.1999999999999999E-3</c:v>
                </c:pt>
                <c:pt idx="3">
                  <c:v>5.940095645607853E-5</c:v>
                </c:pt>
                <c:pt idx="4">
                  <c:v>1.2E-2</c:v>
                </c:pt>
                <c:pt idx="5">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xmlns:c16r2="http://schemas.microsoft.com/office/drawing/2015/06/chart">
            <c:ext xmlns:c16="http://schemas.microsoft.com/office/drawing/2014/chart" uri="{C3380CC4-5D6E-409C-BE32-E72D297353CC}">
              <c16:uniqueId val="{00000001-0F23-47E9-9D3D-DF54323E4ED7}"/>
            </c:ext>
          </c:extLst>
        </c:ser>
        <c:dLbls>
          <c:showLegendKey val="0"/>
          <c:showVal val="0"/>
          <c:showCatName val="0"/>
          <c:showSerName val="0"/>
          <c:showPercent val="0"/>
          <c:showBubbleSize val="0"/>
        </c:dLbls>
        <c:axId val="467836408"/>
        <c:axId val="467836800"/>
      </c:scatterChart>
      <c:valAx>
        <c:axId val="467836408"/>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36800"/>
        <c:crosses val="autoZero"/>
        <c:crossBetween val="midCat"/>
      </c:valAx>
      <c:valAx>
        <c:axId val="46783680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36408"/>
        <c:crosses val="autoZero"/>
        <c:crossBetween val="midCat"/>
      </c:valAx>
      <c:spPr>
        <a:noFill/>
        <a:ln w="12700">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009910899117"/>
          <c:y val="3.6248629953991696E-2"/>
          <c:w val="0.81215339705993284"/>
          <c:h val="0.46082684877893437"/>
        </c:manualLayout>
      </c:layout>
      <c:barChart>
        <c:barDir val="col"/>
        <c:grouping val="clustered"/>
        <c:varyColors val="0"/>
        <c:ser>
          <c:idx val="0"/>
          <c:order val="0"/>
          <c:spPr>
            <a:solidFill>
              <a:schemeClr val="accent4">
                <a:lumMod val="50000"/>
              </a:schemeClr>
            </a:solidFill>
            <a:ln>
              <a:solidFill>
                <a:schemeClr val="accent4">
                  <a:lumMod val="50000"/>
                </a:schemeClr>
              </a:solidFill>
            </a:ln>
            <a:effectLst/>
          </c:spPr>
          <c:invertIfNegative val="0"/>
          <c:dPt>
            <c:idx val="13"/>
            <c:invertIfNegative val="0"/>
            <c:bubble3D val="0"/>
            <c:spPr>
              <a:solidFill>
                <a:schemeClr val="tx1"/>
              </a:solidFill>
              <a:ln>
                <a:solidFill>
                  <a:schemeClr val="tx1"/>
                </a:solidFill>
              </a:ln>
              <a:effectLst/>
            </c:spPr>
            <c:extLst xmlns:c16r2="http://schemas.microsoft.com/office/drawing/2015/06/chart">
              <c:ext xmlns:c16="http://schemas.microsoft.com/office/drawing/2014/chart" uri="{C3380CC4-5D6E-409C-BE32-E72D297353CC}">
                <c16:uniqueId val="{00000001-C71B-4F65-ADC1-1AEF41273E07}"/>
              </c:ext>
            </c:extLst>
          </c:dPt>
          <c:dPt>
            <c:idx val="14"/>
            <c:invertIfNegative val="0"/>
            <c:bubble3D val="0"/>
            <c:spPr>
              <a:solidFill>
                <a:schemeClr val="accent2">
                  <a:lumMod val="40000"/>
                  <a:lumOff val="60000"/>
                </a:schemeClr>
              </a:solidFill>
              <a:ln>
                <a:solidFill>
                  <a:schemeClr val="accent2">
                    <a:lumMod val="40000"/>
                    <a:lumOff val="60000"/>
                  </a:schemeClr>
                </a:solidFill>
              </a:ln>
              <a:effectLst/>
            </c:spPr>
            <c:extLst xmlns:c16r2="http://schemas.microsoft.com/office/drawing/2015/06/chart">
              <c:ext xmlns:c16="http://schemas.microsoft.com/office/drawing/2014/chart" uri="{C3380CC4-5D6E-409C-BE32-E72D297353CC}">
                <c16:uniqueId val="{00000003-C71B-4F65-ADC1-1AEF41273E07}"/>
              </c:ext>
            </c:extLst>
          </c:dPt>
          <c:dPt>
            <c:idx val="15"/>
            <c:invertIfNegative val="0"/>
            <c:bubble3D val="0"/>
            <c:spPr>
              <a:solidFill>
                <a:schemeClr val="accent2">
                  <a:lumMod val="40000"/>
                  <a:lumOff val="60000"/>
                </a:schemeClr>
              </a:solidFill>
              <a:ln>
                <a:solidFill>
                  <a:schemeClr val="accent2">
                    <a:lumMod val="40000"/>
                    <a:lumOff val="60000"/>
                  </a:schemeClr>
                </a:solidFill>
              </a:ln>
              <a:effectLst/>
            </c:spPr>
            <c:extLst xmlns:c16r2="http://schemas.microsoft.com/office/drawing/2015/06/chart">
              <c:ext xmlns:c16="http://schemas.microsoft.com/office/drawing/2014/chart" uri="{C3380CC4-5D6E-409C-BE32-E72D297353CC}">
                <c16:uniqueId val="{00000005-C71B-4F65-ADC1-1AEF41273E07}"/>
              </c:ext>
            </c:extLst>
          </c:dPt>
          <c:dPt>
            <c:idx val="16"/>
            <c:invertIfNegative val="0"/>
            <c:bubble3D val="0"/>
            <c:spPr>
              <a:solidFill>
                <a:schemeClr val="accent2">
                  <a:lumMod val="40000"/>
                  <a:lumOff val="60000"/>
                </a:schemeClr>
              </a:solidFill>
              <a:ln>
                <a:solidFill>
                  <a:schemeClr val="accent2">
                    <a:lumMod val="40000"/>
                    <a:lumOff val="60000"/>
                  </a:schemeClr>
                </a:solidFill>
              </a:ln>
              <a:effectLst/>
            </c:spPr>
            <c:extLst xmlns:c16r2="http://schemas.microsoft.com/office/drawing/2015/06/chart">
              <c:ext xmlns:c16="http://schemas.microsoft.com/office/drawing/2014/chart" uri="{C3380CC4-5D6E-409C-BE32-E72D297353CC}">
                <c16:uniqueId val="{00000007-C71B-4F65-ADC1-1AEF41273E07}"/>
              </c:ext>
            </c:extLst>
          </c:dPt>
          <c:dPt>
            <c:idx val="17"/>
            <c:invertIfNegative val="0"/>
            <c:bubble3D val="0"/>
            <c:spPr>
              <a:solidFill>
                <a:schemeClr val="accent2">
                  <a:lumMod val="40000"/>
                  <a:lumOff val="60000"/>
                </a:schemeClr>
              </a:solidFill>
              <a:ln>
                <a:solidFill>
                  <a:schemeClr val="accent2">
                    <a:lumMod val="40000"/>
                    <a:lumOff val="60000"/>
                  </a:schemeClr>
                </a:solidFill>
              </a:ln>
              <a:effectLst/>
            </c:spPr>
            <c:extLst xmlns:c16r2="http://schemas.microsoft.com/office/drawing/2015/06/chart">
              <c:ext xmlns:c16="http://schemas.microsoft.com/office/drawing/2014/chart" uri="{C3380CC4-5D6E-409C-BE32-E72D297353CC}">
                <c16:uniqueId val="{00000009-C71B-4F65-ADC1-1AEF41273E07}"/>
              </c:ext>
            </c:extLst>
          </c:dPt>
          <c:dPt>
            <c:idx val="18"/>
            <c:invertIfNegative val="0"/>
            <c:bubble3D val="0"/>
            <c:spPr>
              <a:solidFill>
                <a:schemeClr val="accent2">
                  <a:lumMod val="40000"/>
                  <a:lumOff val="60000"/>
                </a:schemeClr>
              </a:solidFill>
              <a:ln>
                <a:solidFill>
                  <a:schemeClr val="accent2">
                    <a:lumMod val="40000"/>
                    <a:lumOff val="60000"/>
                  </a:schemeClr>
                </a:solidFill>
              </a:ln>
              <a:effectLst/>
            </c:spPr>
            <c:extLst xmlns:c16r2="http://schemas.microsoft.com/office/drawing/2015/06/chart">
              <c:ext xmlns:c16="http://schemas.microsoft.com/office/drawing/2014/chart" uri="{C3380CC4-5D6E-409C-BE32-E72D297353CC}">
                <c16:uniqueId val="{0000000B-C71B-4F65-ADC1-1AEF41273E07}"/>
              </c:ext>
            </c:extLst>
          </c:dPt>
          <c:dPt>
            <c:idx val="19"/>
            <c:invertIfNegative val="0"/>
            <c:bubble3D val="0"/>
            <c:spPr>
              <a:solidFill>
                <a:schemeClr val="accent6">
                  <a:lumMod val="40000"/>
                  <a:lumOff val="60000"/>
                </a:schemeClr>
              </a:solidFill>
              <a:ln>
                <a:solidFill>
                  <a:schemeClr val="accent6">
                    <a:lumMod val="40000"/>
                    <a:lumOff val="60000"/>
                  </a:schemeClr>
                </a:solidFill>
              </a:ln>
              <a:effectLst/>
            </c:spPr>
            <c:extLst xmlns:c16r2="http://schemas.microsoft.com/office/drawing/2015/06/chart">
              <c:ext xmlns:c16="http://schemas.microsoft.com/office/drawing/2014/chart" uri="{C3380CC4-5D6E-409C-BE32-E72D297353CC}">
                <c16:uniqueId val="{0000000D-C71B-4F65-ADC1-1AEF41273E07}"/>
              </c:ext>
            </c:extLst>
          </c:dPt>
          <c:dPt>
            <c:idx val="20"/>
            <c:invertIfNegative val="0"/>
            <c:bubble3D val="0"/>
            <c:spPr>
              <a:solidFill>
                <a:schemeClr val="accent6">
                  <a:lumMod val="40000"/>
                  <a:lumOff val="60000"/>
                </a:schemeClr>
              </a:solidFill>
              <a:ln>
                <a:solidFill>
                  <a:schemeClr val="accent6">
                    <a:lumMod val="40000"/>
                    <a:lumOff val="60000"/>
                  </a:schemeClr>
                </a:solidFill>
              </a:ln>
              <a:effectLst/>
            </c:spPr>
            <c:extLst xmlns:c16r2="http://schemas.microsoft.com/office/drawing/2015/06/chart">
              <c:ext xmlns:c16="http://schemas.microsoft.com/office/drawing/2014/chart" uri="{C3380CC4-5D6E-409C-BE32-E72D297353CC}">
                <c16:uniqueId val="{0000000F-C71B-4F65-ADC1-1AEF41273E07}"/>
              </c:ext>
            </c:extLst>
          </c:dPt>
          <c:dLbls>
            <c:dLbl>
              <c:idx val="14"/>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71B-4F65-ADC1-1AEF41273E07}"/>
                </c:ext>
                <c:ext xmlns:c15="http://schemas.microsoft.com/office/drawing/2012/chart" uri="{CE6537A1-D6FC-4f65-9D91-7224C49458BB}">
                  <c15:spPr xmlns:c15="http://schemas.microsoft.com/office/drawing/2012/chart">
                    <a:prstGeom prst="rect">
                      <a:avLst/>
                    </a:prstGeom>
                  </c15:spPr>
                </c:ext>
              </c:extLst>
            </c:dLbl>
            <c:dLbl>
              <c:idx val="15"/>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71B-4F65-ADC1-1AEF41273E07}"/>
                </c:ext>
                <c:ext xmlns:c15="http://schemas.microsoft.com/office/drawing/2012/chart" uri="{CE6537A1-D6FC-4f65-9D91-7224C49458BB}">
                  <c15:spPr xmlns:c15="http://schemas.microsoft.com/office/drawing/2012/chart">
                    <a:prstGeom prst="rect">
                      <a:avLst/>
                    </a:prstGeom>
                  </c15:spPr>
                </c:ext>
              </c:extLst>
            </c:dLbl>
            <c:dLbl>
              <c:idx val="16"/>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71B-4F65-ADC1-1AEF41273E07}"/>
                </c:ext>
                <c:ext xmlns:c15="http://schemas.microsoft.com/office/drawing/2012/chart" uri="{CE6537A1-D6FC-4f65-9D91-7224C49458BB}">
                  <c15:spPr xmlns:c15="http://schemas.microsoft.com/office/drawing/2012/chart">
                    <a:prstGeom prst="rect">
                      <a:avLst/>
                    </a:prstGeom>
                  </c15:spPr>
                </c:ext>
              </c:extLst>
            </c:dLbl>
            <c:dLbl>
              <c:idx val="17"/>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71B-4F65-ADC1-1AEF41273E07}"/>
                </c:ext>
                <c:ext xmlns:c15="http://schemas.microsoft.com/office/drawing/2012/chart" uri="{CE6537A1-D6FC-4f65-9D91-7224C49458BB}">
                  <c15:spPr xmlns:c15="http://schemas.microsoft.com/office/drawing/2012/chart">
                    <a:prstGeom prst="rect">
                      <a:avLst/>
                    </a:prstGeom>
                  </c15:spPr>
                </c:ext>
              </c:extLst>
            </c:dLbl>
            <c:dLbl>
              <c:idx val="18"/>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71B-4F65-ADC1-1AEF41273E07}"/>
                </c:ext>
                <c:ext xmlns:c15="http://schemas.microsoft.com/office/drawing/2012/chart" uri="{CE6537A1-D6FC-4f65-9D91-7224C49458BB}">
                  <c15:spPr xmlns:c15="http://schemas.microsoft.com/office/drawing/2012/chart">
                    <a:prstGeom prst="rect">
                      <a:avLst/>
                    </a:prstGeom>
                  </c15:spPr>
                </c:ext>
              </c:extLst>
            </c:dLbl>
            <c:dLbl>
              <c:idx val="19"/>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71B-4F65-ADC1-1AEF41273E07}"/>
                </c:ext>
                <c:ext xmlns:c15="http://schemas.microsoft.com/office/drawing/2012/chart" uri="{CE6537A1-D6FC-4f65-9D91-7224C49458BB}">
                  <c15:spPr xmlns:c15="http://schemas.microsoft.com/office/drawing/2012/chart">
                    <a:prstGeom prst="rect">
                      <a:avLst/>
                    </a:prstGeom>
                  </c15:spPr>
                </c:ext>
              </c:extLst>
            </c:dLbl>
            <c:dLbl>
              <c:idx val="20"/>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71B-4F65-ADC1-1AEF41273E07}"/>
                </c:ext>
                <c:ext xmlns:c15="http://schemas.microsoft.com/office/drawing/2012/chart" uri="{CE6537A1-D6FC-4f65-9D91-7224C49458BB}">
                  <c15:spPr xmlns:c15="http://schemas.microsoft.com/office/drawing/2012/chart">
                    <a:prstGeom prst="rect">
                      <a:avLst/>
                    </a:prstGeom>
                  </c15:spPr>
                </c:ext>
              </c:extLst>
            </c:dLbl>
            <c:numFmt formatCode="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'EFs-BTU'!$E$125:$E$145</c:f>
              <c:strCache>
                <c:ptCount val="21"/>
                <c:pt idx="0">
                  <c:v>Fireplace, No Insert</c:v>
                </c:pt>
                <c:pt idx="1">
                  <c:v>Fireplace, With Insert - Non-EPA Certified</c:v>
                </c:pt>
                <c:pt idx="2">
                  <c:v>Fireplace, With Insert - EPA Certified Non-Catalytic</c:v>
                </c:pt>
                <c:pt idx="3">
                  <c:v>Fireplace, With Insert - EPA Certified Catalytic</c:v>
                </c:pt>
                <c:pt idx="4">
                  <c:v>Woodstove - Non-EPA Certified</c:v>
                </c:pt>
                <c:pt idx="5">
                  <c:v>Woodstove - EPA Certified Non-Catalytic</c:v>
                </c:pt>
                <c:pt idx="6">
                  <c:v>Woodstove - EPA Certified Catalytic</c:v>
                </c:pt>
                <c:pt idx="7">
                  <c:v>Pellet Stove (Exempt)</c:v>
                </c:pt>
                <c:pt idx="8">
                  <c:v>Pellet Stove (EPA Certified)</c:v>
                </c:pt>
                <c:pt idx="9">
                  <c:v>OWB (Hydronic Heater) - 80/20 Unqual/Phase 2 Wtd</c:v>
                </c:pt>
                <c:pt idx="10">
                  <c:v>OWB (Hydronic Heater) - Unqualified</c:v>
                </c:pt>
                <c:pt idx="11">
                  <c:v>OWB (Hydronic Heater) - Phase 1</c:v>
                </c:pt>
                <c:pt idx="12">
                  <c:v>OWB (Hydronic Heater) - Phase 2</c:v>
                </c:pt>
                <c:pt idx="13">
                  <c:v>Coal Boiler (bituminous/subbituminous, hand-fed)</c:v>
                </c:pt>
                <c:pt idx="14">
                  <c:v>Central Oil (Weighted # 1 &amp; #2), Residential</c:v>
                </c:pt>
                <c:pt idx="15">
                  <c:v>Central Oil (#1 distillate), Residential</c:v>
                </c:pt>
                <c:pt idx="16">
                  <c:v>Central Oil (#2 distillate), Residential</c:v>
                </c:pt>
                <c:pt idx="17">
                  <c:v>Portable: 43% Kerosene &amp; 57% Fuel Oil</c:v>
                </c:pt>
                <c:pt idx="18">
                  <c:v>Direct Vent</c:v>
                </c:pt>
                <c:pt idx="19">
                  <c:v>Natural Gas - Residential</c:v>
                </c:pt>
                <c:pt idx="20">
                  <c:v>Natural Gas - Commercial, small uncontrolled</c:v>
                </c:pt>
              </c:strCache>
            </c:strRef>
          </c:cat>
          <c:val>
            <c:numRef>
              <c:f>'EFs-BTU'!$L$125:$L$145</c:f>
              <c:numCache>
                <c:formatCode>0.000</c:formatCode>
                <c:ptCount val="21"/>
                <c:pt idx="0">
                  <c:v>38.993754256603495</c:v>
                </c:pt>
                <c:pt idx="1">
                  <c:v>6.0350160128355999</c:v>
                </c:pt>
                <c:pt idx="2">
                  <c:v>1.4343472401272961</c:v>
                </c:pt>
                <c:pt idx="3">
                  <c:v>1.4650832524157382</c:v>
                </c:pt>
                <c:pt idx="4">
                  <c:v>1.7738402752129308</c:v>
                </c:pt>
                <c:pt idx="5">
                  <c:v>0.9194205661868422</c:v>
                </c:pt>
                <c:pt idx="6">
                  <c:v>0.86834164584312901</c:v>
                </c:pt>
                <c:pt idx="7">
                  <c:v>0.43647519270480867</c:v>
                </c:pt>
                <c:pt idx="8">
                  <c:v>0.31336680501883707</c:v>
                </c:pt>
                <c:pt idx="9">
                  <c:v>1.8108078993079173</c:v>
                </c:pt>
                <c:pt idx="10">
                  <c:v>2.0265307979039182</c:v>
                </c:pt>
                <c:pt idx="11">
                  <c:v>1.7856097836938829</c:v>
                </c:pt>
                <c:pt idx="12">
                  <c:v>0.94791630492391299</c:v>
                </c:pt>
                <c:pt idx="13">
                  <c:v>1.2224602203182375</c:v>
                </c:pt>
                <c:pt idx="14">
                  <c:v>4.1755564665695638E-3</c:v>
                </c:pt>
                <c:pt idx="15">
                  <c:v>4.5096009838951293E-3</c:v>
                </c:pt>
                <c:pt idx="16">
                  <c:v>4.0700369890750258E-3</c:v>
                </c:pt>
                <c:pt idx="17">
                  <c:v>3.6047093725597805E-3</c:v>
                </c:pt>
                <c:pt idx="18">
                  <c:v>7.5061728395061728E-2</c:v>
                </c:pt>
                <c:pt idx="19">
                  <c:v>9.2440552210667146E-3</c:v>
                </c:pt>
                <c:pt idx="20">
                  <c:v>9.2440552210667146E-3</c:v>
                </c:pt>
              </c:numCache>
            </c:numRef>
          </c:val>
          <c:extLst xmlns:c16r2="http://schemas.microsoft.com/office/drawing/2015/06/chart">
            <c:ext xmlns:c16="http://schemas.microsoft.com/office/drawing/2014/chart" uri="{C3380CC4-5D6E-409C-BE32-E72D297353CC}">
              <c16:uniqueId val="{00000010-C71B-4F65-ADC1-1AEF41273E07}"/>
            </c:ext>
          </c:extLst>
        </c:ser>
        <c:dLbls>
          <c:showLegendKey val="0"/>
          <c:showVal val="0"/>
          <c:showCatName val="0"/>
          <c:showSerName val="0"/>
          <c:showPercent val="0"/>
          <c:showBubbleSize val="0"/>
        </c:dLbls>
        <c:gapWidth val="219"/>
        <c:overlap val="-27"/>
        <c:axId val="467837584"/>
        <c:axId val="467837976"/>
      </c:barChart>
      <c:catAx>
        <c:axId val="46783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37976"/>
        <c:crosses val="autoZero"/>
        <c:auto val="1"/>
        <c:lblAlgn val="ctr"/>
        <c:lblOffset val="100"/>
        <c:noMultiLvlLbl val="0"/>
      </c:catAx>
      <c:valAx>
        <c:axId val="467837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PM2.5</a:t>
                </a:r>
                <a:r>
                  <a:rPr lang="en-US" baseline="0"/>
                  <a:t> (lb/heating mmBTU)</a:t>
                </a:r>
                <a:endParaRPr lang="en-US"/>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37584"/>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0106517935258089E-2"/>
                  <c:y val="0.13941601049868765"/>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formatCode="0">
                  <c:v>1440</c:v>
                </c:pt>
                <c:pt idx="7">
                  <c:v>450</c:v>
                </c:pt>
                <c:pt idx="8">
                  <c:v>11</c:v>
                </c:pt>
                <c:pt idx="9">
                  <c:v>1900</c:v>
                </c:pt>
                <c:pt idx="10">
                  <c:v>37</c:v>
                </c:pt>
                <c:pt idx="11">
                  <c:v>1440</c:v>
                </c:pt>
                <c:pt idx="12">
                  <c:v>332</c:v>
                </c:pt>
                <c:pt idx="13">
                  <c:v>11</c:v>
                </c:pt>
                <c:pt idx="14">
                  <c:v>37</c:v>
                </c:pt>
              </c:numCache>
            </c:numRef>
          </c:xVal>
          <c:yVal>
            <c:numRef>
              <c:f>ULSEFs!$Z$17:$Z$31</c:f>
              <c:numCache>
                <c:formatCode>#,##0</c:formatCode>
                <c:ptCount val="15"/>
                <c:pt idx="0">
                  <c:v>137114.09395973154</c:v>
                </c:pt>
                <c:pt idx="1">
                  <c:v>138975.28</c:v>
                </c:pt>
                <c:pt idx="2">
                  <c:v>138424.28</c:v>
                </c:pt>
                <c:pt idx="3">
                  <c:v>136273.9</c:v>
                </c:pt>
                <c:pt idx="4">
                  <c:v>137114.09395973154</c:v>
                </c:pt>
                <c:pt idx="5">
                  <c:v>137972.93333333332</c:v>
                </c:pt>
                <c:pt idx="6">
                  <c:v>137552.23880597015</c:v>
                </c:pt>
                <c:pt idx="7">
                  <c:v>137641.79104477612</c:v>
                </c:pt>
                <c:pt idx="8">
                  <c:v>136548.38709677418</c:v>
                </c:pt>
                <c:pt idx="9">
                  <c:v>138000.00000000003</c:v>
                </c:pt>
                <c:pt idx="10">
                  <c:v>137400</c:v>
                </c:pt>
                <c:pt idx="11">
                  <c:v>139250</c:v>
                </c:pt>
                <c:pt idx="12">
                  <c:v>135000</c:v>
                </c:pt>
                <c:pt idx="13">
                  <c:v>135333.33333333334</c:v>
                </c:pt>
                <c:pt idx="14">
                  <c:v>137490</c:v>
                </c:pt>
              </c:numCache>
            </c:numRef>
          </c:yVal>
          <c:smooth val="0"/>
          <c:extLst xmlns:c16r2="http://schemas.microsoft.com/office/drawing/2015/06/chart">
            <c:ext xmlns:c16="http://schemas.microsoft.com/office/drawing/2014/chart" uri="{C3380CC4-5D6E-409C-BE32-E72D297353CC}">
              <c16:uniqueId val="{00000001-57D5-4A08-A823-01780357815C}"/>
            </c:ext>
          </c:extLst>
        </c:ser>
        <c:dLbls>
          <c:showLegendKey val="0"/>
          <c:showVal val="0"/>
          <c:showCatName val="0"/>
          <c:showSerName val="0"/>
          <c:showPercent val="0"/>
          <c:showBubbleSize val="0"/>
        </c:dLbls>
        <c:axId val="467838760"/>
        <c:axId val="467839152"/>
      </c:scatterChart>
      <c:valAx>
        <c:axId val="467838760"/>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39152"/>
        <c:crosses val="autoZero"/>
        <c:crossBetween val="midCat"/>
      </c:valAx>
      <c:valAx>
        <c:axId val="467839152"/>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Energy Content (BTU/gal)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38760"/>
        <c:crosses val="autoZero"/>
        <c:crossBetween val="midCat"/>
      </c:valAx>
      <c:spPr>
        <a:noFill/>
        <a:ln w="12700">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formatCode="0">
                  <c:v>1440</c:v>
                </c:pt>
                <c:pt idx="7">
                  <c:v>450</c:v>
                </c:pt>
                <c:pt idx="8">
                  <c:v>11</c:v>
                </c:pt>
                <c:pt idx="9">
                  <c:v>1900</c:v>
                </c:pt>
                <c:pt idx="10">
                  <c:v>37</c:v>
                </c:pt>
                <c:pt idx="11">
                  <c:v>1440</c:v>
                </c:pt>
                <c:pt idx="12">
                  <c:v>332</c:v>
                </c:pt>
                <c:pt idx="13">
                  <c:v>11</c:v>
                </c:pt>
                <c:pt idx="14">
                  <c:v>37</c:v>
                </c:pt>
              </c:numCache>
            </c:numRef>
          </c:xVal>
          <c:yVal>
            <c:numRef>
              <c:f>ULSEFs!$X$17:$X$31</c:f>
              <c:numCache>
                <c:formatCode>General</c:formatCode>
                <c:ptCount val="15"/>
                <c:pt idx="0">
                  <c:v>1.0999999999999999E-2</c:v>
                </c:pt>
                <c:pt idx="1">
                  <c:v>3.0999999999999999E-3</c:v>
                </c:pt>
                <c:pt idx="2">
                  <c:v>1.1999999999999999E-3</c:v>
                </c:pt>
                <c:pt idx="3" formatCode="0.000000">
                  <c:v>5.940095645607853E-5</c:v>
                </c:pt>
                <c:pt idx="4" formatCode="0.000">
                  <c:v>1.2E-2</c:v>
                </c:pt>
                <c:pt idx="5" formatCode="0.0000">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xmlns:c16r2="http://schemas.microsoft.com/office/drawing/2015/06/chart">
            <c:ext xmlns:c16="http://schemas.microsoft.com/office/drawing/2014/chart" uri="{C3380CC4-5D6E-409C-BE32-E72D297353CC}">
              <c16:uniqueId val="{00000001-195E-4A0D-9CC3-C5A6AFF97A9F}"/>
            </c:ext>
          </c:extLst>
        </c:ser>
        <c:dLbls>
          <c:showLegendKey val="0"/>
          <c:showVal val="0"/>
          <c:showCatName val="0"/>
          <c:showSerName val="0"/>
          <c:showPercent val="0"/>
          <c:showBubbleSize val="0"/>
        </c:dLbls>
        <c:axId val="467841896"/>
        <c:axId val="467839936"/>
      </c:scatterChart>
      <c:valAx>
        <c:axId val="46784189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39936"/>
        <c:crosses val="autoZero"/>
        <c:crossBetween val="midCat"/>
      </c:valAx>
      <c:valAx>
        <c:axId val="4678399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41896"/>
        <c:crosses val="autoZero"/>
        <c:crossBetween val="midCat"/>
      </c:valAx>
      <c:spPr>
        <a:noFill/>
        <a:ln w="12700">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formatCode="0">
                  <c:v>1440</c:v>
                </c:pt>
                <c:pt idx="7">
                  <c:v>450</c:v>
                </c:pt>
                <c:pt idx="8">
                  <c:v>11</c:v>
                </c:pt>
                <c:pt idx="9">
                  <c:v>1900</c:v>
                </c:pt>
                <c:pt idx="10">
                  <c:v>37</c:v>
                </c:pt>
                <c:pt idx="11">
                  <c:v>1440</c:v>
                </c:pt>
                <c:pt idx="12">
                  <c:v>332</c:v>
                </c:pt>
                <c:pt idx="13">
                  <c:v>11</c:v>
                </c:pt>
                <c:pt idx="14">
                  <c:v>37</c:v>
                </c:pt>
              </c:numCache>
            </c:numRef>
          </c:xVal>
          <c:yVal>
            <c:numRef>
              <c:f>ULSEFs!$Y$17:$Y$31</c:f>
              <c:numCache>
                <c:formatCode>General</c:formatCode>
                <c:ptCount val="15"/>
                <c:pt idx="0">
                  <c:v>1.4</c:v>
                </c:pt>
                <c:pt idx="1">
                  <c:v>0.43</c:v>
                </c:pt>
                <c:pt idx="2">
                  <c:v>0.16</c:v>
                </c:pt>
                <c:pt idx="3" formatCode="0.0000">
                  <c:v>8.0000000000000002E-3</c:v>
                </c:pt>
                <c:pt idx="4" formatCode="0.0">
                  <c:v>1.6</c:v>
                </c:pt>
                <c:pt idx="5" formatCode="0.00">
                  <c:v>0.33267394474471806</c:v>
                </c:pt>
                <c:pt idx="6">
                  <c:v>0.69</c:v>
                </c:pt>
                <c:pt idx="7">
                  <c:v>0.18</c:v>
                </c:pt>
                <c:pt idx="8">
                  <c:v>1.7999999999999999E-2</c:v>
                </c:pt>
                <c:pt idx="9">
                  <c:v>0.79</c:v>
                </c:pt>
                <c:pt idx="10">
                  <c:v>0.01</c:v>
                </c:pt>
                <c:pt idx="11">
                  <c:v>0.56000000000000005</c:v>
                </c:pt>
                <c:pt idx="12">
                  <c:v>0.159</c:v>
                </c:pt>
                <c:pt idx="13">
                  <c:v>6.0000000000000001E-3</c:v>
                </c:pt>
                <c:pt idx="14">
                  <c:v>1.2999999999999999E-2</c:v>
                </c:pt>
              </c:numCache>
            </c:numRef>
          </c:yVal>
          <c:smooth val="0"/>
          <c:extLst xmlns:c16r2="http://schemas.microsoft.com/office/drawing/2015/06/chart">
            <c:ext xmlns:c16="http://schemas.microsoft.com/office/drawing/2014/chart" uri="{C3380CC4-5D6E-409C-BE32-E72D297353CC}">
              <c16:uniqueId val="{00000001-7753-4B68-B87F-F01CD1B36282}"/>
            </c:ext>
          </c:extLst>
        </c:ser>
        <c:dLbls>
          <c:showLegendKey val="0"/>
          <c:showVal val="0"/>
          <c:showCatName val="0"/>
          <c:showSerName val="0"/>
          <c:showPercent val="0"/>
          <c:showBubbleSize val="0"/>
        </c:dLbls>
        <c:axId val="467839544"/>
        <c:axId val="467841504"/>
      </c:scatterChart>
      <c:valAx>
        <c:axId val="467839544"/>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41504"/>
        <c:crosses val="autoZero"/>
        <c:crossBetween val="midCat"/>
      </c:valAx>
      <c:valAx>
        <c:axId val="46784150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(lb/1000 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67839544"/>
        <c:crosses val="autoZero"/>
        <c:crossBetween val="midCat"/>
      </c:valAx>
      <c:spPr>
        <a:noFill/>
        <a:ln w="12700">
          <a:solidFill>
            <a:schemeClr val="tx1"/>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03018372703412"/>
          <c:y val="5.1400554097404488E-2"/>
          <c:w val="0.80827427821522313"/>
          <c:h val="0.77947780063913497"/>
        </c:manualLayout>
      </c:layout>
      <c:scatterChart>
        <c:scatterStyle val="lineMarker"/>
        <c:varyColors val="0"/>
        <c:ser>
          <c:idx val="0"/>
          <c:order val="0"/>
          <c:tx>
            <c:v>HH Survey</c:v>
          </c:tx>
          <c:spPr>
            <a:ln w="28575">
              <a:noFill/>
            </a:ln>
          </c:spPr>
          <c:marker>
            <c:spPr>
              <a:solidFill>
                <a:srgbClr val="0000FF"/>
              </a:solidFill>
              <a:ln>
                <a:solidFill>
                  <a:srgbClr val="0000FF"/>
                </a:solidFill>
              </a:ln>
            </c:spPr>
          </c:marker>
          <c:dPt>
            <c:idx val="2"/>
            <c:marker>
              <c:spPr>
                <a:solidFill>
                  <a:schemeClr val="bg1">
                    <a:lumMod val="65000"/>
                  </a:schemeClr>
                </a:solidFill>
                <a:ln>
                  <a:solidFill>
                    <a:schemeClr val="bg1">
                      <a:lumMod val="65000"/>
                    </a:schemeClr>
                  </a:solidFill>
                </a:ln>
              </c:spPr>
            </c:marker>
            <c:bubble3D val="0"/>
            <c:extLst xmlns:c16r2="http://schemas.microsoft.com/office/drawing/2015/06/chart">
              <c:ext xmlns:c16="http://schemas.microsoft.com/office/drawing/2014/chart" uri="{C3380CC4-5D6E-409C-BE32-E72D297353CC}">
                <c16:uniqueId val="{00000000-CA0F-445B-BEA9-50582A4E64AC}"/>
              </c:ext>
            </c:extLst>
          </c:dPt>
          <c:dPt>
            <c:idx val="3"/>
            <c:marker>
              <c:spPr>
                <a:solidFill>
                  <a:schemeClr val="bg1">
                    <a:lumMod val="65000"/>
                  </a:schemeClr>
                </a:solidFill>
                <a:ln>
                  <a:solidFill>
                    <a:schemeClr val="bg1">
                      <a:lumMod val="65000"/>
                    </a:schemeClr>
                  </a:solidFill>
                </a:ln>
              </c:spPr>
            </c:marker>
            <c:bubble3D val="0"/>
            <c:extLst xmlns:c16r2="http://schemas.microsoft.com/office/drawing/2015/06/chart">
              <c:ext xmlns:c16="http://schemas.microsoft.com/office/drawing/2014/chart" uri="{C3380CC4-5D6E-409C-BE32-E72D297353CC}">
                <c16:uniqueId val="{00000001-CA0F-445B-BEA9-50582A4E64AC}"/>
              </c:ext>
            </c:extLst>
          </c:dPt>
          <c:trendline>
            <c:trendlineType val="exp"/>
            <c:dispRSqr val="1"/>
            <c:dispEq val="1"/>
            <c:trendlineLbl>
              <c:layout>
                <c:manualLayout>
                  <c:x val="-4.2851998872041823E-2"/>
                  <c:y val="-0.37331862422185375"/>
                </c:manualLayout>
              </c:layout>
              <c:numFmt formatCode="0.0000E+00" sourceLinked="0"/>
              <c:spPr>
                <a:solidFill>
                  <a:schemeClr val="bg1"/>
                </a:solidFill>
                <a:ln>
                  <a:solidFill>
                    <a:schemeClr val="tx1"/>
                  </a:solidFill>
                </a:ln>
              </c:spPr>
              <c:txPr>
                <a:bodyPr/>
                <a:lstStyle/>
                <a:p>
                  <a:pPr>
                    <a:defRPr sz="1400"/>
                  </a:pPr>
                  <a:endParaRPr lang="en-US"/>
                </a:p>
              </c:txPr>
            </c:trendlineLbl>
          </c:trendline>
          <c:xVal>
            <c:numRef>
              <c:f>HHSurveyG2!$A$280:$A$293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HHSurveyG2!$F$280:$F$293</c:f>
              <c:numCache>
                <c:formatCode>0.00%</c:formatCode>
                <c:ptCount val="14"/>
                <c:pt idx="0">
                  <c:v>0.52005910020835655</c:v>
                </c:pt>
                <c:pt idx="1">
                  <c:v>0.46734796406853613</c:v>
                </c:pt>
                <c:pt idx="2">
                  <c:v>0.43054162853374467</c:v>
                </c:pt>
                <c:pt idx="3">
                  <c:v>0.39373529299895327</c:v>
                </c:pt>
                <c:pt idx="4">
                  <c:v>0.35692895746416181</c:v>
                </c:pt>
                <c:pt idx="5">
                  <c:v>0.25685753254680965</c:v>
                </c:pt>
                <c:pt idx="6">
                  <c:v>0.22674850992499146</c:v>
                </c:pt>
                <c:pt idx="7">
                  <c:v>0.20136677929150953</c:v>
                </c:pt>
                <c:pt idx="8">
                  <c:v>0.14417205630833199</c:v>
                </c:pt>
                <c:pt idx="9">
                  <c:v>0.1387144799691668</c:v>
                </c:pt>
              </c:numCache>
            </c:numRef>
          </c:yVal>
          <c:smooth val="0"/>
          <c:extLst xmlns:c16r2="http://schemas.microsoft.com/office/drawing/2015/06/chart">
            <c:ext xmlns:c16="http://schemas.microsoft.com/office/drawing/2014/chart" uri="{C3380CC4-5D6E-409C-BE32-E72D297353CC}">
              <c16:uniqueId val="{00000003-CA0F-445B-BEA9-50582A4E64AC}"/>
            </c:ext>
          </c:extLst>
        </c:ser>
        <c:dLbls>
          <c:showLegendKey val="0"/>
          <c:showVal val="0"/>
          <c:showCatName val="0"/>
          <c:showSerName val="0"/>
          <c:showPercent val="0"/>
          <c:showBubbleSize val="0"/>
        </c:dLbls>
        <c:axId val="470380744"/>
        <c:axId val="470379568"/>
      </c:scatterChart>
      <c:valAx>
        <c:axId val="470380744"/>
        <c:scaling>
          <c:orientation val="minMax"/>
          <c:min val="2005"/>
        </c:scaling>
        <c:delete val="0"/>
        <c:axPos val="b"/>
        <c:title>
          <c:tx>
            <c:rich>
              <a:bodyPr/>
              <a:lstStyle/>
              <a:p>
                <a:pPr>
                  <a:defRPr sz="1100"/>
                </a:pPr>
                <a:r>
                  <a:rPr lang="en-US" sz="1100"/>
                  <a:t>Calendar Year</a:t>
                </a:r>
              </a:p>
            </c:rich>
          </c:tx>
          <c:overlay val="0"/>
        </c:title>
        <c:numFmt formatCode="General" sourceLinked="1"/>
        <c:majorTickMark val="out"/>
        <c:minorTickMark val="none"/>
        <c:tickLblPos val="nextTo"/>
        <c:txPr>
          <a:bodyPr/>
          <a:lstStyle/>
          <a:p>
            <a:pPr>
              <a:defRPr sz="1050"/>
            </a:pPr>
            <a:endParaRPr lang="en-US"/>
          </a:p>
        </c:txPr>
        <c:crossAx val="470379568"/>
        <c:crosses val="autoZero"/>
        <c:crossBetween val="midCat"/>
        <c:majorUnit val="1"/>
      </c:valAx>
      <c:valAx>
        <c:axId val="470379568"/>
        <c:scaling>
          <c:orientation val="minMax"/>
        </c:scaling>
        <c:delete val="0"/>
        <c:axPos val="l"/>
        <c:majorGridlines/>
        <c:title>
          <c:tx>
            <c:rich>
              <a:bodyPr/>
              <a:lstStyle/>
              <a:p>
                <a:pPr>
                  <a:defRPr sz="1100"/>
                </a:pPr>
                <a:r>
                  <a:rPr lang="en-US" sz="1100"/>
                  <a:t>Proxy-Based Uncertified Stove Fraction</a:t>
                </a:r>
              </a:p>
            </c:rich>
          </c:tx>
          <c:overlay val="0"/>
        </c:title>
        <c:numFmt formatCode="0%" sourceLinked="0"/>
        <c:majorTickMark val="out"/>
        <c:minorTickMark val="none"/>
        <c:tickLblPos val="nextTo"/>
        <c:txPr>
          <a:bodyPr/>
          <a:lstStyle/>
          <a:p>
            <a:pPr>
              <a:defRPr sz="1050"/>
            </a:pPr>
            <a:endParaRPr lang="en-US"/>
          </a:p>
        </c:txPr>
        <c:crossAx val="470380744"/>
        <c:crosses val="autoZero"/>
        <c:crossBetween val="midCat"/>
      </c:valAx>
      <c:spPr>
        <a:ln>
          <a:solidFill>
            <a:schemeClr val="tx1"/>
          </a:solidFill>
        </a:ln>
      </c:spPr>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a:noFill/>
            </a:ln>
          </c:spPr>
          <c:trendline>
            <c:trendlineType val="linear"/>
            <c:intercept val="0"/>
            <c:dispRSqr val="1"/>
            <c:dispEq val="1"/>
            <c:trendlineLbl>
              <c:layout>
                <c:manualLayout>
                  <c:x val="-0.29931179789831375"/>
                  <c:y val="-0.23761737999008223"/>
                </c:manualLayout>
              </c:layout>
              <c:numFmt formatCode="General" sourceLinked="0"/>
              <c:spPr>
                <a:solidFill>
                  <a:schemeClr val="bg1"/>
                </a:solidFill>
                <a:ln>
                  <a:solidFill>
                    <a:schemeClr val="tx1"/>
                  </a:solidFill>
                </a:ln>
              </c:spPr>
            </c:trendlineLbl>
          </c:trendline>
          <c:xVal>
            <c:numRef>
              <c:f>EPAOHHPh2!$E$6:$E$42</c:f>
              <c:numCache>
                <c:formatCode>0.00</c:formatCode>
                <c:ptCount val="37"/>
                <c:pt idx="0">
                  <c:v>0.04</c:v>
                </c:pt>
                <c:pt idx="1">
                  <c:v>0.04</c:v>
                </c:pt>
                <c:pt idx="2">
                  <c:v>0.04</c:v>
                </c:pt>
                <c:pt idx="3">
                  <c:v>0.06</c:v>
                </c:pt>
                <c:pt idx="4">
                  <c:v>7.0000000000000007E-2</c:v>
                </c:pt>
                <c:pt idx="5">
                  <c:v>0.08</c:v>
                </c:pt>
                <c:pt idx="6">
                  <c:v>0.08</c:v>
                </c:pt>
                <c:pt idx="7">
                  <c:v>0.11</c:v>
                </c:pt>
                <c:pt idx="8">
                  <c:v>0.12</c:v>
                </c:pt>
                <c:pt idx="9">
                  <c:v>0.13</c:v>
                </c:pt>
                <c:pt idx="10">
                  <c:v>0.14000000000000001</c:v>
                </c:pt>
                <c:pt idx="11">
                  <c:v>0.18</c:v>
                </c:pt>
                <c:pt idx="12">
                  <c:v>0.18</c:v>
                </c:pt>
                <c:pt idx="13">
                  <c:v>0.18</c:v>
                </c:pt>
                <c:pt idx="14">
                  <c:v>0.19</c:v>
                </c:pt>
                <c:pt idx="15">
                  <c:v>0.19</c:v>
                </c:pt>
                <c:pt idx="16">
                  <c:v>0.2</c:v>
                </c:pt>
                <c:pt idx="17">
                  <c:v>0.2</c:v>
                </c:pt>
                <c:pt idx="18">
                  <c:v>0.21</c:v>
                </c:pt>
                <c:pt idx="19">
                  <c:v>0.22</c:v>
                </c:pt>
                <c:pt idx="20">
                  <c:v>0.23</c:v>
                </c:pt>
                <c:pt idx="21">
                  <c:v>0.23</c:v>
                </c:pt>
                <c:pt idx="22">
                  <c:v>0.24</c:v>
                </c:pt>
                <c:pt idx="23">
                  <c:v>0.26</c:v>
                </c:pt>
                <c:pt idx="24">
                  <c:v>0.26</c:v>
                </c:pt>
                <c:pt idx="25">
                  <c:v>0.27</c:v>
                </c:pt>
                <c:pt idx="26">
                  <c:v>0.27</c:v>
                </c:pt>
                <c:pt idx="27">
                  <c:v>0.27</c:v>
                </c:pt>
                <c:pt idx="28">
                  <c:v>0.28000000000000003</c:v>
                </c:pt>
                <c:pt idx="29">
                  <c:v>0.28999999999999998</c:v>
                </c:pt>
                <c:pt idx="30">
                  <c:v>0.3</c:v>
                </c:pt>
                <c:pt idx="31">
                  <c:v>0.31</c:v>
                </c:pt>
                <c:pt idx="32">
                  <c:v>0.31</c:v>
                </c:pt>
                <c:pt idx="33">
                  <c:v>0.31</c:v>
                </c:pt>
                <c:pt idx="34">
                  <c:v>0.31</c:v>
                </c:pt>
                <c:pt idx="35">
                  <c:v>0.31</c:v>
                </c:pt>
                <c:pt idx="36">
                  <c:v>0.32</c:v>
                </c:pt>
              </c:numCache>
            </c:numRef>
          </c:xVal>
          <c:yVal>
            <c:numRef>
              <c:f>EPAOHHPh2!$D$6:$D$42</c:f>
              <c:numCache>
                <c:formatCode>General</c:formatCode>
                <c:ptCount val="37"/>
                <c:pt idx="0">
                  <c:v>1.5</c:v>
                </c:pt>
                <c:pt idx="1">
                  <c:v>1.3</c:v>
                </c:pt>
                <c:pt idx="2">
                  <c:v>2.6</c:v>
                </c:pt>
                <c:pt idx="3">
                  <c:v>1.6</c:v>
                </c:pt>
                <c:pt idx="4">
                  <c:v>1.1000000000000001</c:v>
                </c:pt>
                <c:pt idx="5">
                  <c:v>1.96</c:v>
                </c:pt>
                <c:pt idx="6">
                  <c:v>3.3</c:v>
                </c:pt>
                <c:pt idx="7">
                  <c:v>3.3</c:v>
                </c:pt>
                <c:pt idx="8">
                  <c:v>3.3</c:v>
                </c:pt>
                <c:pt idx="9">
                  <c:v>0.7</c:v>
                </c:pt>
                <c:pt idx="10">
                  <c:v>2.2000000000000002</c:v>
                </c:pt>
                <c:pt idx="11">
                  <c:v>4.7</c:v>
                </c:pt>
                <c:pt idx="12">
                  <c:v>3.7</c:v>
                </c:pt>
                <c:pt idx="13">
                  <c:v>2.44</c:v>
                </c:pt>
                <c:pt idx="14">
                  <c:v>3.56</c:v>
                </c:pt>
                <c:pt idx="15">
                  <c:v>3.53</c:v>
                </c:pt>
                <c:pt idx="16">
                  <c:v>2.4900000000000002</c:v>
                </c:pt>
                <c:pt idx="17">
                  <c:v>2.96</c:v>
                </c:pt>
                <c:pt idx="18">
                  <c:v>0.7</c:v>
                </c:pt>
                <c:pt idx="19">
                  <c:v>5.7</c:v>
                </c:pt>
                <c:pt idx="20">
                  <c:v>4.7</c:v>
                </c:pt>
                <c:pt idx="21">
                  <c:v>8.0399999999999991</c:v>
                </c:pt>
                <c:pt idx="22">
                  <c:v>2.5</c:v>
                </c:pt>
                <c:pt idx="23">
                  <c:v>3.75</c:v>
                </c:pt>
                <c:pt idx="24">
                  <c:v>6.1</c:v>
                </c:pt>
                <c:pt idx="25">
                  <c:v>5.6</c:v>
                </c:pt>
                <c:pt idx="26">
                  <c:v>8.4</c:v>
                </c:pt>
                <c:pt idx="27">
                  <c:v>5.5</c:v>
                </c:pt>
                <c:pt idx="28">
                  <c:v>10.7</c:v>
                </c:pt>
                <c:pt idx="29">
                  <c:v>5.0999999999999996</c:v>
                </c:pt>
                <c:pt idx="30">
                  <c:v>7.3</c:v>
                </c:pt>
                <c:pt idx="31">
                  <c:v>3.9</c:v>
                </c:pt>
                <c:pt idx="32">
                  <c:v>4.5</c:v>
                </c:pt>
                <c:pt idx="33">
                  <c:v>6.4</c:v>
                </c:pt>
                <c:pt idx="34">
                  <c:v>5.96</c:v>
                </c:pt>
                <c:pt idx="35">
                  <c:v>6.1</c:v>
                </c:pt>
                <c:pt idx="36">
                  <c:v>4.2</c:v>
                </c:pt>
              </c:numCache>
            </c:numRef>
          </c:yVal>
          <c:smooth val="0"/>
          <c:extLst xmlns:c16r2="http://schemas.microsoft.com/office/drawing/2015/06/chart">
            <c:ext xmlns:c16="http://schemas.microsoft.com/office/drawing/2014/chart" uri="{C3380CC4-5D6E-409C-BE32-E72D297353CC}">
              <c16:uniqueId val="{00000001-325F-4723-8DDA-D3C26E25B7F1}"/>
            </c:ext>
          </c:extLst>
        </c:ser>
        <c:dLbls>
          <c:showLegendKey val="0"/>
          <c:showVal val="0"/>
          <c:showCatName val="0"/>
          <c:showSerName val="0"/>
          <c:showPercent val="0"/>
          <c:showBubbleSize val="0"/>
        </c:dLbls>
        <c:axId val="470376432"/>
        <c:axId val="470382704"/>
      </c:scatterChart>
      <c:valAx>
        <c:axId val="470376432"/>
        <c:scaling>
          <c:orientation val="minMax"/>
        </c:scaling>
        <c:delete val="0"/>
        <c:axPos val="b"/>
        <c:title>
          <c:tx>
            <c:rich>
              <a:bodyPr/>
              <a:lstStyle/>
              <a:p>
                <a:pPr>
                  <a:defRPr/>
                </a:pPr>
                <a:r>
                  <a:rPr lang="en-US" sz="1000" b="1" i="0" baseline="0">
                    <a:effectLst/>
                  </a:rPr>
                  <a:t>Emission Factor (lb/mmBTU)</a:t>
                </a:r>
                <a:endParaRPr lang="en-US" sz="1000" b="1">
                  <a:effectLst/>
                </a:endParaRPr>
              </a:p>
            </c:rich>
          </c:tx>
          <c:overlay val="0"/>
        </c:title>
        <c:numFmt formatCode="0.00" sourceLinked="1"/>
        <c:majorTickMark val="out"/>
        <c:minorTickMark val="none"/>
        <c:tickLblPos val="nextTo"/>
        <c:crossAx val="470382704"/>
        <c:crosses val="autoZero"/>
        <c:crossBetween val="midCat"/>
      </c:valAx>
      <c:valAx>
        <c:axId val="470382704"/>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1000" b="0" i="0" baseline="0">
                    <a:effectLst/>
                  </a:rPr>
                  <a:t>Emission Rate (g/hr)</a:t>
                </a:r>
                <a:endParaRPr lang="en-US" sz="1000" b="0">
                  <a:effectLst/>
                </a:endParaRPr>
              </a:p>
            </c:rich>
          </c:tx>
          <c:overlay val="0"/>
        </c:title>
        <c:numFmt formatCode="General" sourceLinked="1"/>
        <c:majorTickMark val="out"/>
        <c:minorTickMark val="none"/>
        <c:tickLblPos val="nextTo"/>
        <c:crossAx val="470376432"/>
        <c:crosses val="autoZero"/>
        <c:crossBetween val="midCat"/>
      </c:valAx>
      <c:spPr>
        <a:ln w="12700">
          <a:solidFill>
            <a:schemeClr val="tx1"/>
          </a:solidFill>
        </a:ln>
      </c:spPr>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101</xdr:row>
      <xdr:rowOff>0</xdr:rowOff>
    </xdr:from>
    <xdr:to>
      <xdr:col>13</xdr:col>
      <xdr:colOff>2058811</xdr:colOff>
      <xdr:row>145</xdr:row>
      <xdr:rowOff>48802</xdr:rowOff>
    </xdr:to>
    <xdr:pic>
      <xdr:nvPicPr>
        <xdr:cNvPr id="3" name="Picture 2" descr="Screen Clipping">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849600"/>
          <a:ext cx="10107436" cy="84308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224790</xdr:colOff>
      <xdr:row>37</xdr:row>
      <xdr:rowOff>17145</xdr:rowOff>
    </xdr:from>
    <xdr:to>
      <xdr:col>6</xdr:col>
      <xdr:colOff>361950</xdr:colOff>
      <xdr:row>49</xdr:row>
      <xdr:rowOff>177165</xdr:rowOff>
    </xdr:to>
    <xdr:graphicFrame macro="">
      <xdr:nvGraphicFramePr>
        <xdr:cNvPr id="2" name="Chart 1">
          <a:extLst>
            <a:ext uri="{FF2B5EF4-FFF2-40B4-BE49-F238E27FC236}">
              <a16:creationId xmlns="" xmlns:a16="http://schemas.microsoft.com/office/drawing/2014/main" id="{39C36070-3C77-48C4-ADD1-54732D53B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224790</xdr:colOff>
      <xdr:row>38</xdr:row>
      <xdr:rowOff>17145</xdr:rowOff>
    </xdr:from>
    <xdr:to>
      <xdr:col>6</xdr:col>
      <xdr:colOff>361950</xdr:colOff>
      <xdr:row>50</xdr:row>
      <xdr:rowOff>177165</xdr:rowOff>
    </xdr:to>
    <xdr:graphicFrame macro="">
      <xdr:nvGraphicFramePr>
        <xdr:cNvPr id="2" name="Chart 1">
          <a:extLst>
            <a:ext uri="{FF2B5EF4-FFF2-40B4-BE49-F238E27FC236}">
              <a16:creationId xmlns="" xmlns:a16="http://schemas.microsoft.com/office/drawing/2014/main" id="{81EDEB8C-6557-425E-A79A-9A11A99E4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56931</xdr:colOff>
      <xdr:row>123</xdr:row>
      <xdr:rowOff>188686</xdr:rowOff>
    </xdr:from>
    <xdr:to>
      <xdr:col>14</xdr:col>
      <xdr:colOff>6393793</xdr:colOff>
      <xdr:row>144</xdr:row>
      <xdr:rowOff>135758</xdr:rowOff>
    </xdr:to>
    <xdr:graphicFrame macro="">
      <xdr:nvGraphicFramePr>
        <xdr:cNvPr id="2" name="Chart 1">
          <a:extLst>
            <a:ext uri="{FF2B5EF4-FFF2-40B4-BE49-F238E27FC236}">
              <a16:creationId xmlns="" xmlns:a16="http://schemas.microsoft.com/office/drawing/2014/main" id="{7D6CE2BD-DCCA-40F3-B05F-0ED7252A9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19</xdr:col>
      <xdr:colOff>281940</xdr:colOff>
      <xdr:row>42</xdr:row>
      <xdr:rowOff>7620</xdr:rowOff>
    </xdr:from>
    <xdr:to>
      <xdr:col>25</xdr:col>
      <xdr:colOff>419100</xdr:colOff>
      <xdr:row>54</xdr:row>
      <xdr:rowOff>167640</xdr:rowOff>
    </xdr:to>
    <xdr:graphicFrame macro="">
      <xdr:nvGraphicFramePr>
        <xdr:cNvPr id="2" name="Chart 1">
          <a:extLst>
            <a:ext uri="{FF2B5EF4-FFF2-40B4-BE49-F238E27FC236}">
              <a16:creationId xmlns="" xmlns:a16="http://schemas.microsoft.com/office/drawing/2014/main" id="{E805634D-58CC-4CC8-A138-F65F309A0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281940</xdr:colOff>
      <xdr:row>60</xdr:row>
      <xdr:rowOff>7620</xdr:rowOff>
    </xdr:from>
    <xdr:to>
      <xdr:col>25</xdr:col>
      <xdr:colOff>419100</xdr:colOff>
      <xdr:row>72</xdr:row>
      <xdr:rowOff>167640</xdr:rowOff>
    </xdr:to>
    <xdr:graphicFrame macro="">
      <xdr:nvGraphicFramePr>
        <xdr:cNvPr id="3" name="Chart 2">
          <a:extLst>
            <a:ext uri="{FF2B5EF4-FFF2-40B4-BE49-F238E27FC236}">
              <a16:creationId xmlns="" xmlns:a16="http://schemas.microsoft.com/office/drawing/2014/main" id="{B96C869F-D318-4053-AC25-9F307F700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281940</xdr:colOff>
      <xdr:row>78</xdr:row>
      <xdr:rowOff>7620</xdr:rowOff>
    </xdr:from>
    <xdr:to>
      <xdr:col>25</xdr:col>
      <xdr:colOff>419100</xdr:colOff>
      <xdr:row>90</xdr:row>
      <xdr:rowOff>167640</xdr:rowOff>
    </xdr:to>
    <xdr:graphicFrame macro="">
      <xdr:nvGraphicFramePr>
        <xdr:cNvPr id="4" name="Chart 3">
          <a:extLst>
            <a:ext uri="{FF2B5EF4-FFF2-40B4-BE49-F238E27FC236}">
              <a16:creationId xmlns="" xmlns:a16="http://schemas.microsoft.com/office/drawing/2014/main" id="{6E8BCFEB-4194-498B-85EE-32760852F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420872</xdr:colOff>
      <xdr:row>2</xdr:row>
      <xdr:rowOff>177209</xdr:rowOff>
    </xdr:from>
    <xdr:to>
      <xdr:col>5</xdr:col>
      <xdr:colOff>339799</xdr:colOff>
      <xdr:row>40</xdr:row>
      <xdr:rowOff>9524</xdr:rowOff>
    </xdr:to>
    <xdr:pic>
      <xdr:nvPicPr>
        <xdr:cNvPr id="2" name="Picture 1">
          <a:extLst>
            <a:ext uri="{FF2B5EF4-FFF2-40B4-BE49-F238E27FC236}">
              <a16:creationId xmlns="" xmlns:a16="http://schemas.microsoft.com/office/drawing/2014/main" id="{45024F26-0A30-45F2-AF14-7A5837739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872" y="558209"/>
          <a:ext cx="6060647" cy="67817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199571</xdr:colOff>
      <xdr:row>278</xdr:row>
      <xdr:rowOff>36286</xdr:rowOff>
    </xdr:from>
    <xdr:to>
      <xdr:col>12</xdr:col>
      <xdr:colOff>836839</xdr:colOff>
      <xdr:row>295</xdr:row>
      <xdr:rowOff>143558</xdr:rowOff>
    </xdr:to>
    <xdr:graphicFrame macro="">
      <xdr:nvGraphicFramePr>
        <xdr:cNvPr id="2" name="Chart 1">
          <a:extLst>
            <a:ext uri="{FF2B5EF4-FFF2-40B4-BE49-F238E27FC236}">
              <a16:creationId xmlns="" xmlns:a16="http://schemas.microsoft.com/office/drawing/2014/main" id="{38873274-CAC9-4BB8-9886-DB3216F00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11339</xdr:colOff>
      <xdr:row>50</xdr:row>
      <xdr:rowOff>22685</xdr:rowOff>
    </xdr:from>
    <xdr:to>
      <xdr:col>5</xdr:col>
      <xdr:colOff>2036536</xdr:colOff>
      <xdr:row>66</xdr:row>
      <xdr:rowOff>181428</xdr:rowOff>
    </xdr:to>
    <xdr:graphicFrame macro="">
      <xdr:nvGraphicFramePr>
        <xdr:cNvPr id="2" name="Chart 1">
          <a:extLst>
            <a:ext uri="{FF2B5EF4-FFF2-40B4-BE49-F238E27FC236}">
              <a16:creationId xmlns="" xmlns:a16="http://schemas.microsoft.com/office/drawing/2014/main" id="{49B6F46C-2164-4942-A349-9AA50FEB8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RCWork\ADEC\Serious_PM_SIP\Documentation\SharePoint\Final\App7.10\AppIII.D.7.10-StateControlMeasureBenefits_AllYears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RCWork\ADEC\Serious_PM_SIP\Inventory\SpaceHeating\G3P_SpHtArea_2019PBSR.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HSurvey"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RCWork\ADEC\Serious_PM_SIP\Home%20Heating%20Surveys\FNSB_2011-2015_HHSurvey_Unified_Tabulations_GIS_FPCorrection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dulla/AppData/Local/Microsoft/Windows/Temporary%20Internet%20Files/Content.Outlook/NG1V0LEF/Copy%20of%20STF_PriorityMeasureBenefits_20180815_Dft3%20EW%20190131%20BACM%20Summary%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RCWork\ADEC\Serious_PM_SIP\Inventory\SpaceHeating\G3P_SpHtArea_2019BNP1SR.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RCWork\ADEC\Fairbanks_PM25_Inv\Wood_Standards\SpaceHeat_EF&amp;ER_2013_WoodReplace_Calc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RCWork\ADEC\Fairbanks_PM25_Inv\SIP_Documentation\SpaceHeat_EF&amp;ER_2013_WoodReplace_Cal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RFPSchedule"/>
      <sheetName val="SCCRedFacsFull"/>
      <sheetName val="SCCRedFacs2020"/>
      <sheetName val="SCCRedFacs2023"/>
      <sheetName val="SCCRedFacs2026"/>
      <sheetName val="SCCRedFacs2029"/>
      <sheetName val="SCCRedFacs2032"/>
      <sheetName val="STF-12"/>
      <sheetName val="STF-13"/>
      <sheetName val="STF-17"/>
      <sheetName val="BACM-R15"/>
      <sheetName val="BACM-48"/>
      <sheetName val="STF-22"/>
      <sheetName val="STF-23"/>
      <sheetName val="CM"/>
      <sheetName val="WSCOReductions"/>
      <sheetName val="CurtailCalcsFull-2Stage"/>
      <sheetName val="CurtailCalcs2020-2Stage"/>
      <sheetName val="CurtailCalcs2023-2Stage"/>
      <sheetName val="CurtailCalcs2026-2Stage"/>
      <sheetName val="CurtailCalcs2029-2Stage"/>
      <sheetName val="CurtailCalcs2032-2Stage"/>
      <sheetName val="Devices"/>
      <sheetName val="BuildSizeG3C"/>
      <sheetName val="EFs-BTU"/>
      <sheetName val="TabsAll"/>
      <sheetName val="HHSurveyG2"/>
      <sheetName val="Lookup"/>
      <sheetName val="DevSumOut-2019PB"/>
      <sheetName val="DevSumOut-2020PB"/>
      <sheetName val="DevSumOut-2021PB"/>
      <sheetName val="DevSumOut-2022PB"/>
      <sheetName val="DevSumOut-2023PB"/>
      <sheetName val="DevSumOut-2024PB"/>
      <sheetName val="DevSumOut-2026PB"/>
      <sheetName val="DevSumOut-2029PB"/>
      <sheetName val="DevSumOut-2032PB"/>
      <sheetName val="ZipOutNA-2019PB"/>
      <sheetName val="ZipOutNA-2020PB"/>
      <sheetName val="ZipOutNA-2021PB"/>
      <sheetName val="ZipOutNA-2022PB"/>
      <sheetName val="ZipOutNA-2023PB"/>
      <sheetName val="ZipOutNA-2024PB"/>
      <sheetName val="ZipOutNA-2026PB"/>
      <sheetName val="ZipOutNA-2029PB"/>
      <sheetName val="ZipOutNA-2032PB"/>
      <sheetName val="AQCZSplits"/>
      <sheetName val="Episodes"/>
      <sheetName val="ULSEFs"/>
      <sheetName val="Moisture"/>
      <sheetName val="EFs-OMNI"/>
      <sheetName val="EPAStoves"/>
      <sheetName val="EPAOHHPh2"/>
      <sheetName val="EPAOHHPh1"/>
      <sheetName val="EPAFPPh2"/>
      <sheetName val="EPACert_HHs"/>
    </sheetNames>
    <sheetDataSet>
      <sheetData sheetId="0"/>
      <sheetData sheetId="1"/>
      <sheetData sheetId="2">
        <row r="2">
          <cell r="B2">
            <v>2029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B37" t="str">
            <v>FP</v>
          </cell>
          <cell r="C37">
            <v>2104008100</v>
          </cell>
          <cell r="D37">
            <v>7.0000000000000007E-2</v>
          </cell>
          <cell r="E37" t="str">
            <v>AP-42, www.epa.gov/ttnchie1/ap42/ch01/related/woodstove.pdf, Table 2.2-1</v>
          </cell>
          <cell r="F37">
            <v>859.85967312000002</v>
          </cell>
          <cell r="H37">
            <v>13.236994219653178</v>
          </cell>
          <cell r="I37">
            <v>0.15028901734104047</v>
          </cell>
          <cell r="J37">
            <v>2.3121387283236993E-2</v>
          </cell>
          <cell r="K37">
            <v>2</v>
          </cell>
          <cell r="L37">
            <v>2</v>
          </cell>
          <cell r="M37">
            <v>0.10404624277456648</v>
          </cell>
          <cell r="N37">
            <v>14.60115606936416</v>
          </cell>
        </row>
        <row r="38">
          <cell r="B38" t="str">
            <v>Ins-Conv</v>
          </cell>
          <cell r="C38">
            <v>2104008210</v>
          </cell>
          <cell r="D38">
            <v>0.4</v>
          </cell>
          <cell r="E38" t="str">
            <v>AP-42, www.epa.gov/ttnchie1/ap42/ch01/related/woodstove.pdf, Table 2.2-1</v>
          </cell>
          <cell r="F38">
            <v>760.45393056277464</v>
          </cell>
          <cell r="H38">
            <v>3.0635838150289016</v>
          </cell>
          <cell r="I38">
            <v>0.16184971098265893</v>
          </cell>
          <cell r="J38">
            <v>2.3121387283236993E-2</v>
          </cell>
          <cell r="K38">
            <v>1.7687861271676302</v>
          </cell>
          <cell r="L38">
            <v>1.7687861271676302</v>
          </cell>
          <cell r="M38">
            <v>9.8265895953757218E-2</v>
          </cell>
          <cell r="N38">
            <v>13.341040462427745</v>
          </cell>
        </row>
        <row r="39">
          <cell r="B39" t="str">
            <v>Ins-NonCat</v>
          </cell>
          <cell r="C39">
            <v>2104008220</v>
          </cell>
          <cell r="D39">
            <v>0.66</v>
          </cell>
          <cell r="E39" t="str">
            <v>AP-42, www.epa.gov/ttnchie1/ap42/ch01/related/woodstove.pdf, Table 2.2-1</v>
          </cell>
          <cell r="F39">
            <v>298.21722767167626</v>
          </cell>
          <cell r="H39">
            <v>0.69364161849710981</v>
          </cell>
          <cell r="I39">
            <v>0.11560693641618497</v>
          </cell>
          <cell r="J39">
            <v>2.3121387283236993E-2</v>
          </cell>
          <cell r="K39">
            <v>1.7687861271676302</v>
          </cell>
          <cell r="L39">
            <v>0.69364161849710981</v>
          </cell>
          <cell r="M39">
            <v>5.2023121387283239E-2</v>
          </cell>
          <cell r="N39">
            <v>8.1387283236994215</v>
          </cell>
        </row>
        <row r="40">
          <cell r="B40" t="str">
            <v>Ins-Cat</v>
          </cell>
          <cell r="C40">
            <v>2104008230</v>
          </cell>
          <cell r="D40">
            <v>0.7</v>
          </cell>
          <cell r="E40" t="str">
            <v>AP-42, www.epa.gov/ttnchie1/ap42/ch01/related/woodstove.pdf, Table 2.2-1</v>
          </cell>
          <cell r="F40">
            <v>323.06866331098263</v>
          </cell>
          <cell r="H40">
            <v>0.86705202312138729</v>
          </cell>
          <cell r="I40">
            <v>0.11560693641618497</v>
          </cell>
          <cell r="J40">
            <v>2.3121387283236993E-2</v>
          </cell>
          <cell r="K40">
            <v>0.75144508670520227</v>
          </cell>
          <cell r="L40">
            <v>0.75144508670520227</v>
          </cell>
          <cell r="M40">
            <v>5.2023121387283239E-2</v>
          </cell>
          <cell r="N40">
            <v>6.1849710982658959</v>
          </cell>
        </row>
        <row r="41">
          <cell r="B41" t="str">
            <v>WS-Conv</v>
          </cell>
          <cell r="C41">
            <v>2104008310</v>
          </cell>
          <cell r="D41">
            <v>0.54</v>
          </cell>
          <cell r="E41" t="str">
            <v>AP-42, www.epa.gov/ttnchie1/ap42/ch01/related/woodstove.pdf, Table 2.1-2</v>
          </cell>
          <cell r="F41">
            <v>301.74686180116254</v>
          </cell>
          <cell r="H41">
            <v>3.0635838150289016</v>
          </cell>
          <cell r="I41">
            <v>8.3938880536453639E-2</v>
          </cell>
          <cell r="J41">
            <v>2.3121387283236993E-2</v>
          </cell>
          <cell r="K41">
            <v>0.70185140955913039</v>
          </cell>
          <cell r="L41">
            <v>0.70185140955913039</v>
          </cell>
          <cell r="M41">
            <v>2.2949626892147957E-2</v>
          </cell>
          <cell r="N41">
            <v>7.0040833351833571</v>
          </cell>
        </row>
        <row r="42">
          <cell r="B42" t="str">
            <v>WS-NonCat</v>
          </cell>
          <cell r="C42">
            <v>2104008320</v>
          </cell>
          <cell r="D42">
            <v>0.68</v>
          </cell>
          <cell r="E42" t="str">
            <v>AP-42, www.epa.gov/ttnchie1/ap42/ch01/related/woodstove.pdf, Table 2.1-2</v>
          </cell>
          <cell r="F42">
            <v>196.95074035379199</v>
          </cell>
          <cell r="H42">
            <v>0.69364161849710981</v>
          </cell>
          <cell r="I42">
            <v>9.2996510765176413E-2</v>
          </cell>
          <cell r="J42">
            <v>2.3121387283236993E-2</v>
          </cell>
          <cell r="K42">
            <v>0.45809972606147792</v>
          </cell>
          <cell r="L42">
            <v>0.45809972606147792</v>
          </cell>
          <cell r="M42">
            <v>1.4435938518844138E-2</v>
          </cell>
          <cell r="N42">
            <v>7.1468756353823277</v>
          </cell>
        </row>
        <row r="43">
          <cell r="B43" t="str">
            <v>WS-Cat</v>
          </cell>
          <cell r="C43">
            <v>2104008330</v>
          </cell>
          <cell r="D43">
            <v>0.72</v>
          </cell>
          <cell r="E43" t="str">
            <v>AP-42, www.epa.gov/ttnchie1/ap42/ch01/related/woodstove.pdf, Table 2.1-2</v>
          </cell>
          <cell r="F43">
            <v>196.95074035379199</v>
          </cell>
          <cell r="H43">
            <v>0.86705202312138729</v>
          </cell>
          <cell r="I43">
            <v>9.2996510765176413E-2</v>
          </cell>
          <cell r="J43">
            <v>2.3121387283236993E-2</v>
          </cell>
          <cell r="K43">
            <v>0.50830243576684553</v>
          </cell>
          <cell r="L43">
            <v>0.45809972606147792</v>
          </cell>
          <cell r="M43">
            <v>1.4435938518844138E-2</v>
          </cell>
          <cell r="N43">
            <v>7.1468756353823277</v>
          </cell>
        </row>
        <row r="44">
          <cell r="B44" t="str">
            <v>PS-Exempt</v>
          </cell>
          <cell r="C44">
            <v>2104008410</v>
          </cell>
          <cell r="D44">
            <v>0.56000000000000005</v>
          </cell>
          <cell r="E44" t="str">
            <v>AP-42, Table 1.10-5</v>
          </cell>
          <cell r="F44">
            <v>76.998467817053225</v>
          </cell>
          <cell r="H44">
            <v>0.13872832369942195</v>
          </cell>
          <cell r="I44">
            <v>0.24226286864265861</v>
          </cell>
          <cell r="J44">
            <v>1.9361667823589102E-2</v>
          </cell>
          <cell r="K44">
            <v>0.17909542736819919</v>
          </cell>
          <cell r="L44">
            <v>0.17909542736819919</v>
          </cell>
          <cell r="M44">
            <v>4.3491146348737025E-3</v>
          </cell>
          <cell r="N44">
            <v>0.6009377650746468</v>
          </cell>
        </row>
        <row r="45">
          <cell r="B45" t="str">
            <v>PS-EPACert</v>
          </cell>
          <cell r="C45">
            <v>2104008420</v>
          </cell>
          <cell r="D45">
            <v>0.78</v>
          </cell>
          <cell r="E45" t="str">
            <v>AP-42, www.epa.gov/ttnchie1/ap42/ch01/related/woodstove.pdf, Table 2</v>
          </cell>
          <cell r="F45">
            <v>76.998467817053225</v>
          </cell>
          <cell r="H45">
            <v>0.13872832369942195</v>
          </cell>
          <cell r="I45">
            <v>0.24226286864265861</v>
          </cell>
          <cell r="J45">
            <v>1.9361667823589102E-2</v>
          </cell>
          <cell r="K45">
            <v>0.17909542736819919</v>
          </cell>
          <cell r="L45">
            <v>0.17909542736819919</v>
          </cell>
          <cell r="M45">
            <v>4.3491146348737025E-3</v>
          </cell>
          <cell r="N45">
            <v>0.6009377650746468</v>
          </cell>
        </row>
        <row r="46">
          <cell r="B46" t="str">
            <v>OWBWtd</v>
          </cell>
          <cell r="C46">
            <v>2104008610</v>
          </cell>
          <cell r="D46">
            <v>0.43</v>
          </cell>
          <cell r="E46" t="str">
            <v>EPA/NY per wood_stoves.xls</v>
          </cell>
          <cell r="F46">
            <v>245.28744914903737</v>
          </cell>
          <cell r="H46">
            <v>2.6242774566473992</v>
          </cell>
          <cell r="I46">
            <v>9.3221590153625633E-2</v>
          </cell>
          <cell r="J46">
            <v>2.3121387283236997E-2</v>
          </cell>
          <cell r="K46">
            <v>0.57052902192519883</v>
          </cell>
          <cell r="L46">
            <v>0.57052902192519883</v>
          </cell>
          <cell r="M46">
            <v>1.4090090727345279E-2</v>
          </cell>
          <cell r="N46">
            <v>3.5011945946243972</v>
          </cell>
        </row>
        <row r="47">
          <cell r="B47" t="str">
            <v>OWB</v>
          </cell>
          <cell r="C47">
            <v>2104008610</v>
          </cell>
          <cell r="D47">
            <v>0.43</v>
          </cell>
          <cell r="E47" t="str">
            <v>EPA/NY per wood_stoves.xls</v>
          </cell>
          <cell r="F47">
            <v>274.50872631481133</v>
          </cell>
          <cell r="H47">
            <v>3.0635838150289016</v>
          </cell>
          <cell r="I47">
            <v>8.5312348847689498E-2</v>
          </cell>
          <cell r="J47">
            <v>2.3121387283236993E-2</v>
          </cell>
          <cell r="K47">
            <v>0.63849657076894117</v>
          </cell>
          <cell r="L47">
            <v>0.63849657076894117</v>
          </cell>
          <cell r="M47">
            <v>1.5797910839809734E-2</v>
          </cell>
          <cell r="N47">
            <v>3.1964903472506632</v>
          </cell>
        </row>
        <row r="48">
          <cell r="B48" t="str">
            <v>OWB-Ph1</v>
          </cell>
          <cell r="C48">
            <v>2104008610</v>
          </cell>
          <cell r="D48">
            <v>0.43</v>
          </cell>
          <cell r="E48" t="str">
            <v>EPA/NY per wood_stoves.xls</v>
          </cell>
          <cell r="F48">
            <v>241.87417626421546</v>
          </cell>
          <cell r="H48">
            <v>0.69364161849710981</v>
          </cell>
          <cell r="I48">
            <v>0.12485855537737023</v>
          </cell>
          <cell r="J48">
            <v>2.3121387283236993E-2</v>
          </cell>
          <cell r="K48">
            <v>0.56258988257136255</v>
          </cell>
          <cell r="L48">
            <v>0.56258988257136255</v>
          </cell>
          <cell r="M48">
            <v>7.2588102774874515E-3</v>
          </cell>
          <cell r="N48">
            <v>6.2110058976074933</v>
          </cell>
        </row>
        <row r="49">
          <cell r="B49" t="str">
            <v>OWB-Ph2</v>
          </cell>
          <cell r="C49">
            <v>2104008640</v>
          </cell>
          <cell r="D49">
            <v>0.43</v>
          </cell>
          <cell r="E49" t="str">
            <v>EPA/NY per wood_stoves.xls</v>
          </cell>
          <cell r="F49">
            <v>128.40234048594152</v>
          </cell>
          <cell r="H49">
            <v>0.86705202312138729</v>
          </cell>
          <cell r="I49">
            <v>0.12485855537737023</v>
          </cell>
          <cell r="J49">
            <v>2.3121387283236993E-2</v>
          </cell>
          <cell r="K49">
            <v>0.29865882655022946</v>
          </cell>
          <cell r="L49">
            <v>0.29865882655022946</v>
          </cell>
          <cell r="M49">
            <v>7.2588102774874515E-3</v>
          </cell>
          <cell r="N49">
            <v>4.7200115841193302</v>
          </cell>
        </row>
        <row r="50">
          <cell r="D50">
            <v>0.85</v>
          </cell>
          <cell r="E50" t="str">
            <v>CCHRC, http://www.cchrc.org/sites/default/files/docs/masonry_heater.pdf</v>
          </cell>
          <cell r="K50">
            <v>0.77865378455914136</v>
          </cell>
        </row>
        <row r="51">
          <cell r="K51">
            <v>0.87141539194556972</v>
          </cell>
        </row>
        <row r="52">
          <cell r="D52" t="str">
            <v>Combustion</v>
          </cell>
          <cell r="E52" t="str">
            <v>Efficiency</v>
          </cell>
          <cell r="G52" t="str">
            <v>EF</v>
          </cell>
          <cell r="H52" t="str">
            <v>Emission Factors (lb/mmBTU)</v>
          </cell>
        </row>
        <row r="53">
          <cell r="B53" t="str">
            <v>Device Name</v>
          </cell>
          <cell r="C53" t="str">
            <v>SCC</v>
          </cell>
          <cell r="D53" t="str">
            <v>Efficiency</v>
          </cell>
          <cell r="E53" t="str">
            <v>Source</v>
          </cell>
          <cell r="F53" t="str">
            <v>Fuel</v>
          </cell>
          <cell r="G53" t="str">
            <v>Units</v>
          </cell>
          <cell r="H53" t="str">
            <v>VOC</v>
          </cell>
          <cell r="I53" t="str">
            <v>NOX</v>
          </cell>
          <cell r="J53" t="str">
            <v>SO2</v>
          </cell>
          <cell r="K53" t="str">
            <v>PM10-PRI</v>
          </cell>
          <cell r="L53" t="str">
            <v>PM25-PRI</v>
          </cell>
          <cell r="M53" t="str">
            <v>NH3</v>
          </cell>
          <cell r="N53" t="str">
            <v>CO</v>
          </cell>
        </row>
        <row r="54">
          <cell r="B54" t="str">
            <v>COil-Res</v>
          </cell>
          <cell r="C54">
            <v>2104004000</v>
          </cell>
          <cell r="D54">
            <v>0.81</v>
          </cell>
          <cell r="E54" t="str">
            <v>EIA</v>
          </cell>
          <cell r="F54" t="str">
            <v>Fuel Oil #1&amp;2</v>
          </cell>
          <cell r="G54" t="str">
            <v>lb/1000 gal</v>
          </cell>
          <cell r="H54">
            <v>5.2814814814814807E-3</v>
          </cell>
          <cell r="I54">
            <v>8.2751178054475613E-2</v>
          </cell>
          <cell r="J54">
            <v>0.21409317653036544</v>
          </cell>
          <cell r="K54">
            <v>3.382200737921347E-3</v>
          </cell>
          <cell r="L54">
            <v>3.382200737921347E-3</v>
          </cell>
          <cell r="M54">
            <v>1.814550695894803E-4</v>
          </cell>
          <cell r="N54">
            <v>3.3173752237778543E-3</v>
          </cell>
        </row>
        <row r="55">
          <cell r="B55" t="str">
            <v>COil-Res1</v>
          </cell>
          <cell r="C55">
            <v>2104004000</v>
          </cell>
          <cell r="D55">
            <v>0.81</v>
          </cell>
          <cell r="E55" t="str">
            <v>EIA</v>
          </cell>
          <cell r="F55" t="str">
            <v>Fuel Oil #1</v>
          </cell>
          <cell r="G55" t="str">
            <v>lb/1000 gal</v>
          </cell>
          <cell r="H55">
            <v>5.703999999999999E-3</v>
          </cell>
          <cell r="I55">
            <v>8.9371272298833668E-2</v>
          </cell>
          <cell r="J55">
            <v>0.1017856</v>
          </cell>
          <cell r="K55">
            <v>3.6527767969550548E-3</v>
          </cell>
          <cell r="L55">
            <v>3.6527767969550548E-3</v>
          </cell>
          <cell r="M55">
            <v>1.9597147515663872E-4</v>
          </cell>
          <cell r="N55">
            <v>3.582765241680083E-3</v>
          </cell>
        </row>
        <row r="56">
          <cell r="B56" t="str">
            <v>COil-Res2</v>
          </cell>
          <cell r="C56">
            <v>2104004000</v>
          </cell>
          <cell r="D56">
            <v>0.81</v>
          </cell>
          <cell r="E56" t="str">
            <v>EIA</v>
          </cell>
          <cell r="F56" t="str">
            <v>Fuel Oil #2</v>
          </cell>
          <cell r="G56" t="str">
            <v>lb/1000 gal</v>
          </cell>
          <cell r="H56">
            <v>5.1480144404332118E-3</v>
          </cell>
          <cell r="I56">
            <v>8.0659993049488871E-2</v>
          </cell>
          <cell r="J56">
            <v>0.26308447653429601</v>
          </cell>
          <cell r="K56">
            <v>3.2967299611507714E-3</v>
          </cell>
          <cell r="L56">
            <v>3.2967299611507714E-3</v>
          </cell>
          <cell r="M56">
            <v>1.7686956241573892E-4</v>
          </cell>
          <cell r="N56">
            <v>3.2335426368953818E-3</v>
          </cell>
        </row>
        <row r="57">
          <cell r="B57" t="str">
            <v>COil-Com</v>
          </cell>
          <cell r="C57" t="str">
            <v>2103004001</v>
          </cell>
          <cell r="D57">
            <v>0.81</v>
          </cell>
          <cell r="E57" t="str">
            <v>EIA</v>
          </cell>
          <cell r="F57" t="str">
            <v>Fuel Oil #2</v>
          </cell>
          <cell r="G57" t="str">
            <v>lb/1000 gal</v>
          </cell>
          <cell r="H57">
            <v>5.1480144404332118E-3</v>
          </cell>
          <cell r="I57">
            <v>0.1299638989169675</v>
          </cell>
          <cell r="J57">
            <v>9.1864259927797828E-2</v>
          </cell>
          <cell r="K57">
            <v>3.2967299611507714E-3</v>
          </cell>
          <cell r="L57">
            <v>3.2967299611507714E-3</v>
          </cell>
          <cell r="M57">
            <v>1.7686956241573892E-4</v>
          </cell>
          <cell r="N57">
            <v>3.2335426368953818E-3</v>
          </cell>
        </row>
        <row r="58">
          <cell r="B58" t="str">
            <v>Prtbl</v>
          </cell>
          <cell r="C58">
            <v>2104004000</v>
          </cell>
          <cell r="D58">
            <v>0.81</v>
          </cell>
          <cell r="F58" t="str">
            <v>Kero/FO</v>
          </cell>
          <cell r="G58" t="str">
            <v>lb/1000 gal</v>
          </cell>
          <cell r="H58">
            <v>5.2045695098361247E-3</v>
          </cell>
          <cell r="I58">
            <v>0.13139165662980401</v>
          </cell>
          <cell r="J58">
            <v>0.21097542853096343</v>
          </cell>
          <cell r="K58">
            <v>2.9198145917734225E-3</v>
          </cell>
          <cell r="L58">
            <v>2.9198145917734225E-3</v>
          </cell>
          <cell r="M58">
            <v>1.7881261647928638E-4</v>
          </cell>
          <cell r="N58">
            <v>3.2690656973612931E-3</v>
          </cell>
        </row>
        <row r="59">
          <cell r="B59" t="str">
            <v>DVOil</v>
          </cell>
          <cell r="C59">
            <v>2104007000</v>
          </cell>
          <cell r="D59">
            <v>0.81</v>
          </cell>
          <cell r="F59" t="str">
            <v>Fuel Oil #1</v>
          </cell>
          <cell r="G59" t="str">
            <v>lb/1000 gal</v>
          </cell>
          <cell r="H59">
            <v>5.703999999999999E-3</v>
          </cell>
          <cell r="I59">
            <v>8.9371272298833668E-2</v>
          </cell>
          <cell r="J59">
            <v>0.23122063065279469</v>
          </cell>
          <cell r="K59">
            <v>3.6527767969550548E-3</v>
          </cell>
          <cell r="L59">
            <v>3.6527767969550548E-3</v>
          </cell>
          <cell r="M59">
            <v>1.9597147515663872E-4</v>
          </cell>
          <cell r="N59">
            <v>3.582765241680083E-3</v>
          </cell>
        </row>
        <row r="60">
          <cell r="B60" t="str">
            <v>NtGas-Res</v>
          </cell>
          <cell r="C60">
            <v>2104006010</v>
          </cell>
          <cell r="D60">
            <v>0.81</v>
          </cell>
          <cell r="F60" t="str">
            <v>Natural Gas</v>
          </cell>
          <cell r="G60" t="str">
            <v>lb/10^6 ft3</v>
          </cell>
          <cell r="H60">
            <v>5.4187192118226599E-3</v>
          </cell>
          <cell r="I60">
            <v>9.2610837438423646E-2</v>
          </cell>
          <cell r="J60">
            <v>5.9113300492610833E-4</v>
          </cell>
          <cell r="K60">
            <v>7.4876847290640397E-3</v>
          </cell>
          <cell r="L60">
            <v>7.4876847290640397E-3</v>
          </cell>
          <cell r="M60">
            <v>1.9704433497536946E-2</v>
          </cell>
          <cell r="N60">
            <v>3.9408866995073892E-2</v>
          </cell>
        </row>
        <row r="61">
          <cell r="B61" t="str">
            <v>NtGas-Com</v>
          </cell>
          <cell r="C61">
            <v>2103006000</v>
          </cell>
          <cell r="D61">
            <v>0.81</v>
          </cell>
          <cell r="F61" t="str">
            <v>Natural Gas</v>
          </cell>
          <cell r="G61" t="str">
            <v>lb/10^6 ft3</v>
          </cell>
          <cell r="H61">
            <v>5.4187192118226599E-3</v>
          </cell>
          <cell r="I61">
            <v>9.8522167487684734E-2</v>
          </cell>
          <cell r="J61">
            <v>5.9113300492610833E-4</v>
          </cell>
          <cell r="K61">
            <v>7.4876847290640397E-3</v>
          </cell>
          <cell r="L61">
            <v>7.4876847290640397E-3</v>
          </cell>
          <cell r="M61">
            <v>1.9704433497536946E-2</v>
          </cell>
          <cell r="N61">
            <v>3.9408866995073892E-2</v>
          </cell>
        </row>
        <row r="62">
          <cell r="B62" t="str">
            <v>CoalHt</v>
          </cell>
          <cell r="C62">
            <v>2104002000</v>
          </cell>
          <cell r="D62">
            <v>0.43</v>
          </cell>
          <cell r="E62" t="str">
            <v>NY per wood_stoves.xls</v>
          </cell>
          <cell r="F62" t="str">
            <v>Coal</v>
          </cell>
          <cell r="G62" t="str">
            <v>lb/ton</v>
          </cell>
          <cell r="H62">
            <v>0.65789473684210531</v>
          </cell>
          <cell r="I62">
            <v>0.31052631578947371</v>
          </cell>
          <cell r="J62">
            <v>0.61184210526315785</v>
          </cell>
          <cell r="K62">
            <v>0.5256578947368421</v>
          </cell>
          <cell r="L62">
            <v>0.5256578947368421</v>
          </cell>
          <cell r="M62">
            <v>8.3286184210526332E-2</v>
          </cell>
          <cell r="N62">
            <v>8.5904605263157894</v>
          </cell>
        </row>
        <row r="63">
          <cell r="B63" t="str">
            <v>WasteOil</v>
          </cell>
          <cell r="C63" t="str">
            <v>2102012000</v>
          </cell>
          <cell r="D63" t="str">
            <v>-</v>
          </cell>
          <cell r="F63" t="str">
            <v>Fuel Oil #2</v>
          </cell>
          <cell r="G63" t="str">
            <v>lb/1000 gal</v>
          </cell>
          <cell r="H63">
            <v>7.2202166064981952E-3</v>
          </cell>
          <cell r="I63">
            <v>0.37693099395384777</v>
          </cell>
          <cell r="J63">
            <v>0.26689697964980835</v>
          </cell>
          <cell r="K63">
            <v>3.7575325985579236E-2</v>
          </cell>
          <cell r="L63">
            <v>3.7575325985579236E-2</v>
          </cell>
          <cell r="M63">
            <v>2.6269078644246729E-4</v>
          </cell>
          <cell r="N63">
            <v>8.9732121756607122E-2</v>
          </cell>
        </row>
        <row r="64">
          <cell r="B64" t="str">
            <v>-</v>
          </cell>
          <cell r="C64" t="str">
            <v>-</v>
          </cell>
          <cell r="D64" t="str">
            <v>-</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3P_PTINVAR_2019PBSR_ORL"/>
      <sheetName val="G3P_PTHRAR_2019PBSR_E1D01"/>
      <sheetName val="EMIS"/>
      <sheetName val="DevTabs"/>
      <sheetName val="ZipTabs"/>
      <sheetName val="DevTabsNA"/>
      <sheetName val="ZipTabsNA"/>
      <sheetName val="GridTabs"/>
      <sheetName val="DevSumOut"/>
      <sheetName val="DevOut"/>
      <sheetName val="ZipOut"/>
      <sheetName val="DevOutNA"/>
      <sheetName val="ZipOutNA"/>
      <sheetName val="GridOut"/>
      <sheetName val="FNGExisting"/>
      <sheetName val="EFs-BTU"/>
      <sheetName val="EFs-BTU-AP42"/>
      <sheetName val="EFs-OMNI"/>
      <sheetName val="EFs-AP42"/>
      <sheetName val="Lookup"/>
      <sheetName val="EIAProjections"/>
      <sheetName val="HtEnergy"/>
      <sheetName val="CommOHHs"/>
      <sheetName val="NRSF"/>
      <sheetName val="Coeffs"/>
      <sheetName val="Episodes"/>
      <sheetName val="GriddedTemps"/>
      <sheetName val="GriddedTempsNPMod"/>
      <sheetName val="Moisture"/>
      <sheetName val="CCHRCTables"/>
      <sheetName val="CntyGrowthFacs"/>
      <sheetName val="FMATSGrowthFacs"/>
      <sheetName val="BuildSizeG3C"/>
      <sheetName val="G3Centroids"/>
      <sheetName val="HHSurveyG2"/>
      <sheetName val="HHTrends"/>
      <sheetName val="HDD"/>
      <sheetName val="SCC"/>
      <sheetName val="WasteOilUse"/>
      <sheetName val="BoroughPop"/>
    </sheetNames>
    <sheetDataSet>
      <sheetData sheetId="0"/>
      <sheetData sheetId="1"/>
      <sheetData sheetId="2">
        <row r="2">
          <cell r="L2" t="str">
            <v>PBSR</v>
          </cell>
        </row>
        <row r="3">
          <cell r="L3">
            <v>2019</v>
          </cell>
          <cell r="N3" t="str">
            <v>Yes</v>
          </cell>
          <cell r="V3">
            <v>-6.2709221735368692E-2</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7">
          <cell r="B37" t="str">
            <v>FP</v>
          </cell>
          <cell r="C37">
            <v>2104008100</v>
          </cell>
          <cell r="D37">
            <v>7.0000000000000007E-2</v>
          </cell>
          <cell r="E37" t="str">
            <v>AP-42, www.epa.gov/ttnchie1/ap42/ch01/related/woodstove.pdf, Table 2.2-1</v>
          </cell>
          <cell r="H37">
            <v>13.236994219653178</v>
          </cell>
          <cell r="I37">
            <v>0.15028901734104047</v>
          </cell>
          <cell r="J37">
            <v>2.3121387283236993E-2</v>
          </cell>
          <cell r="K37">
            <v>2</v>
          </cell>
          <cell r="L37">
            <v>2</v>
          </cell>
          <cell r="M37">
            <v>0.10404624277456648</v>
          </cell>
          <cell r="N37">
            <v>14.60115606936416</v>
          </cell>
        </row>
        <row r="38">
          <cell r="B38" t="str">
            <v>Ins-Conv</v>
          </cell>
          <cell r="C38">
            <v>2104008210</v>
          </cell>
          <cell r="D38">
            <v>0.4</v>
          </cell>
          <cell r="E38" t="str">
            <v>AP-42, www.epa.gov/ttnchie1/ap42/ch01/related/woodstove.pdf, Table 2.2-1</v>
          </cell>
          <cell r="H38">
            <v>3.0635838150289016</v>
          </cell>
          <cell r="I38">
            <v>0.16184971098265893</v>
          </cell>
          <cell r="J38">
            <v>2.3121387283236993E-2</v>
          </cell>
          <cell r="K38">
            <v>1.7687861271676302</v>
          </cell>
          <cell r="L38">
            <v>1.7687861271676302</v>
          </cell>
          <cell r="M38">
            <v>9.8265895953757218E-2</v>
          </cell>
          <cell r="N38">
            <v>13.341040462427745</v>
          </cell>
        </row>
        <row r="39">
          <cell r="B39" t="str">
            <v>Ins-NonCat</v>
          </cell>
          <cell r="C39">
            <v>2104008220</v>
          </cell>
          <cell r="D39">
            <v>0.66</v>
          </cell>
          <cell r="E39" t="str">
            <v>AP-42, www.epa.gov/ttnchie1/ap42/ch01/related/woodstove.pdf, Table 2.2-1</v>
          </cell>
          <cell r="H39">
            <v>0.69364161849710981</v>
          </cell>
          <cell r="I39">
            <v>0.11560693641618497</v>
          </cell>
          <cell r="J39">
            <v>2.3121387283236993E-2</v>
          </cell>
          <cell r="K39">
            <v>0.69364161849710981</v>
          </cell>
          <cell r="L39">
            <v>0.69364161849710981</v>
          </cell>
          <cell r="M39">
            <v>5.2023121387283239E-2</v>
          </cell>
          <cell r="N39">
            <v>8.1387283236994215</v>
          </cell>
        </row>
        <row r="40">
          <cell r="B40" t="str">
            <v>Ins-Cat</v>
          </cell>
          <cell r="C40">
            <v>2104008230</v>
          </cell>
          <cell r="D40">
            <v>0.7</v>
          </cell>
          <cell r="E40" t="str">
            <v>AP-42, www.epa.gov/ttnchie1/ap42/ch01/related/woodstove.pdf, Table 2.2-1</v>
          </cell>
          <cell r="H40">
            <v>0.86705202312138729</v>
          </cell>
          <cell r="I40">
            <v>0.11560693641618497</v>
          </cell>
          <cell r="J40">
            <v>2.3121387283236993E-2</v>
          </cell>
          <cell r="K40">
            <v>0.75144508670520227</v>
          </cell>
          <cell r="L40">
            <v>0.75144508670520227</v>
          </cell>
          <cell r="M40">
            <v>5.2023121387283239E-2</v>
          </cell>
          <cell r="N40">
            <v>6.1849710982658959</v>
          </cell>
        </row>
        <row r="41">
          <cell r="B41" t="str">
            <v>WS-Conv</v>
          </cell>
          <cell r="C41">
            <v>2104008310</v>
          </cell>
          <cell r="D41">
            <v>0.54</v>
          </cell>
          <cell r="E41" t="str">
            <v>AP-42, www.epa.gov/ttnchie1/ap42/ch01/related/woodstove.pdf, Table 2.1-2</v>
          </cell>
          <cell r="H41">
            <v>3.0635838150289016</v>
          </cell>
          <cell r="I41">
            <v>8.3938880536453639E-2</v>
          </cell>
          <cell r="J41">
            <v>2.3121387283236993E-2</v>
          </cell>
          <cell r="K41">
            <v>0.70185140955913039</v>
          </cell>
          <cell r="L41">
            <v>0.70185140955913039</v>
          </cell>
          <cell r="M41">
            <v>2.2949626892147957E-2</v>
          </cell>
          <cell r="N41">
            <v>7.0040833351833571</v>
          </cell>
        </row>
        <row r="42">
          <cell r="B42" t="str">
            <v>WS-NonCat</v>
          </cell>
          <cell r="C42">
            <v>2104008320</v>
          </cell>
          <cell r="D42">
            <v>0.68</v>
          </cell>
          <cell r="E42" t="str">
            <v>AP-42, www.epa.gov/ttnchie1/ap42/ch01/related/woodstove.pdf, Table 2.1-2</v>
          </cell>
          <cell r="H42">
            <v>0.69364161849710981</v>
          </cell>
          <cell r="I42">
            <v>9.2996510765176413E-2</v>
          </cell>
          <cell r="J42">
            <v>2.3121387283236993E-2</v>
          </cell>
          <cell r="K42">
            <v>0.45809972606147792</v>
          </cell>
          <cell r="L42">
            <v>0.45809972606147792</v>
          </cell>
          <cell r="M42">
            <v>1.4435938518844138E-2</v>
          </cell>
          <cell r="N42">
            <v>7.1468756353823277</v>
          </cell>
        </row>
        <row r="43">
          <cell r="B43" t="str">
            <v>WS-Cat</v>
          </cell>
          <cell r="C43">
            <v>2104008330</v>
          </cell>
          <cell r="D43">
            <v>0.72</v>
          </cell>
          <cell r="E43" t="str">
            <v>AP-42, www.epa.gov/ttnchie1/ap42/ch01/related/woodstove.pdf, Table 2.1-2</v>
          </cell>
          <cell r="H43">
            <v>0.86705202312138729</v>
          </cell>
          <cell r="I43">
            <v>9.2996510765176413E-2</v>
          </cell>
          <cell r="J43">
            <v>2.3121387283236993E-2</v>
          </cell>
          <cell r="K43">
            <v>0.50830243576684553</v>
          </cell>
          <cell r="L43">
            <v>0.50830243576684553</v>
          </cell>
          <cell r="M43">
            <v>1.4435938518844138E-2</v>
          </cell>
          <cell r="N43">
            <v>7.1468756353823277</v>
          </cell>
        </row>
        <row r="44">
          <cell r="B44" t="str">
            <v>PS-Exempt</v>
          </cell>
          <cell r="C44">
            <v>2104008410</v>
          </cell>
          <cell r="D44">
            <v>0.56000000000000005</v>
          </cell>
          <cell r="E44" t="str">
            <v>AP-42, Table 1.10-5</v>
          </cell>
          <cell r="H44">
            <v>0.13872832369942195</v>
          </cell>
          <cell r="I44">
            <v>0.24226286864265861</v>
          </cell>
          <cell r="J44">
            <v>1.9361667823589102E-2</v>
          </cell>
          <cell r="K44">
            <v>0.17909542736819919</v>
          </cell>
          <cell r="L44">
            <v>0.17909542736819919</v>
          </cell>
          <cell r="M44">
            <v>4.3491146348737025E-3</v>
          </cell>
          <cell r="N44">
            <v>0.6009377650746468</v>
          </cell>
        </row>
        <row r="45">
          <cell r="B45" t="str">
            <v>PS-EPACert</v>
          </cell>
          <cell r="C45">
            <v>2104008420</v>
          </cell>
          <cell r="D45">
            <v>0.78</v>
          </cell>
          <cell r="E45" t="str">
            <v>AP-42, www.epa.gov/ttnchie1/ap42/ch01/related/woodstove.pdf, Table 2</v>
          </cell>
          <cell r="H45">
            <v>0.13872832369942195</v>
          </cell>
          <cell r="I45">
            <v>0.24226286864265861</v>
          </cell>
          <cell r="J45">
            <v>1.9361667823589102E-2</v>
          </cell>
          <cell r="K45">
            <v>0.17909542736819919</v>
          </cell>
          <cell r="L45">
            <v>0.17909542736819919</v>
          </cell>
          <cell r="M45">
            <v>4.3491146348737025E-3</v>
          </cell>
          <cell r="N45">
            <v>0.6009377650746468</v>
          </cell>
        </row>
        <row r="46">
          <cell r="B46" t="str">
            <v>OWBWtd</v>
          </cell>
          <cell r="C46">
            <v>2104008610</v>
          </cell>
          <cell r="D46">
            <v>0.43</v>
          </cell>
          <cell r="E46" t="str">
            <v>EPA/NY per wood_stoves.xls</v>
          </cell>
          <cell r="H46">
            <v>2.6242774566473992</v>
          </cell>
          <cell r="I46">
            <v>9.3221590153625633E-2</v>
          </cell>
          <cell r="J46">
            <v>2.3121387283236997E-2</v>
          </cell>
          <cell r="K46">
            <v>0.57052902192519883</v>
          </cell>
          <cell r="L46">
            <v>0.57052902192519883</v>
          </cell>
          <cell r="M46">
            <v>1.4090090727345279E-2</v>
          </cell>
          <cell r="N46">
            <v>3.5011945946243972</v>
          </cell>
        </row>
        <row r="47">
          <cell r="B47" t="str">
            <v>OWB</v>
          </cell>
          <cell r="C47">
            <v>2104008610</v>
          </cell>
          <cell r="D47">
            <v>0.43</v>
          </cell>
          <cell r="E47" t="str">
            <v>EPA/NY per wood_stoves.xls</v>
          </cell>
          <cell r="H47">
            <v>3.0635838150289016</v>
          </cell>
          <cell r="I47">
            <v>8.5312348847689498E-2</v>
          </cell>
          <cell r="J47">
            <v>2.3121387283236993E-2</v>
          </cell>
          <cell r="K47">
            <v>0.63849657076894117</v>
          </cell>
          <cell r="L47">
            <v>0.63849657076894117</v>
          </cell>
          <cell r="M47">
            <v>1.5797910839809734E-2</v>
          </cell>
          <cell r="N47">
            <v>3.1964903472506632</v>
          </cell>
        </row>
        <row r="48">
          <cell r="B48" t="str">
            <v>OWB-Ph1</v>
          </cell>
          <cell r="C48">
            <v>2104008610</v>
          </cell>
          <cell r="D48">
            <v>0.43</v>
          </cell>
          <cell r="E48" t="str">
            <v>EPA/NY per wood_stoves.xls</v>
          </cell>
          <cell r="H48">
            <v>0.69364161849710981</v>
          </cell>
          <cell r="I48">
            <v>0.12485855537737023</v>
          </cell>
          <cell r="J48">
            <v>2.3121387283236993E-2</v>
          </cell>
          <cell r="K48">
            <v>0.56258988257136255</v>
          </cell>
          <cell r="L48">
            <v>0.56258988257136255</v>
          </cell>
          <cell r="M48">
            <v>7.2588102774874515E-3</v>
          </cell>
          <cell r="N48">
            <v>6.2110058976074933</v>
          </cell>
        </row>
        <row r="49">
          <cell r="B49" t="str">
            <v>OWB-Ph2</v>
          </cell>
          <cell r="C49">
            <v>2104008640</v>
          </cell>
          <cell r="D49">
            <v>0.43</v>
          </cell>
          <cell r="E49" t="str">
            <v>EPA/NY per wood_stoves.xls</v>
          </cell>
          <cell r="H49">
            <v>0.86705202312138729</v>
          </cell>
          <cell r="I49">
            <v>0.12485855537737023</v>
          </cell>
          <cell r="J49">
            <v>2.3121387283236993E-2</v>
          </cell>
          <cell r="K49">
            <v>0.29865882655022946</v>
          </cell>
          <cell r="L49">
            <v>0.29865882655022946</v>
          </cell>
          <cell r="M49">
            <v>7.2588102774874515E-3</v>
          </cell>
          <cell r="N49">
            <v>4.7200115841193302</v>
          </cell>
        </row>
        <row r="54">
          <cell r="B54" t="str">
            <v>COil-Res</v>
          </cell>
          <cell r="C54">
            <v>2104004000</v>
          </cell>
          <cell r="D54">
            <v>0.81</v>
          </cell>
          <cell r="E54" t="str">
            <v>EIA</v>
          </cell>
          <cell r="F54" t="str">
            <v>Fuel Oil #1&amp;2</v>
          </cell>
          <cell r="G54" t="str">
            <v>lb/1000 gal</v>
          </cell>
          <cell r="H54">
            <v>5.3125436895281979E-3</v>
          </cell>
          <cell r="I54">
            <v>8.3237866177467576E-2</v>
          </cell>
          <cell r="J54">
            <v>0.21535233209383497</v>
          </cell>
          <cell r="K54">
            <v>3.4020926230572584E-3</v>
          </cell>
          <cell r="L54">
            <v>3.4020926230572584E-3</v>
          </cell>
          <cell r="M54">
            <v>1.8252226922702193E-4</v>
          </cell>
          <cell r="N54">
            <v>3.3368858477819943E-3</v>
          </cell>
        </row>
        <row r="55">
          <cell r="B55" t="str">
            <v>COil-Res1</v>
          </cell>
          <cell r="C55">
            <v>2104004000</v>
          </cell>
          <cell r="D55">
            <v>0.81</v>
          </cell>
          <cell r="E55" t="str">
            <v>EIA</v>
          </cell>
          <cell r="F55" t="str">
            <v>Fuel Oil #1</v>
          </cell>
          <cell r="G55" t="str">
            <v>lb/1000 gal</v>
          </cell>
          <cell r="H55">
            <v>5.703999999999999E-3</v>
          </cell>
          <cell r="I55">
            <v>8.9371272298833668E-2</v>
          </cell>
          <cell r="J55">
            <v>0.1017856</v>
          </cell>
          <cell r="K55">
            <v>3.6527767969550548E-3</v>
          </cell>
          <cell r="L55">
            <v>3.6527767969550548E-3</v>
          </cell>
          <cell r="M55">
            <v>1.9597147515663872E-4</v>
          </cell>
          <cell r="N55">
            <v>3.582765241680083E-3</v>
          </cell>
        </row>
        <row r="56">
          <cell r="B56" t="str">
            <v>COil-Res2</v>
          </cell>
          <cell r="C56">
            <v>2104004000</v>
          </cell>
          <cell r="D56">
            <v>0.81</v>
          </cell>
          <cell r="E56" t="str">
            <v>EIA</v>
          </cell>
          <cell r="F56" t="str">
            <v>Fuel Oil #2</v>
          </cell>
          <cell r="G56" t="str">
            <v>lb/1000 gal</v>
          </cell>
          <cell r="H56">
            <v>5.1480144404332118E-3</v>
          </cell>
          <cell r="I56">
            <v>8.0659993049488871E-2</v>
          </cell>
          <cell r="J56">
            <v>0.26308447653429601</v>
          </cell>
          <cell r="K56">
            <v>3.2967299611507714E-3</v>
          </cell>
          <cell r="L56">
            <v>3.2967299611507714E-3</v>
          </cell>
          <cell r="M56">
            <v>1.7686956241573892E-4</v>
          </cell>
          <cell r="N56">
            <v>3.2335426368953818E-3</v>
          </cell>
        </row>
        <row r="57">
          <cell r="B57" t="str">
            <v>COil-Com</v>
          </cell>
          <cell r="C57" t="str">
            <v>2103004001</v>
          </cell>
          <cell r="D57">
            <v>0.81</v>
          </cell>
          <cell r="E57" t="str">
            <v>EIA</v>
          </cell>
          <cell r="F57" t="str">
            <v>Fuel Oil #1&amp;2</v>
          </cell>
          <cell r="G57" t="str">
            <v>lb/1000 gal</v>
          </cell>
          <cell r="H57">
            <v>5.1480144404332118E-3</v>
          </cell>
          <cell r="I57">
            <v>0.1299638989169675</v>
          </cell>
          <cell r="J57">
            <v>9.1864259927797828E-2</v>
          </cell>
          <cell r="K57">
            <v>3.2967299611507714E-3</v>
          </cell>
          <cell r="L57">
            <v>3.2967299611507714E-3</v>
          </cell>
          <cell r="M57">
            <v>1.7686956241573892E-4</v>
          </cell>
          <cell r="N57">
            <v>3.2335426368953818E-3</v>
          </cell>
        </row>
        <row r="58">
          <cell r="B58" t="str">
            <v>Prtbl</v>
          </cell>
          <cell r="C58">
            <v>2104004000</v>
          </cell>
          <cell r="D58">
            <v>0.81</v>
          </cell>
          <cell r="F58" t="str">
            <v>Kero/FO</v>
          </cell>
          <cell r="G58" t="str">
            <v>lb/1000 gal</v>
          </cell>
          <cell r="H58">
            <v>5.2045695098361247E-3</v>
          </cell>
          <cell r="I58">
            <v>0.13139165662980401</v>
          </cell>
          <cell r="J58">
            <v>0.21097542853096343</v>
          </cell>
          <cell r="K58">
            <v>2.9198145917734225E-3</v>
          </cell>
          <cell r="L58">
            <v>2.9198145917734225E-3</v>
          </cell>
          <cell r="M58">
            <v>1.7881261647928638E-4</v>
          </cell>
          <cell r="N58">
            <v>3.2690656973612931E-3</v>
          </cell>
        </row>
        <row r="59">
          <cell r="B59" t="str">
            <v>DVOil</v>
          </cell>
          <cell r="C59">
            <v>2104004000</v>
          </cell>
          <cell r="D59">
            <v>0.81</v>
          </cell>
          <cell r="F59" t="str">
            <v>Fuel Oil #1</v>
          </cell>
          <cell r="G59" t="str">
            <v>lb/1000 gal</v>
          </cell>
          <cell r="H59">
            <v>5.703999999999999E-3</v>
          </cell>
          <cell r="I59">
            <v>8.9371272298833668E-2</v>
          </cell>
          <cell r="J59">
            <v>0.23122063065279469</v>
          </cell>
          <cell r="K59">
            <v>3.6527767969550548E-3</v>
          </cell>
          <cell r="L59">
            <v>3.6527767969550548E-3</v>
          </cell>
          <cell r="M59">
            <v>1.9597147515663872E-4</v>
          </cell>
          <cell r="N59">
            <v>3.582765241680083E-3</v>
          </cell>
        </row>
        <row r="60">
          <cell r="B60" t="str">
            <v>NtGas-Res</v>
          </cell>
          <cell r="C60">
            <v>2104006010</v>
          </cell>
          <cell r="D60">
            <v>0.81</v>
          </cell>
          <cell r="F60" t="str">
            <v>Natural Gas</v>
          </cell>
          <cell r="G60" t="str">
            <v>lb/10^6 ft3</v>
          </cell>
          <cell r="H60">
            <v>5.4187192118226599E-3</v>
          </cell>
          <cell r="I60">
            <v>9.2610837438423646E-2</v>
          </cell>
          <cell r="J60">
            <v>5.9113300492610833E-4</v>
          </cell>
          <cell r="K60">
            <v>7.4876847290640397E-3</v>
          </cell>
          <cell r="L60">
            <v>7.4876847290640397E-3</v>
          </cell>
          <cell r="M60">
            <v>1.9704433497536946E-2</v>
          </cell>
          <cell r="N60">
            <v>3.9408866995073892E-2</v>
          </cell>
        </row>
        <row r="61">
          <cell r="B61" t="str">
            <v>NtGas-Com</v>
          </cell>
          <cell r="C61">
            <v>2103006000</v>
          </cell>
          <cell r="D61">
            <v>0.81</v>
          </cell>
          <cell r="F61" t="str">
            <v>Natural Gas</v>
          </cell>
          <cell r="G61" t="str">
            <v>lb/10^6 ft3</v>
          </cell>
          <cell r="H61">
            <v>5.4187192118226599E-3</v>
          </cell>
          <cell r="I61">
            <v>9.8522167487684734E-2</v>
          </cell>
          <cell r="J61">
            <v>5.9113300492610833E-4</v>
          </cell>
          <cell r="K61">
            <v>7.4876847290640397E-3</v>
          </cell>
          <cell r="L61">
            <v>7.4876847290640397E-3</v>
          </cell>
          <cell r="M61">
            <v>1.9704433497536946E-2</v>
          </cell>
          <cell r="N61">
            <v>3.9408866995073892E-2</v>
          </cell>
        </row>
        <row r="62">
          <cell r="B62" t="str">
            <v>CoalHt</v>
          </cell>
          <cell r="C62">
            <v>2104002000</v>
          </cell>
          <cell r="D62">
            <v>0.43</v>
          </cell>
          <cell r="E62" t="str">
            <v>NY per wood_stoves.xls</v>
          </cell>
          <cell r="F62" t="str">
            <v>Coal</v>
          </cell>
          <cell r="G62" t="str">
            <v>lb/ton</v>
          </cell>
          <cell r="H62">
            <v>0.65789473684210531</v>
          </cell>
          <cell r="I62">
            <v>0.31052631578947371</v>
          </cell>
          <cell r="J62">
            <v>0.61184210526315785</v>
          </cell>
          <cell r="K62">
            <v>0.5256578947368421</v>
          </cell>
          <cell r="L62">
            <v>0.5256578947368421</v>
          </cell>
          <cell r="M62">
            <v>8.3286184210526332E-2</v>
          </cell>
          <cell r="N62">
            <v>8.5904605263157894</v>
          </cell>
        </row>
        <row r="63">
          <cell r="B63" t="str">
            <v>WasteOil</v>
          </cell>
          <cell r="C63" t="str">
            <v>2102012000</v>
          </cell>
          <cell r="D63" t="str">
            <v>-</v>
          </cell>
          <cell r="F63" t="str">
            <v>Fuel Oil #2</v>
          </cell>
          <cell r="G63" t="str">
            <v>lb/1000 gal</v>
          </cell>
          <cell r="H63">
            <v>7.2202166064981952E-3</v>
          </cell>
          <cell r="I63">
            <v>0.37693099395384777</v>
          </cell>
          <cell r="J63">
            <v>0.26689697964980835</v>
          </cell>
          <cell r="K63">
            <v>3.7575325985579236E-2</v>
          </cell>
          <cell r="L63">
            <v>3.7575325985579236E-2</v>
          </cell>
          <cell r="M63">
            <v>2.6269078644246729E-4</v>
          </cell>
          <cell r="N63">
            <v>8.9732121756607122E-2</v>
          </cell>
        </row>
        <row r="64">
          <cell r="B64" t="str">
            <v>Coal-Com</v>
          </cell>
          <cell r="C64">
            <v>2103002000</v>
          </cell>
          <cell r="D64">
            <v>0</v>
          </cell>
          <cell r="F64" t="str">
            <v>Coal</v>
          </cell>
          <cell r="G64" t="str">
            <v>lb/ton</v>
          </cell>
          <cell r="H64">
            <v>0.65789473684210531</v>
          </cell>
          <cell r="I64">
            <v>0.31052631578947371</v>
          </cell>
          <cell r="J64">
            <v>0.61184210526315785</v>
          </cell>
          <cell r="K64">
            <v>0.5256578947368421</v>
          </cell>
          <cell r="L64">
            <v>0.5256578947368421</v>
          </cell>
          <cell r="M64">
            <v>8.3286184210526332E-2</v>
          </cell>
          <cell r="N64">
            <v>8.5904605263157894</v>
          </cell>
        </row>
        <row r="65">
          <cell r="B65" t="str">
            <v>Wood-Com</v>
          </cell>
          <cell r="C65">
            <v>2103008000</v>
          </cell>
          <cell r="D65">
            <v>0</v>
          </cell>
          <cell r="F65" t="str">
            <v>Using device-specific emission factors from residential wood group above</v>
          </cell>
          <cell r="G65">
            <v>0</v>
          </cell>
          <cell r="H65">
            <v>0</v>
          </cell>
          <cell r="I65">
            <v>0</v>
          </cell>
          <cell r="J65">
            <v>0</v>
          </cell>
          <cell r="K65">
            <v>0</v>
          </cell>
          <cell r="L65">
            <v>0</v>
          </cell>
          <cell r="M65">
            <v>0</v>
          </cell>
          <cell r="N65">
            <v>0</v>
          </cell>
        </row>
        <row r="66">
          <cell r="B66" t="str">
            <v>-</v>
          </cell>
          <cell r="C66" t="str">
            <v>-</v>
          </cell>
          <cell r="D66" t="str">
            <v>-</v>
          </cell>
        </row>
      </sheetData>
      <sheetData sheetId="16"/>
      <sheetData sheetId="17"/>
      <sheetData sheetId="18"/>
      <sheetData sheetId="19">
        <row r="33">
          <cell r="Z33">
            <v>2.638428271391045</v>
          </cell>
        </row>
      </sheetData>
      <sheetData sheetId="20"/>
      <sheetData sheetId="21"/>
      <sheetData sheetId="22"/>
      <sheetData sheetId="23"/>
      <sheetData sheetId="24">
        <row r="16">
          <cell r="N16">
            <v>-3.4931623931623661</v>
          </cell>
        </row>
        <row r="17">
          <cell r="N17">
            <v>0</v>
          </cell>
        </row>
      </sheetData>
      <sheetData sheetId="25">
        <row r="5">
          <cell r="A5" t="str">
            <v>E1D01</v>
          </cell>
          <cell r="B5">
            <v>39470</v>
          </cell>
          <cell r="C5" t="str">
            <v>2008-E1</v>
          </cell>
          <cell r="D5">
            <v>39470</v>
          </cell>
          <cell r="E5" t="str">
            <v>WD</v>
          </cell>
          <cell r="F5">
            <v>5.875</v>
          </cell>
          <cell r="G5">
            <v>9.0135767161205926</v>
          </cell>
          <cell r="H5">
            <v>-10</v>
          </cell>
          <cell r="I5">
            <v>21</v>
          </cell>
          <cell r="J5">
            <v>21</v>
          </cell>
          <cell r="K5">
            <v>21</v>
          </cell>
          <cell r="L5">
            <v>21</v>
          </cell>
          <cell r="M5">
            <v>19</v>
          </cell>
          <cell r="N5">
            <v>16</v>
          </cell>
          <cell r="O5">
            <v>14</v>
          </cell>
          <cell r="P5">
            <v>12</v>
          </cell>
          <cell r="Q5">
            <v>9</v>
          </cell>
          <cell r="R5">
            <v>7</v>
          </cell>
          <cell r="S5">
            <v>7</v>
          </cell>
          <cell r="T5">
            <v>5</v>
          </cell>
          <cell r="U5">
            <v>3</v>
          </cell>
          <cell r="V5">
            <v>3</v>
          </cell>
          <cell r="W5">
            <v>3</v>
          </cell>
          <cell r="X5">
            <v>2</v>
          </cell>
          <cell r="Y5">
            <v>1</v>
          </cell>
          <cell r="Z5">
            <v>1</v>
          </cell>
          <cell r="AA5">
            <v>1</v>
          </cell>
          <cell r="AB5">
            <v>0</v>
          </cell>
          <cell r="AC5">
            <v>-1</v>
          </cell>
          <cell r="AD5">
            <v>-2</v>
          </cell>
          <cell r="AE5">
            <v>-7</v>
          </cell>
          <cell r="AF5">
            <v>-5</v>
          </cell>
          <cell r="AG5">
            <v>-10</v>
          </cell>
        </row>
        <row r="6">
          <cell r="A6" t="str">
            <v>E1D02</v>
          </cell>
          <cell r="B6">
            <v>39471</v>
          </cell>
          <cell r="C6" t="str">
            <v>2008-E1</v>
          </cell>
          <cell r="D6">
            <v>39471</v>
          </cell>
          <cell r="E6" t="str">
            <v>WD</v>
          </cell>
          <cell r="F6">
            <v>-14.416666666666666</v>
          </cell>
          <cell r="G6">
            <v>8.048314253235926</v>
          </cell>
          <cell r="H6">
            <v>-26</v>
          </cell>
          <cell r="I6">
            <v>-3</v>
          </cell>
          <cell r="J6">
            <v>-10</v>
          </cell>
          <cell r="K6">
            <v>-12</v>
          </cell>
          <cell r="L6">
            <v>-17</v>
          </cell>
          <cell r="M6">
            <v>-19</v>
          </cell>
          <cell r="N6">
            <v>-23</v>
          </cell>
          <cell r="O6">
            <v>-23</v>
          </cell>
          <cell r="P6">
            <v>-25</v>
          </cell>
          <cell r="Q6">
            <v>-26</v>
          </cell>
          <cell r="R6">
            <v>-26</v>
          </cell>
          <cell r="S6">
            <v>-25</v>
          </cell>
          <cell r="T6">
            <v>-25</v>
          </cell>
          <cell r="U6">
            <v>-17</v>
          </cell>
          <cell r="V6">
            <v>-17</v>
          </cell>
          <cell r="W6">
            <v>-16</v>
          </cell>
          <cell r="X6">
            <v>-11</v>
          </cell>
          <cell r="Y6">
            <v>-8</v>
          </cell>
          <cell r="Z6">
            <v>-7</v>
          </cell>
          <cell r="AA6">
            <v>-7</v>
          </cell>
          <cell r="AB6">
            <v>-7</v>
          </cell>
          <cell r="AC6">
            <v>-7</v>
          </cell>
          <cell r="AD6">
            <v>-5</v>
          </cell>
          <cell r="AE6">
            <v>-5</v>
          </cell>
          <cell r="AF6">
            <v>-5</v>
          </cell>
          <cell r="AG6">
            <v>-3</v>
          </cell>
        </row>
        <row r="7">
          <cell r="A7" t="str">
            <v>E1D03</v>
          </cell>
          <cell r="B7">
            <v>39472</v>
          </cell>
          <cell r="C7" t="str">
            <v>2008-E1</v>
          </cell>
          <cell r="D7">
            <v>39472</v>
          </cell>
          <cell r="E7" t="str">
            <v>WD</v>
          </cell>
          <cell r="F7">
            <v>-9</v>
          </cell>
          <cell r="G7">
            <v>11.037485535959798</v>
          </cell>
          <cell r="H7">
            <v>-28</v>
          </cell>
          <cell r="I7">
            <v>0</v>
          </cell>
          <cell r="J7">
            <v>-1</v>
          </cell>
          <cell r="K7">
            <v>-1</v>
          </cell>
          <cell r="L7">
            <v>0</v>
          </cell>
          <cell r="M7">
            <v>0</v>
          </cell>
          <cell r="N7">
            <v>0</v>
          </cell>
          <cell r="O7">
            <v>0</v>
          </cell>
          <cell r="P7">
            <v>0</v>
          </cell>
          <cell r="Q7">
            <v>0</v>
          </cell>
          <cell r="R7">
            <v>0</v>
          </cell>
          <cell r="S7">
            <v>0</v>
          </cell>
          <cell r="T7">
            <v>0</v>
          </cell>
          <cell r="U7">
            <v>-1</v>
          </cell>
          <cell r="V7">
            <v>-1</v>
          </cell>
          <cell r="W7">
            <v>-5</v>
          </cell>
          <cell r="X7">
            <v>-9</v>
          </cell>
          <cell r="Y7">
            <v>-12</v>
          </cell>
          <cell r="Z7">
            <v>-14</v>
          </cell>
          <cell r="AA7">
            <v>-19</v>
          </cell>
          <cell r="AB7">
            <v>-21</v>
          </cell>
          <cell r="AC7">
            <v>-28</v>
          </cell>
          <cell r="AD7">
            <v>-25</v>
          </cell>
          <cell r="AE7">
            <v>-25</v>
          </cell>
          <cell r="AF7">
            <v>-26</v>
          </cell>
          <cell r="AG7">
            <v>-28</v>
          </cell>
        </row>
        <row r="8">
          <cell r="A8" t="str">
            <v>E1D04</v>
          </cell>
          <cell r="B8">
            <v>39473</v>
          </cell>
          <cell r="C8" t="str">
            <v>2008-E1</v>
          </cell>
          <cell r="D8">
            <v>39473</v>
          </cell>
          <cell r="E8" t="str">
            <v>WE</v>
          </cell>
          <cell r="F8">
            <v>-34.625</v>
          </cell>
          <cell r="G8">
            <v>4.5090488730030893</v>
          </cell>
          <cell r="H8">
            <v>-41</v>
          </cell>
          <cell r="I8">
            <v>-25</v>
          </cell>
          <cell r="J8">
            <v>-32</v>
          </cell>
          <cell r="K8">
            <v>-35</v>
          </cell>
          <cell r="L8">
            <v>-33</v>
          </cell>
          <cell r="M8">
            <v>-37</v>
          </cell>
          <cell r="N8">
            <v>-37</v>
          </cell>
          <cell r="O8">
            <v>-41</v>
          </cell>
          <cell r="P8">
            <v>-35</v>
          </cell>
          <cell r="Q8">
            <v>-37</v>
          </cell>
          <cell r="R8">
            <v>-41</v>
          </cell>
          <cell r="S8">
            <v>-37</v>
          </cell>
          <cell r="T8">
            <v>-34</v>
          </cell>
          <cell r="U8">
            <v>-34</v>
          </cell>
          <cell r="V8">
            <v>-32</v>
          </cell>
          <cell r="W8">
            <v>-25</v>
          </cell>
          <cell r="X8">
            <v>-25</v>
          </cell>
          <cell r="Y8">
            <v>-26</v>
          </cell>
          <cell r="Z8">
            <v>-32</v>
          </cell>
          <cell r="AA8">
            <v>-34</v>
          </cell>
          <cell r="AB8">
            <v>-35</v>
          </cell>
          <cell r="AC8">
            <v>-35</v>
          </cell>
          <cell r="AD8">
            <v>-35</v>
          </cell>
          <cell r="AE8">
            <v>-39</v>
          </cell>
          <cell r="AF8">
            <v>-41</v>
          </cell>
          <cell r="AG8">
            <v>-39</v>
          </cell>
        </row>
        <row r="9">
          <cell r="A9" t="str">
            <v>E1D05</v>
          </cell>
          <cell r="B9">
            <v>39474</v>
          </cell>
          <cell r="C9" t="str">
            <v>2008-E1</v>
          </cell>
          <cell r="D9">
            <v>39474</v>
          </cell>
          <cell r="E9" t="str">
            <v>WE</v>
          </cell>
          <cell r="F9">
            <v>-27.375</v>
          </cell>
          <cell r="G9">
            <v>11.247463482163822</v>
          </cell>
          <cell r="H9">
            <v>-41</v>
          </cell>
          <cell r="I9">
            <v>-12</v>
          </cell>
          <cell r="J9">
            <v>-37</v>
          </cell>
          <cell r="K9">
            <v>-39</v>
          </cell>
          <cell r="L9">
            <v>-38</v>
          </cell>
          <cell r="M9">
            <v>-37</v>
          </cell>
          <cell r="N9">
            <v>-39</v>
          </cell>
          <cell r="O9">
            <v>-41</v>
          </cell>
          <cell r="P9">
            <v>-41</v>
          </cell>
          <cell r="Q9">
            <v>-41</v>
          </cell>
          <cell r="R9">
            <v>-39</v>
          </cell>
          <cell r="S9">
            <v>-37</v>
          </cell>
          <cell r="T9">
            <v>-35</v>
          </cell>
          <cell r="U9">
            <v>-30</v>
          </cell>
          <cell r="V9">
            <v>-26</v>
          </cell>
          <cell r="W9">
            <v>-21</v>
          </cell>
          <cell r="X9">
            <v>-18</v>
          </cell>
          <cell r="Y9">
            <v>-16</v>
          </cell>
          <cell r="Z9">
            <v>-14</v>
          </cell>
          <cell r="AA9">
            <v>-12</v>
          </cell>
          <cell r="AB9">
            <v>-12</v>
          </cell>
          <cell r="AC9">
            <v>-14</v>
          </cell>
          <cell r="AD9">
            <v>-15</v>
          </cell>
          <cell r="AE9">
            <v>-17</v>
          </cell>
          <cell r="AF9">
            <v>-19</v>
          </cell>
          <cell r="AG9">
            <v>-19</v>
          </cell>
        </row>
        <row r="10">
          <cell r="A10" t="str">
            <v>E1D06</v>
          </cell>
          <cell r="B10">
            <v>39475</v>
          </cell>
          <cell r="C10" t="str">
            <v>2008-E1</v>
          </cell>
          <cell r="D10">
            <v>39475</v>
          </cell>
          <cell r="E10" t="str">
            <v>WD</v>
          </cell>
          <cell r="F10">
            <v>-11.625</v>
          </cell>
          <cell r="G10">
            <v>5.0114000473702562</v>
          </cell>
          <cell r="H10">
            <v>-23</v>
          </cell>
          <cell r="I10">
            <v>-7</v>
          </cell>
          <cell r="J10">
            <v>-16</v>
          </cell>
          <cell r="K10">
            <v>-14</v>
          </cell>
          <cell r="L10">
            <v>-10</v>
          </cell>
          <cell r="M10">
            <v>-8</v>
          </cell>
          <cell r="N10">
            <v>-8</v>
          </cell>
          <cell r="O10">
            <v>-8</v>
          </cell>
          <cell r="P10">
            <v>-7</v>
          </cell>
          <cell r="Q10">
            <v>-7</v>
          </cell>
          <cell r="R10">
            <v>-7</v>
          </cell>
          <cell r="S10">
            <v>-7</v>
          </cell>
          <cell r="T10">
            <v>-7</v>
          </cell>
          <cell r="U10">
            <v>-8</v>
          </cell>
          <cell r="V10">
            <v>-8</v>
          </cell>
          <cell r="W10">
            <v>-8</v>
          </cell>
          <cell r="X10">
            <v>-9</v>
          </cell>
          <cell r="Y10">
            <v>-10</v>
          </cell>
          <cell r="Z10">
            <v>-14</v>
          </cell>
          <cell r="AA10">
            <v>-14</v>
          </cell>
          <cell r="AB10">
            <v>-16</v>
          </cell>
          <cell r="AC10">
            <v>-14</v>
          </cell>
          <cell r="AD10">
            <v>-14</v>
          </cell>
          <cell r="AE10">
            <v>-19</v>
          </cell>
          <cell r="AF10">
            <v>-23</v>
          </cell>
          <cell r="AG10">
            <v>-23</v>
          </cell>
        </row>
        <row r="11">
          <cell r="A11" t="str">
            <v>E1D07</v>
          </cell>
          <cell r="B11">
            <v>39476</v>
          </cell>
          <cell r="C11" t="str">
            <v>2008-E1</v>
          </cell>
          <cell r="D11">
            <v>39476</v>
          </cell>
          <cell r="E11" t="str">
            <v>WD</v>
          </cell>
          <cell r="F11">
            <v>-24.291666666666668</v>
          </cell>
          <cell r="G11">
            <v>2.3121449982113198</v>
          </cell>
          <cell r="H11">
            <v>-28</v>
          </cell>
          <cell r="I11">
            <v>-19</v>
          </cell>
          <cell r="J11">
            <v>-26</v>
          </cell>
          <cell r="K11">
            <v>-23</v>
          </cell>
          <cell r="L11">
            <v>-28</v>
          </cell>
          <cell r="M11">
            <v>-25</v>
          </cell>
          <cell r="N11">
            <v>-23</v>
          </cell>
          <cell r="O11">
            <v>-23</v>
          </cell>
          <cell r="P11">
            <v>-26</v>
          </cell>
          <cell r="Q11">
            <v>-26</v>
          </cell>
          <cell r="R11">
            <v>-27</v>
          </cell>
          <cell r="S11">
            <v>-26</v>
          </cell>
          <cell r="T11">
            <v>-26</v>
          </cell>
          <cell r="U11">
            <v>-26</v>
          </cell>
          <cell r="V11">
            <v>-23</v>
          </cell>
          <cell r="W11">
            <v>-21</v>
          </cell>
          <cell r="X11">
            <v>-20</v>
          </cell>
          <cell r="Y11">
            <v>-19</v>
          </cell>
          <cell r="Z11">
            <v>-21</v>
          </cell>
          <cell r="AA11">
            <v>-23</v>
          </cell>
          <cell r="AB11">
            <v>-25</v>
          </cell>
          <cell r="AC11">
            <v>-25</v>
          </cell>
          <cell r="AD11">
            <v>-24</v>
          </cell>
          <cell r="AE11">
            <v>-25</v>
          </cell>
          <cell r="AF11">
            <v>-26</v>
          </cell>
          <cell r="AG11">
            <v>-26</v>
          </cell>
        </row>
        <row r="12">
          <cell r="A12" t="str">
            <v>E1D08</v>
          </cell>
          <cell r="B12">
            <v>39477</v>
          </cell>
          <cell r="C12" t="str">
            <v>2008-E1</v>
          </cell>
          <cell r="D12">
            <v>39477</v>
          </cell>
          <cell r="E12" t="str">
            <v>WD</v>
          </cell>
          <cell r="F12">
            <v>-22</v>
          </cell>
          <cell r="G12">
            <v>4.211784708978203</v>
          </cell>
          <cell r="H12">
            <v>-26</v>
          </cell>
          <cell r="I12">
            <v>-14</v>
          </cell>
          <cell r="J12">
            <v>-25</v>
          </cell>
          <cell r="K12">
            <v>-25</v>
          </cell>
          <cell r="L12">
            <v>-24</v>
          </cell>
          <cell r="M12">
            <v>-25</v>
          </cell>
          <cell r="N12">
            <v>-26</v>
          </cell>
          <cell r="O12">
            <v>-25</v>
          </cell>
          <cell r="P12">
            <v>-25</v>
          </cell>
          <cell r="Q12">
            <v>-26</v>
          </cell>
          <cell r="R12">
            <v>-25</v>
          </cell>
          <cell r="S12">
            <v>-25</v>
          </cell>
          <cell r="T12">
            <v>-25</v>
          </cell>
          <cell r="U12">
            <v>-25</v>
          </cell>
          <cell r="V12">
            <v>-21</v>
          </cell>
          <cell r="W12">
            <v>-19</v>
          </cell>
          <cell r="X12">
            <v>-18</v>
          </cell>
          <cell r="Y12">
            <v>-17</v>
          </cell>
          <cell r="Z12">
            <v>-23</v>
          </cell>
          <cell r="AA12">
            <v>-26</v>
          </cell>
          <cell r="AB12">
            <v>-25</v>
          </cell>
          <cell r="AC12">
            <v>-17</v>
          </cell>
          <cell r="AD12">
            <v>-17</v>
          </cell>
          <cell r="AE12">
            <v>-16</v>
          </cell>
          <cell r="AF12">
            <v>-14</v>
          </cell>
          <cell r="AG12">
            <v>-14</v>
          </cell>
        </row>
        <row r="13">
          <cell r="A13" t="str">
            <v>E1D09</v>
          </cell>
          <cell r="B13">
            <v>39478</v>
          </cell>
          <cell r="C13" t="str">
            <v>2008-E1</v>
          </cell>
          <cell r="D13">
            <v>39478</v>
          </cell>
          <cell r="E13" t="str">
            <v>WD</v>
          </cell>
          <cell r="F13">
            <v>-9.0833333333333339</v>
          </cell>
          <cell r="G13">
            <v>2.357534944490272</v>
          </cell>
          <cell r="H13">
            <v>-14</v>
          </cell>
          <cell r="I13">
            <v>-5</v>
          </cell>
          <cell r="J13">
            <v>-14</v>
          </cell>
          <cell r="K13">
            <v>-14</v>
          </cell>
          <cell r="L13">
            <v>-13</v>
          </cell>
          <cell r="M13">
            <v>-12</v>
          </cell>
          <cell r="N13">
            <v>-10</v>
          </cell>
          <cell r="O13">
            <v>-10</v>
          </cell>
          <cell r="P13">
            <v>-10</v>
          </cell>
          <cell r="Q13">
            <v>-10</v>
          </cell>
          <cell r="R13">
            <v>-10</v>
          </cell>
          <cell r="S13">
            <v>-10</v>
          </cell>
          <cell r="T13">
            <v>-8</v>
          </cell>
          <cell r="U13">
            <v>-8</v>
          </cell>
          <cell r="V13">
            <v>-8</v>
          </cell>
          <cell r="W13">
            <v>-7</v>
          </cell>
          <cell r="X13">
            <v>-7</v>
          </cell>
          <cell r="Y13">
            <v>-7</v>
          </cell>
          <cell r="Z13">
            <v>-7</v>
          </cell>
          <cell r="AA13">
            <v>-8</v>
          </cell>
          <cell r="AB13">
            <v>-8</v>
          </cell>
          <cell r="AC13">
            <v>-10</v>
          </cell>
          <cell r="AD13">
            <v>-8</v>
          </cell>
          <cell r="AE13">
            <v>-7</v>
          </cell>
          <cell r="AF13">
            <v>-7</v>
          </cell>
          <cell r="AG13">
            <v>-5</v>
          </cell>
        </row>
        <row r="14">
          <cell r="A14" t="str">
            <v>E1D10</v>
          </cell>
          <cell r="B14">
            <v>39479</v>
          </cell>
          <cell r="C14" t="str">
            <v>2008-E1</v>
          </cell>
          <cell r="D14">
            <v>39479</v>
          </cell>
          <cell r="E14" t="str">
            <v>WD</v>
          </cell>
          <cell r="F14">
            <v>-6.416666666666667</v>
          </cell>
          <cell r="G14">
            <v>1.4719601443879751</v>
          </cell>
          <cell r="H14">
            <v>-10</v>
          </cell>
          <cell r="I14">
            <v>-4</v>
          </cell>
          <cell r="J14">
            <v>-5</v>
          </cell>
          <cell r="K14">
            <v>-5</v>
          </cell>
          <cell r="L14">
            <v>-7</v>
          </cell>
          <cell r="M14">
            <v>-7</v>
          </cell>
          <cell r="N14">
            <v>-7</v>
          </cell>
          <cell r="O14">
            <v>-7</v>
          </cell>
          <cell r="P14">
            <v>-5</v>
          </cell>
          <cell r="Q14">
            <v>-7</v>
          </cell>
          <cell r="R14">
            <v>-7</v>
          </cell>
          <cell r="S14">
            <v>-8</v>
          </cell>
          <cell r="T14">
            <v>-7</v>
          </cell>
          <cell r="U14">
            <v>-5</v>
          </cell>
          <cell r="V14">
            <v>-5</v>
          </cell>
          <cell r="W14">
            <v>-5</v>
          </cell>
          <cell r="X14">
            <v>-4</v>
          </cell>
          <cell r="Y14">
            <v>-5</v>
          </cell>
          <cell r="Z14">
            <v>-5</v>
          </cell>
          <cell r="AA14">
            <v>-5</v>
          </cell>
          <cell r="AB14">
            <v>-7</v>
          </cell>
          <cell r="AC14">
            <v>-7</v>
          </cell>
          <cell r="AD14">
            <v>-8</v>
          </cell>
          <cell r="AE14">
            <v>-10</v>
          </cell>
          <cell r="AF14">
            <v>-8</v>
          </cell>
          <cell r="AG14">
            <v>-8</v>
          </cell>
        </row>
        <row r="15">
          <cell r="A15" t="str">
            <v>E1D11</v>
          </cell>
          <cell r="B15">
            <v>39480</v>
          </cell>
          <cell r="C15" t="str">
            <v>2008-E1</v>
          </cell>
          <cell r="D15">
            <v>39480</v>
          </cell>
          <cell r="E15" t="str">
            <v>WE</v>
          </cell>
          <cell r="F15">
            <v>-13.416666666666666</v>
          </cell>
          <cell r="G15">
            <v>6.807391549642559</v>
          </cell>
          <cell r="H15">
            <v>-28</v>
          </cell>
          <cell r="I15">
            <v>-7</v>
          </cell>
          <cell r="J15">
            <v>-8</v>
          </cell>
          <cell r="K15">
            <v>-8</v>
          </cell>
          <cell r="L15">
            <v>-7</v>
          </cell>
          <cell r="M15">
            <v>-8</v>
          </cell>
          <cell r="N15">
            <v>-8</v>
          </cell>
          <cell r="O15">
            <v>-8</v>
          </cell>
          <cell r="P15">
            <v>-8</v>
          </cell>
          <cell r="Q15">
            <v>-8</v>
          </cell>
          <cell r="R15">
            <v>-9</v>
          </cell>
          <cell r="S15">
            <v>-10</v>
          </cell>
          <cell r="T15">
            <v>-12</v>
          </cell>
          <cell r="U15">
            <v>-10</v>
          </cell>
          <cell r="V15">
            <v>-10</v>
          </cell>
          <cell r="W15">
            <v>-10</v>
          </cell>
          <cell r="X15">
            <v>-11</v>
          </cell>
          <cell r="Y15">
            <v>-12</v>
          </cell>
          <cell r="Z15">
            <v>-14</v>
          </cell>
          <cell r="AA15">
            <v>-17</v>
          </cell>
          <cell r="AB15">
            <v>-19</v>
          </cell>
          <cell r="AC15">
            <v>-21</v>
          </cell>
          <cell r="AD15">
            <v>-24</v>
          </cell>
          <cell r="AE15">
            <v>-26</v>
          </cell>
          <cell r="AF15">
            <v>-26</v>
          </cell>
          <cell r="AG15">
            <v>-28</v>
          </cell>
        </row>
        <row r="16">
          <cell r="A16" t="str">
            <v>E1D12</v>
          </cell>
          <cell r="B16">
            <v>39481</v>
          </cell>
          <cell r="C16" t="str">
            <v>2008-E1</v>
          </cell>
          <cell r="D16">
            <v>39481</v>
          </cell>
          <cell r="E16" t="str">
            <v>WE</v>
          </cell>
          <cell r="F16">
            <v>-25.791666666666668</v>
          </cell>
          <cell r="G16">
            <v>5.5870904512227968</v>
          </cell>
          <cell r="H16">
            <v>-37</v>
          </cell>
          <cell r="I16">
            <v>-19</v>
          </cell>
          <cell r="J16">
            <v>-25</v>
          </cell>
          <cell r="K16">
            <v>-23</v>
          </cell>
          <cell r="L16">
            <v>-23</v>
          </cell>
          <cell r="M16">
            <v>-23</v>
          </cell>
          <cell r="N16">
            <v>-23</v>
          </cell>
          <cell r="O16">
            <v>-21</v>
          </cell>
          <cell r="P16">
            <v>-23</v>
          </cell>
          <cell r="Q16">
            <v>-21</v>
          </cell>
          <cell r="R16">
            <v>-23</v>
          </cell>
          <cell r="S16">
            <v>-23</v>
          </cell>
          <cell r="T16">
            <v>-25</v>
          </cell>
          <cell r="U16">
            <v>-23</v>
          </cell>
          <cell r="V16">
            <v>-23</v>
          </cell>
          <cell r="W16">
            <v>-23</v>
          </cell>
          <cell r="X16">
            <v>-19</v>
          </cell>
          <cell r="Y16">
            <v>-19</v>
          </cell>
          <cell r="Z16">
            <v>-23</v>
          </cell>
          <cell r="AA16">
            <v>-28</v>
          </cell>
          <cell r="AB16">
            <v>-32</v>
          </cell>
          <cell r="AC16">
            <v>-34</v>
          </cell>
          <cell r="AD16">
            <v>-36</v>
          </cell>
          <cell r="AE16">
            <v>-35</v>
          </cell>
          <cell r="AF16">
            <v>-34</v>
          </cell>
          <cell r="AG16">
            <v>-37</v>
          </cell>
        </row>
        <row r="17">
          <cell r="A17" t="str">
            <v>E1D13</v>
          </cell>
          <cell r="B17">
            <v>39482</v>
          </cell>
          <cell r="C17" t="str">
            <v>2008-E1</v>
          </cell>
          <cell r="D17">
            <v>39482</v>
          </cell>
          <cell r="E17" t="str">
            <v>WD</v>
          </cell>
          <cell r="F17">
            <v>-36.75</v>
          </cell>
          <cell r="G17">
            <v>4.4648384750957844</v>
          </cell>
          <cell r="H17">
            <v>-43</v>
          </cell>
          <cell r="I17">
            <v>-28</v>
          </cell>
          <cell r="J17">
            <v>-37</v>
          </cell>
          <cell r="K17">
            <v>-37</v>
          </cell>
          <cell r="L17">
            <v>-37</v>
          </cell>
          <cell r="M17">
            <v>-37</v>
          </cell>
          <cell r="N17">
            <v>-37</v>
          </cell>
          <cell r="O17">
            <v>-41</v>
          </cell>
          <cell r="P17">
            <v>-43</v>
          </cell>
          <cell r="Q17">
            <v>-41</v>
          </cell>
          <cell r="R17">
            <v>-41</v>
          </cell>
          <cell r="S17">
            <v>-43</v>
          </cell>
          <cell r="T17">
            <v>-37</v>
          </cell>
          <cell r="U17">
            <v>-37</v>
          </cell>
          <cell r="V17">
            <v>-32</v>
          </cell>
          <cell r="W17">
            <v>-28</v>
          </cell>
          <cell r="X17">
            <v>-29</v>
          </cell>
          <cell r="Y17">
            <v>-28</v>
          </cell>
          <cell r="Z17">
            <v>-30</v>
          </cell>
          <cell r="AA17">
            <v>-35</v>
          </cell>
          <cell r="AB17">
            <v>-37</v>
          </cell>
          <cell r="AC17">
            <v>-37</v>
          </cell>
          <cell r="AD17">
            <v>-37</v>
          </cell>
          <cell r="AE17">
            <v>-39</v>
          </cell>
          <cell r="AF17">
            <v>-41</v>
          </cell>
          <cell r="AG17">
            <v>-41</v>
          </cell>
        </row>
        <row r="18">
          <cell r="A18" t="str">
            <v>E1D14</v>
          </cell>
          <cell r="B18">
            <v>39483</v>
          </cell>
          <cell r="C18" t="str">
            <v>2008-E1</v>
          </cell>
          <cell r="D18">
            <v>39483</v>
          </cell>
          <cell r="E18" t="str">
            <v>WD</v>
          </cell>
          <cell r="F18">
            <v>-39.041666666666664</v>
          </cell>
          <cell r="G18">
            <v>5.0689092100480799</v>
          </cell>
          <cell r="H18">
            <v>-44</v>
          </cell>
          <cell r="I18">
            <v>-28</v>
          </cell>
          <cell r="J18">
            <v>-43</v>
          </cell>
          <cell r="K18">
            <v>-43</v>
          </cell>
          <cell r="L18">
            <v>-41</v>
          </cell>
          <cell r="M18">
            <v>-43</v>
          </cell>
          <cell r="N18">
            <v>-43</v>
          </cell>
          <cell r="O18">
            <v>-44</v>
          </cell>
          <cell r="P18">
            <v>-43</v>
          </cell>
          <cell r="Q18">
            <v>-43</v>
          </cell>
          <cell r="R18">
            <v>-44</v>
          </cell>
          <cell r="S18">
            <v>-43</v>
          </cell>
          <cell r="T18">
            <v>-43</v>
          </cell>
          <cell r="U18">
            <v>-37</v>
          </cell>
          <cell r="V18">
            <v>-35</v>
          </cell>
          <cell r="W18">
            <v>-32</v>
          </cell>
          <cell r="X18">
            <v>-28</v>
          </cell>
          <cell r="Y18">
            <v>-28</v>
          </cell>
          <cell r="Z18">
            <v>-32</v>
          </cell>
          <cell r="AA18">
            <v>-35</v>
          </cell>
          <cell r="AB18">
            <v>-37</v>
          </cell>
          <cell r="AC18">
            <v>-37</v>
          </cell>
          <cell r="AD18">
            <v>-38</v>
          </cell>
          <cell r="AE18">
            <v>-41</v>
          </cell>
          <cell r="AF18">
            <v>-43</v>
          </cell>
          <cell r="AG18">
            <v>-41</v>
          </cell>
        </row>
        <row r="19">
          <cell r="A19" t="str">
            <v>E1D15</v>
          </cell>
          <cell r="B19">
            <v>39484</v>
          </cell>
          <cell r="C19" t="str">
            <v>2008-E1</v>
          </cell>
          <cell r="D19">
            <v>39484</v>
          </cell>
          <cell r="E19" t="str">
            <v>WD</v>
          </cell>
          <cell r="F19">
            <v>-39.791666666666664</v>
          </cell>
          <cell r="G19">
            <v>4.7363457448219357</v>
          </cell>
          <cell r="H19">
            <v>-44</v>
          </cell>
          <cell r="I19">
            <v>-29</v>
          </cell>
          <cell r="J19">
            <v>-43</v>
          </cell>
          <cell r="K19">
            <v>-43</v>
          </cell>
          <cell r="L19">
            <v>-42</v>
          </cell>
          <cell r="M19">
            <v>-43</v>
          </cell>
          <cell r="N19">
            <v>-43</v>
          </cell>
          <cell r="O19">
            <v>-43</v>
          </cell>
          <cell r="P19">
            <v>-43</v>
          </cell>
          <cell r="Q19">
            <v>-44</v>
          </cell>
          <cell r="R19">
            <v>-44</v>
          </cell>
          <cell r="S19">
            <v>-43</v>
          </cell>
          <cell r="T19">
            <v>-43</v>
          </cell>
          <cell r="U19">
            <v>-37</v>
          </cell>
          <cell r="V19">
            <v>-34</v>
          </cell>
          <cell r="W19">
            <v>-35</v>
          </cell>
          <cell r="X19">
            <v>-29</v>
          </cell>
          <cell r="Y19">
            <v>-30</v>
          </cell>
          <cell r="Z19">
            <v>-32</v>
          </cell>
          <cell r="AA19">
            <v>-37</v>
          </cell>
          <cell r="AB19">
            <v>-41</v>
          </cell>
          <cell r="AC19">
            <v>-37</v>
          </cell>
          <cell r="AD19">
            <v>-39</v>
          </cell>
          <cell r="AE19">
            <v>-43</v>
          </cell>
          <cell r="AF19">
            <v>-43</v>
          </cell>
          <cell r="AG19">
            <v>-44</v>
          </cell>
        </row>
        <row r="20">
          <cell r="A20" t="str">
            <v>E1D16</v>
          </cell>
          <cell r="B20">
            <v>39485</v>
          </cell>
          <cell r="C20" t="str">
            <v>2008-E1</v>
          </cell>
          <cell r="D20">
            <v>39485</v>
          </cell>
          <cell r="E20" t="str">
            <v>WD</v>
          </cell>
          <cell r="F20">
            <v>-38.958333333333336</v>
          </cell>
          <cell r="G20">
            <v>4.8137408996824353</v>
          </cell>
          <cell r="H20">
            <v>-44</v>
          </cell>
          <cell r="I20">
            <v>-30</v>
          </cell>
          <cell r="J20">
            <v>-44</v>
          </cell>
          <cell r="K20">
            <v>-44</v>
          </cell>
          <cell r="L20">
            <v>-44</v>
          </cell>
          <cell r="M20">
            <v>-44</v>
          </cell>
          <cell r="N20">
            <v>-44</v>
          </cell>
          <cell r="O20">
            <v>-43</v>
          </cell>
          <cell r="P20">
            <v>-43</v>
          </cell>
          <cell r="Q20">
            <v>-44</v>
          </cell>
          <cell r="R20">
            <v>-44</v>
          </cell>
          <cell r="S20">
            <v>-43</v>
          </cell>
          <cell r="T20">
            <v>-43</v>
          </cell>
          <cell r="U20">
            <v>-37</v>
          </cell>
          <cell r="V20">
            <v>-37</v>
          </cell>
          <cell r="W20">
            <v>-34</v>
          </cell>
          <cell r="X20">
            <v>-30</v>
          </cell>
          <cell r="Y20">
            <v>-30</v>
          </cell>
          <cell r="Z20">
            <v>-34</v>
          </cell>
          <cell r="AA20">
            <v>-35</v>
          </cell>
          <cell r="AB20">
            <v>-34</v>
          </cell>
          <cell r="AC20">
            <v>-35</v>
          </cell>
          <cell r="AD20">
            <v>-36</v>
          </cell>
          <cell r="AE20">
            <v>-37</v>
          </cell>
          <cell r="AF20">
            <v>-37</v>
          </cell>
          <cell r="AG20">
            <v>-39</v>
          </cell>
        </row>
        <row r="21">
          <cell r="A21" t="str">
            <v>E1D17</v>
          </cell>
          <cell r="B21">
            <v>39486</v>
          </cell>
          <cell r="C21" t="str">
            <v>2008-E1</v>
          </cell>
          <cell r="D21">
            <v>39486</v>
          </cell>
          <cell r="E21" t="str">
            <v>WD</v>
          </cell>
          <cell r="F21">
            <v>-36.166666666666664</v>
          </cell>
          <cell r="G21">
            <v>5.5455949354785865</v>
          </cell>
          <cell r="H21">
            <v>-44</v>
          </cell>
          <cell r="I21">
            <v>-24</v>
          </cell>
          <cell r="J21">
            <v>-37</v>
          </cell>
          <cell r="K21">
            <v>-41</v>
          </cell>
          <cell r="L21">
            <v>-39</v>
          </cell>
          <cell r="M21">
            <v>-41</v>
          </cell>
          <cell r="N21">
            <v>-43</v>
          </cell>
          <cell r="O21">
            <v>-43</v>
          </cell>
          <cell r="P21">
            <v>-41</v>
          </cell>
          <cell r="Q21">
            <v>-44</v>
          </cell>
          <cell r="R21">
            <v>-40</v>
          </cell>
          <cell r="S21">
            <v>-41</v>
          </cell>
          <cell r="T21">
            <v>-39</v>
          </cell>
          <cell r="U21">
            <v>-37</v>
          </cell>
          <cell r="V21">
            <v>-32</v>
          </cell>
          <cell r="W21">
            <v>-26</v>
          </cell>
          <cell r="X21">
            <v>-24</v>
          </cell>
          <cell r="Y21">
            <v>-25</v>
          </cell>
          <cell r="Z21">
            <v>-32</v>
          </cell>
          <cell r="AA21">
            <v>-34</v>
          </cell>
          <cell r="AB21">
            <v>-35</v>
          </cell>
          <cell r="AC21">
            <v>-35</v>
          </cell>
          <cell r="AD21">
            <v>-34</v>
          </cell>
          <cell r="AE21">
            <v>-35</v>
          </cell>
          <cell r="AF21">
            <v>-35</v>
          </cell>
          <cell r="AG21">
            <v>-35</v>
          </cell>
        </row>
        <row r="22">
          <cell r="A22" t="str">
            <v>E1D18</v>
          </cell>
          <cell r="B22">
            <v>39487</v>
          </cell>
          <cell r="C22" t="str">
            <v>2008-E1</v>
          </cell>
          <cell r="D22">
            <v>39487</v>
          </cell>
          <cell r="E22" t="str">
            <v>WE</v>
          </cell>
          <cell r="F22">
            <v>-33.583333333333336</v>
          </cell>
          <cell r="G22">
            <v>8.682399321098659</v>
          </cell>
          <cell r="H22">
            <v>-43</v>
          </cell>
          <cell r="I22">
            <v>-15</v>
          </cell>
          <cell r="J22">
            <v>-41</v>
          </cell>
          <cell r="K22">
            <v>-41</v>
          </cell>
          <cell r="L22">
            <v>-41</v>
          </cell>
          <cell r="M22">
            <v>-37</v>
          </cell>
          <cell r="N22">
            <v>-41</v>
          </cell>
          <cell r="O22">
            <v>-43</v>
          </cell>
          <cell r="P22">
            <v>-41</v>
          </cell>
          <cell r="Q22">
            <v>-43</v>
          </cell>
          <cell r="R22">
            <v>-41</v>
          </cell>
          <cell r="S22">
            <v>-39</v>
          </cell>
          <cell r="T22">
            <v>-37</v>
          </cell>
          <cell r="U22">
            <v>-32</v>
          </cell>
          <cell r="V22">
            <v>-28</v>
          </cell>
          <cell r="W22">
            <v>-21</v>
          </cell>
          <cell r="X22">
            <v>-15</v>
          </cell>
          <cell r="Y22">
            <v>-18</v>
          </cell>
          <cell r="Z22">
            <v>-21</v>
          </cell>
          <cell r="AA22">
            <v>-24</v>
          </cell>
          <cell r="AB22">
            <v>-27</v>
          </cell>
          <cell r="AC22">
            <v>-29</v>
          </cell>
          <cell r="AD22">
            <v>-32</v>
          </cell>
          <cell r="AE22">
            <v>-35</v>
          </cell>
          <cell r="AF22">
            <v>-38</v>
          </cell>
          <cell r="AG22">
            <v>-41</v>
          </cell>
        </row>
        <row r="23">
          <cell r="A23" t="str">
            <v>E1D19</v>
          </cell>
          <cell r="B23">
            <v>39488</v>
          </cell>
          <cell r="C23" t="str">
            <v>2008-E1</v>
          </cell>
          <cell r="D23">
            <v>39488</v>
          </cell>
          <cell r="E23" t="str">
            <v>WE</v>
          </cell>
          <cell r="F23">
            <v>-38.666666666666664</v>
          </cell>
          <cell r="G23">
            <v>6.741607772803083</v>
          </cell>
          <cell r="H23">
            <v>-46</v>
          </cell>
          <cell r="I23">
            <v>-23</v>
          </cell>
          <cell r="J23">
            <v>-41</v>
          </cell>
          <cell r="K23">
            <v>-43</v>
          </cell>
          <cell r="L23">
            <v>-43</v>
          </cell>
          <cell r="M23">
            <v>-43</v>
          </cell>
          <cell r="N23">
            <v>-44</v>
          </cell>
          <cell r="O23">
            <v>-44</v>
          </cell>
          <cell r="P23">
            <v>-44</v>
          </cell>
          <cell r="Q23">
            <v>-46</v>
          </cell>
          <cell r="R23">
            <v>-45</v>
          </cell>
          <cell r="S23">
            <v>-46</v>
          </cell>
          <cell r="T23">
            <v>-45</v>
          </cell>
          <cell r="U23">
            <v>-43</v>
          </cell>
          <cell r="V23">
            <v>-42</v>
          </cell>
          <cell r="W23">
            <v>-40</v>
          </cell>
          <cell r="X23">
            <v>-39</v>
          </cell>
          <cell r="Y23">
            <v>-37</v>
          </cell>
          <cell r="Z23">
            <v>-36</v>
          </cell>
          <cell r="AA23">
            <v>-34</v>
          </cell>
          <cell r="AB23">
            <v>-33</v>
          </cell>
          <cell r="AC23">
            <v>-31</v>
          </cell>
          <cell r="AD23">
            <v>-30</v>
          </cell>
          <cell r="AE23">
            <v>-23</v>
          </cell>
          <cell r="AF23">
            <v>-30</v>
          </cell>
          <cell r="AG23">
            <v>-26</v>
          </cell>
        </row>
        <row r="24">
          <cell r="A24" t="str">
            <v>E2D01</v>
          </cell>
          <cell r="B24">
            <v>39754</v>
          </cell>
          <cell r="C24" t="str">
            <v>2008-E2</v>
          </cell>
          <cell r="D24">
            <v>39754</v>
          </cell>
          <cell r="E24" t="str">
            <v>WE</v>
          </cell>
          <cell r="F24">
            <v>4.875</v>
          </cell>
          <cell r="G24">
            <v>3.5669070757389409</v>
          </cell>
          <cell r="H24">
            <v>-3</v>
          </cell>
          <cell r="I24">
            <v>9</v>
          </cell>
          <cell r="J24">
            <v>-3</v>
          </cell>
          <cell r="K24">
            <v>-1</v>
          </cell>
          <cell r="L24">
            <v>0</v>
          </cell>
          <cell r="M24">
            <v>0</v>
          </cell>
          <cell r="N24">
            <v>1</v>
          </cell>
          <cell r="O24">
            <v>3</v>
          </cell>
          <cell r="P24">
            <v>3</v>
          </cell>
          <cell r="Q24">
            <v>3</v>
          </cell>
          <cell r="R24">
            <v>4</v>
          </cell>
          <cell r="S24">
            <v>3</v>
          </cell>
          <cell r="T24">
            <v>5</v>
          </cell>
          <cell r="U24">
            <v>7</v>
          </cell>
          <cell r="V24">
            <v>7</v>
          </cell>
          <cell r="W24">
            <v>9</v>
          </cell>
          <cell r="X24">
            <v>8</v>
          </cell>
          <cell r="Y24">
            <v>9</v>
          </cell>
          <cell r="Z24">
            <v>9</v>
          </cell>
          <cell r="AA24">
            <v>9</v>
          </cell>
          <cell r="AB24">
            <v>7</v>
          </cell>
          <cell r="AC24">
            <v>7</v>
          </cell>
          <cell r="AD24">
            <v>6</v>
          </cell>
          <cell r="AE24">
            <v>5</v>
          </cell>
          <cell r="AF24">
            <v>7</v>
          </cell>
          <cell r="AG24">
            <v>9</v>
          </cell>
        </row>
        <row r="25">
          <cell r="A25" t="str">
            <v>E2D02</v>
          </cell>
          <cell r="B25">
            <v>39755</v>
          </cell>
          <cell r="C25" t="str">
            <v>2008-E2</v>
          </cell>
          <cell r="D25">
            <v>39755</v>
          </cell>
          <cell r="E25" t="str">
            <v>WD</v>
          </cell>
          <cell r="F25">
            <v>8.9583333333333339</v>
          </cell>
          <cell r="G25">
            <v>2.6942639015164214</v>
          </cell>
          <cell r="H25">
            <v>1</v>
          </cell>
          <cell r="I25">
            <v>12</v>
          </cell>
          <cell r="J25">
            <v>1</v>
          </cell>
          <cell r="K25">
            <v>3</v>
          </cell>
          <cell r="L25">
            <v>5</v>
          </cell>
          <cell r="M25">
            <v>7</v>
          </cell>
          <cell r="N25">
            <v>7</v>
          </cell>
          <cell r="O25">
            <v>9</v>
          </cell>
          <cell r="P25">
            <v>9</v>
          </cell>
          <cell r="Q25">
            <v>9</v>
          </cell>
          <cell r="R25">
            <v>9</v>
          </cell>
          <cell r="S25">
            <v>9</v>
          </cell>
          <cell r="T25">
            <v>9</v>
          </cell>
          <cell r="U25">
            <v>10</v>
          </cell>
          <cell r="V25">
            <v>10</v>
          </cell>
          <cell r="W25">
            <v>10</v>
          </cell>
          <cell r="X25">
            <v>11</v>
          </cell>
          <cell r="Y25">
            <v>10</v>
          </cell>
          <cell r="Z25">
            <v>10</v>
          </cell>
          <cell r="AA25">
            <v>10</v>
          </cell>
          <cell r="AB25">
            <v>10</v>
          </cell>
          <cell r="AC25">
            <v>10</v>
          </cell>
          <cell r="AD25">
            <v>11</v>
          </cell>
          <cell r="AE25">
            <v>12</v>
          </cell>
          <cell r="AF25">
            <v>12</v>
          </cell>
          <cell r="AG25">
            <v>12</v>
          </cell>
        </row>
        <row r="26">
          <cell r="A26" t="str">
            <v>E2D03</v>
          </cell>
          <cell r="B26">
            <v>39756</v>
          </cell>
          <cell r="C26" t="str">
            <v>2008-E2</v>
          </cell>
          <cell r="D26">
            <v>39756</v>
          </cell>
          <cell r="E26" t="str">
            <v>WD</v>
          </cell>
          <cell r="F26">
            <v>8.4166666666666661</v>
          </cell>
          <cell r="G26">
            <v>4.1485111699905337</v>
          </cell>
          <cell r="H26">
            <v>1</v>
          </cell>
          <cell r="I26">
            <v>13</v>
          </cell>
          <cell r="J26">
            <v>12</v>
          </cell>
          <cell r="K26">
            <v>9</v>
          </cell>
          <cell r="L26">
            <v>11</v>
          </cell>
          <cell r="M26">
            <v>12</v>
          </cell>
          <cell r="N26">
            <v>12</v>
          </cell>
          <cell r="O26">
            <v>12</v>
          </cell>
          <cell r="P26">
            <v>12</v>
          </cell>
          <cell r="Q26">
            <v>10</v>
          </cell>
          <cell r="R26">
            <v>10</v>
          </cell>
          <cell r="S26">
            <v>10</v>
          </cell>
          <cell r="T26">
            <v>9</v>
          </cell>
          <cell r="U26">
            <v>12</v>
          </cell>
          <cell r="V26">
            <v>9</v>
          </cell>
          <cell r="W26">
            <v>12</v>
          </cell>
          <cell r="X26">
            <v>13</v>
          </cell>
          <cell r="Y26">
            <v>10</v>
          </cell>
          <cell r="Z26">
            <v>10</v>
          </cell>
          <cell r="AA26">
            <v>5</v>
          </cell>
          <cell r="AB26">
            <v>1</v>
          </cell>
          <cell r="AC26">
            <v>1</v>
          </cell>
          <cell r="AD26">
            <v>3</v>
          </cell>
          <cell r="AE26">
            <v>3</v>
          </cell>
          <cell r="AF26">
            <v>3</v>
          </cell>
          <cell r="AG26">
            <v>1</v>
          </cell>
        </row>
        <row r="27">
          <cell r="A27" t="str">
            <v>E2D04</v>
          </cell>
          <cell r="B27">
            <v>39757</v>
          </cell>
          <cell r="C27" t="str">
            <v>2008-E2</v>
          </cell>
          <cell r="D27">
            <v>39757</v>
          </cell>
          <cell r="E27" t="str">
            <v>WD</v>
          </cell>
          <cell r="F27">
            <v>-1.625</v>
          </cell>
          <cell r="G27">
            <v>3.5485759544284559</v>
          </cell>
          <cell r="H27">
            <v>-8</v>
          </cell>
          <cell r="I27">
            <v>3</v>
          </cell>
          <cell r="J27">
            <v>1</v>
          </cell>
          <cell r="K27">
            <v>0</v>
          </cell>
          <cell r="L27">
            <v>-5</v>
          </cell>
          <cell r="M27">
            <v>-1</v>
          </cell>
          <cell r="N27">
            <v>-5</v>
          </cell>
          <cell r="O27">
            <v>-5</v>
          </cell>
          <cell r="P27">
            <v>-5</v>
          </cell>
          <cell r="Q27">
            <v>-7</v>
          </cell>
          <cell r="R27">
            <v>-8</v>
          </cell>
          <cell r="S27">
            <v>-7</v>
          </cell>
          <cell r="T27">
            <v>-5</v>
          </cell>
          <cell r="U27">
            <v>0</v>
          </cell>
          <cell r="V27">
            <v>3</v>
          </cell>
          <cell r="W27">
            <v>3</v>
          </cell>
          <cell r="X27">
            <v>3</v>
          </cell>
          <cell r="Y27">
            <v>3</v>
          </cell>
          <cell r="Z27">
            <v>3</v>
          </cell>
          <cell r="AA27">
            <v>-3</v>
          </cell>
          <cell r="AB27">
            <v>0</v>
          </cell>
          <cell r="AC27">
            <v>0</v>
          </cell>
          <cell r="AD27">
            <v>-3</v>
          </cell>
          <cell r="AE27">
            <v>0</v>
          </cell>
          <cell r="AF27">
            <v>-1</v>
          </cell>
          <cell r="AG27">
            <v>0</v>
          </cell>
        </row>
        <row r="28">
          <cell r="A28" t="str">
            <v>E2D05</v>
          </cell>
          <cell r="B28">
            <v>39758</v>
          </cell>
          <cell r="C28" t="str">
            <v>2008-E2</v>
          </cell>
          <cell r="D28">
            <v>39758</v>
          </cell>
          <cell r="E28" t="str">
            <v>WD</v>
          </cell>
          <cell r="F28">
            <v>-0.625</v>
          </cell>
          <cell r="G28">
            <v>3.8199988618254621</v>
          </cell>
          <cell r="H28">
            <v>-10</v>
          </cell>
          <cell r="I28">
            <v>5</v>
          </cell>
          <cell r="J28">
            <v>0</v>
          </cell>
          <cell r="K28">
            <v>-1</v>
          </cell>
          <cell r="L28">
            <v>1</v>
          </cell>
          <cell r="M28">
            <v>3</v>
          </cell>
          <cell r="N28">
            <v>0</v>
          </cell>
          <cell r="O28">
            <v>0</v>
          </cell>
          <cell r="P28">
            <v>-1</v>
          </cell>
          <cell r="Q28">
            <v>1</v>
          </cell>
          <cell r="R28">
            <v>0</v>
          </cell>
          <cell r="S28">
            <v>0</v>
          </cell>
          <cell r="T28">
            <v>0</v>
          </cell>
          <cell r="U28">
            <v>1</v>
          </cell>
          <cell r="V28">
            <v>5</v>
          </cell>
          <cell r="W28">
            <v>3</v>
          </cell>
          <cell r="X28">
            <v>5</v>
          </cell>
          <cell r="Y28">
            <v>3</v>
          </cell>
          <cell r="Z28">
            <v>0</v>
          </cell>
          <cell r="AA28">
            <v>0</v>
          </cell>
          <cell r="AB28">
            <v>-1</v>
          </cell>
          <cell r="AC28">
            <v>-3</v>
          </cell>
          <cell r="AD28">
            <v>-5</v>
          </cell>
          <cell r="AE28">
            <v>-8</v>
          </cell>
          <cell r="AF28">
            <v>-8</v>
          </cell>
          <cell r="AG28">
            <v>-10</v>
          </cell>
        </row>
        <row r="29">
          <cell r="A29" t="str">
            <v>E2D06</v>
          </cell>
          <cell r="B29">
            <v>39759</v>
          </cell>
          <cell r="C29" t="str">
            <v>2008-E2</v>
          </cell>
          <cell r="D29">
            <v>39759</v>
          </cell>
          <cell r="E29" t="str">
            <v>WD</v>
          </cell>
          <cell r="F29">
            <v>-6.041666666666667</v>
          </cell>
          <cell r="G29">
            <v>6.1253512173778155</v>
          </cell>
          <cell r="H29">
            <v>-16</v>
          </cell>
          <cell r="I29">
            <v>1</v>
          </cell>
          <cell r="J29">
            <v>-10</v>
          </cell>
          <cell r="K29">
            <v>-10</v>
          </cell>
          <cell r="L29">
            <v>-10</v>
          </cell>
          <cell r="M29">
            <v>-12</v>
          </cell>
          <cell r="N29">
            <v>-14</v>
          </cell>
          <cell r="O29">
            <v>-14</v>
          </cell>
          <cell r="P29">
            <v>-16</v>
          </cell>
          <cell r="Q29">
            <v>-14</v>
          </cell>
          <cell r="R29">
            <v>-15</v>
          </cell>
          <cell r="S29">
            <v>-10</v>
          </cell>
          <cell r="T29">
            <v>-8</v>
          </cell>
          <cell r="U29">
            <v>-7</v>
          </cell>
          <cell r="V29">
            <v>-3</v>
          </cell>
          <cell r="W29">
            <v>-1</v>
          </cell>
          <cell r="X29">
            <v>0</v>
          </cell>
          <cell r="Y29">
            <v>0</v>
          </cell>
          <cell r="Z29">
            <v>0</v>
          </cell>
          <cell r="AA29">
            <v>-1</v>
          </cell>
          <cell r="AB29">
            <v>-1</v>
          </cell>
          <cell r="AC29">
            <v>0</v>
          </cell>
          <cell r="AD29">
            <v>0</v>
          </cell>
          <cell r="AE29">
            <v>0</v>
          </cell>
          <cell r="AF29">
            <v>0</v>
          </cell>
          <cell r="AG29">
            <v>1</v>
          </cell>
        </row>
        <row r="30">
          <cell r="A30" t="str">
            <v>E2D07</v>
          </cell>
          <cell r="B30">
            <v>39760</v>
          </cell>
          <cell r="C30" t="str">
            <v>2008-E2</v>
          </cell>
          <cell r="D30">
            <v>39760</v>
          </cell>
          <cell r="E30" t="str">
            <v>WE</v>
          </cell>
          <cell r="F30">
            <v>-4.041666666666667</v>
          </cell>
          <cell r="G30">
            <v>3.0571252006997724</v>
          </cell>
          <cell r="H30">
            <v>-10</v>
          </cell>
          <cell r="I30">
            <v>1</v>
          </cell>
          <cell r="J30">
            <v>0</v>
          </cell>
          <cell r="K30">
            <v>-1</v>
          </cell>
          <cell r="L30">
            <v>-3</v>
          </cell>
          <cell r="M30">
            <v>-5</v>
          </cell>
          <cell r="N30">
            <v>-5</v>
          </cell>
          <cell r="O30">
            <v>-3</v>
          </cell>
          <cell r="P30">
            <v>-7</v>
          </cell>
          <cell r="Q30">
            <v>-7</v>
          </cell>
          <cell r="R30">
            <v>-7</v>
          </cell>
          <cell r="S30">
            <v>-8</v>
          </cell>
          <cell r="T30">
            <v>-5</v>
          </cell>
          <cell r="U30">
            <v>-3</v>
          </cell>
          <cell r="V30">
            <v>-1</v>
          </cell>
          <cell r="W30">
            <v>0</v>
          </cell>
          <cell r="X30">
            <v>-1</v>
          </cell>
          <cell r="Y30">
            <v>1</v>
          </cell>
          <cell r="Z30">
            <v>-1</v>
          </cell>
          <cell r="AA30">
            <v>-1</v>
          </cell>
          <cell r="AB30">
            <v>-5</v>
          </cell>
          <cell r="AC30">
            <v>-5</v>
          </cell>
          <cell r="AD30">
            <v>-5</v>
          </cell>
          <cell r="AE30">
            <v>-7</v>
          </cell>
          <cell r="AF30">
            <v>-8</v>
          </cell>
          <cell r="AG30">
            <v>-10</v>
          </cell>
        </row>
        <row r="31">
          <cell r="A31" t="str">
            <v>E2D08</v>
          </cell>
          <cell r="B31">
            <v>39761</v>
          </cell>
          <cell r="C31" t="str">
            <v>2008-E2</v>
          </cell>
          <cell r="D31">
            <v>39761</v>
          </cell>
          <cell r="E31" t="str">
            <v>WE</v>
          </cell>
          <cell r="F31">
            <v>-6.25</v>
          </cell>
          <cell r="G31">
            <v>4.5516361129101508</v>
          </cell>
          <cell r="H31">
            <v>-14</v>
          </cell>
          <cell r="I31">
            <v>0</v>
          </cell>
          <cell r="J31">
            <v>-8</v>
          </cell>
          <cell r="K31">
            <v>-8</v>
          </cell>
          <cell r="L31">
            <v>-11</v>
          </cell>
          <cell r="M31">
            <v>-8</v>
          </cell>
          <cell r="N31">
            <v>-10</v>
          </cell>
          <cell r="O31">
            <v>-12</v>
          </cell>
          <cell r="P31">
            <v>-14</v>
          </cell>
          <cell r="Q31">
            <v>-10</v>
          </cell>
          <cell r="R31">
            <v>-12</v>
          </cell>
          <cell r="S31">
            <v>-12</v>
          </cell>
          <cell r="T31">
            <v>-10</v>
          </cell>
          <cell r="U31">
            <v>-8</v>
          </cell>
          <cell r="V31">
            <v>-5</v>
          </cell>
          <cell r="W31">
            <v>-1</v>
          </cell>
          <cell r="X31">
            <v>0</v>
          </cell>
          <cell r="Y31">
            <v>-1</v>
          </cell>
          <cell r="Z31">
            <v>-5</v>
          </cell>
          <cell r="AA31">
            <v>-5</v>
          </cell>
          <cell r="AB31">
            <v>-5</v>
          </cell>
          <cell r="AC31">
            <v>0</v>
          </cell>
          <cell r="AD31">
            <v>-2</v>
          </cell>
          <cell r="AE31">
            <v>-1</v>
          </cell>
          <cell r="AF31">
            <v>-1</v>
          </cell>
          <cell r="AG31">
            <v>-1</v>
          </cell>
        </row>
        <row r="32">
          <cell r="A32" t="str">
            <v>E2D09</v>
          </cell>
          <cell r="B32">
            <v>39762</v>
          </cell>
          <cell r="C32" t="str">
            <v>2008-E2</v>
          </cell>
          <cell r="D32">
            <v>39762</v>
          </cell>
          <cell r="E32" t="str">
            <v>WD</v>
          </cell>
          <cell r="F32">
            <v>6.083333333333333</v>
          </cell>
          <cell r="G32">
            <v>5.4447155606360083</v>
          </cell>
          <cell r="H32">
            <v>-3</v>
          </cell>
          <cell r="I32">
            <v>16</v>
          </cell>
          <cell r="J32">
            <v>-1</v>
          </cell>
          <cell r="K32">
            <v>-1</v>
          </cell>
          <cell r="L32">
            <v>-3</v>
          </cell>
          <cell r="M32">
            <v>0</v>
          </cell>
          <cell r="N32">
            <v>1</v>
          </cell>
          <cell r="O32">
            <v>5</v>
          </cell>
          <cell r="P32">
            <v>5</v>
          </cell>
          <cell r="Q32">
            <v>1</v>
          </cell>
          <cell r="R32">
            <v>4</v>
          </cell>
          <cell r="S32">
            <v>1</v>
          </cell>
          <cell r="T32">
            <v>5</v>
          </cell>
          <cell r="U32">
            <v>9</v>
          </cell>
          <cell r="V32">
            <v>10</v>
          </cell>
          <cell r="W32">
            <v>12</v>
          </cell>
          <cell r="X32">
            <v>14</v>
          </cell>
          <cell r="Y32">
            <v>16</v>
          </cell>
          <cell r="Z32">
            <v>12</v>
          </cell>
          <cell r="AA32">
            <v>14</v>
          </cell>
          <cell r="AB32">
            <v>10</v>
          </cell>
          <cell r="AC32">
            <v>10</v>
          </cell>
          <cell r="AD32">
            <v>9</v>
          </cell>
          <cell r="AE32">
            <v>3</v>
          </cell>
          <cell r="AF32">
            <v>7</v>
          </cell>
          <cell r="AG32">
            <v>3</v>
          </cell>
        </row>
        <row r="33">
          <cell r="A33" t="str">
            <v>E2D10</v>
          </cell>
          <cell r="B33">
            <v>39763</v>
          </cell>
          <cell r="C33" t="str">
            <v>2008-E2</v>
          </cell>
          <cell r="D33">
            <v>39763</v>
          </cell>
          <cell r="E33" t="str">
            <v>WD</v>
          </cell>
          <cell r="F33">
            <v>8.0416666666666661</v>
          </cell>
          <cell r="G33">
            <v>5.3118339309644202</v>
          </cell>
          <cell r="H33">
            <v>0</v>
          </cell>
          <cell r="I33">
            <v>17</v>
          </cell>
          <cell r="J33">
            <v>1</v>
          </cell>
          <cell r="K33">
            <v>0</v>
          </cell>
          <cell r="L33">
            <v>0</v>
          </cell>
          <cell r="M33">
            <v>1</v>
          </cell>
          <cell r="N33">
            <v>1</v>
          </cell>
          <cell r="O33">
            <v>3</v>
          </cell>
          <cell r="P33">
            <v>7</v>
          </cell>
          <cell r="Q33">
            <v>9</v>
          </cell>
          <cell r="R33">
            <v>11</v>
          </cell>
          <cell r="S33">
            <v>12</v>
          </cell>
          <cell r="T33">
            <v>12</v>
          </cell>
          <cell r="U33">
            <v>12</v>
          </cell>
          <cell r="V33">
            <v>12</v>
          </cell>
          <cell r="W33">
            <v>12</v>
          </cell>
          <cell r="X33">
            <v>17</v>
          </cell>
          <cell r="Y33">
            <v>16</v>
          </cell>
          <cell r="Z33">
            <v>16</v>
          </cell>
          <cell r="AA33">
            <v>12</v>
          </cell>
          <cell r="AB33">
            <v>10</v>
          </cell>
          <cell r="AC33">
            <v>7</v>
          </cell>
          <cell r="AD33">
            <v>5</v>
          </cell>
          <cell r="AE33">
            <v>5</v>
          </cell>
          <cell r="AF33">
            <v>7</v>
          </cell>
          <cell r="AG33">
            <v>5</v>
          </cell>
        </row>
        <row r="34">
          <cell r="A34" t="str">
            <v>E2D11</v>
          </cell>
          <cell r="B34">
            <v>39764</v>
          </cell>
          <cell r="C34" t="str">
            <v>2008-E2</v>
          </cell>
          <cell r="D34">
            <v>39764</v>
          </cell>
          <cell r="E34" t="str">
            <v>WD</v>
          </cell>
          <cell r="F34">
            <v>10.291666666666666</v>
          </cell>
          <cell r="G34">
            <v>2.2550265913146652</v>
          </cell>
          <cell r="H34">
            <v>4</v>
          </cell>
          <cell r="I34">
            <v>14</v>
          </cell>
          <cell r="J34">
            <v>9</v>
          </cell>
          <cell r="K34">
            <v>7</v>
          </cell>
          <cell r="L34">
            <v>4</v>
          </cell>
          <cell r="M34">
            <v>7</v>
          </cell>
          <cell r="N34">
            <v>9</v>
          </cell>
          <cell r="O34">
            <v>10</v>
          </cell>
          <cell r="P34">
            <v>12</v>
          </cell>
          <cell r="Q34">
            <v>10</v>
          </cell>
          <cell r="R34">
            <v>11</v>
          </cell>
          <cell r="S34">
            <v>12</v>
          </cell>
          <cell r="T34">
            <v>10</v>
          </cell>
          <cell r="U34">
            <v>12</v>
          </cell>
          <cell r="V34">
            <v>12</v>
          </cell>
          <cell r="W34">
            <v>14</v>
          </cell>
          <cell r="X34">
            <v>14</v>
          </cell>
          <cell r="Y34">
            <v>12</v>
          </cell>
          <cell r="Z34">
            <v>9</v>
          </cell>
          <cell r="AA34">
            <v>10</v>
          </cell>
          <cell r="AB34">
            <v>10</v>
          </cell>
          <cell r="AC34">
            <v>12</v>
          </cell>
          <cell r="AD34">
            <v>10</v>
          </cell>
          <cell r="AE34">
            <v>9</v>
          </cell>
          <cell r="AF34">
            <v>10</v>
          </cell>
          <cell r="AG34">
            <v>12</v>
          </cell>
        </row>
        <row r="35">
          <cell r="A35" t="str">
            <v>E2D12</v>
          </cell>
          <cell r="B35">
            <v>39765</v>
          </cell>
          <cell r="C35" t="str">
            <v>2008-E2</v>
          </cell>
          <cell r="D35">
            <v>39765</v>
          </cell>
          <cell r="E35" t="str">
            <v>WD</v>
          </cell>
          <cell r="F35">
            <v>5.458333333333333</v>
          </cell>
          <cell r="G35">
            <v>7.7233647019184968</v>
          </cell>
          <cell r="H35">
            <v>-7</v>
          </cell>
          <cell r="I35">
            <v>16</v>
          </cell>
          <cell r="J35">
            <v>12</v>
          </cell>
          <cell r="K35">
            <v>16</v>
          </cell>
          <cell r="L35">
            <v>14</v>
          </cell>
          <cell r="M35">
            <v>14</v>
          </cell>
          <cell r="N35">
            <v>12</v>
          </cell>
          <cell r="O35">
            <v>16</v>
          </cell>
          <cell r="P35">
            <v>12</v>
          </cell>
          <cell r="Q35">
            <v>9</v>
          </cell>
          <cell r="R35">
            <v>7</v>
          </cell>
          <cell r="S35">
            <v>3</v>
          </cell>
          <cell r="T35">
            <v>9</v>
          </cell>
          <cell r="U35">
            <v>10</v>
          </cell>
          <cell r="V35">
            <v>10</v>
          </cell>
          <cell r="W35">
            <v>9</v>
          </cell>
          <cell r="X35">
            <v>7</v>
          </cell>
          <cell r="Y35">
            <v>3</v>
          </cell>
          <cell r="Z35">
            <v>1</v>
          </cell>
          <cell r="AA35">
            <v>-1</v>
          </cell>
          <cell r="AB35">
            <v>-3</v>
          </cell>
          <cell r="AC35">
            <v>-5</v>
          </cell>
          <cell r="AD35">
            <v>-3</v>
          </cell>
          <cell r="AE35">
            <v>-7</v>
          </cell>
          <cell r="AF35">
            <v>-7</v>
          </cell>
          <cell r="AG35">
            <v>-7</v>
          </cell>
        </row>
        <row r="36">
          <cell r="A36" t="str">
            <v>E2D13</v>
          </cell>
          <cell r="B36">
            <v>39766</v>
          </cell>
          <cell r="C36" t="str">
            <v>2008-E2</v>
          </cell>
          <cell r="D36">
            <v>39766</v>
          </cell>
          <cell r="E36" t="str">
            <v>WD</v>
          </cell>
          <cell r="F36">
            <v>-4.333333333333333</v>
          </cell>
          <cell r="G36">
            <v>3.4599153880916833</v>
          </cell>
          <cell r="H36">
            <v>-8</v>
          </cell>
          <cell r="I36">
            <v>2</v>
          </cell>
          <cell r="J36">
            <v>-7</v>
          </cell>
          <cell r="K36">
            <v>-7</v>
          </cell>
          <cell r="L36">
            <v>-8</v>
          </cell>
          <cell r="M36">
            <v>-5</v>
          </cell>
          <cell r="N36">
            <v>-5</v>
          </cell>
          <cell r="O36">
            <v>-8</v>
          </cell>
          <cell r="P36">
            <v>-8</v>
          </cell>
          <cell r="Q36">
            <v>-8</v>
          </cell>
          <cell r="R36">
            <v>-7</v>
          </cell>
          <cell r="S36">
            <v>-8</v>
          </cell>
          <cell r="T36">
            <v>-5</v>
          </cell>
          <cell r="U36">
            <v>-1</v>
          </cell>
          <cell r="V36">
            <v>0</v>
          </cell>
          <cell r="W36">
            <v>1</v>
          </cell>
          <cell r="X36">
            <v>2</v>
          </cell>
          <cell r="Y36">
            <v>-1</v>
          </cell>
          <cell r="Z36">
            <v>-5</v>
          </cell>
          <cell r="AA36">
            <v>-7</v>
          </cell>
          <cell r="AB36">
            <v>-7</v>
          </cell>
          <cell r="AC36">
            <v>-7</v>
          </cell>
          <cell r="AD36">
            <v>-2</v>
          </cell>
          <cell r="AE36">
            <v>0</v>
          </cell>
          <cell r="AF36">
            <v>0</v>
          </cell>
          <cell r="AG36">
            <v>-1</v>
          </cell>
        </row>
        <row r="37">
          <cell r="A37" t="str">
            <v>E2D14</v>
          </cell>
          <cell r="B37">
            <v>39767</v>
          </cell>
          <cell r="C37" t="str">
            <v>2008-E2</v>
          </cell>
          <cell r="D37">
            <v>39767</v>
          </cell>
          <cell r="E37" t="str">
            <v>WE</v>
          </cell>
          <cell r="F37">
            <v>6</v>
          </cell>
          <cell r="G37">
            <v>4.2935745723925249</v>
          </cell>
          <cell r="H37">
            <v>0</v>
          </cell>
          <cell r="I37">
            <v>13</v>
          </cell>
          <cell r="J37">
            <v>0</v>
          </cell>
          <cell r="K37">
            <v>1</v>
          </cell>
          <cell r="L37">
            <v>3</v>
          </cell>
          <cell r="M37">
            <v>2</v>
          </cell>
          <cell r="N37">
            <v>1</v>
          </cell>
          <cell r="O37">
            <v>1</v>
          </cell>
          <cell r="P37">
            <v>3</v>
          </cell>
          <cell r="Q37">
            <v>5</v>
          </cell>
          <cell r="R37">
            <v>6</v>
          </cell>
          <cell r="S37">
            <v>7</v>
          </cell>
          <cell r="T37">
            <v>9</v>
          </cell>
          <cell r="U37">
            <v>10</v>
          </cell>
          <cell r="V37">
            <v>10</v>
          </cell>
          <cell r="W37">
            <v>12</v>
          </cell>
          <cell r="X37">
            <v>13</v>
          </cell>
          <cell r="Y37">
            <v>12</v>
          </cell>
          <cell r="Z37">
            <v>10</v>
          </cell>
          <cell r="AA37">
            <v>10</v>
          </cell>
          <cell r="AB37">
            <v>9</v>
          </cell>
          <cell r="AC37">
            <v>10</v>
          </cell>
          <cell r="AD37">
            <v>4</v>
          </cell>
          <cell r="AE37">
            <v>3</v>
          </cell>
          <cell r="AF37">
            <v>3</v>
          </cell>
          <cell r="AG37">
            <v>0</v>
          </cell>
        </row>
        <row r="38">
          <cell r="A38" t="str">
            <v>E2D15</v>
          </cell>
          <cell r="B38">
            <v>39768</v>
          </cell>
          <cell r="C38" t="str">
            <v>2008-E2</v>
          </cell>
          <cell r="D38">
            <v>39768</v>
          </cell>
          <cell r="E38" t="str">
            <v>WE</v>
          </cell>
          <cell r="F38">
            <v>-2.125</v>
          </cell>
          <cell r="G38">
            <v>5.7808717561341529</v>
          </cell>
          <cell r="H38">
            <v>-10</v>
          </cell>
          <cell r="I38">
            <v>8</v>
          </cell>
          <cell r="J38">
            <v>0</v>
          </cell>
          <cell r="K38">
            <v>-7</v>
          </cell>
          <cell r="L38">
            <v>-6</v>
          </cell>
          <cell r="M38">
            <v>-7</v>
          </cell>
          <cell r="N38">
            <v>-8</v>
          </cell>
          <cell r="O38">
            <v>-8</v>
          </cell>
          <cell r="P38">
            <v>-8</v>
          </cell>
          <cell r="Q38">
            <v>-10</v>
          </cell>
          <cell r="R38">
            <v>-9</v>
          </cell>
          <cell r="S38">
            <v>-8</v>
          </cell>
          <cell r="T38">
            <v>-7</v>
          </cell>
          <cell r="U38">
            <v>-5</v>
          </cell>
          <cell r="V38">
            <v>-3</v>
          </cell>
          <cell r="W38">
            <v>0</v>
          </cell>
          <cell r="X38">
            <v>0</v>
          </cell>
          <cell r="Y38">
            <v>-1</v>
          </cell>
          <cell r="Z38">
            <v>0</v>
          </cell>
          <cell r="AA38">
            <v>1</v>
          </cell>
          <cell r="AB38">
            <v>3</v>
          </cell>
          <cell r="AC38">
            <v>7</v>
          </cell>
          <cell r="AD38">
            <v>8</v>
          </cell>
          <cell r="AE38">
            <v>5</v>
          </cell>
          <cell r="AF38">
            <v>5</v>
          </cell>
          <cell r="AG38">
            <v>7</v>
          </cell>
        </row>
        <row r="39">
          <cell r="A39" t="str">
            <v>E2D16</v>
          </cell>
          <cell r="B39">
            <v>39769</v>
          </cell>
          <cell r="C39" t="str">
            <v>2008-E2</v>
          </cell>
          <cell r="D39">
            <v>39769</v>
          </cell>
          <cell r="E39" t="str">
            <v>WD</v>
          </cell>
          <cell r="F39">
            <v>10.458333333333334</v>
          </cell>
          <cell r="G39">
            <v>4.0214551407762054</v>
          </cell>
          <cell r="H39">
            <v>3</v>
          </cell>
          <cell r="I39">
            <v>16</v>
          </cell>
          <cell r="J39">
            <v>7</v>
          </cell>
          <cell r="K39">
            <v>3</v>
          </cell>
          <cell r="L39">
            <v>7</v>
          </cell>
          <cell r="M39">
            <v>9</v>
          </cell>
          <cell r="N39">
            <v>9</v>
          </cell>
          <cell r="O39">
            <v>10</v>
          </cell>
          <cell r="P39">
            <v>10</v>
          </cell>
          <cell r="Q39">
            <v>12</v>
          </cell>
          <cell r="R39">
            <v>14</v>
          </cell>
          <cell r="S39">
            <v>14</v>
          </cell>
          <cell r="T39">
            <v>16</v>
          </cell>
          <cell r="U39">
            <v>16</v>
          </cell>
          <cell r="V39">
            <v>12</v>
          </cell>
          <cell r="W39">
            <v>14</v>
          </cell>
          <cell r="X39">
            <v>14</v>
          </cell>
          <cell r="Y39">
            <v>16</v>
          </cell>
          <cell r="Z39">
            <v>16</v>
          </cell>
          <cell r="AA39">
            <v>10</v>
          </cell>
          <cell r="AB39">
            <v>10</v>
          </cell>
          <cell r="AC39">
            <v>10</v>
          </cell>
          <cell r="AD39">
            <v>7</v>
          </cell>
          <cell r="AE39">
            <v>7</v>
          </cell>
          <cell r="AF39">
            <v>5</v>
          </cell>
          <cell r="AG39">
            <v>3</v>
          </cell>
        </row>
      </sheetData>
      <sheetData sheetId="26"/>
      <sheetData sheetId="27"/>
      <sheetData sheetId="28">
        <row r="10">
          <cell r="T10">
            <v>60</v>
          </cell>
        </row>
        <row r="11">
          <cell r="T11">
            <v>300</v>
          </cell>
        </row>
        <row r="12">
          <cell r="T12">
            <v>0.4</v>
          </cell>
        </row>
        <row r="13">
          <cell r="T13">
            <v>0.04</v>
          </cell>
        </row>
      </sheetData>
      <sheetData sheetId="29"/>
      <sheetData sheetId="30"/>
      <sheetData sheetId="31"/>
      <sheetData sheetId="32"/>
      <sheetData sheetId="33"/>
      <sheetData sheetId="34"/>
      <sheetData sheetId="35"/>
      <sheetData sheetId="36">
        <row r="15">
          <cell r="A15" t="str">
            <v>Date</v>
          </cell>
          <cell r="B15" t="str">
            <v>Month</v>
          </cell>
          <cell r="C15" t="str">
            <v>Season</v>
          </cell>
          <cell r="D15">
            <v>54</v>
          </cell>
          <cell r="E15">
            <v>55</v>
          </cell>
          <cell r="F15">
            <v>56</v>
          </cell>
          <cell r="G15">
            <v>57</v>
          </cell>
          <cell r="H15">
            <v>58</v>
          </cell>
          <cell r="I15">
            <v>59</v>
          </cell>
          <cell r="J15">
            <v>60</v>
          </cell>
          <cell r="K15">
            <v>61</v>
          </cell>
          <cell r="L15">
            <v>62</v>
          </cell>
          <cell r="M15">
            <v>63</v>
          </cell>
          <cell r="N15">
            <v>64</v>
          </cell>
          <cell r="O15">
            <v>65</v>
          </cell>
          <cell r="P15">
            <v>66</v>
          </cell>
        </row>
        <row r="16">
          <cell r="A16">
            <v>38991</v>
          </cell>
          <cell r="B16">
            <v>10</v>
          </cell>
          <cell r="C16" t="str">
            <v>W</v>
          </cell>
          <cell r="D16">
            <v>19</v>
          </cell>
          <cell r="E16">
            <v>20</v>
          </cell>
          <cell r="F16">
            <v>21</v>
          </cell>
          <cell r="G16">
            <v>22</v>
          </cell>
          <cell r="H16">
            <v>23</v>
          </cell>
          <cell r="I16">
            <v>24</v>
          </cell>
          <cell r="J16">
            <v>25</v>
          </cell>
          <cell r="K16">
            <v>26</v>
          </cell>
          <cell r="L16">
            <v>27</v>
          </cell>
          <cell r="M16">
            <v>28</v>
          </cell>
          <cell r="N16">
            <v>29</v>
          </cell>
          <cell r="O16">
            <v>30</v>
          </cell>
          <cell r="P16">
            <v>31</v>
          </cell>
        </row>
        <row r="17">
          <cell r="A17">
            <v>38992</v>
          </cell>
          <cell r="B17">
            <v>10</v>
          </cell>
          <cell r="C17" t="str">
            <v>W</v>
          </cell>
          <cell r="D17">
            <v>15</v>
          </cell>
          <cell r="E17">
            <v>16</v>
          </cell>
          <cell r="F17">
            <v>17</v>
          </cell>
          <cell r="G17">
            <v>18</v>
          </cell>
          <cell r="H17">
            <v>19</v>
          </cell>
          <cell r="I17">
            <v>20</v>
          </cell>
          <cell r="J17">
            <v>21</v>
          </cell>
          <cell r="K17">
            <v>22</v>
          </cell>
          <cell r="L17">
            <v>23</v>
          </cell>
          <cell r="M17">
            <v>24</v>
          </cell>
          <cell r="N17">
            <v>25</v>
          </cell>
          <cell r="O17">
            <v>26</v>
          </cell>
          <cell r="P17">
            <v>27</v>
          </cell>
        </row>
        <row r="18">
          <cell r="A18">
            <v>38993</v>
          </cell>
          <cell r="B18">
            <v>10</v>
          </cell>
          <cell r="C18" t="str">
            <v>W</v>
          </cell>
          <cell r="D18">
            <v>12</v>
          </cell>
          <cell r="E18">
            <v>13</v>
          </cell>
          <cell r="F18">
            <v>14</v>
          </cell>
          <cell r="G18">
            <v>15</v>
          </cell>
          <cell r="H18">
            <v>16</v>
          </cell>
          <cell r="I18">
            <v>17</v>
          </cell>
          <cell r="J18">
            <v>18</v>
          </cell>
          <cell r="K18">
            <v>19</v>
          </cell>
          <cell r="L18">
            <v>20</v>
          </cell>
          <cell r="M18">
            <v>21</v>
          </cell>
          <cell r="N18">
            <v>22</v>
          </cell>
          <cell r="O18">
            <v>23</v>
          </cell>
          <cell r="P18">
            <v>24</v>
          </cell>
        </row>
        <row r="19">
          <cell r="A19">
            <v>38994</v>
          </cell>
          <cell r="B19">
            <v>10</v>
          </cell>
          <cell r="C19" t="str">
            <v>W</v>
          </cell>
          <cell r="D19">
            <v>11</v>
          </cell>
          <cell r="E19">
            <v>12</v>
          </cell>
          <cell r="F19">
            <v>13</v>
          </cell>
          <cell r="G19">
            <v>14</v>
          </cell>
          <cell r="H19">
            <v>15</v>
          </cell>
          <cell r="I19">
            <v>16</v>
          </cell>
          <cell r="J19">
            <v>17</v>
          </cell>
          <cell r="K19">
            <v>18</v>
          </cell>
          <cell r="L19">
            <v>19</v>
          </cell>
          <cell r="M19">
            <v>20</v>
          </cell>
          <cell r="N19">
            <v>21</v>
          </cell>
          <cell r="O19">
            <v>22</v>
          </cell>
          <cell r="P19">
            <v>23</v>
          </cell>
        </row>
        <row r="20">
          <cell r="A20">
            <v>38995</v>
          </cell>
          <cell r="B20">
            <v>10</v>
          </cell>
          <cell r="C20" t="str">
            <v>W</v>
          </cell>
          <cell r="D20">
            <v>19</v>
          </cell>
          <cell r="E20">
            <v>20</v>
          </cell>
          <cell r="F20">
            <v>21</v>
          </cell>
          <cell r="G20">
            <v>22</v>
          </cell>
          <cell r="H20">
            <v>23</v>
          </cell>
          <cell r="I20">
            <v>24</v>
          </cell>
          <cell r="J20">
            <v>25</v>
          </cell>
          <cell r="K20">
            <v>26</v>
          </cell>
          <cell r="L20">
            <v>27</v>
          </cell>
          <cell r="M20">
            <v>28</v>
          </cell>
          <cell r="N20">
            <v>29</v>
          </cell>
          <cell r="O20">
            <v>30</v>
          </cell>
          <cell r="P20">
            <v>31</v>
          </cell>
        </row>
        <row r="21">
          <cell r="A21">
            <v>38996</v>
          </cell>
          <cell r="B21">
            <v>10</v>
          </cell>
          <cell r="C21" t="str">
            <v>W</v>
          </cell>
          <cell r="D21">
            <v>13</v>
          </cell>
          <cell r="E21">
            <v>14</v>
          </cell>
          <cell r="F21">
            <v>15</v>
          </cell>
          <cell r="G21">
            <v>16</v>
          </cell>
          <cell r="H21">
            <v>17</v>
          </cell>
          <cell r="I21">
            <v>18</v>
          </cell>
          <cell r="J21">
            <v>19</v>
          </cell>
          <cell r="K21">
            <v>20</v>
          </cell>
          <cell r="L21">
            <v>21</v>
          </cell>
          <cell r="M21">
            <v>22</v>
          </cell>
          <cell r="N21">
            <v>23</v>
          </cell>
          <cell r="O21">
            <v>24</v>
          </cell>
          <cell r="P21">
            <v>25</v>
          </cell>
        </row>
        <row r="22">
          <cell r="A22">
            <v>38997</v>
          </cell>
          <cell r="B22">
            <v>10</v>
          </cell>
          <cell r="C22" t="str">
            <v>W</v>
          </cell>
          <cell r="D22">
            <v>13</v>
          </cell>
          <cell r="E22">
            <v>14</v>
          </cell>
          <cell r="F22">
            <v>15</v>
          </cell>
          <cell r="G22">
            <v>16</v>
          </cell>
          <cell r="H22">
            <v>17</v>
          </cell>
          <cell r="I22">
            <v>18</v>
          </cell>
          <cell r="J22">
            <v>19</v>
          </cell>
          <cell r="K22">
            <v>20</v>
          </cell>
          <cell r="L22">
            <v>21</v>
          </cell>
          <cell r="M22">
            <v>22</v>
          </cell>
          <cell r="N22">
            <v>23</v>
          </cell>
          <cell r="O22">
            <v>24</v>
          </cell>
          <cell r="P22">
            <v>25</v>
          </cell>
        </row>
        <row r="23">
          <cell r="A23">
            <v>38998</v>
          </cell>
          <cell r="B23">
            <v>10</v>
          </cell>
          <cell r="C23" t="str">
            <v>W</v>
          </cell>
          <cell r="D23">
            <v>10</v>
          </cell>
          <cell r="E23">
            <v>11</v>
          </cell>
          <cell r="F23">
            <v>12</v>
          </cell>
          <cell r="G23">
            <v>13</v>
          </cell>
          <cell r="H23">
            <v>14</v>
          </cell>
          <cell r="I23">
            <v>15</v>
          </cell>
          <cell r="J23">
            <v>16</v>
          </cell>
          <cell r="K23">
            <v>17</v>
          </cell>
          <cell r="L23">
            <v>18</v>
          </cell>
          <cell r="M23">
            <v>19</v>
          </cell>
          <cell r="N23">
            <v>20</v>
          </cell>
          <cell r="O23">
            <v>21</v>
          </cell>
          <cell r="P23">
            <v>22</v>
          </cell>
        </row>
        <row r="24">
          <cell r="A24">
            <v>38999</v>
          </cell>
          <cell r="B24">
            <v>10</v>
          </cell>
          <cell r="C24" t="str">
            <v>W</v>
          </cell>
          <cell r="D24">
            <v>2.2000000000000002</v>
          </cell>
          <cell r="E24">
            <v>2.5</v>
          </cell>
          <cell r="F24">
            <v>3.2</v>
          </cell>
          <cell r="G24">
            <v>4</v>
          </cell>
          <cell r="H24">
            <v>4.8</v>
          </cell>
          <cell r="I24">
            <v>5.5</v>
          </cell>
          <cell r="J24">
            <v>6.2</v>
          </cell>
          <cell r="K24">
            <v>7</v>
          </cell>
          <cell r="L24">
            <v>7.8</v>
          </cell>
          <cell r="M24">
            <v>8.5</v>
          </cell>
          <cell r="N24">
            <v>9</v>
          </cell>
          <cell r="O24">
            <v>10</v>
          </cell>
          <cell r="P24">
            <v>11</v>
          </cell>
        </row>
        <row r="25">
          <cell r="A25">
            <v>39000</v>
          </cell>
          <cell r="B25">
            <v>10</v>
          </cell>
          <cell r="C25" t="str">
            <v>W</v>
          </cell>
          <cell r="D25">
            <v>8.8000000000000007</v>
          </cell>
          <cell r="E25">
            <v>9.5</v>
          </cell>
          <cell r="F25">
            <v>10</v>
          </cell>
          <cell r="G25">
            <v>11</v>
          </cell>
          <cell r="H25">
            <v>12</v>
          </cell>
          <cell r="I25">
            <v>13</v>
          </cell>
          <cell r="J25">
            <v>14</v>
          </cell>
          <cell r="K25">
            <v>15</v>
          </cell>
          <cell r="L25">
            <v>16</v>
          </cell>
          <cell r="M25">
            <v>17</v>
          </cell>
          <cell r="N25">
            <v>18</v>
          </cell>
          <cell r="O25">
            <v>19</v>
          </cell>
          <cell r="P25">
            <v>20</v>
          </cell>
        </row>
        <row r="26">
          <cell r="A26">
            <v>39001</v>
          </cell>
          <cell r="B26">
            <v>10</v>
          </cell>
          <cell r="C26" t="str">
            <v>W</v>
          </cell>
          <cell r="D26">
            <v>16</v>
          </cell>
          <cell r="E26">
            <v>17</v>
          </cell>
          <cell r="F26">
            <v>18</v>
          </cell>
          <cell r="G26">
            <v>19</v>
          </cell>
          <cell r="H26">
            <v>20</v>
          </cell>
          <cell r="I26">
            <v>21</v>
          </cell>
          <cell r="J26">
            <v>22</v>
          </cell>
          <cell r="K26">
            <v>23</v>
          </cell>
          <cell r="L26">
            <v>24</v>
          </cell>
          <cell r="M26">
            <v>25</v>
          </cell>
          <cell r="N26">
            <v>26</v>
          </cell>
          <cell r="O26">
            <v>27</v>
          </cell>
          <cell r="P26">
            <v>28</v>
          </cell>
        </row>
        <row r="27">
          <cell r="A27">
            <v>39002</v>
          </cell>
          <cell r="B27">
            <v>10</v>
          </cell>
          <cell r="C27" t="str">
            <v>W</v>
          </cell>
          <cell r="D27">
            <v>18</v>
          </cell>
          <cell r="E27">
            <v>19</v>
          </cell>
          <cell r="F27">
            <v>20</v>
          </cell>
          <cell r="G27">
            <v>21</v>
          </cell>
          <cell r="H27">
            <v>22</v>
          </cell>
          <cell r="I27">
            <v>23</v>
          </cell>
          <cell r="J27">
            <v>24</v>
          </cell>
          <cell r="K27">
            <v>25</v>
          </cell>
          <cell r="L27">
            <v>26</v>
          </cell>
          <cell r="M27">
            <v>27</v>
          </cell>
          <cell r="N27">
            <v>28</v>
          </cell>
          <cell r="O27">
            <v>29</v>
          </cell>
          <cell r="P27">
            <v>30</v>
          </cell>
        </row>
        <row r="28">
          <cell r="A28">
            <v>39003</v>
          </cell>
          <cell r="B28">
            <v>10</v>
          </cell>
          <cell r="C28" t="str">
            <v>W</v>
          </cell>
          <cell r="D28">
            <v>19</v>
          </cell>
          <cell r="E28">
            <v>20</v>
          </cell>
          <cell r="F28">
            <v>21</v>
          </cell>
          <cell r="G28">
            <v>22</v>
          </cell>
          <cell r="H28">
            <v>23</v>
          </cell>
          <cell r="I28">
            <v>24</v>
          </cell>
          <cell r="J28">
            <v>25</v>
          </cell>
          <cell r="K28">
            <v>26</v>
          </cell>
          <cell r="L28">
            <v>27</v>
          </cell>
          <cell r="M28">
            <v>28</v>
          </cell>
          <cell r="N28">
            <v>29</v>
          </cell>
          <cell r="O28">
            <v>30</v>
          </cell>
          <cell r="P28">
            <v>31</v>
          </cell>
        </row>
        <row r="29">
          <cell r="A29">
            <v>39004</v>
          </cell>
          <cell r="B29">
            <v>10</v>
          </cell>
          <cell r="C29" t="str">
            <v>W</v>
          </cell>
          <cell r="D29">
            <v>22</v>
          </cell>
          <cell r="E29">
            <v>23</v>
          </cell>
          <cell r="F29">
            <v>24</v>
          </cell>
          <cell r="G29">
            <v>25</v>
          </cell>
          <cell r="H29">
            <v>26</v>
          </cell>
          <cell r="I29">
            <v>27</v>
          </cell>
          <cell r="J29">
            <v>28</v>
          </cell>
          <cell r="K29">
            <v>29</v>
          </cell>
          <cell r="L29">
            <v>30</v>
          </cell>
          <cell r="M29">
            <v>31</v>
          </cell>
          <cell r="N29">
            <v>32</v>
          </cell>
          <cell r="O29">
            <v>33</v>
          </cell>
          <cell r="P29">
            <v>34</v>
          </cell>
        </row>
        <row r="30">
          <cell r="A30">
            <v>39005</v>
          </cell>
          <cell r="B30">
            <v>10</v>
          </cell>
          <cell r="C30" t="str">
            <v>W</v>
          </cell>
          <cell r="D30">
            <v>22</v>
          </cell>
          <cell r="E30">
            <v>23</v>
          </cell>
          <cell r="F30">
            <v>24</v>
          </cell>
          <cell r="G30">
            <v>25</v>
          </cell>
          <cell r="H30">
            <v>26</v>
          </cell>
          <cell r="I30">
            <v>27</v>
          </cell>
          <cell r="J30">
            <v>28</v>
          </cell>
          <cell r="K30">
            <v>29</v>
          </cell>
          <cell r="L30">
            <v>30</v>
          </cell>
          <cell r="M30">
            <v>31</v>
          </cell>
          <cell r="N30">
            <v>32</v>
          </cell>
          <cell r="O30">
            <v>33</v>
          </cell>
          <cell r="P30">
            <v>34</v>
          </cell>
        </row>
        <row r="31">
          <cell r="A31">
            <v>39006</v>
          </cell>
          <cell r="B31">
            <v>10</v>
          </cell>
          <cell r="C31" t="str">
            <v>W</v>
          </cell>
          <cell r="D31">
            <v>22</v>
          </cell>
          <cell r="E31">
            <v>23</v>
          </cell>
          <cell r="F31">
            <v>24</v>
          </cell>
          <cell r="G31">
            <v>25</v>
          </cell>
          <cell r="H31">
            <v>26</v>
          </cell>
          <cell r="I31">
            <v>27</v>
          </cell>
          <cell r="J31">
            <v>28</v>
          </cell>
          <cell r="K31">
            <v>29</v>
          </cell>
          <cell r="L31">
            <v>30</v>
          </cell>
          <cell r="M31">
            <v>31</v>
          </cell>
          <cell r="N31">
            <v>32</v>
          </cell>
          <cell r="O31">
            <v>33</v>
          </cell>
          <cell r="P31">
            <v>34</v>
          </cell>
        </row>
        <row r="32">
          <cell r="A32">
            <v>39007</v>
          </cell>
          <cell r="B32">
            <v>10</v>
          </cell>
          <cell r="C32" t="str">
            <v>W</v>
          </cell>
          <cell r="D32">
            <v>22</v>
          </cell>
          <cell r="E32">
            <v>23</v>
          </cell>
          <cell r="F32">
            <v>24</v>
          </cell>
          <cell r="G32">
            <v>25</v>
          </cell>
          <cell r="H32">
            <v>26</v>
          </cell>
          <cell r="I32">
            <v>27</v>
          </cell>
          <cell r="J32">
            <v>28</v>
          </cell>
          <cell r="K32">
            <v>29</v>
          </cell>
          <cell r="L32">
            <v>30</v>
          </cell>
          <cell r="M32">
            <v>31</v>
          </cell>
          <cell r="N32">
            <v>32</v>
          </cell>
          <cell r="O32">
            <v>33</v>
          </cell>
          <cell r="P32">
            <v>34</v>
          </cell>
        </row>
        <row r="33">
          <cell r="A33">
            <v>39008</v>
          </cell>
          <cell r="B33">
            <v>10</v>
          </cell>
          <cell r="C33" t="str">
            <v>W</v>
          </cell>
          <cell r="D33">
            <v>23</v>
          </cell>
          <cell r="E33">
            <v>24</v>
          </cell>
          <cell r="F33">
            <v>25</v>
          </cell>
          <cell r="G33">
            <v>26</v>
          </cell>
          <cell r="H33">
            <v>27</v>
          </cell>
          <cell r="I33">
            <v>28</v>
          </cell>
          <cell r="J33">
            <v>29</v>
          </cell>
          <cell r="K33">
            <v>30</v>
          </cell>
          <cell r="L33">
            <v>31</v>
          </cell>
          <cell r="M33">
            <v>32</v>
          </cell>
          <cell r="N33">
            <v>33</v>
          </cell>
          <cell r="O33">
            <v>34</v>
          </cell>
          <cell r="P33">
            <v>35</v>
          </cell>
        </row>
        <row r="34">
          <cell r="A34">
            <v>39009</v>
          </cell>
          <cell r="B34">
            <v>10</v>
          </cell>
          <cell r="C34" t="str">
            <v>W</v>
          </cell>
          <cell r="D34">
            <v>24</v>
          </cell>
          <cell r="E34">
            <v>25</v>
          </cell>
          <cell r="F34">
            <v>26</v>
          </cell>
          <cell r="G34">
            <v>27</v>
          </cell>
          <cell r="H34">
            <v>28</v>
          </cell>
          <cell r="I34">
            <v>29</v>
          </cell>
          <cell r="J34">
            <v>30</v>
          </cell>
          <cell r="K34">
            <v>31</v>
          </cell>
          <cell r="L34">
            <v>32</v>
          </cell>
          <cell r="M34">
            <v>33</v>
          </cell>
          <cell r="N34">
            <v>34</v>
          </cell>
          <cell r="O34">
            <v>35</v>
          </cell>
          <cell r="P34">
            <v>36</v>
          </cell>
        </row>
        <row r="35">
          <cell r="A35">
            <v>39010</v>
          </cell>
          <cell r="B35">
            <v>10</v>
          </cell>
          <cell r="C35" t="str">
            <v>W</v>
          </cell>
          <cell r="D35">
            <v>21</v>
          </cell>
          <cell r="E35">
            <v>22</v>
          </cell>
          <cell r="F35">
            <v>23</v>
          </cell>
          <cell r="G35">
            <v>24</v>
          </cell>
          <cell r="H35">
            <v>25</v>
          </cell>
          <cell r="I35">
            <v>26</v>
          </cell>
          <cell r="J35">
            <v>27</v>
          </cell>
          <cell r="K35">
            <v>28</v>
          </cell>
          <cell r="L35">
            <v>29</v>
          </cell>
          <cell r="M35">
            <v>30</v>
          </cell>
          <cell r="N35">
            <v>31</v>
          </cell>
          <cell r="O35">
            <v>32</v>
          </cell>
          <cell r="P35">
            <v>33</v>
          </cell>
        </row>
        <row r="36">
          <cell r="A36">
            <v>39011</v>
          </cell>
          <cell r="B36">
            <v>10</v>
          </cell>
          <cell r="C36" t="str">
            <v>W</v>
          </cell>
          <cell r="D36">
            <v>23</v>
          </cell>
          <cell r="E36">
            <v>24</v>
          </cell>
          <cell r="F36">
            <v>25</v>
          </cell>
          <cell r="G36">
            <v>26</v>
          </cell>
          <cell r="H36">
            <v>27</v>
          </cell>
          <cell r="I36">
            <v>28</v>
          </cell>
          <cell r="J36">
            <v>29</v>
          </cell>
          <cell r="K36">
            <v>30</v>
          </cell>
          <cell r="L36">
            <v>31</v>
          </cell>
          <cell r="M36">
            <v>32</v>
          </cell>
          <cell r="N36">
            <v>33</v>
          </cell>
          <cell r="O36">
            <v>34</v>
          </cell>
          <cell r="P36">
            <v>35</v>
          </cell>
        </row>
        <row r="37">
          <cell r="A37">
            <v>39012</v>
          </cell>
          <cell r="B37">
            <v>10</v>
          </cell>
          <cell r="C37" t="str">
            <v>W</v>
          </cell>
          <cell r="D37">
            <v>24</v>
          </cell>
          <cell r="E37">
            <v>25</v>
          </cell>
          <cell r="F37">
            <v>26</v>
          </cell>
          <cell r="G37">
            <v>27</v>
          </cell>
          <cell r="H37">
            <v>28</v>
          </cell>
          <cell r="I37">
            <v>29</v>
          </cell>
          <cell r="J37">
            <v>30</v>
          </cell>
          <cell r="K37">
            <v>31</v>
          </cell>
          <cell r="L37">
            <v>32</v>
          </cell>
          <cell r="M37">
            <v>33</v>
          </cell>
          <cell r="N37">
            <v>34</v>
          </cell>
          <cell r="O37">
            <v>35</v>
          </cell>
          <cell r="P37">
            <v>36</v>
          </cell>
        </row>
        <row r="38">
          <cell r="A38">
            <v>39013</v>
          </cell>
          <cell r="B38">
            <v>10</v>
          </cell>
          <cell r="C38" t="str">
            <v>W</v>
          </cell>
          <cell r="D38">
            <v>27</v>
          </cell>
          <cell r="E38">
            <v>28</v>
          </cell>
          <cell r="F38">
            <v>29</v>
          </cell>
          <cell r="G38">
            <v>30</v>
          </cell>
          <cell r="H38">
            <v>31</v>
          </cell>
          <cell r="I38">
            <v>32</v>
          </cell>
          <cell r="J38">
            <v>33</v>
          </cell>
          <cell r="K38">
            <v>34</v>
          </cell>
          <cell r="L38">
            <v>35</v>
          </cell>
          <cell r="M38">
            <v>36</v>
          </cell>
          <cell r="N38">
            <v>37</v>
          </cell>
          <cell r="O38">
            <v>38</v>
          </cell>
          <cell r="P38">
            <v>39</v>
          </cell>
        </row>
        <row r="39">
          <cell r="A39">
            <v>39014</v>
          </cell>
          <cell r="B39">
            <v>10</v>
          </cell>
          <cell r="C39" t="str">
            <v>W</v>
          </cell>
          <cell r="D39">
            <v>32</v>
          </cell>
          <cell r="E39">
            <v>33</v>
          </cell>
          <cell r="F39">
            <v>34</v>
          </cell>
          <cell r="G39">
            <v>35</v>
          </cell>
          <cell r="H39">
            <v>36</v>
          </cell>
          <cell r="I39">
            <v>37</v>
          </cell>
          <cell r="J39">
            <v>38</v>
          </cell>
          <cell r="K39">
            <v>39</v>
          </cell>
          <cell r="L39">
            <v>40</v>
          </cell>
          <cell r="M39">
            <v>41</v>
          </cell>
          <cell r="N39">
            <v>42</v>
          </cell>
          <cell r="O39">
            <v>43</v>
          </cell>
          <cell r="P39">
            <v>44</v>
          </cell>
        </row>
        <row r="40">
          <cell r="A40">
            <v>39015</v>
          </cell>
          <cell r="B40">
            <v>10</v>
          </cell>
          <cell r="C40" t="str">
            <v>W</v>
          </cell>
          <cell r="D40">
            <v>34</v>
          </cell>
          <cell r="E40">
            <v>35</v>
          </cell>
          <cell r="F40">
            <v>36</v>
          </cell>
          <cell r="G40">
            <v>37</v>
          </cell>
          <cell r="H40">
            <v>38</v>
          </cell>
          <cell r="I40">
            <v>39</v>
          </cell>
          <cell r="J40">
            <v>40</v>
          </cell>
          <cell r="K40">
            <v>41</v>
          </cell>
          <cell r="L40">
            <v>42</v>
          </cell>
          <cell r="M40">
            <v>43</v>
          </cell>
          <cell r="N40">
            <v>44</v>
          </cell>
          <cell r="O40">
            <v>45</v>
          </cell>
          <cell r="P40">
            <v>46</v>
          </cell>
        </row>
        <row r="41">
          <cell r="A41">
            <v>39016</v>
          </cell>
          <cell r="B41">
            <v>10</v>
          </cell>
          <cell r="C41" t="str">
            <v>W</v>
          </cell>
          <cell r="D41">
            <v>35</v>
          </cell>
          <cell r="E41">
            <v>36</v>
          </cell>
          <cell r="F41">
            <v>37</v>
          </cell>
          <cell r="G41">
            <v>38</v>
          </cell>
          <cell r="H41">
            <v>39</v>
          </cell>
          <cell r="I41">
            <v>40</v>
          </cell>
          <cell r="J41">
            <v>41</v>
          </cell>
          <cell r="K41">
            <v>42</v>
          </cell>
          <cell r="L41">
            <v>43</v>
          </cell>
          <cell r="M41">
            <v>44</v>
          </cell>
          <cell r="N41">
            <v>45</v>
          </cell>
          <cell r="O41">
            <v>46</v>
          </cell>
          <cell r="P41">
            <v>47</v>
          </cell>
        </row>
        <row r="42">
          <cell r="A42">
            <v>39017</v>
          </cell>
          <cell r="B42">
            <v>10</v>
          </cell>
          <cell r="C42" t="str">
            <v>W</v>
          </cell>
          <cell r="D42">
            <v>47</v>
          </cell>
          <cell r="E42">
            <v>48</v>
          </cell>
          <cell r="F42">
            <v>49</v>
          </cell>
          <cell r="G42">
            <v>50</v>
          </cell>
          <cell r="H42">
            <v>51</v>
          </cell>
          <cell r="I42">
            <v>52</v>
          </cell>
          <cell r="J42">
            <v>53</v>
          </cell>
          <cell r="K42">
            <v>54</v>
          </cell>
          <cell r="L42">
            <v>55</v>
          </cell>
          <cell r="M42">
            <v>56</v>
          </cell>
          <cell r="N42">
            <v>57</v>
          </cell>
          <cell r="O42">
            <v>58</v>
          </cell>
          <cell r="P42">
            <v>59</v>
          </cell>
        </row>
        <row r="43">
          <cell r="A43">
            <v>39018</v>
          </cell>
          <cell r="B43">
            <v>10</v>
          </cell>
          <cell r="C43" t="str">
            <v>W</v>
          </cell>
          <cell r="D43">
            <v>44</v>
          </cell>
          <cell r="E43">
            <v>45</v>
          </cell>
          <cell r="F43">
            <v>46</v>
          </cell>
          <cell r="G43">
            <v>47</v>
          </cell>
          <cell r="H43">
            <v>48</v>
          </cell>
          <cell r="I43">
            <v>49</v>
          </cell>
          <cell r="J43">
            <v>50</v>
          </cell>
          <cell r="K43">
            <v>51</v>
          </cell>
          <cell r="L43">
            <v>52</v>
          </cell>
          <cell r="M43">
            <v>53</v>
          </cell>
          <cell r="N43">
            <v>54</v>
          </cell>
          <cell r="O43">
            <v>55</v>
          </cell>
          <cell r="P43">
            <v>56</v>
          </cell>
        </row>
        <row r="44">
          <cell r="A44">
            <v>39019</v>
          </cell>
          <cell r="B44">
            <v>10</v>
          </cell>
          <cell r="C44" t="str">
            <v>W</v>
          </cell>
          <cell r="D44">
            <v>31</v>
          </cell>
          <cell r="E44">
            <v>32</v>
          </cell>
          <cell r="F44">
            <v>33</v>
          </cell>
          <cell r="G44">
            <v>34</v>
          </cell>
          <cell r="H44">
            <v>35</v>
          </cell>
          <cell r="I44">
            <v>36</v>
          </cell>
          <cell r="J44">
            <v>37</v>
          </cell>
          <cell r="K44">
            <v>38</v>
          </cell>
          <cell r="L44">
            <v>39</v>
          </cell>
          <cell r="M44">
            <v>40</v>
          </cell>
          <cell r="N44">
            <v>41</v>
          </cell>
          <cell r="O44">
            <v>42</v>
          </cell>
          <cell r="P44">
            <v>43</v>
          </cell>
        </row>
        <row r="45">
          <cell r="A45">
            <v>39020</v>
          </cell>
          <cell r="B45">
            <v>10</v>
          </cell>
          <cell r="C45" t="str">
            <v>W</v>
          </cell>
          <cell r="D45">
            <v>28</v>
          </cell>
          <cell r="E45">
            <v>29</v>
          </cell>
          <cell r="F45">
            <v>30</v>
          </cell>
          <cell r="G45">
            <v>31</v>
          </cell>
          <cell r="H45">
            <v>32</v>
          </cell>
          <cell r="I45">
            <v>33</v>
          </cell>
          <cell r="J45">
            <v>34</v>
          </cell>
          <cell r="K45">
            <v>35</v>
          </cell>
          <cell r="L45">
            <v>36</v>
          </cell>
          <cell r="M45">
            <v>37</v>
          </cell>
          <cell r="N45">
            <v>38</v>
          </cell>
          <cell r="O45">
            <v>39</v>
          </cell>
          <cell r="P45">
            <v>40</v>
          </cell>
        </row>
        <row r="46">
          <cell r="A46">
            <v>39021</v>
          </cell>
          <cell r="B46">
            <v>10</v>
          </cell>
          <cell r="C46" t="str">
            <v>W</v>
          </cell>
          <cell r="D46">
            <v>30</v>
          </cell>
          <cell r="E46">
            <v>31</v>
          </cell>
          <cell r="F46">
            <v>32</v>
          </cell>
          <cell r="G46">
            <v>33</v>
          </cell>
          <cell r="H46">
            <v>34</v>
          </cell>
          <cell r="I46">
            <v>35</v>
          </cell>
          <cell r="J46">
            <v>36</v>
          </cell>
          <cell r="K46">
            <v>37</v>
          </cell>
          <cell r="L46">
            <v>38</v>
          </cell>
          <cell r="M46">
            <v>39</v>
          </cell>
          <cell r="N46">
            <v>40</v>
          </cell>
          <cell r="O46">
            <v>41</v>
          </cell>
          <cell r="P46">
            <v>42</v>
          </cell>
        </row>
        <row r="47">
          <cell r="A47">
            <v>39022</v>
          </cell>
          <cell r="B47">
            <v>11</v>
          </cell>
          <cell r="C47" t="str">
            <v>W</v>
          </cell>
          <cell r="D47">
            <v>30</v>
          </cell>
          <cell r="E47">
            <v>31</v>
          </cell>
          <cell r="F47">
            <v>32</v>
          </cell>
          <cell r="G47">
            <v>33</v>
          </cell>
          <cell r="H47">
            <v>34</v>
          </cell>
          <cell r="I47">
            <v>35</v>
          </cell>
          <cell r="J47">
            <v>36</v>
          </cell>
          <cell r="K47">
            <v>37</v>
          </cell>
          <cell r="L47">
            <v>38</v>
          </cell>
          <cell r="M47">
            <v>39</v>
          </cell>
          <cell r="N47">
            <v>40</v>
          </cell>
          <cell r="O47">
            <v>41</v>
          </cell>
          <cell r="P47">
            <v>42</v>
          </cell>
        </row>
        <row r="48">
          <cell r="A48">
            <v>39023</v>
          </cell>
          <cell r="B48">
            <v>11</v>
          </cell>
          <cell r="C48" t="str">
            <v>W</v>
          </cell>
          <cell r="D48">
            <v>37</v>
          </cell>
          <cell r="E48">
            <v>38</v>
          </cell>
          <cell r="F48">
            <v>39</v>
          </cell>
          <cell r="G48">
            <v>40</v>
          </cell>
          <cell r="H48">
            <v>41</v>
          </cell>
          <cell r="I48">
            <v>42</v>
          </cell>
          <cell r="J48">
            <v>43</v>
          </cell>
          <cell r="K48">
            <v>44</v>
          </cell>
          <cell r="L48">
            <v>45</v>
          </cell>
          <cell r="M48">
            <v>46</v>
          </cell>
          <cell r="N48">
            <v>47</v>
          </cell>
          <cell r="O48">
            <v>48</v>
          </cell>
          <cell r="P48">
            <v>49</v>
          </cell>
        </row>
        <row r="49">
          <cell r="A49">
            <v>39024</v>
          </cell>
          <cell r="B49">
            <v>11</v>
          </cell>
          <cell r="C49" t="str">
            <v>W</v>
          </cell>
          <cell r="D49">
            <v>49</v>
          </cell>
          <cell r="E49">
            <v>50</v>
          </cell>
          <cell r="F49">
            <v>51</v>
          </cell>
          <cell r="G49">
            <v>52</v>
          </cell>
          <cell r="H49">
            <v>53</v>
          </cell>
          <cell r="I49">
            <v>54</v>
          </cell>
          <cell r="J49">
            <v>55</v>
          </cell>
          <cell r="K49">
            <v>56</v>
          </cell>
          <cell r="L49">
            <v>57</v>
          </cell>
          <cell r="M49">
            <v>58</v>
          </cell>
          <cell r="N49">
            <v>59</v>
          </cell>
          <cell r="O49">
            <v>60</v>
          </cell>
          <cell r="P49">
            <v>61</v>
          </cell>
        </row>
        <row r="50">
          <cell r="A50">
            <v>39025</v>
          </cell>
          <cell r="B50">
            <v>11</v>
          </cell>
          <cell r="C50" t="str">
            <v>W</v>
          </cell>
          <cell r="D50">
            <v>54</v>
          </cell>
          <cell r="E50">
            <v>55</v>
          </cell>
          <cell r="F50">
            <v>56</v>
          </cell>
          <cell r="G50">
            <v>57</v>
          </cell>
          <cell r="H50">
            <v>58</v>
          </cell>
          <cell r="I50">
            <v>59</v>
          </cell>
          <cell r="J50">
            <v>60</v>
          </cell>
          <cell r="K50">
            <v>61</v>
          </cell>
          <cell r="L50">
            <v>62</v>
          </cell>
          <cell r="M50">
            <v>63</v>
          </cell>
          <cell r="N50">
            <v>64</v>
          </cell>
          <cell r="O50">
            <v>65</v>
          </cell>
          <cell r="P50">
            <v>66</v>
          </cell>
        </row>
        <row r="51">
          <cell r="A51">
            <v>39026</v>
          </cell>
          <cell r="B51">
            <v>11</v>
          </cell>
          <cell r="C51" t="str">
            <v>W</v>
          </cell>
          <cell r="D51">
            <v>56</v>
          </cell>
          <cell r="E51">
            <v>57</v>
          </cell>
          <cell r="F51">
            <v>58</v>
          </cell>
          <cell r="G51">
            <v>59</v>
          </cell>
          <cell r="H51">
            <v>60</v>
          </cell>
          <cell r="I51">
            <v>61</v>
          </cell>
          <cell r="J51">
            <v>62</v>
          </cell>
          <cell r="K51">
            <v>63</v>
          </cell>
          <cell r="L51">
            <v>64</v>
          </cell>
          <cell r="M51">
            <v>65</v>
          </cell>
          <cell r="N51">
            <v>66</v>
          </cell>
          <cell r="O51">
            <v>67</v>
          </cell>
          <cell r="P51">
            <v>68</v>
          </cell>
        </row>
        <row r="52">
          <cell r="A52">
            <v>39027</v>
          </cell>
          <cell r="B52">
            <v>11</v>
          </cell>
          <cell r="C52" t="str">
            <v>W</v>
          </cell>
          <cell r="D52">
            <v>58</v>
          </cell>
          <cell r="E52">
            <v>59</v>
          </cell>
          <cell r="F52">
            <v>60</v>
          </cell>
          <cell r="G52">
            <v>61</v>
          </cell>
          <cell r="H52">
            <v>62</v>
          </cell>
          <cell r="I52">
            <v>63</v>
          </cell>
          <cell r="J52">
            <v>64</v>
          </cell>
          <cell r="K52">
            <v>65</v>
          </cell>
          <cell r="L52">
            <v>66</v>
          </cell>
          <cell r="M52">
            <v>67</v>
          </cell>
          <cell r="N52">
            <v>68</v>
          </cell>
          <cell r="O52">
            <v>69</v>
          </cell>
          <cell r="P52">
            <v>70</v>
          </cell>
        </row>
        <row r="53">
          <cell r="A53">
            <v>39028</v>
          </cell>
          <cell r="B53">
            <v>11</v>
          </cell>
          <cell r="C53" t="str">
            <v>W</v>
          </cell>
          <cell r="D53">
            <v>57</v>
          </cell>
          <cell r="E53">
            <v>58</v>
          </cell>
          <cell r="F53">
            <v>59</v>
          </cell>
          <cell r="G53">
            <v>60</v>
          </cell>
          <cell r="H53">
            <v>61</v>
          </cell>
          <cell r="I53">
            <v>62</v>
          </cell>
          <cell r="J53">
            <v>63</v>
          </cell>
          <cell r="K53">
            <v>64</v>
          </cell>
          <cell r="L53">
            <v>65</v>
          </cell>
          <cell r="M53">
            <v>66</v>
          </cell>
          <cell r="N53">
            <v>67</v>
          </cell>
          <cell r="O53">
            <v>68</v>
          </cell>
          <cell r="P53">
            <v>69</v>
          </cell>
        </row>
        <row r="54">
          <cell r="A54">
            <v>39029</v>
          </cell>
          <cell r="B54">
            <v>11</v>
          </cell>
          <cell r="C54" t="str">
            <v>W</v>
          </cell>
          <cell r="D54">
            <v>66</v>
          </cell>
          <cell r="E54">
            <v>67</v>
          </cell>
          <cell r="F54">
            <v>68</v>
          </cell>
          <cell r="G54">
            <v>69</v>
          </cell>
          <cell r="H54">
            <v>70</v>
          </cell>
          <cell r="I54">
            <v>71</v>
          </cell>
          <cell r="J54">
            <v>72</v>
          </cell>
          <cell r="K54">
            <v>73</v>
          </cell>
          <cell r="L54">
            <v>74</v>
          </cell>
          <cell r="M54">
            <v>75</v>
          </cell>
          <cell r="N54">
            <v>76</v>
          </cell>
          <cell r="O54">
            <v>77</v>
          </cell>
          <cell r="P54">
            <v>78</v>
          </cell>
        </row>
        <row r="55">
          <cell r="A55">
            <v>39030</v>
          </cell>
          <cell r="B55">
            <v>11</v>
          </cell>
          <cell r="C55" t="str">
            <v>W</v>
          </cell>
          <cell r="D55">
            <v>61</v>
          </cell>
          <cell r="E55">
            <v>62</v>
          </cell>
          <cell r="F55">
            <v>63</v>
          </cell>
          <cell r="G55">
            <v>64</v>
          </cell>
          <cell r="H55">
            <v>65</v>
          </cell>
          <cell r="I55">
            <v>66</v>
          </cell>
          <cell r="J55">
            <v>67</v>
          </cell>
          <cell r="K55">
            <v>68</v>
          </cell>
          <cell r="L55">
            <v>69</v>
          </cell>
          <cell r="M55">
            <v>70</v>
          </cell>
          <cell r="N55">
            <v>71</v>
          </cell>
          <cell r="O55">
            <v>72</v>
          </cell>
          <cell r="P55">
            <v>73</v>
          </cell>
        </row>
        <row r="56">
          <cell r="A56">
            <v>39031</v>
          </cell>
          <cell r="B56">
            <v>11</v>
          </cell>
          <cell r="C56" t="str">
            <v>W</v>
          </cell>
          <cell r="D56">
            <v>51</v>
          </cell>
          <cell r="E56">
            <v>52</v>
          </cell>
          <cell r="F56">
            <v>53</v>
          </cell>
          <cell r="G56">
            <v>54</v>
          </cell>
          <cell r="H56">
            <v>55</v>
          </cell>
          <cell r="I56">
            <v>56</v>
          </cell>
          <cell r="J56">
            <v>57</v>
          </cell>
          <cell r="K56">
            <v>58</v>
          </cell>
          <cell r="L56">
            <v>59</v>
          </cell>
          <cell r="M56">
            <v>60</v>
          </cell>
          <cell r="N56">
            <v>61</v>
          </cell>
          <cell r="O56">
            <v>62</v>
          </cell>
          <cell r="P56">
            <v>63</v>
          </cell>
        </row>
        <row r="57">
          <cell r="A57">
            <v>39032</v>
          </cell>
          <cell r="B57">
            <v>11</v>
          </cell>
          <cell r="C57" t="str">
            <v>W</v>
          </cell>
          <cell r="D57">
            <v>64</v>
          </cell>
          <cell r="E57">
            <v>65</v>
          </cell>
          <cell r="F57">
            <v>66</v>
          </cell>
          <cell r="G57">
            <v>67</v>
          </cell>
          <cell r="H57">
            <v>68</v>
          </cell>
          <cell r="I57">
            <v>69</v>
          </cell>
          <cell r="J57">
            <v>70</v>
          </cell>
          <cell r="K57">
            <v>71</v>
          </cell>
          <cell r="L57">
            <v>72</v>
          </cell>
          <cell r="M57">
            <v>73</v>
          </cell>
          <cell r="N57">
            <v>74</v>
          </cell>
          <cell r="O57">
            <v>75</v>
          </cell>
          <cell r="P57">
            <v>76</v>
          </cell>
        </row>
        <row r="58">
          <cell r="A58">
            <v>39033</v>
          </cell>
          <cell r="B58">
            <v>11</v>
          </cell>
          <cell r="C58" t="str">
            <v>W</v>
          </cell>
          <cell r="D58">
            <v>69</v>
          </cell>
          <cell r="E58">
            <v>70</v>
          </cell>
          <cell r="F58">
            <v>71</v>
          </cell>
          <cell r="G58">
            <v>72</v>
          </cell>
          <cell r="H58">
            <v>73</v>
          </cell>
          <cell r="I58">
            <v>74</v>
          </cell>
          <cell r="J58">
            <v>75</v>
          </cell>
          <cell r="K58">
            <v>76</v>
          </cell>
          <cell r="L58">
            <v>77</v>
          </cell>
          <cell r="M58">
            <v>78</v>
          </cell>
          <cell r="N58">
            <v>79</v>
          </cell>
          <cell r="O58">
            <v>80</v>
          </cell>
          <cell r="P58">
            <v>81</v>
          </cell>
        </row>
        <row r="59">
          <cell r="A59">
            <v>39034</v>
          </cell>
          <cell r="B59">
            <v>11</v>
          </cell>
          <cell r="C59" t="str">
            <v>W</v>
          </cell>
          <cell r="D59">
            <v>76</v>
          </cell>
          <cell r="E59">
            <v>77</v>
          </cell>
          <cell r="F59">
            <v>78</v>
          </cell>
          <cell r="G59">
            <v>79</v>
          </cell>
          <cell r="H59">
            <v>80</v>
          </cell>
          <cell r="I59">
            <v>81</v>
          </cell>
          <cell r="J59">
            <v>82</v>
          </cell>
          <cell r="K59">
            <v>83</v>
          </cell>
          <cell r="L59">
            <v>84</v>
          </cell>
          <cell r="M59">
            <v>85</v>
          </cell>
          <cell r="N59">
            <v>86</v>
          </cell>
          <cell r="O59">
            <v>87</v>
          </cell>
          <cell r="P59">
            <v>88</v>
          </cell>
        </row>
        <row r="60">
          <cell r="A60">
            <v>39035</v>
          </cell>
          <cell r="B60">
            <v>11</v>
          </cell>
          <cell r="C60" t="str">
            <v>W</v>
          </cell>
          <cell r="D60">
            <v>70</v>
          </cell>
          <cell r="E60">
            <v>71</v>
          </cell>
          <cell r="F60">
            <v>72</v>
          </cell>
          <cell r="G60">
            <v>73</v>
          </cell>
          <cell r="H60">
            <v>74</v>
          </cell>
          <cell r="I60">
            <v>75</v>
          </cell>
          <cell r="J60">
            <v>76</v>
          </cell>
          <cell r="K60">
            <v>77</v>
          </cell>
          <cell r="L60">
            <v>78</v>
          </cell>
          <cell r="M60">
            <v>79</v>
          </cell>
          <cell r="N60">
            <v>80</v>
          </cell>
          <cell r="O60">
            <v>81</v>
          </cell>
          <cell r="P60">
            <v>82</v>
          </cell>
        </row>
        <row r="61">
          <cell r="A61">
            <v>39036</v>
          </cell>
          <cell r="B61">
            <v>11</v>
          </cell>
          <cell r="C61" t="str">
            <v>W</v>
          </cell>
          <cell r="D61">
            <v>66</v>
          </cell>
          <cell r="E61">
            <v>67</v>
          </cell>
          <cell r="F61">
            <v>68</v>
          </cell>
          <cell r="G61">
            <v>69</v>
          </cell>
          <cell r="H61">
            <v>70</v>
          </cell>
          <cell r="I61">
            <v>71</v>
          </cell>
          <cell r="J61">
            <v>72</v>
          </cell>
          <cell r="K61">
            <v>73</v>
          </cell>
          <cell r="L61">
            <v>74</v>
          </cell>
          <cell r="M61">
            <v>75</v>
          </cell>
          <cell r="N61">
            <v>76</v>
          </cell>
          <cell r="O61">
            <v>77</v>
          </cell>
          <cell r="P61">
            <v>78</v>
          </cell>
        </row>
        <row r="62">
          <cell r="A62">
            <v>39037</v>
          </cell>
          <cell r="B62">
            <v>11</v>
          </cell>
          <cell r="C62" t="str">
            <v>W</v>
          </cell>
          <cell r="D62">
            <v>70</v>
          </cell>
          <cell r="E62">
            <v>71</v>
          </cell>
          <cell r="F62">
            <v>72</v>
          </cell>
          <cell r="G62">
            <v>73</v>
          </cell>
          <cell r="H62">
            <v>74</v>
          </cell>
          <cell r="I62">
            <v>75</v>
          </cell>
          <cell r="J62">
            <v>76</v>
          </cell>
          <cell r="K62">
            <v>77</v>
          </cell>
          <cell r="L62">
            <v>78</v>
          </cell>
          <cell r="M62">
            <v>79</v>
          </cell>
          <cell r="N62">
            <v>80</v>
          </cell>
          <cell r="O62">
            <v>81</v>
          </cell>
          <cell r="P62">
            <v>82</v>
          </cell>
        </row>
        <row r="63">
          <cell r="A63">
            <v>39038</v>
          </cell>
          <cell r="B63">
            <v>11</v>
          </cell>
          <cell r="C63" t="str">
            <v>W</v>
          </cell>
          <cell r="D63">
            <v>71</v>
          </cell>
          <cell r="E63">
            <v>72</v>
          </cell>
          <cell r="F63">
            <v>73</v>
          </cell>
          <cell r="G63">
            <v>74</v>
          </cell>
          <cell r="H63">
            <v>75</v>
          </cell>
          <cell r="I63">
            <v>76</v>
          </cell>
          <cell r="J63">
            <v>77</v>
          </cell>
          <cell r="K63">
            <v>78</v>
          </cell>
          <cell r="L63">
            <v>79</v>
          </cell>
          <cell r="M63">
            <v>80</v>
          </cell>
          <cell r="N63">
            <v>81</v>
          </cell>
          <cell r="O63">
            <v>82</v>
          </cell>
          <cell r="P63">
            <v>83</v>
          </cell>
        </row>
        <row r="64">
          <cell r="A64">
            <v>39039</v>
          </cell>
          <cell r="B64">
            <v>11</v>
          </cell>
          <cell r="C64" t="str">
            <v>W</v>
          </cell>
          <cell r="D64">
            <v>72</v>
          </cell>
          <cell r="E64">
            <v>73</v>
          </cell>
          <cell r="F64">
            <v>74</v>
          </cell>
          <cell r="G64">
            <v>75</v>
          </cell>
          <cell r="H64">
            <v>76</v>
          </cell>
          <cell r="I64">
            <v>77</v>
          </cell>
          <cell r="J64">
            <v>78</v>
          </cell>
          <cell r="K64">
            <v>79</v>
          </cell>
          <cell r="L64">
            <v>80</v>
          </cell>
          <cell r="M64">
            <v>81</v>
          </cell>
          <cell r="N64">
            <v>82</v>
          </cell>
          <cell r="O64">
            <v>83</v>
          </cell>
          <cell r="P64">
            <v>84</v>
          </cell>
        </row>
        <row r="65">
          <cell r="A65">
            <v>39040</v>
          </cell>
          <cell r="B65">
            <v>11</v>
          </cell>
          <cell r="C65" t="str">
            <v>W</v>
          </cell>
          <cell r="D65">
            <v>76</v>
          </cell>
          <cell r="E65">
            <v>77</v>
          </cell>
          <cell r="F65">
            <v>78</v>
          </cell>
          <cell r="G65">
            <v>79</v>
          </cell>
          <cell r="H65">
            <v>80</v>
          </cell>
          <cell r="I65">
            <v>81</v>
          </cell>
          <cell r="J65">
            <v>82</v>
          </cell>
          <cell r="K65">
            <v>83</v>
          </cell>
          <cell r="L65">
            <v>84</v>
          </cell>
          <cell r="M65">
            <v>85</v>
          </cell>
          <cell r="N65">
            <v>86</v>
          </cell>
          <cell r="O65">
            <v>87</v>
          </cell>
          <cell r="P65">
            <v>88</v>
          </cell>
        </row>
        <row r="66">
          <cell r="A66">
            <v>39041</v>
          </cell>
          <cell r="B66">
            <v>11</v>
          </cell>
          <cell r="C66" t="str">
            <v>W</v>
          </cell>
          <cell r="D66">
            <v>76</v>
          </cell>
          <cell r="E66">
            <v>77</v>
          </cell>
          <cell r="F66">
            <v>78</v>
          </cell>
          <cell r="G66">
            <v>79</v>
          </cell>
          <cell r="H66">
            <v>80</v>
          </cell>
          <cell r="I66">
            <v>81</v>
          </cell>
          <cell r="J66">
            <v>82</v>
          </cell>
          <cell r="K66">
            <v>83</v>
          </cell>
          <cell r="L66">
            <v>84</v>
          </cell>
          <cell r="M66">
            <v>85</v>
          </cell>
          <cell r="N66">
            <v>86</v>
          </cell>
          <cell r="O66">
            <v>87</v>
          </cell>
          <cell r="P66">
            <v>88</v>
          </cell>
        </row>
        <row r="67">
          <cell r="A67">
            <v>39042</v>
          </cell>
          <cell r="B67">
            <v>11</v>
          </cell>
          <cell r="C67" t="str">
            <v>W</v>
          </cell>
          <cell r="D67">
            <v>78</v>
          </cell>
          <cell r="E67">
            <v>79</v>
          </cell>
          <cell r="F67">
            <v>80</v>
          </cell>
          <cell r="G67">
            <v>81</v>
          </cell>
          <cell r="H67">
            <v>82</v>
          </cell>
          <cell r="I67">
            <v>83</v>
          </cell>
          <cell r="J67">
            <v>84</v>
          </cell>
          <cell r="K67">
            <v>85</v>
          </cell>
          <cell r="L67">
            <v>86</v>
          </cell>
          <cell r="M67">
            <v>87</v>
          </cell>
          <cell r="N67">
            <v>88</v>
          </cell>
          <cell r="O67">
            <v>89</v>
          </cell>
          <cell r="P67">
            <v>90</v>
          </cell>
        </row>
        <row r="68">
          <cell r="A68">
            <v>39043</v>
          </cell>
          <cell r="B68">
            <v>11</v>
          </cell>
          <cell r="C68" t="str">
            <v>W</v>
          </cell>
          <cell r="D68">
            <v>67</v>
          </cell>
          <cell r="E68">
            <v>68</v>
          </cell>
          <cell r="F68">
            <v>69</v>
          </cell>
          <cell r="G68">
            <v>70</v>
          </cell>
          <cell r="H68">
            <v>71</v>
          </cell>
          <cell r="I68">
            <v>72</v>
          </cell>
          <cell r="J68">
            <v>73</v>
          </cell>
          <cell r="K68">
            <v>74</v>
          </cell>
          <cell r="L68">
            <v>75</v>
          </cell>
          <cell r="M68">
            <v>76</v>
          </cell>
          <cell r="N68">
            <v>77</v>
          </cell>
          <cell r="O68">
            <v>78</v>
          </cell>
          <cell r="P68">
            <v>79</v>
          </cell>
        </row>
        <row r="69">
          <cell r="A69">
            <v>39044</v>
          </cell>
          <cell r="B69">
            <v>11</v>
          </cell>
          <cell r="C69" t="str">
            <v>W</v>
          </cell>
          <cell r="D69">
            <v>72</v>
          </cell>
          <cell r="E69">
            <v>73</v>
          </cell>
          <cell r="F69">
            <v>74</v>
          </cell>
          <cell r="G69">
            <v>75</v>
          </cell>
          <cell r="H69">
            <v>76</v>
          </cell>
          <cell r="I69">
            <v>77</v>
          </cell>
          <cell r="J69">
            <v>78</v>
          </cell>
          <cell r="K69">
            <v>79</v>
          </cell>
          <cell r="L69">
            <v>80</v>
          </cell>
          <cell r="M69">
            <v>81</v>
          </cell>
          <cell r="N69">
            <v>82</v>
          </cell>
          <cell r="O69">
            <v>83</v>
          </cell>
          <cell r="P69">
            <v>84</v>
          </cell>
        </row>
        <row r="70">
          <cell r="A70">
            <v>39045</v>
          </cell>
          <cell r="B70">
            <v>11</v>
          </cell>
          <cell r="C70" t="str">
            <v>W</v>
          </cell>
          <cell r="D70">
            <v>78</v>
          </cell>
          <cell r="E70">
            <v>79</v>
          </cell>
          <cell r="F70">
            <v>80</v>
          </cell>
          <cell r="G70">
            <v>81</v>
          </cell>
          <cell r="H70">
            <v>82</v>
          </cell>
          <cell r="I70">
            <v>83</v>
          </cell>
          <cell r="J70">
            <v>84</v>
          </cell>
          <cell r="K70">
            <v>85</v>
          </cell>
          <cell r="L70">
            <v>86</v>
          </cell>
          <cell r="M70">
            <v>87</v>
          </cell>
          <cell r="N70">
            <v>88</v>
          </cell>
          <cell r="O70">
            <v>89</v>
          </cell>
          <cell r="P70">
            <v>90</v>
          </cell>
        </row>
        <row r="71">
          <cell r="A71">
            <v>39046</v>
          </cell>
          <cell r="B71">
            <v>11</v>
          </cell>
          <cell r="C71" t="str">
            <v>W</v>
          </cell>
          <cell r="D71">
            <v>77</v>
          </cell>
          <cell r="E71">
            <v>78</v>
          </cell>
          <cell r="F71">
            <v>79</v>
          </cell>
          <cell r="G71">
            <v>80</v>
          </cell>
          <cell r="H71">
            <v>81</v>
          </cell>
          <cell r="I71">
            <v>82</v>
          </cell>
          <cell r="J71">
            <v>83</v>
          </cell>
          <cell r="K71">
            <v>84</v>
          </cell>
          <cell r="L71">
            <v>85</v>
          </cell>
          <cell r="M71">
            <v>86</v>
          </cell>
          <cell r="N71">
            <v>87</v>
          </cell>
          <cell r="O71">
            <v>88</v>
          </cell>
          <cell r="P71">
            <v>89</v>
          </cell>
        </row>
        <row r="72">
          <cell r="A72">
            <v>39047</v>
          </cell>
          <cell r="B72">
            <v>11</v>
          </cell>
          <cell r="C72" t="str">
            <v>W</v>
          </cell>
          <cell r="D72">
            <v>76</v>
          </cell>
          <cell r="E72">
            <v>77</v>
          </cell>
          <cell r="F72">
            <v>78</v>
          </cell>
          <cell r="G72">
            <v>79</v>
          </cell>
          <cell r="H72">
            <v>80</v>
          </cell>
          <cell r="I72">
            <v>81</v>
          </cell>
          <cell r="J72">
            <v>82</v>
          </cell>
          <cell r="K72">
            <v>83</v>
          </cell>
          <cell r="L72">
            <v>84</v>
          </cell>
          <cell r="M72">
            <v>85</v>
          </cell>
          <cell r="N72">
            <v>86</v>
          </cell>
          <cell r="O72">
            <v>87</v>
          </cell>
          <cell r="P72">
            <v>88</v>
          </cell>
        </row>
        <row r="73">
          <cell r="A73">
            <v>39048</v>
          </cell>
          <cell r="B73">
            <v>11</v>
          </cell>
          <cell r="C73" t="str">
            <v>W</v>
          </cell>
          <cell r="D73">
            <v>62</v>
          </cell>
          <cell r="E73">
            <v>63</v>
          </cell>
          <cell r="F73">
            <v>64</v>
          </cell>
          <cell r="G73">
            <v>65</v>
          </cell>
          <cell r="H73">
            <v>66</v>
          </cell>
          <cell r="I73">
            <v>67</v>
          </cell>
          <cell r="J73">
            <v>68</v>
          </cell>
          <cell r="K73">
            <v>69</v>
          </cell>
          <cell r="L73">
            <v>70</v>
          </cell>
          <cell r="M73">
            <v>71</v>
          </cell>
          <cell r="N73">
            <v>72</v>
          </cell>
          <cell r="O73">
            <v>73</v>
          </cell>
          <cell r="P73">
            <v>74</v>
          </cell>
        </row>
        <row r="74">
          <cell r="A74">
            <v>39049</v>
          </cell>
          <cell r="B74">
            <v>11</v>
          </cell>
          <cell r="C74" t="str">
            <v>W</v>
          </cell>
          <cell r="D74">
            <v>58</v>
          </cell>
          <cell r="E74">
            <v>59</v>
          </cell>
          <cell r="F74">
            <v>60</v>
          </cell>
          <cell r="G74">
            <v>61</v>
          </cell>
          <cell r="H74">
            <v>62</v>
          </cell>
          <cell r="I74">
            <v>63</v>
          </cell>
          <cell r="J74">
            <v>64</v>
          </cell>
          <cell r="K74">
            <v>65</v>
          </cell>
          <cell r="L74">
            <v>66</v>
          </cell>
          <cell r="M74">
            <v>67</v>
          </cell>
          <cell r="N74">
            <v>68</v>
          </cell>
          <cell r="O74">
            <v>69</v>
          </cell>
          <cell r="P74">
            <v>70</v>
          </cell>
        </row>
        <row r="75">
          <cell r="A75">
            <v>39050</v>
          </cell>
          <cell r="B75">
            <v>11</v>
          </cell>
          <cell r="C75" t="str">
            <v>W</v>
          </cell>
          <cell r="D75">
            <v>58</v>
          </cell>
          <cell r="E75">
            <v>59</v>
          </cell>
          <cell r="F75">
            <v>60</v>
          </cell>
          <cell r="G75">
            <v>61</v>
          </cell>
          <cell r="H75">
            <v>62</v>
          </cell>
          <cell r="I75">
            <v>63</v>
          </cell>
          <cell r="J75">
            <v>64</v>
          </cell>
          <cell r="K75">
            <v>65</v>
          </cell>
          <cell r="L75">
            <v>66</v>
          </cell>
          <cell r="M75">
            <v>67</v>
          </cell>
          <cell r="N75">
            <v>68</v>
          </cell>
          <cell r="O75">
            <v>69</v>
          </cell>
          <cell r="P75">
            <v>70</v>
          </cell>
        </row>
        <row r="76">
          <cell r="A76">
            <v>39051</v>
          </cell>
          <cell r="B76">
            <v>11</v>
          </cell>
          <cell r="C76" t="str">
            <v>W</v>
          </cell>
          <cell r="D76">
            <v>54</v>
          </cell>
          <cell r="E76">
            <v>55</v>
          </cell>
          <cell r="F76">
            <v>56</v>
          </cell>
          <cell r="G76">
            <v>57</v>
          </cell>
          <cell r="H76">
            <v>58</v>
          </cell>
          <cell r="I76">
            <v>59</v>
          </cell>
          <cell r="J76">
            <v>60</v>
          </cell>
          <cell r="K76">
            <v>61</v>
          </cell>
          <cell r="L76">
            <v>62</v>
          </cell>
          <cell r="M76">
            <v>63</v>
          </cell>
          <cell r="N76">
            <v>64</v>
          </cell>
          <cell r="O76">
            <v>65</v>
          </cell>
          <cell r="P76">
            <v>66</v>
          </cell>
        </row>
        <row r="77">
          <cell r="A77">
            <v>39052</v>
          </cell>
          <cell r="B77">
            <v>12</v>
          </cell>
          <cell r="C77" t="str">
            <v>W</v>
          </cell>
          <cell r="D77">
            <v>50</v>
          </cell>
          <cell r="E77">
            <v>51</v>
          </cell>
          <cell r="F77">
            <v>52</v>
          </cell>
          <cell r="G77">
            <v>53</v>
          </cell>
          <cell r="H77">
            <v>54</v>
          </cell>
          <cell r="I77">
            <v>55</v>
          </cell>
          <cell r="J77">
            <v>56</v>
          </cell>
          <cell r="K77">
            <v>57</v>
          </cell>
          <cell r="L77">
            <v>58</v>
          </cell>
          <cell r="M77">
            <v>59</v>
          </cell>
          <cell r="N77">
            <v>60</v>
          </cell>
          <cell r="O77">
            <v>61</v>
          </cell>
          <cell r="P77">
            <v>62</v>
          </cell>
        </row>
        <row r="78">
          <cell r="A78">
            <v>39053</v>
          </cell>
          <cell r="B78">
            <v>12</v>
          </cell>
          <cell r="C78" t="str">
            <v>W</v>
          </cell>
          <cell r="D78">
            <v>63</v>
          </cell>
          <cell r="E78">
            <v>64</v>
          </cell>
          <cell r="F78">
            <v>65</v>
          </cell>
          <cell r="G78">
            <v>66</v>
          </cell>
          <cell r="H78">
            <v>67</v>
          </cell>
          <cell r="I78">
            <v>68</v>
          </cell>
          <cell r="J78">
            <v>69</v>
          </cell>
          <cell r="K78">
            <v>70</v>
          </cell>
          <cell r="L78">
            <v>71</v>
          </cell>
          <cell r="M78">
            <v>72</v>
          </cell>
          <cell r="N78">
            <v>73</v>
          </cell>
          <cell r="O78">
            <v>74</v>
          </cell>
          <cell r="P78">
            <v>75</v>
          </cell>
        </row>
        <row r="79">
          <cell r="A79">
            <v>39054</v>
          </cell>
          <cell r="B79">
            <v>12</v>
          </cell>
          <cell r="C79" t="str">
            <v>W</v>
          </cell>
          <cell r="D79">
            <v>53</v>
          </cell>
          <cell r="E79">
            <v>54</v>
          </cell>
          <cell r="F79">
            <v>55</v>
          </cell>
          <cell r="G79">
            <v>56</v>
          </cell>
          <cell r="H79">
            <v>57</v>
          </cell>
          <cell r="I79">
            <v>58</v>
          </cell>
          <cell r="J79">
            <v>59</v>
          </cell>
          <cell r="K79">
            <v>60</v>
          </cell>
          <cell r="L79">
            <v>61</v>
          </cell>
          <cell r="M79">
            <v>62</v>
          </cell>
          <cell r="N79">
            <v>63</v>
          </cell>
          <cell r="O79">
            <v>64</v>
          </cell>
          <cell r="P79">
            <v>65</v>
          </cell>
        </row>
        <row r="80">
          <cell r="A80">
            <v>39055</v>
          </cell>
          <cell r="B80">
            <v>12</v>
          </cell>
          <cell r="C80" t="str">
            <v>W</v>
          </cell>
          <cell r="D80">
            <v>34</v>
          </cell>
          <cell r="E80">
            <v>35</v>
          </cell>
          <cell r="F80">
            <v>36</v>
          </cell>
          <cell r="G80">
            <v>37</v>
          </cell>
          <cell r="H80">
            <v>38</v>
          </cell>
          <cell r="I80">
            <v>39</v>
          </cell>
          <cell r="J80">
            <v>40</v>
          </cell>
          <cell r="K80">
            <v>41</v>
          </cell>
          <cell r="L80">
            <v>42</v>
          </cell>
          <cell r="M80">
            <v>43</v>
          </cell>
          <cell r="N80">
            <v>44</v>
          </cell>
          <cell r="O80">
            <v>45</v>
          </cell>
          <cell r="P80">
            <v>46</v>
          </cell>
        </row>
        <row r="81">
          <cell r="A81">
            <v>39056</v>
          </cell>
          <cell r="B81">
            <v>12</v>
          </cell>
          <cell r="C81" t="str">
            <v>W</v>
          </cell>
          <cell r="D81">
            <v>46</v>
          </cell>
          <cell r="E81">
            <v>47</v>
          </cell>
          <cell r="F81">
            <v>48</v>
          </cell>
          <cell r="G81">
            <v>49</v>
          </cell>
          <cell r="H81">
            <v>50</v>
          </cell>
          <cell r="I81">
            <v>51</v>
          </cell>
          <cell r="J81">
            <v>52</v>
          </cell>
          <cell r="K81">
            <v>53</v>
          </cell>
          <cell r="L81">
            <v>54</v>
          </cell>
          <cell r="M81">
            <v>55</v>
          </cell>
          <cell r="N81">
            <v>56</v>
          </cell>
          <cell r="O81">
            <v>57</v>
          </cell>
          <cell r="P81">
            <v>58</v>
          </cell>
        </row>
        <row r="82">
          <cell r="A82">
            <v>39057</v>
          </cell>
          <cell r="B82">
            <v>12</v>
          </cell>
          <cell r="C82" t="str">
            <v>W</v>
          </cell>
          <cell r="D82">
            <v>44</v>
          </cell>
          <cell r="E82">
            <v>45</v>
          </cell>
          <cell r="F82">
            <v>46</v>
          </cell>
          <cell r="G82">
            <v>47</v>
          </cell>
          <cell r="H82">
            <v>48</v>
          </cell>
          <cell r="I82">
            <v>49</v>
          </cell>
          <cell r="J82">
            <v>50</v>
          </cell>
          <cell r="K82">
            <v>51</v>
          </cell>
          <cell r="L82">
            <v>52</v>
          </cell>
          <cell r="M82">
            <v>53</v>
          </cell>
          <cell r="N82">
            <v>54</v>
          </cell>
          <cell r="O82">
            <v>55</v>
          </cell>
          <cell r="P82">
            <v>56</v>
          </cell>
        </row>
        <row r="83">
          <cell r="A83">
            <v>39058</v>
          </cell>
          <cell r="B83">
            <v>12</v>
          </cell>
          <cell r="C83" t="str">
            <v>W</v>
          </cell>
          <cell r="D83">
            <v>45</v>
          </cell>
          <cell r="E83">
            <v>46</v>
          </cell>
          <cell r="F83">
            <v>47</v>
          </cell>
          <cell r="G83">
            <v>48</v>
          </cell>
          <cell r="H83">
            <v>49</v>
          </cell>
          <cell r="I83">
            <v>50</v>
          </cell>
          <cell r="J83">
            <v>51</v>
          </cell>
          <cell r="K83">
            <v>52</v>
          </cell>
          <cell r="L83">
            <v>53</v>
          </cell>
          <cell r="M83">
            <v>54</v>
          </cell>
          <cell r="N83">
            <v>55</v>
          </cell>
          <cell r="O83">
            <v>56</v>
          </cell>
          <cell r="P83">
            <v>57</v>
          </cell>
        </row>
        <row r="84">
          <cell r="A84">
            <v>39059</v>
          </cell>
          <cell r="B84">
            <v>12</v>
          </cell>
          <cell r="C84" t="str">
            <v>W</v>
          </cell>
          <cell r="D84">
            <v>45</v>
          </cell>
          <cell r="E84">
            <v>46</v>
          </cell>
          <cell r="F84">
            <v>47</v>
          </cell>
          <cell r="G84">
            <v>48</v>
          </cell>
          <cell r="H84">
            <v>49</v>
          </cell>
          <cell r="I84">
            <v>50</v>
          </cell>
          <cell r="J84">
            <v>51</v>
          </cell>
          <cell r="K84">
            <v>52</v>
          </cell>
          <cell r="L84">
            <v>53</v>
          </cell>
          <cell r="M84">
            <v>54</v>
          </cell>
          <cell r="N84">
            <v>55</v>
          </cell>
          <cell r="O84">
            <v>56</v>
          </cell>
          <cell r="P84">
            <v>57</v>
          </cell>
        </row>
        <row r="85">
          <cell r="A85">
            <v>39060</v>
          </cell>
          <cell r="B85">
            <v>12</v>
          </cell>
          <cell r="C85" t="str">
            <v>W</v>
          </cell>
          <cell r="D85">
            <v>29</v>
          </cell>
          <cell r="E85">
            <v>30</v>
          </cell>
          <cell r="F85">
            <v>31</v>
          </cell>
          <cell r="G85">
            <v>32</v>
          </cell>
          <cell r="H85">
            <v>33</v>
          </cell>
          <cell r="I85">
            <v>34</v>
          </cell>
          <cell r="J85">
            <v>35</v>
          </cell>
          <cell r="K85">
            <v>36</v>
          </cell>
          <cell r="L85">
            <v>37</v>
          </cell>
          <cell r="M85">
            <v>38</v>
          </cell>
          <cell r="N85">
            <v>39</v>
          </cell>
          <cell r="O85">
            <v>40</v>
          </cell>
          <cell r="P85">
            <v>41</v>
          </cell>
        </row>
        <row r="86">
          <cell r="A86">
            <v>39061</v>
          </cell>
          <cell r="B86">
            <v>12</v>
          </cell>
          <cell r="C86" t="str">
            <v>W</v>
          </cell>
          <cell r="D86">
            <v>44</v>
          </cell>
          <cell r="E86">
            <v>45</v>
          </cell>
          <cell r="F86">
            <v>46</v>
          </cell>
          <cell r="G86">
            <v>47</v>
          </cell>
          <cell r="H86">
            <v>48</v>
          </cell>
          <cell r="I86">
            <v>49</v>
          </cell>
          <cell r="J86">
            <v>50</v>
          </cell>
          <cell r="K86">
            <v>51</v>
          </cell>
          <cell r="L86">
            <v>52</v>
          </cell>
          <cell r="M86">
            <v>53</v>
          </cell>
          <cell r="N86">
            <v>54</v>
          </cell>
          <cell r="O86">
            <v>55</v>
          </cell>
          <cell r="P86">
            <v>56</v>
          </cell>
        </row>
        <row r="87">
          <cell r="A87">
            <v>39062</v>
          </cell>
          <cell r="B87">
            <v>12</v>
          </cell>
          <cell r="C87" t="str">
            <v>W</v>
          </cell>
          <cell r="D87">
            <v>59</v>
          </cell>
          <cell r="E87">
            <v>60</v>
          </cell>
          <cell r="F87">
            <v>61</v>
          </cell>
          <cell r="G87">
            <v>62</v>
          </cell>
          <cell r="H87">
            <v>63</v>
          </cell>
          <cell r="I87">
            <v>64</v>
          </cell>
          <cell r="J87">
            <v>65</v>
          </cell>
          <cell r="K87">
            <v>66</v>
          </cell>
          <cell r="L87">
            <v>67</v>
          </cell>
          <cell r="M87">
            <v>68</v>
          </cell>
          <cell r="N87">
            <v>69</v>
          </cell>
          <cell r="O87">
            <v>70</v>
          </cell>
          <cell r="P87">
            <v>71</v>
          </cell>
        </row>
        <row r="88">
          <cell r="A88">
            <v>39063</v>
          </cell>
          <cell r="B88">
            <v>12</v>
          </cell>
          <cell r="C88" t="str">
            <v>W</v>
          </cell>
          <cell r="D88">
            <v>60</v>
          </cell>
          <cell r="E88">
            <v>61</v>
          </cell>
          <cell r="F88">
            <v>62</v>
          </cell>
          <cell r="G88">
            <v>63</v>
          </cell>
          <cell r="H88">
            <v>64</v>
          </cell>
          <cell r="I88">
            <v>65</v>
          </cell>
          <cell r="J88">
            <v>66</v>
          </cell>
          <cell r="K88">
            <v>67</v>
          </cell>
          <cell r="L88">
            <v>68</v>
          </cell>
          <cell r="M88">
            <v>69</v>
          </cell>
          <cell r="N88">
            <v>70</v>
          </cell>
          <cell r="O88">
            <v>71</v>
          </cell>
          <cell r="P88">
            <v>72</v>
          </cell>
        </row>
        <row r="89">
          <cell r="A89">
            <v>39064</v>
          </cell>
          <cell r="B89">
            <v>12</v>
          </cell>
          <cell r="C89" t="str">
            <v>W</v>
          </cell>
          <cell r="D89">
            <v>60</v>
          </cell>
          <cell r="E89">
            <v>61</v>
          </cell>
          <cell r="F89">
            <v>62</v>
          </cell>
          <cell r="G89">
            <v>63</v>
          </cell>
          <cell r="H89">
            <v>64</v>
          </cell>
          <cell r="I89">
            <v>65</v>
          </cell>
          <cell r="J89">
            <v>66</v>
          </cell>
          <cell r="K89">
            <v>67</v>
          </cell>
          <cell r="L89">
            <v>68</v>
          </cell>
          <cell r="M89">
            <v>69</v>
          </cell>
          <cell r="N89">
            <v>70</v>
          </cell>
          <cell r="O89">
            <v>71</v>
          </cell>
          <cell r="P89">
            <v>72</v>
          </cell>
        </row>
        <row r="90">
          <cell r="A90">
            <v>39065</v>
          </cell>
          <cell r="B90">
            <v>12</v>
          </cell>
          <cell r="C90" t="str">
            <v>W</v>
          </cell>
          <cell r="D90">
            <v>55</v>
          </cell>
          <cell r="E90">
            <v>56</v>
          </cell>
          <cell r="F90">
            <v>57</v>
          </cell>
          <cell r="G90">
            <v>58</v>
          </cell>
          <cell r="H90">
            <v>59</v>
          </cell>
          <cell r="I90">
            <v>60</v>
          </cell>
          <cell r="J90">
            <v>61</v>
          </cell>
          <cell r="K90">
            <v>62</v>
          </cell>
          <cell r="L90">
            <v>63</v>
          </cell>
          <cell r="M90">
            <v>64</v>
          </cell>
          <cell r="N90">
            <v>65</v>
          </cell>
          <cell r="O90">
            <v>66</v>
          </cell>
          <cell r="P90">
            <v>67</v>
          </cell>
        </row>
        <row r="91">
          <cell r="A91">
            <v>39066</v>
          </cell>
          <cell r="B91">
            <v>12</v>
          </cell>
          <cell r="C91" t="str">
            <v>W</v>
          </cell>
          <cell r="D91">
            <v>67</v>
          </cell>
          <cell r="E91">
            <v>68</v>
          </cell>
          <cell r="F91">
            <v>69</v>
          </cell>
          <cell r="G91">
            <v>70</v>
          </cell>
          <cell r="H91">
            <v>71</v>
          </cell>
          <cell r="I91">
            <v>72</v>
          </cell>
          <cell r="J91">
            <v>73</v>
          </cell>
          <cell r="K91">
            <v>74</v>
          </cell>
          <cell r="L91">
            <v>75</v>
          </cell>
          <cell r="M91">
            <v>76</v>
          </cell>
          <cell r="N91">
            <v>77</v>
          </cell>
          <cell r="O91">
            <v>78</v>
          </cell>
          <cell r="P91">
            <v>79</v>
          </cell>
        </row>
        <row r="92">
          <cell r="A92">
            <v>39067</v>
          </cell>
          <cell r="B92">
            <v>12</v>
          </cell>
          <cell r="C92" t="str">
            <v>W</v>
          </cell>
          <cell r="D92">
            <v>70</v>
          </cell>
          <cell r="E92">
            <v>71</v>
          </cell>
          <cell r="F92">
            <v>72</v>
          </cell>
          <cell r="G92">
            <v>73</v>
          </cell>
          <cell r="H92">
            <v>74</v>
          </cell>
          <cell r="I92">
            <v>75</v>
          </cell>
          <cell r="J92">
            <v>76</v>
          </cell>
          <cell r="K92">
            <v>77</v>
          </cell>
          <cell r="L92">
            <v>78</v>
          </cell>
          <cell r="M92">
            <v>79</v>
          </cell>
          <cell r="N92">
            <v>80</v>
          </cell>
          <cell r="O92">
            <v>81</v>
          </cell>
          <cell r="P92">
            <v>82</v>
          </cell>
        </row>
        <row r="93">
          <cell r="A93">
            <v>39068</v>
          </cell>
          <cell r="B93">
            <v>12</v>
          </cell>
          <cell r="C93" t="str">
            <v>W</v>
          </cell>
          <cell r="D93">
            <v>60</v>
          </cell>
          <cell r="E93">
            <v>61</v>
          </cell>
          <cell r="F93">
            <v>62</v>
          </cell>
          <cell r="G93">
            <v>63</v>
          </cell>
          <cell r="H93">
            <v>64</v>
          </cell>
          <cell r="I93">
            <v>65</v>
          </cell>
          <cell r="J93">
            <v>66</v>
          </cell>
          <cell r="K93">
            <v>67</v>
          </cell>
          <cell r="L93">
            <v>68</v>
          </cell>
          <cell r="M93">
            <v>69</v>
          </cell>
          <cell r="N93">
            <v>70</v>
          </cell>
          <cell r="O93">
            <v>71</v>
          </cell>
          <cell r="P93">
            <v>72</v>
          </cell>
        </row>
        <row r="94">
          <cell r="A94">
            <v>39069</v>
          </cell>
          <cell r="B94">
            <v>12</v>
          </cell>
          <cell r="C94" t="str">
            <v>W</v>
          </cell>
          <cell r="D94">
            <v>60</v>
          </cell>
          <cell r="E94">
            <v>61</v>
          </cell>
          <cell r="F94">
            <v>62</v>
          </cell>
          <cell r="G94">
            <v>63</v>
          </cell>
          <cell r="H94">
            <v>64</v>
          </cell>
          <cell r="I94">
            <v>65</v>
          </cell>
          <cell r="J94">
            <v>66</v>
          </cell>
          <cell r="K94">
            <v>67</v>
          </cell>
          <cell r="L94">
            <v>68</v>
          </cell>
          <cell r="M94">
            <v>69</v>
          </cell>
          <cell r="N94">
            <v>70</v>
          </cell>
          <cell r="O94">
            <v>71</v>
          </cell>
          <cell r="P94">
            <v>72</v>
          </cell>
        </row>
        <row r="95">
          <cell r="A95">
            <v>39070</v>
          </cell>
          <cell r="B95">
            <v>12</v>
          </cell>
          <cell r="C95" t="str">
            <v>W</v>
          </cell>
          <cell r="D95">
            <v>62</v>
          </cell>
          <cell r="E95">
            <v>63</v>
          </cell>
          <cell r="F95">
            <v>64</v>
          </cell>
          <cell r="G95">
            <v>65</v>
          </cell>
          <cell r="H95">
            <v>66</v>
          </cell>
          <cell r="I95">
            <v>67</v>
          </cell>
          <cell r="J95">
            <v>68</v>
          </cell>
          <cell r="K95">
            <v>69</v>
          </cell>
          <cell r="L95">
            <v>70</v>
          </cell>
          <cell r="M95">
            <v>71</v>
          </cell>
          <cell r="N95">
            <v>72</v>
          </cell>
          <cell r="O95">
            <v>73</v>
          </cell>
          <cell r="P95">
            <v>74</v>
          </cell>
        </row>
        <row r="96">
          <cell r="A96">
            <v>39071</v>
          </cell>
          <cell r="B96">
            <v>12</v>
          </cell>
          <cell r="C96" t="str">
            <v>W</v>
          </cell>
          <cell r="D96">
            <v>49</v>
          </cell>
          <cell r="E96">
            <v>50</v>
          </cell>
          <cell r="F96">
            <v>51</v>
          </cell>
          <cell r="G96">
            <v>52</v>
          </cell>
          <cell r="H96">
            <v>53</v>
          </cell>
          <cell r="I96">
            <v>54</v>
          </cell>
          <cell r="J96">
            <v>55</v>
          </cell>
          <cell r="K96">
            <v>56</v>
          </cell>
          <cell r="L96">
            <v>57</v>
          </cell>
          <cell r="M96">
            <v>58</v>
          </cell>
          <cell r="N96">
            <v>59</v>
          </cell>
          <cell r="O96">
            <v>60</v>
          </cell>
          <cell r="P96">
            <v>61</v>
          </cell>
        </row>
        <row r="97">
          <cell r="A97">
            <v>39072</v>
          </cell>
          <cell r="B97">
            <v>12</v>
          </cell>
          <cell r="C97" t="str">
            <v>W</v>
          </cell>
          <cell r="D97">
            <v>62</v>
          </cell>
          <cell r="E97">
            <v>63</v>
          </cell>
          <cell r="F97">
            <v>64</v>
          </cell>
          <cell r="G97">
            <v>65</v>
          </cell>
          <cell r="H97">
            <v>66</v>
          </cell>
          <cell r="I97">
            <v>67</v>
          </cell>
          <cell r="J97">
            <v>68</v>
          </cell>
          <cell r="K97">
            <v>69</v>
          </cell>
          <cell r="L97">
            <v>70</v>
          </cell>
          <cell r="M97">
            <v>71</v>
          </cell>
          <cell r="N97">
            <v>72</v>
          </cell>
          <cell r="O97">
            <v>73</v>
          </cell>
          <cell r="P97">
            <v>74</v>
          </cell>
        </row>
        <row r="98">
          <cell r="A98">
            <v>39073</v>
          </cell>
          <cell r="B98">
            <v>12</v>
          </cell>
          <cell r="C98" t="str">
            <v>W</v>
          </cell>
          <cell r="D98">
            <v>68</v>
          </cell>
          <cell r="E98">
            <v>69</v>
          </cell>
          <cell r="F98">
            <v>70</v>
          </cell>
          <cell r="G98">
            <v>71</v>
          </cell>
          <cell r="H98">
            <v>72</v>
          </cell>
          <cell r="I98">
            <v>73</v>
          </cell>
          <cell r="J98">
            <v>74</v>
          </cell>
          <cell r="K98">
            <v>75</v>
          </cell>
          <cell r="L98">
            <v>76</v>
          </cell>
          <cell r="M98">
            <v>77</v>
          </cell>
          <cell r="N98">
            <v>78</v>
          </cell>
          <cell r="O98">
            <v>79</v>
          </cell>
          <cell r="P98">
            <v>80</v>
          </cell>
        </row>
        <row r="99">
          <cell r="A99">
            <v>39074</v>
          </cell>
          <cell r="B99">
            <v>12</v>
          </cell>
          <cell r="C99" t="str">
            <v>W</v>
          </cell>
          <cell r="D99">
            <v>61</v>
          </cell>
          <cell r="E99">
            <v>62</v>
          </cell>
          <cell r="F99">
            <v>63</v>
          </cell>
          <cell r="G99">
            <v>64</v>
          </cell>
          <cell r="H99">
            <v>65</v>
          </cell>
          <cell r="I99">
            <v>66</v>
          </cell>
          <cell r="J99">
            <v>67</v>
          </cell>
          <cell r="K99">
            <v>68</v>
          </cell>
          <cell r="L99">
            <v>69</v>
          </cell>
          <cell r="M99">
            <v>70</v>
          </cell>
          <cell r="N99">
            <v>71</v>
          </cell>
          <cell r="O99">
            <v>72</v>
          </cell>
          <cell r="P99">
            <v>73</v>
          </cell>
        </row>
        <row r="100">
          <cell r="A100">
            <v>39075</v>
          </cell>
          <cell r="B100">
            <v>12</v>
          </cell>
          <cell r="C100" t="str">
            <v>W</v>
          </cell>
          <cell r="D100">
            <v>59</v>
          </cell>
          <cell r="E100">
            <v>60</v>
          </cell>
          <cell r="F100">
            <v>61</v>
          </cell>
          <cell r="G100">
            <v>62</v>
          </cell>
          <cell r="H100">
            <v>63</v>
          </cell>
          <cell r="I100">
            <v>64</v>
          </cell>
          <cell r="J100">
            <v>65</v>
          </cell>
          <cell r="K100">
            <v>66</v>
          </cell>
          <cell r="L100">
            <v>67</v>
          </cell>
          <cell r="M100">
            <v>68</v>
          </cell>
          <cell r="N100">
            <v>69</v>
          </cell>
          <cell r="O100">
            <v>70</v>
          </cell>
          <cell r="P100">
            <v>71</v>
          </cell>
        </row>
        <row r="101">
          <cell r="A101">
            <v>39076</v>
          </cell>
          <cell r="B101">
            <v>12</v>
          </cell>
          <cell r="C101" t="str">
            <v>W</v>
          </cell>
          <cell r="D101">
            <v>64</v>
          </cell>
          <cell r="E101">
            <v>65</v>
          </cell>
          <cell r="F101">
            <v>66</v>
          </cell>
          <cell r="G101">
            <v>67</v>
          </cell>
          <cell r="H101">
            <v>68</v>
          </cell>
          <cell r="I101">
            <v>69</v>
          </cell>
          <cell r="J101">
            <v>70</v>
          </cell>
          <cell r="K101">
            <v>71</v>
          </cell>
          <cell r="L101">
            <v>72</v>
          </cell>
          <cell r="M101">
            <v>73</v>
          </cell>
          <cell r="N101">
            <v>74</v>
          </cell>
          <cell r="O101">
            <v>75</v>
          </cell>
          <cell r="P101">
            <v>76</v>
          </cell>
        </row>
        <row r="102">
          <cell r="A102">
            <v>39077</v>
          </cell>
          <cell r="B102">
            <v>12</v>
          </cell>
          <cell r="C102" t="str">
            <v>W</v>
          </cell>
          <cell r="D102">
            <v>65</v>
          </cell>
          <cell r="E102">
            <v>66</v>
          </cell>
          <cell r="F102">
            <v>67</v>
          </cell>
          <cell r="G102">
            <v>68</v>
          </cell>
          <cell r="H102">
            <v>69</v>
          </cell>
          <cell r="I102">
            <v>70</v>
          </cell>
          <cell r="J102">
            <v>71</v>
          </cell>
          <cell r="K102">
            <v>72</v>
          </cell>
          <cell r="L102">
            <v>73</v>
          </cell>
          <cell r="M102">
            <v>74</v>
          </cell>
          <cell r="N102">
            <v>75</v>
          </cell>
          <cell r="O102">
            <v>76</v>
          </cell>
          <cell r="P102">
            <v>77</v>
          </cell>
        </row>
        <row r="103">
          <cell r="A103">
            <v>39078</v>
          </cell>
          <cell r="B103">
            <v>12</v>
          </cell>
          <cell r="C103" t="str">
            <v>W</v>
          </cell>
          <cell r="D103">
            <v>74</v>
          </cell>
          <cell r="E103">
            <v>75</v>
          </cell>
          <cell r="F103">
            <v>76</v>
          </cell>
          <cell r="G103">
            <v>77</v>
          </cell>
          <cell r="H103">
            <v>78</v>
          </cell>
          <cell r="I103">
            <v>79</v>
          </cell>
          <cell r="J103">
            <v>80</v>
          </cell>
          <cell r="K103">
            <v>81</v>
          </cell>
          <cell r="L103">
            <v>82</v>
          </cell>
          <cell r="M103">
            <v>83</v>
          </cell>
          <cell r="N103">
            <v>84</v>
          </cell>
          <cell r="O103">
            <v>85</v>
          </cell>
          <cell r="P103">
            <v>86</v>
          </cell>
        </row>
        <row r="104">
          <cell r="A104">
            <v>39079</v>
          </cell>
          <cell r="B104">
            <v>12</v>
          </cell>
          <cell r="C104" t="str">
            <v>W</v>
          </cell>
          <cell r="D104">
            <v>54</v>
          </cell>
          <cell r="E104">
            <v>55</v>
          </cell>
          <cell r="F104">
            <v>56</v>
          </cell>
          <cell r="G104">
            <v>57</v>
          </cell>
          <cell r="H104">
            <v>58</v>
          </cell>
          <cell r="I104">
            <v>59</v>
          </cell>
          <cell r="J104">
            <v>60</v>
          </cell>
          <cell r="K104">
            <v>61</v>
          </cell>
          <cell r="L104">
            <v>62</v>
          </cell>
          <cell r="M104">
            <v>63</v>
          </cell>
          <cell r="N104">
            <v>64</v>
          </cell>
          <cell r="O104">
            <v>65</v>
          </cell>
          <cell r="P104">
            <v>66</v>
          </cell>
        </row>
        <row r="105">
          <cell r="A105">
            <v>39080</v>
          </cell>
          <cell r="B105">
            <v>12</v>
          </cell>
          <cell r="C105" t="str">
            <v>W</v>
          </cell>
          <cell r="D105">
            <v>55</v>
          </cell>
          <cell r="E105">
            <v>56</v>
          </cell>
          <cell r="F105">
            <v>57</v>
          </cell>
          <cell r="G105">
            <v>58</v>
          </cell>
          <cell r="H105">
            <v>59</v>
          </cell>
          <cell r="I105">
            <v>60</v>
          </cell>
          <cell r="J105">
            <v>61</v>
          </cell>
          <cell r="K105">
            <v>62</v>
          </cell>
          <cell r="L105">
            <v>63</v>
          </cell>
          <cell r="M105">
            <v>64</v>
          </cell>
          <cell r="N105">
            <v>65</v>
          </cell>
          <cell r="O105">
            <v>66</v>
          </cell>
          <cell r="P105">
            <v>67</v>
          </cell>
        </row>
        <row r="106">
          <cell r="A106">
            <v>39081</v>
          </cell>
          <cell r="B106">
            <v>12</v>
          </cell>
          <cell r="C106" t="str">
            <v>W</v>
          </cell>
          <cell r="D106">
            <v>53</v>
          </cell>
          <cell r="E106">
            <v>54</v>
          </cell>
          <cell r="F106">
            <v>55</v>
          </cell>
          <cell r="G106">
            <v>56</v>
          </cell>
          <cell r="H106">
            <v>57</v>
          </cell>
          <cell r="I106">
            <v>58</v>
          </cell>
          <cell r="J106">
            <v>59</v>
          </cell>
          <cell r="K106">
            <v>60</v>
          </cell>
          <cell r="L106">
            <v>61</v>
          </cell>
          <cell r="M106">
            <v>62</v>
          </cell>
          <cell r="N106">
            <v>63</v>
          </cell>
          <cell r="O106">
            <v>64</v>
          </cell>
          <cell r="P106">
            <v>65</v>
          </cell>
        </row>
        <row r="107">
          <cell r="A107">
            <v>39082</v>
          </cell>
          <cell r="B107">
            <v>12</v>
          </cell>
          <cell r="C107" t="str">
            <v>W</v>
          </cell>
          <cell r="D107">
            <v>67</v>
          </cell>
          <cell r="E107">
            <v>68</v>
          </cell>
          <cell r="F107">
            <v>69</v>
          </cell>
          <cell r="G107">
            <v>70</v>
          </cell>
          <cell r="H107">
            <v>71</v>
          </cell>
          <cell r="I107">
            <v>72</v>
          </cell>
          <cell r="J107">
            <v>73</v>
          </cell>
          <cell r="K107">
            <v>74</v>
          </cell>
          <cell r="L107">
            <v>75</v>
          </cell>
          <cell r="M107">
            <v>76</v>
          </cell>
          <cell r="N107">
            <v>77</v>
          </cell>
          <cell r="O107">
            <v>78</v>
          </cell>
          <cell r="P107">
            <v>79</v>
          </cell>
        </row>
        <row r="108">
          <cell r="A108">
            <v>39083</v>
          </cell>
          <cell r="B108">
            <v>1</v>
          </cell>
          <cell r="C108" t="str">
            <v>W</v>
          </cell>
          <cell r="D108">
            <v>70</v>
          </cell>
          <cell r="E108">
            <v>71</v>
          </cell>
          <cell r="F108">
            <v>72</v>
          </cell>
          <cell r="G108">
            <v>73</v>
          </cell>
          <cell r="H108">
            <v>74</v>
          </cell>
          <cell r="I108">
            <v>75</v>
          </cell>
          <cell r="J108">
            <v>76</v>
          </cell>
          <cell r="K108">
            <v>77</v>
          </cell>
          <cell r="L108">
            <v>78</v>
          </cell>
          <cell r="M108">
            <v>79</v>
          </cell>
          <cell r="N108">
            <v>80</v>
          </cell>
          <cell r="O108">
            <v>81</v>
          </cell>
          <cell r="P108">
            <v>82</v>
          </cell>
        </row>
        <row r="109">
          <cell r="A109">
            <v>39084</v>
          </cell>
          <cell r="B109">
            <v>1</v>
          </cell>
          <cell r="C109" t="str">
            <v>W</v>
          </cell>
          <cell r="D109">
            <v>61</v>
          </cell>
          <cell r="E109">
            <v>62</v>
          </cell>
          <cell r="F109">
            <v>63</v>
          </cell>
          <cell r="G109">
            <v>64</v>
          </cell>
          <cell r="H109">
            <v>65</v>
          </cell>
          <cell r="I109">
            <v>66</v>
          </cell>
          <cell r="J109">
            <v>67</v>
          </cell>
          <cell r="K109">
            <v>68</v>
          </cell>
          <cell r="L109">
            <v>69</v>
          </cell>
          <cell r="M109">
            <v>70</v>
          </cell>
          <cell r="N109">
            <v>71</v>
          </cell>
          <cell r="O109">
            <v>72</v>
          </cell>
          <cell r="P109">
            <v>73</v>
          </cell>
        </row>
        <row r="110">
          <cell r="A110">
            <v>39085</v>
          </cell>
          <cell r="B110">
            <v>1</v>
          </cell>
          <cell r="C110" t="str">
            <v>W</v>
          </cell>
          <cell r="D110">
            <v>64</v>
          </cell>
          <cell r="E110">
            <v>65</v>
          </cell>
          <cell r="F110">
            <v>66</v>
          </cell>
          <cell r="G110">
            <v>67</v>
          </cell>
          <cell r="H110">
            <v>68</v>
          </cell>
          <cell r="I110">
            <v>69</v>
          </cell>
          <cell r="J110">
            <v>70</v>
          </cell>
          <cell r="K110">
            <v>71</v>
          </cell>
          <cell r="L110">
            <v>72</v>
          </cell>
          <cell r="M110">
            <v>73</v>
          </cell>
          <cell r="N110">
            <v>74</v>
          </cell>
          <cell r="O110">
            <v>75</v>
          </cell>
          <cell r="P110">
            <v>76</v>
          </cell>
        </row>
        <row r="111">
          <cell r="A111">
            <v>39086</v>
          </cell>
          <cell r="B111">
            <v>1</v>
          </cell>
          <cell r="C111" t="str">
            <v>W</v>
          </cell>
          <cell r="D111">
            <v>69</v>
          </cell>
          <cell r="E111">
            <v>70</v>
          </cell>
          <cell r="F111">
            <v>71</v>
          </cell>
          <cell r="G111">
            <v>72</v>
          </cell>
          <cell r="H111">
            <v>73</v>
          </cell>
          <cell r="I111">
            <v>74</v>
          </cell>
          <cell r="J111">
            <v>75</v>
          </cell>
          <cell r="K111">
            <v>76</v>
          </cell>
          <cell r="L111">
            <v>77</v>
          </cell>
          <cell r="M111">
            <v>78</v>
          </cell>
          <cell r="N111">
            <v>79</v>
          </cell>
          <cell r="O111">
            <v>80</v>
          </cell>
          <cell r="P111">
            <v>81</v>
          </cell>
        </row>
        <row r="112">
          <cell r="A112">
            <v>39087</v>
          </cell>
          <cell r="B112">
            <v>1</v>
          </cell>
          <cell r="C112" t="str">
            <v>W</v>
          </cell>
          <cell r="D112">
            <v>80</v>
          </cell>
          <cell r="E112">
            <v>81</v>
          </cell>
          <cell r="F112">
            <v>82</v>
          </cell>
          <cell r="G112">
            <v>83</v>
          </cell>
          <cell r="H112">
            <v>84</v>
          </cell>
          <cell r="I112">
            <v>85</v>
          </cell>
          <cell r="J112">
            <v>86</v>
          </cell>
          <cell r="K112">
            <v>87</v>
          </cell>
          <cell r="L112">
            <v>88</v>
          </cell>
          <cell r="M112">
            <v>89</v>
          </cell>
          <cell r="N112">
            <v>90</v>
          </cell>
          <cell r="O112">
            <v>91</v>
          </cell>
          <cell r="P112">
            <v>92</v>
          </cell>
        </row>
        <row r="113">
          <cell r="A113">
            <v>39088</v>
          </cell>
          <cell r="B113">
            <v>1</v>
          </cell>
          <cell r="C113" t="str">
            <v>W</v>
          </cell>
          <cell r="D113">
            <v>83</v>
          </cell>
          <cell r="E113">
            <v>84</v>
          </cell>
          <cell r="F113">
            <v>85</v>
          </cell>
          <cell r="G113">
            <v>86</v>
          </cell>
          <cell r="H113">
            <v>87</v>
          </cell>
          <cell r="I113">
            <v>88</v>
          </cell>
          <cell r="J113">
            <v>89</v>
          </cell>
          <cell r="K113">
            <v>90</v>
          </cell>
          <cell r="L113">
            <v>91</v>
          </cell>
          <cell r="M113">
            <v>92</v>
          </cell>
          <cell r="N113">
            <v>93</v>
          </cell>
          <cell r="O113">
            <v>94</v>
          </cell>
          <cell r="P113">
            <v>95</v>
          </cell>
        </row>
        <row r="114">
          <cell r="A114">
            <v>39089</v>
          </cell>
          <cell r="B114">
            <v>1</v>
          </cell>
          <cell r="C114" t="str">
            <v>W</v>
          </cell>
          <cell r="D114">
            <v>80</v>
          </cell>
          <cell r="E114">
            <v>81</v>
          </cell>
          <cell r="F114">
            <v>82</v>
          </cell>
          <cell r="G114">
            <v>83</v>
          </cell>
          <cell r="H114">
            <v>84</v>
          </cell>
          <cell r="I114">
            <v>85</v>
          </cell>
          <cell r="J114">
            <v>86</v>
          </cell>
          <cell r="K114">
            <v>87</v>
          </cell>
          <cell r="L114">
            <v>88</v>
          </cell>
          <cell r="M114">
            <v>89</v>
          </cell>
          <cell r="N114">
            <v>90</v>
          </cell>
          <cell r="O114">
            <v>91</v>
          </cell>
          <cell r="P114">
            <v>92</v>
          </cell>
        </row>
        <row r="115">
          <cell r="A115">
            <v>39090</v>
          </cell>
          <cell r="B115">
            <v>1</v>
          </cell>
          <cell r="C115" t="str">
            <v>W</v>
          </cell>
          <cell r="D115">
            <v>89</v>
          </cell>
          <cell r="E115">
            <v>90</v>
          </cell>
          <cell r="F115">
            <v>91</v>
          </cell>
          <cell r="G115">
            <v>92</v>
          </cell>
          <cell r="H115">
            <v>93</v>
          </cell>
          <cell r="I115">
            <v>94</v>
          </cell>
          <cell r="J115">
            <v>95</v>
          </cell>
          <cell r="K115">
            <v>96</v>
          </cell>
          <cell r="L115">
            <v>97</v>
          </cell>
          <cell r="M115">
            <v>98</v>
          </cell>
          <cell r="N115">
            <v>99</v>
          </cell>
          <cell r="O115">
            <v>100</v>
          </cell>
          <cell r="P115">
            <v>101</v>
          </cell>
        </row>
        <row r="116">
          <cell r="A116">
            <v>39091</v>
          </cell>
          <cell r="B116">
            <v>1</v>
          </cell>
          <cell r="C116" t="str">
            <v>W</v>
          </cell>
          <cell r="D116">
            <v>95</v>
          </cell>
          <cell r="E116">
            <v>96</v>
          </cell>
          <cell r="F116">
            <v>97</v>
          </cell>
          <cell r="G116">
            <v>98</v>
          </cell>
          <cell r="H116">
            <v>99</v>
          </cell>
          <cell r="I116">
            <v>100</v>
          </cell>
          <cell r="J116">
            <v>101</v>
          </cell>
          <cell r="K116">
            <v>102</v>
          </cell>
          <cell r="L116">
            <v>103</v>
          </cell>
          <cell r="M116">
            <v>104</v>
          </cell>
          <cell r="N116">
            <v>105</v>
          </cell>
          <cell r="O116">
            <v>106</v>
          </cell>
          <cell r="P116">
            <v>107</v>
          </cell>
        </row>
        <row r="117">
          <cell r="A117">
            <v>39092</v>
          </cell>
          <cell r="B117">
            <v>1</v>
          </cell>
          <cell r="C117" t="str">
            <v>W</v>
          </cell>
          <cell r="D117">
            <v>76</v>
          </cell>
          <cell r="E117">
            <v>77</v>
          </cell>
          <cell r="F117">
            <v>78</v>
          </cell>
          <cell r="G117">
            <v>79</v>
          </cell>
          <cell r="H117">
            <v>80</v>
          </cell>
          <cell r="I117">
            <v>81</v>
          </cell>
          <cell r="J117">
            <v>82</v>
          </cell>
          <cell r="K117">
            <v>83</v>
          </cell>
          <cell r="L117">
            <v>84</v>
          </cell>
          <cell r="M117">
            <v>85</v>
          </cell>
          <cell r="N117">
            <v>86</v>
          </cell>
          <cell r="O117">
            <v>87</v>
          </cell>
          <cell r="P117">
            <v>88</v>
          </cell>
        </row>
        <row r="118">
          <cell r="A118">
            <v>39093</v>
          </cell>
          <cell r="B118">
            <v>1</v>
          </cell>
          <cell r="C118" t="str">
            <v>W</v>
          </cell>
          <cell r="D118">
            <v>53</v>
          </cell>
          <cell r="E118">
            <v>54</v>
          </cell>
          <cell r="F118">
            <v>55</v>
          </cell>
          <cell r="G118">
            <v>56</v>
          </cell>
          <cell r="H118">
            <v>57</v>
          </cell>
          <cell r="I118">
            <v>58</v>
          </cell>
          <cell r="J118">
            <v>59</v>
          </cell>
          <cell r="K118">
            <v>60</v>
          </cell>
          <cell r="L118">
            <v>61</v>
          </cell>
          <cell r="M118">
            <v>62</v>
          </cell>
          <cell r="N118">
            <v>63</v>
          </cell>
          <cell r="O118">
            <v>64</v>
          </cell>
          <cell r="P118">
            <v>65</v>
          </cell>
        </row>
        <row r="119">
          <cell r="A119">
            <v>39094</v>
          </cell>
          <cell r="B119">
            <v>1</v>
          </cell>
          <cell r="C119" t="str">
            <v>W</v>
          </cell>
          <cell r="D119">
            <v>47</v>
          </cell>
          <cell r="E119">
            <v>48</v>
          </cell>
          <cell r="F119">
            <v>49</v>
          </cell>
          <cell r="G119">
            <v>50</v>
          </cell>
          <cell r="H119">
            <v>51</v>
          </cell>
          <cell r="I119">
            <v>52</v>
          </cell>
          <cell r="J119">
            <v>53</v>
          </cell>
          <cell r="K119">
            <v>54</v>
          </cell>
          <cell r="L119">
            <v>55</v>
          </cell>
          <cell r="M119">
            <v>56</v>
          </cell>
          <cell r="N119">
            <v>57</v>
          </cell>
          <cell r="O119">
            <v>58</v>
          </cell>
          <cell r="P119">
            <v>59</v>
          </cell>
        </row>
        <row r="120">
          <cell r="A120">
            <v>39095</v>
          </cell>
          <cell r="B120">
            <v>1</v>
          </cell>
          <cell r="C120" t="str">
            <v>W</v>
          </cell>
          <cell r="D120">
            <v>46</v>
          </cell>
          <cell r="E120">
            <v>47</v>
          </cell>
          <cell r="F120">
            <v>48</v>
          </cell>
          <cell r="G120">
            <v>49</v>
          </cell>
          <cell r="H120">
            <v>50</v>
          </cell>
          <cell r="I120">
            <v>51</v>
          </cell>
          <cell r="J120">
            <v>52</v>
          </cell>
          <cell r="K120">
            <v>53</v>
          </cell>
          <cell r="L120">
            <v>54</v>
          </cell>
          <cell r="M120">
            <v>55</v>
          </cell>
          <cell r="N120">
            <v>56</v>
          </cell>
          <cell r="O120">
            <v>57</v>
          </cell>
          <cell r="P120">
            <v>58</v>
          </cell>
        </row>
        <row r="121">
          <cell r="A121">
            <v>39096</v>
          </cell>
          <cell r="B121">
            <v>1</v>
          </cell>
          <cell r="C121" t="str">
            <v>W</v>
          </cell>
          <cell r="D121">
            <v>54</v>
          </cell>
          <cell r="E121">
            <v>55</v>
          </cell>
          <cell r="F121">
            <v>56</v>
          </cell>
          <cell r="G121">
            <v>57</v>
          </cell>
          <cell r="H121">
            <v>58</v>
          </cell>
          <cell r="I121">
            <v>59</v>
          </cell>
          <cell r="J121">
            <v>60</v>
          </cell>
          <cell r="K121">
            <v>61</v>
          </cell>
          <cell r="L121">
            <v>62</v>
          </cell>
          <cell r="M121">
            <v>63</v>
          </cell>
          <cell r="N121">
            <v>64</v>
          </cell>
          <cell r="O121">
            <v>65</v>
          </cell>
          <cell r="P121">
            <v>66</v>
          </cell>
        </row>
        <row r="122">
          <cell r="A122">
            <v>39097</v>
          </cell>
          <cell r="B122">
            <v>1</v>
          </cell>
          <cell r="C122" t="str">
            <v>W</v>
          </cell>
          <cell r="D122">
            <v>57</v>
          </cell>
          <cell r="E122">
            <v>58</v>
          </cell>
          <cell r="F122">
            <v>59</v>
          </cell>
          <cell r="G122">
            <v>60</v>
          </cell>
          <cell r="H122">
            <v>61</v>
          </cell>
          <cell r="I122">
            <v>62</v>
          </cell>
          <cell r="J122">
            <v>63</v>
          </cell>
          <cell r="K122">
            <v>64</v>
          </cell>
          <cell r="L122">
            <v>65</v>
          </cell>
          <cell r="M122">
            <v>66</v>
          </cell>
          <cell r="N122">
            <v>67</v>
          </cell>
          <cell r="O122">
            <v>68</v>
          </cell>
          <cell r="P122">
            <v>69</v>
          </cell>
        </row>
        <row r="123">
          <cell r="A123">
            <v>39098</v>
          </cell>
          <cell r="B123">
            <v>1</v>
          </cell>
          <cell r="C123" t="str">
            <v>W</v>
          </cell>
          <cell r="D123">
            <v>56</v>
          </cell>
          <cell r="E123">
            <v>57</v>
          </cell>
          <cell r="F123">
            <v>58</v>
          </cell>
          <cell r="G123">
            <v>59</v>
          </cell>
          <cell r="H123">
            <v>60</v>
          </cell>
          <cell r="I123">
            <v>61</v>
          </cell>
          <cell r="J123">
            <v>62</v>
          </cell>
          <cell r="K123">
            <v>63</v>
          </cell>
          <cell r="L123">
            <v>64</v>
          </cell>
          <cell r="M123">
            <v>65</v>
          </cell>
          <cell r="N123">
            <v>66</v>
          </cell>
          <cell r="O123">
            <v>67</v>
          </cell>
          <cell r="P123">
            <v>68</v>
          </cell>
        </row>
        <row r="124">
          <cell r="A124">
            <v>39099</v>
          </cell>
          <cell r="B124">
            <v>1</v>
          </cell>
          <cell r="C124" t="str">
            <v>W</v>
          </cell>
          <cell r="D124">
            <v>54</v>
          </cell>
          <cell r="E124">
            <v>55</v>
          </cell>
          <cell r="F124">
            <v>56</v>
          </cell>
          <cell r="G124">
            <v>57</v>
          </cell>
          <cell r="H124">
            <v>58</v>
          </cell>
          <cell r="I124">
            <v>59</v>
          </cell>
          <cell r="J124">
            <v>60</v>
          </cell>
          <cell r="K124">
            <v>61</v>
          </cell>
          <cell r="L124">
            <v>62</v>
          </cell>
          <cell r="M124">
            <v>63</v>
          </cell>
          <cell r="N124">
            <v>64</v>
          </cell>
          <cell r="O124">
            <v>65</v>
          </cell>
          <cell r="P124">
            <v>66</v>
          </cell>
        </row>
        <row r="125">
          <cell r="A125">
            <v>39100</v>
          </cell>
          <cell r="B125">
            <v>1</v>
          </cell>
          <cell r="C125" t="str">
            <v>W</v>
          </cell>
          <cell r="D125">
            <v>56</v>
          </cell>
          <cell r="E125">
            <v>57</v>
          </cell>
          <cell r="F125">
            <v>58</v>
          </cell>
          <cell r="G125">
            <v>59</v>
          </cell>
          <cell r="H125">
            <v>60</v>
          </cell>
          <cell r="I125">
            <v>61</v>
          </cell>
          <cell r="J125">
            <v>62</v>
          </cell>
          <cell r="K125">
            <v>63</v>
          </cell>
          <cell r="L125">
            <v>64</v>
          </cell>
          <cell r="M125">
            <v>65</v>
          </cell>
          <cell r="N125">
            <v>66</v>
          </cell>
          <cell r="O125">
            <v>67</v>
          </cell>
          <cell r="P125">
            <v>68</v>
          </cell>
        </row>
        <row r="126">
          <cell r="A126">
            <v>39101</v>
          </cell>
          <cell r="B126">
            <v>1</v>
          </cell>
          <cell r="C126" t="str">
            <v>W</v>
          </cell>
          <cell r="D126">
            <v>56</v>
          </cell>
          <cell r="E126">
            <v>57</v>
          </cell>
          <cell r="F126">
            <v>58</v>
          </cell>
          <cell r="G126">
            <v>59</v>
          </cell>
          <cell r="H126">
            <v>60</v>
          </cell>
          <cell r="I126">
            <v>61</v>
          </cell>
          <cell r="J126">
            <v>62</v>
          </cell>
          <cell r="K126">
            <v>63</v>
          </cell>
          <cell r="L126">
            <v>64</v>
          </cell>
          <cell r="M126">
            <v>65</v>
          </cell>
          <cell r="N126">
            <v>66</v>
          </cell>
          <cell r="O126">
            <v>67</v>
          </cell>
          <cell r="P126">
            <v>68</v>
          </cell>
        </row>
        <row r="127">
          <cell r="A127">
            <v>39102</v>
          </cell>
          <cell r="B127">
            <v>1</v>
          </cell>
          <cell r="C127" t="str">
            <v>W</v>
          </cell>
          <cell r="D127">
            <v>60</v>
          </cell>
          <cell r="E127">
            <v>61</v>
          </cell>
          <cell r="F127">
            <v>62</v>
          </cell>
          <cell r="G127">
            <v>63</v>
          </cell>
          <cell r="H127">
            <v>64</v>
          </cell>
          <cell r="I127">
            <v>65</v>
          </cell>
          <cell r="J127">
            <v>66</v>
          </cell>
          <cell r="K127">
            <v>67</v>
          </cell>
          <cell r="L127">
            <v>68</v>
          </cell>
          <cell r="M127">
            <v>69</v>
          </cell>
          <cell r="N127">
            <v>70</v>
          </cell>
          <cell r="O127">
            <v>71</v>
          </cell>
          <cell r="P127">
            <v>72</v>
          </cell>
        </row>
        <row r="128">
          <cell r="A128">
            <v>39103</v>
          </cell>
          <cell r="B128">
            <v>1</v>
          </cell>
          <cell r="C128" t="str">
            <v>W</v>
          </cell>
          <cell r="D128">
            <v>56</v>
          </cell>
          <cell r="E128">
            <v>57</v>
          </cell>
          <cell r="F128">
            <v>58</v>
          </cell>
          <cell r="G128">
            <v>59</v>
          </cell>
          <cell r="H128">
            <v>60</v>
          </cell>
          <cell r="I128">
            <v>61</v>
          </cell>
          <cell r="J128">
            <v>62</v>
          </cell>
          <cell r="K128">
            <v>63</v>
          </cell>
          <cell r="L128">
            <v>64</v>
          </cell>
          <cell r="M128">
            <v>65</v>
          </cell>
          <cell r="N128">
            <v>66</v>
          </cell>
          <cell r="O128">
            <v>67</v>
          </cell>
          <cell r="P128">
            <v>68</v>
          </cell>
        </row>
        <row r="129">
          <cell r="A129">
            <v>39104</v>
          </cell>
          <cell r="B129">
            <v>1</v>
          </cell>
          <cell r="C129" t="str">
            <v>W</v>
          </cell>
          <cell r="D129">
            <v>61</v>
          </cell>
          <cell r="E129">
            <v>62</v>
          </cell>
          <cell r="F129">
            <v>63</v>
          </cell>
          <cell r="G129">
            <v>64</v>
          </cell>
          <cell r="H129">
            <v>65</v>
          </cell>
          <cell r="I129">
            <v>66</v>
          </cell>
          <cell r="J129">
            <v>67</v>
          </cell>
          <cell r="K129">
            <v>68</v>
          </cell>
          <cell r="L129">
            <v>69</v>
          </cell>
          <cell r="M129">
            <v>70</v>
          </cell>
          <cell r="N129">
            <v>71</v>
          </cell>
          <cell r="O129">
            <v>72</v>
          </cell>
          <cell r="P129">
            <v>73</v>
          </cell>
        </row>
        <row r="130">
          <cell r="A130">
            <v>39105</v>
          </cell>
          <cell r="B130">
            <v>1</v>
          </cell>
          <cell r="C130" t="str">
            <v>W</v>
          </cell>
          <cell r="D130">
            <v>68</v>
          </cell>
          <cell r="E130">
            <v>69</v>
          </cell>
          <cell r="F130">
            <v>70</v>
          </cell>
          <cell r="G130">
            <v>71</v>
          </cell>
          <cell r="H130">
            <v>72</v>
          </cell>
          <cell r="I130">
            <v>73</v>
          </cell>
          <cell r="J130">
            <v>74</v>
          </cell>
          <cell r="K130">
            <v>75</v>
          </cell>
          <cell r="L130">
            <v>76</v>
          </cell>
          <cell r="M130">
            <v>77</v>
          </cell>
          <cell r="N130">
            <v>78</v>
          </cell>
          <cell r="O130">
            <v>79</v>
          </cell>
          <cell r="P130">
            <v>80</v>
          </cell>
        </row>
        <row r="131">
          <cell r="A131">
            <v>39106</v>
          </cell>
          <cell r="B131">
            <v>1</v>
          </cell>
          <cell r="C131" t="str">
            <v>W</v>
          </cell>
          <cell r="D131">
            <v>69</v>
          </cell>
          <cell r="E131">
            <v>70</v>
          </cell>
          <cell r="F131">
            <v>71</v>
          </cell>
          <cell r="G131">
            <v>72</v>
          </cell>
          <cell r="H131">
            <v>73</v>
          </cell>
          <cell r="I131">
            <v>74</v>
          </cell>
          <cell r="J131">
            <v>75</v>
          </cell>
          <cell r="K131">
            <v>76</v>
          </cell>
          <cell r="L131">
            <v>77</v>
          </cell>
          <cell r="M131">
            <v>78</v>
          </cell>
          <cell r="N131">
            <v>79</v>
          </cell>
          <cell r="O131">
            <v>80</v>
          </cell>
          <cell r="P131">
            <v>81</v>
          </cell>
        </row>
        <row r="132">
          <cell r="A132">
            <v>39107</v>
          </cell>
          <cell r="B132">
            <v>1</v>
          </cell>
          <cell r="C132" t="str">
            <v>W</v>
          </cell>
          <cell r="D132">
            <v>70</v>
          </cell>
          <cell r="E132">
            <v>71</v>
          </cell>
          <cell r="F132">
            <v>72</v>
          </cell>
          <cell r="G132">
            <v>73</v>
          </cell>
          <cell r="H132">
            <v>74</v>
          </cell>
          <cell r="I132">
            <v>75</v>
          </cell>
          <cell r="J132">
            <v>76</v>
          </cell>
          <cell r="K132">
            <v>77</v>
          </cell>
          <cell r="L132">
            <v>78</v>
          </cell>
          <cell r="M132">
            <v>79</v>
          </cell>
          <cell r="N132">
            <v>80</v>
          </cell>
          <cell r="O132">
            <v>81</v>
          </cell>
          <cell r="P132">
            <v>82</v>
          </cell>
        </row>
        <row r="133">
          <cell r="A133">
            <v>39108</v>
          </cell>
          <cell r="B133">
            <v>1</v>
          </cell>
          <cell r="C133" t="str">
            <v>W</v>
          </cell>
          <cell r="D133">
            <v>43</v>
          </cell>
          <cell r="E133">
            <v>44</v>
          </cell>
          <cell r="F133">
            <v>45</v>
          </cell>
          <cell r="G133">
            <v>46</v>
          </cell>
          <cell r="H133">
            <v>47</v>
          </cell>
          <cell r="I133">
            <v>48</v>
          </cell>
          <cell r="J133">
            <v>49</v>
          </cell>
          <cell r="K133">
            <v>50</v>
          </cell>
          <cell r="L133">
            <v>51</v>
          </cell>
          <cell r="M133">
            <v>52</v>
          </cell>
          <cell r="N133">
            <v>53</v>
          </cell>
          <cell r="O133">
            <v>54</v>
          </cell>
          <cell r="P133">
            <v>55</v>
          </cell>
        </row>
        <row r="134">
          <cell r="A134">
            <v>39109</v>
          </cell>
          <cell r="B134">
            <v>1</v>
          </cell>
          <cell r="C134" t="str">
            <v>W</v>
          </cell>
          <cell r="D134">
            <v>51</v>
          </cell>
          <cell r="E134">
            <v>52</v>
          </cell>
          <cell r="F134">
            <v>53</v>
          </cell>
          <cell r="G134">
            <v>54</v>
          </cell>
          <cell r="H134">
            <v>55</v>
          </cell>
          <cell r="I134">
            <v>56</v>
          </cell>
          <cell r="J134">
            <v>57</v>
          </cell>
          <cell r="K134">
            <v>58</v>
          </cell>
          <cell r="L134">
            <v>59</v>
          </cell>
          <cell r="M134">
            <v>60</v>
          </cell>
          <cell r="N134">
            <v>61</v>
          </cell>
          <cell r="O134">
            <v>62</v>
          </cell>
          <cell r="P134">
            <v>63</v>
          </cell>
        </row>
        <row r="135">
          <cell r="A135">
            <v>39110</v>
          </cell>
          <cell r="B135">
            <v>1</v>
          </cell>
          <cell r="C135" t="str">
            <v>W</v>
          </cell>
          <cell r="D135">
            <v>36</v>
          </cell>
          <cell r="E135">
            <v>37</v>
          </cell>
          <cell r="F135">
            <v>38</v>
          </cell>
          <cell r="G135">
            <v>39</v>
          </cell>
          <cell r="H135">
            <v>40</v>
          </cell>
          <cell r="I135">
            <v>41</v>
          </cell>
          <cell r="J135">
            <v>42</v>
          </cell>
          <cell r="K135">
            <v>43</v>
          </cell>
          <cell r="L135">
            <v>44</v>
          </cell>
          <cell r="M135">
            <v>45</v>
          </cell>
          <cell r="N135">
            <v>46</v>
          </cell>
          <cell r="O135">
            <v>47</v>
          </cell>
          <cell r="P135">
            <v>48</v>
          </cell>
        </row>
        <row r="136">
          <cell r="A136">
            <v>39111</v>
          </cell>
          <cell r="B136">
            <v>1</v>
          </cell>
          <cell r="C136" t="str">
            <v>W</v>
          </cell>
          <cell r="D136">
            <v>37</v>
          </cell>
          <cell r="E136">
            <v>38</v>
          </cell>
          <cell r="F136">
            <v>39</v>
          </cell>
          <cell r="G136">
            <v>40</v>
          </cell>
          <cell r="H136">
            <v>41</v>
          </cell>
          <cell r="I136">
            <v>42</v>
          </cell>
          <cell r="J136">
            <v>43</v>
          </cell>
          <cell r="K136">
            <v>44</v>
          </cell>
          <cell r="L136">
            <v>45</v>
          </cell>
          <cell r="M136">
            <v>46</v>
          </cell>
          <cell r="N136">
            <v>47</v>
          </cell>
          <cell r="O136">
            <v>48</v>
          </cell>
          <cell r="P136">
            <v>49</v>
          </cell>
        </row>
        <row r="137">
          <cell r="A137">
            <v>39112</v>
          </cell>
          <cell r="B137">
            <v>1</v>
          </cell>
          <cell r="C137" t="str">
            <v>W</v>
          </cell>
          <cell r="D137">
            <v>35</v>
          </cell>
          <cell r="E137">
            <v>36</v>
          </cell>
          <cell r="F137">
            <v>37</v>
          </cell>
          <cell r="G137">
            <v>38</v>
          </cell>
          <cell r="H137">
            <v>39</v>
          </cell>
          <cell r="I137">
            <v>40</v>
          </cell>
          <cell r="J137">
            <v>41</v>
          </cell>
          <cell r="K137">
            <v>42</v>
          </cell>
          <cell r="L137">
            <v>43</v>
          </cell>
          <cell r="M137">
            <v>44</v>
          </cell>
          <cell r="N137">
            <v>45</v>
          </cell>
          <cell r="O137">
            <v>46</v>
          </cell>
          <cell r="P137">
            <v>47</v>
          </cell>
        </row>
        <row r="138">
          <cell r="A138">
            <v>39113</v>
          </cell>
          <cell r="B138">
            <v>1</v>
          </cell>
          <cell r="C138" t="str">
            <v>W</v>
          </cell>
          <cell r="D138">
            <v>42</v>
          </cell>
          <cell r="E138">
            <v>43</v>
          </cell>
          <cell r="F138">
            <v>44</v>
          </cell>
          <cell r="G138">
            <v>45</v>
          </cell>
          <cell r="H138">
            <v>46</v>
          </cell>
          <cell r="I138">
            <v>47</v>
          </cell>
          <cell r="J138">
            <v>48</v>
          </cell>
          <cell r="K138">
            <v>49</v>
          </cell>
          <cell r="L138">
            <v>50</v>
          </cell>
          <cell r="M138">
            <v>51</v>
          </cell>
          <cell r="N138">
            <v>52</v>
          </cell>
          <cell r="O138">
            <v>53</v>
          </cell>
          <cell r="P138">
            <v>54</v>
          </cell>
        </row>
        <row r="139">
          <cell r="A139">
            <v>39114</v>
          </cell>
          <cell r="B139">
            <v>2</v>
          </cell>
          <cell r="C139" t="str">
            <v>W</v>
          </cell>
          <cell r="D139">
            <v>44</v>
          </cell>
          <cell r="E139">
            <v>45</v>
          </cell>
          <cell r="F139">
            <v>46</v>
          </cell>
          <cell r="G139">
            <v>47</v>
          </cell>
          <cell r="H139">
            <v>48</v>
          </cell>
          <cell r="I139">
            <v>49</v>
          </cell>
          <cell r="J139">
            <v>50</v>
          </cell>
          <cell r="K139">
            <v>51</v>
          </cell>
          <cell r="L139">
            <v>52</v>
          </cell>
          <cell r="M139">
            <v>53</v>
          </cell>
          <cell r="N139">
            <v>54</v>
          </cell>
          <cell r="O139">
            <v>55</v>
          </cell>
          <cell r="P139">
            <v>56</v>
          </cell>
        </row>
        <row r="140">
          <cell r="A140">
            <v>39115</v>
          </cell>
          <cell r="B140">
            <v>2</v>
          </cell>
          <cell r="C140" t="str">
            <v>W</v>
          </cell>
          <cell r="D140">
            <v>40</v>
          </cell>
          <cell r="E140">
            <v>41</v>
          </cell>
          <cell r="F140">
            <v>42</v>
          </cell>
          <cell r="G140">
            <v>43</v>
          </cell>
          <cell r="H140">
            <v>44</v>
          </cell>
          <cell r="I140">
            <v>45</v>
          </cell>
          <cell r="J140">
            <v>46</v>
          </cell>
          <cell r="K140">
            <v>47</v>
          </cell>
          <cell r="L140">
            <v>48</v>
          </cell>
          <cell r="M140">
            <v>49</v>
          </cell>
          <cell r="N140">
            <v>50</v>
          </cell>
          <cell r="O140">
            <v>51</v>
          </cell>
          <cell r="P140">
            <v>52</v>
          </cell>
        </row>
        <row r="141">
          <cell r="A141">
            <v>39116</v>
          </cell>
          <cell r="B141">
            <v>2</v>
          </cell>
          <cell r="C141" t="str">
            <v>W</v>
          </cell>
          <cell r="D141">
            <v>44</v>
          </cell>
          <cell r="E141">
            <v>45</v>
          </cell>
          <cell r="F141">
            <v>46</v>
          </cell>
          <cell r="G141">
            <v>47</v>
          </cell>
          <cell r="H141">
            <v>48</v>
          </cell>
          <cell r="I141">
            <v>49</v>
          </cell>
          <cell r="J141">
            <v>50</v>
          </cell>
          <cell r="K141">
            <v>51</v>
          </cell>
          <cell r="L141">
            <v>52</v>
          </cell>
          <cell r="M141">
            <v>53</v>
          </cell>
          <cell r="N141">
            <v>54</v>
          </cell>
          <cell r="O141">
            <v>55</v>
          </cell>
          <cell r="P141">
            <v>56</v>
          </cell>
        </row>
        <row r="142">
          <cell r="A142">
            <v>39117</v>
          </cell>
          <cell r="B142">
            <v>2</v>
          </cell>
          <cell r="C142" t="str">
            <v>W</v>
          </cell>
          <cell r="D142">
            <v>51</v>
          </cell>
          <cell r="E142">
            <v>52</v>
          </cell>
          <cell r="F142">
            <v>53</v>
          </cell>
          <cell r="G142">
            <v>54</v>
          </cell>
          <cell r="H142">
            <v>55</v>
          </cell>
          <cell r="I142">
            <v>56</v>
          </cell>
          <cell r="J142">
            <v>57</v>
          </cell>
          <cell r="K142">
            <v>58</v>
          </cell>
          <cell r="L142">
            <v>59</v>
          </cell>
          <cell r="M142">
            <v>60</v>
          </cell>
          <cell r="N142">
            <v>61</v>
          </cell>
          <cell r="O142">
            <v>62</v>
          </cell>
          <cell r="P142">
            <v>63</v>
          </cell>
        </row>
        <row r="143">
          <cell r="A143">
            <v>39118</v>
          </cell>
          <cell r="B143">
            <v>2</v>
          </cell>
          <cell r="C143" t="str">
            <v>W</v>
          </cell>
          <cell r="D143">
            <v>53</v>
          </cell>
          <cell r="E143">
            <v>54</v>
          </cell>
          <cell r="F143">
            <v>55</v>
          </cell>
          <cell r="G143">
            <v>56</v>
          </cell>
          <cell r="H143">
            <v>57</v>
          </cell>
          <cell r="I143">
            <v>58</v>
          </cell>
          <cell r="J143">
            <v>59</v>
          </cell>
          <cell r="K143">
            <v>60</v>
          </cell>
          <cell r="L143">
            <v>61</v>
          </cell>
          <cell r="M143">
            <v>62</v>
          </cell>
          <cell r="N143">
            <v>63</v>
          </cell>
          <cell r="O143">
            <v>64</v>
          </cell>
          <cell r="P143">
            <v>65</v>
          </cell>
        </row>
        <row r="144">
          <cell r="A144">
            <v>39119</v>
          </cell>
          <cell r="B144">
            <v>2</v>
          </cell>
          <cell r="C144" t="str">
            <v>W</v>
          </cell>
          <cell r="D144">
            <v>56</v>
          </cell>
          <cell r="E144">
            <v>57</v>
          </cell>
          <cell r="F144">
            <v>58</v>
          </cell>
          <cell r="G144">
            <v>59</v>
          </cell>
          <cell r="H144">
            <v>60</v>
          </cell>
          <cell r="I144">
            <v>61</v>
          </cell>
          <cell r="J144">
            <v>62</v>
          </cell>
          <cell r="K144">
            <v>63</v>
          </cell>
          <cell r="L144">
            <v>64</v>
          </cell>
          <cell r="M144">
            <v>65</v>
          </cell>
          <cell r="N144">
            <v>66</v>
          </cell>
          <cell r="O144">
            <v>67</v>
          </cell>
          <cell r="P144">
            <v>68</v>
          </cell>
        </row>
        <row r="145">
          <cell r="A145">
            <v>39120</v>
          </cell>
          <cell r="B145">
            <v>2</v>
          </cell>
          <cell r="C145" t="str">
            <v>W</v>
          </cell>
          <cell r="D145">
            <v>53</v>
          </cell>
          <cell r="E145">
            <v>54</v>
          </cell>
          <cell r="F145">
            <v>55</v>
          </cell>
          <cell r="G145">
            <v>56</v>
          </cell>
          <cell r="H145">
            <v>57</v>
          </cell>
          <cell r="I145">
            <v>58</v>
          </cell>
          <cell r="J145">
            <v>59</v>
          </cell>
          <cell r="K145">
            <v>60</v>
          </cell>
          <cell r="L145">
            <v>61</v>
          </cell>
          <cell r="M145">
            <v>62</v>
          </cell>
          <cell r="N145">
            <v>63</v>
          </cell>
          <cell r="O145">
            <v>64</v>
          </cell>
          <cell r="P145">
            <v>65</v>
          </cell>
        </row>
        <row r="146">
          <cell r="A146">
            <v>39121</v>
          </cell>
          <cell r="B146">
            <v>2</v>
          </cell>
          <cell r="C146" t="str">
            <v>W</v>
          </cell>
          <cell r="D146">
            <v>51</v>
          </cell>
          <cell r="E146">
            <v>52</v>
          </cell>
          <cell r="F146">
            <v>53</v>
          </cell>
          <cell r="G146">
            <v>54</v>
          </cell>
          <cell r="H146">
            <v>55</v>
          </cell>
          <cell r="I146">
            <v>56</v>
          </cell>
          <cell r="J146">
            <v>57</v>
          </cell>
          <cell r="K146">
            <v>58</v>
          </cell>
          <cell r="L146">
            <v>59</v>
          </cell>
          <cell r="M146">
            <v>60</v>
          </cell>
          <cell r="N146">
            <v>61</v>
          </cell>
          <cell r="O146">
            <v>62</v>
          </cell>
          <cell r="P146">
            <v>63</v>
          </cell>
        </row>
        <row r="147">
          <cell r="A147">
            <v>39122</v>
          </cell>
          <cell r="B147">
            <v>2</v>
          </cell>
          <cell r="C147" t="str">
            <v>W</v>
          </cell>
          <cell r="D147">
            <v>38</v>
          </cell>
          <cell r="E147">
            <v>39</v>
          </cell>
          <cell r="F147">
            <v>40</v>
          </cell>
          <cell r="G147">
            <v>41</v>
          </cell>
          <cell r="H147">
            <v>42</v>
          </cell>
          <cell r="I147">
            <v>43</v>
          </cell>
          <cell r="J147">
            <v>44</v>
          </cell>
          <cell r="K147">
            <v>45</v>
          </cell>
          <cell r="L147">
            <v>46</v>
          </cell>
          <cell r="M147">
            <v>47</v>
          </cell>
          <cell r="N147">
            <v>48</v>
          </cell>
          <cell r="O147">
            <v>49</v>
          </cell>
          <cell r="P147">
            <v>50</v>
          </cell>
        </row>
        <row r="148">
          <cell r="A148">
            <v>39123</v>
          </cell>
          <cell r="B148">
            <v>2</v>
          </cell>
          <cell r="C148" t="str">
            <v>W</v>
          </cell>
          <cell r="D148">
            <v>50</v>
          </cell>
          <cell r="E148">
            <v>51</v>
          </cell>
          <cell r="F148">
            <v>52</v>
          </cell>
          <cell r="G148">
            <v>53</v>
          </cell>
          <cell r="H148">
            <v>54</v>
          </cell>
          <cell r="I148">
            <v>55</v>
          </cell>
          <cell r="J148">
            <v>56</v>
          </cell>
          <cell r="K148">
            <v>57</v>
          </cell>
          <cell r="L148">
            <v>58</v>
          </cell>
          <cell r="M148">
            <v>59</v>
          </cell>
          <cell r="N148">
            <v>60</v>
          </cell>
          <cell r="O148">
            <v>61</v>
          </cell>
          <cell r="P148">
            <v>62</v>
          </cell>
        </row>
        <row r="149">
          <cell r="A149">
            <v>39124</v>
          </cell>
          <cell r="B149">
            <v>2</v>
          </cell>
          <cell r="C149" t="str">
            <v>W</v>
          </cell>
          <cell r="D149">
            <v>51</v>
          </cell>
          <cell r="E149">
            <v>52</v>
          </cell>
          <cell r="F149">
            <v>53</v>
          </cell>
          <cell r="G149">
            <v>54</v>
          </cell>
          <cell r="H149">
            <v>55</v>
          </cell>
          <cell r="I149">
            <v>56</v>
          </cell>
          <cell r="J149">
            <v>57</v>
          </cell>
          <cell r="K149">
            <v>58</v>
          </cell>
          <cell r="L149">
            <v>59</v>
          </cell>
          <cell r="M149">
            <v>60</v>
          </cell>
          <cell r="N149">
            <v>61</v>
          </cell>
          <cell r="O149">
            <v>62</v>
          </cell>
          <cell r="P149">
            <v>63</v>
          </cell>
        </row>
        <row r="150">
          <cell r="A150">
            <v>39125</v>
          </cell>
          <cell r="B150">
            <v>2</v>
          </cell>
          <cell r="C150" t="str">
            <v>W</v>
          </cell>
          <cell r="D150">
            <v>56</v>
          </cell>
          <cell r="E150">
            <v>57</v>
          </cell>
          <cell r="F150">
            <v>58</v>
          </cell>
          <cell r="G150">
            <v>59</v>
          </cell>
          <cell r="H150">
            <v>60</v>
          </cell>
          <cell r="I150">
            <v>61</v>
          </cell>
          <cell r="J150">
            <v>62</v>
          </cell>
          <cell r="K150">
            <v>63</v>
          </cell>
          <cell r="L150">
            <v>64</v>
          </cell>
          <cell r="M150">
            <v>65</v>
          </cell>
          <cell r="N150">
            <v>66</v>
          </cell>
          <cell r="O150">
            <v>67</v>
          </cell>
          <cell r="P150">
            <v>68</v>
          </cell>
        </row>
        <row r="151">
          <cell r="A151">
            <v>39126</v>
          </cell>
          <cell r="B151">
            <v>2</v>
          </cell>
          <cell r="C151" t="str">
            <v>W</v>
          </cell>
          <cell r="D151">
            <v>57</v>
          </cell>
          <cell r="E151">
            <v>58</v>
          </cell>
          <cell r="F151">
            <v>59</v>
          </cell>
          <cell r="G151">
            <v>60</v>
          </cell>
          <cell r="H151">
            <v>61</v>
          </cell>
          <cell r="I151">
            <v>62</v>
          </cell>
          <cell r="J151">
            <v>63</v>
          </cell>
          <cell r="K151">
            <v>64</v>
          </cell>
          <cell r="L151">
            <v>65</v>
          </cell>
          <cell r="M151">
            <v>66</v>
          </cell>
          <cell r="N151">
            <v>67</v>
          </cell>
          <cell r="O151">
            <v>68</v>
          </cell>
          <cell r="P151">
            <v>69</v>
          </cell>
        </row>
        <row r="152">
          <cell r="A152">
            <v>39127</v>
          </cell>
          <cell r="B152">
            <v>2</v>
          </cell>
          <cell r="C152" t="str">
            <v>W</v>
          </cell>
          <cell r="D152">
            <v>53</v>
          </cell>
          <cell r="E152">
            <v>54</v>
          </cell>
          <cell r="F152">
            <v>55</v>
          </cell>
          <cell r="G152">
            <v>56</v>
          </cell>
          <cell r="H152">
            <v>57</v>
          </cell>
          <cell r="I152">
            <v>58</v>
          </cell>
          <cell r="J152">
            <v>59</v>
          </cell>
          <cell r="K152">
            <v>60</v>
          </cell>
          <cell r="L152">
            <v>61</v>
          </cell>
          <cell r="M152">
            <v>62</v>
          </cell>
          <cell r="N152">
            <v>63</v>
          </cell>
          <cell r="O152">
            <v>64</v>
          </cell>
          <cell r="P152">
            <v>65</v>
          </cell>
        </row>
        <row r="153">
          <cell r="A153">
            <v>39128</v>
          </cell>
          <cell r="B153">
            <v>2</v>
          </cell>
          <cell r="C153" t="str">
            <v>W</v>
          </cell>
          <cell r="D153">
            <v>48</v>
          </cell>
          <cell r="E153">
            <v>49</v>
          </cell>
          <cell r="F153">
            <v>50</v>
          </cell>
          <cell r="G153">
            <v>51</v>
          </cell>
          <cell r="H153">
            <v>52</v>
          </cell>
          <cell r="I153">
            <v>53</v>
          </cell>
          <cell r="J153">
            <v>54</v>
          </cell>
          <cell r="K153">
            <v>55</v>
          </cell>
          <cell r="L153">
            <v>56</v>
          </cell>
          <cell r="M153">
            <v>57</v>
          </cell>
          <cell r="N153">
            <v>58</v>
          </cell>
          <cell r="O153">
            <v>59</v>
          </cell>
          <cell r="P153">
            <v>60</v>
          </cell>
        </row>
        <row r="154">
          <cell r="A154">
            <v>39129</v>
          </cell>
          <cell r="B154">
            <v>2</v>
          </cell>
          <cell r="C154" t="str">
            <v>W</v>
          </cell>
          <cell r="D154">
            <v>58</v>
          </cell>
          <cell r="E154">
            <v>59</v>
          </cell>
          <cell r="F154">
            <v>60</v>
          </cell>
          <cell r="G154">
            <v>61</v>
          </cell>
          <cell r="H154">
            <v>62</v>
          </cell>
          <cell r="I154">
            <v>63</v>
          </cell>
          <cell r="J154">
            <v>64</v>
          </cell>
          <cell r="K154">
            <v>65</v>
          </cell>
          <cell r="L154">
            <v>66</v>
          </cell>
          <cell r="M154">
            <v>67</v>
          </cell>
          <cell r="N154">
            <v>68</v>
          </cell>
          <cell r="O154">
            <v>69</v>
          </cell>
          <cell r="P154">
            <v>70</v>
          </cell>
        </row>
        <row r="155">
          <cell r="A155">
            <v>39130</v>
          </cell>
          <cell r="B155">
            <v>2</v>
          </cell>
          <cell r="C155" t="str">
            <v>W</v>
          </cell>
          <cell r="D155">
            <v>60</v>
          </cell>
          <cell r="E155">
            <v>61</v>
          </cell>
          <cell r="F155">
            <v>62</v>
          </cell>
          <cell r="G155">
            <v>63</v>
          </cell>
          <cell r="H155">
            <v>64</v>
          </cell>
          <cell r="I155">
            <v>65</v>
          </cell>
          <cell r="J155">
            <v>66</v>
          </cell>
          <cell r="K155">
            <v>67</v>
          </cell>
          <cell r="L155">
            <v>68</v>
          </cell>
          <cell r="M155">
            <v>69</v>
          </cell>
          <cell r="N155">
            <v>70</v>
          </cell>
          <cell r="O155">
            <v>71</v>
          </cell>
          <cell r="P155">
            <v>72</v>
          </cell>
        </row>
        <row r="156">
          <cell r="A156">
            <v>39131</v>
          </cell>
          <cell r="B156">
            <v>2</v>
          </cell>
          <cell r="C156" t="str">
            <v>W</v>
          </cell>
          <cell r="D156">
            <v>65</v>
          </cell>
          <cell r="E156">
            <v>66</v>
          </cell>
          <cell r="F156">
            <v>67</v>
          </cell>
          <cell r="G156">
            <v>68</v>
          </cell>
          <cell r="H156">
            <v>69</v>
          </cell>
          <cell r="I156">
            <v>70</v>
          </cell>
          <cell r="J156">
            <v>71</v>
          </cell>
          <cell r="K156">
            <v>72</v>
          </cell>
          <cell r="L156">
            <v>73</v>
          </cell>
          <cell r="M156">
            <v>74</v>
          </cell>
          <cell r="N156">
            <v>75</v>
          </cell>
          <cell r="O156">
            <v>76</v>
          </cell>
          <cell r="P156">
            <v>77</v>
          </cell>
        </row>
        <row r="157">
          <cell r="A157">
            <v>39132</v>
          </cell>
          <cell r="B157">
            <v>2</v>
          </cell>
          <cell r="C157" t="str">
            <v>W</v>
          </cell>
          <cell r="D157">
            <v>72</v>
          </cell>
          <cell r="E157">
            <v>73</v>
          </cell>
          <cell r="F157">
            <v>74</v>
          </cell>
          <cell r="G157">
            <v>75</v>
          </cell>
          <cell r="H157">
            <v>76</v>
          </cell>
          <cell r="I157">
            <v>77</v>
          </cell>
          <cell r="J157">
            <v>78</v>
          </cell>
          <cell r="K157">
            <v>79</v>
          </cell>
          <cell r="L157">
            <v>80</v>
          </cell>
          <cell r="M157">
            <v>81</v>
          </cell>
          <cell r="N157">
            <v>82</v>
          </cell>
          <cell r="O157">
            <v>83</v>
          </cell>
          <cell r="P157">
            <v>84</v>
          </cell>
        </row>
        <row r="158">
          <cell r="A158">
            <v>39133</v>
          </cell>
          <cell r="B158">
            <v>2</v>
          </cell>
          <cell r="C158" t="str">
            <v>W</v>
          </cell>
          <cell r="D158">
            <v>80</v>
          </cell>
          <cell r="E158">
            <v>81</v>
          </cell>
          <cell r="F158">
            <v>82</v>
          </cell>
          <cell r="G158">
            <v>83</v>
          </cell>
          <cell r="H158">
            <v>84</v>
          </cell>
          <cell r="I158">
            <v>85</v>
          </cell>
          <cell r="J158">
            <v>86</v>
          </cell>
          <cell r="K158">
            <v>87</v>
          </cell>
          <cell r="L158">
            <v>88</v>
          </cell>
          <cell r="M158">
            <v>89</v>
          </cell>
          <cell r="N158">
            <v>90</v>
          </cell>
          <cell r="O158">
            <v>91</v>
          </cell>
          <cell r="P158">
            <v>92</v>
          </cell>
        </row>
        <row r="159">
          <cell r="A159">
            <v>39134</v>
          </cell>
          <cell r="B159">
            <v>2</v>
          </cell>
          <cell r="C159" t="str">
            <v>W</v>
          </cell>
          <cell r="D159">
            <v>80</v>
          </cell>
          <cell r="E159">
            <v>81</v>
          </cell>
          <cell r="F159">
            <v>82</v>
          </cell>
          <cell r="G159">
            <v>83</v>
          </cell>
          <cell r="H159">
            <v>84</v>
          </cell>
          <cell r="I159">
            <v>85</v>
          </cell>
          <cell r="J159">
            <v>86</v>
          </cell>
          <cell r="K159">
            <v>87</v>
          </cell>
          <cell r="L159">
            <v>88</v>
          </cell>
          <cell r="M159">
            <v>89</v>
          </cell>
          <cell r="N159">
            <v>90</v>
          </cell>
          <cell r="O159">
            <v>91</v>
          </cell>
          <cell r="P159">
            <v>92</v>
          </cell>
        </row>
        <row r="160">
          <cell r="A160">
            <v>39135</v>
          </cell>
          <cell r="B160">
            <v>2</v>
          </cell>
          <cell r="C160" t="str">
            <v>W</v>
          </cell>
          <cell r="D160">
            <v>81</v>
          </cell>
          <cell r="E160">
            <v>82</v>
          </cell>
          <cell r="F160">
            <v>83</v>
          </cell>
          <cell r="G160">
            <v>84</v>
          </cell>
          <cell r="H160">
            <v>85</v>
          </cell>
          <cell r="I160">
            <v>86</v>
          </cell>
          <cell r="J160">
            <v>87</v>
          </cell>
          <cell r="K160">
            <v>88</v>
          </cell>
          <cell r="L160">
            <v>89</v>
          </cell>
          <cell r="M160">
            <v>90</v>
          </cell>
          <cell r="N160">
            <v>91</v>
          </cell>
          <cell r="O160">
            <v>92</v>
          </cell>
          <cell r="P160">
            <v>93</v>
          </cell>
        </row>
        <row r="161">
          <cell r="A161">
            <v>39136</v>
          </cell>
          <cell r="B161">
            <v>2</v>
          </cell>
          <cell r="C161" t="str">
            <v>W</v>
          </cell>
          <cell r="D161">
            <v>83</v>
          </cell>
          <cell r="E161">
            <v>84</v>
          </cell>
          <cell r="F161">
            <v>85</v>
          </cell>
          <cell r="G161">
            <v>86</v>
          </cell>
          <cell r="H161">
            <v>87</v>
          </cell>
          <cell r="I161">
            <v>88</v>
          </cell>
          <cell r="J161">
            <v>89</v>
          </cell>
          <cell r="K161">
            <v>90</v>
          </cell>
          <cell r="L161">
            <v>91</v>
          </cell>
          <cell r="M161">
            <v>92</v>
          </cell>
          <cell r="N161">
            <v>93</v>
          </cell>
          <cell r="O161">
            <v>94</v>
          </cell>
          <cell r="P161">
            <v>95</v>
          </cell>
        </row>
        <row r="162">
          <cell r="A162">
            <v>39137</v>
          </cell>
          <cell r="B162">
            <v>2</v>
          </cell>
          <cell r="C162" t="str">
            <v>W</v>
          </cell>
          <cell r="D162">
            <v>83</v>
          </cell>
          <cell r="E162">
            <v>84</v>
          </cell>
          <cell r="F162">
            <v>85</v>
          </cell>
          <cell r="G162">
            <v>86</v>
          </cell>
          <cell r="H162">
            <v>87</v>
          </cell>
          <cell r="I162">
            <v>88</v>
          </cell>
          <cell r="J162">
            <v>89</v>
          </cell>
          <cell r="K162">
            <v>90</v>
          </cell>
          <cell r="L162">
            <v>91</v>
          </cell>
          <cell r="M162">
            <v>92</v>
          </cell>
          <cell r="N162">
            <v>93</v>
          </cell>
          <cell r="O162">
            <v>94</v>
          </cell>
          <cell r="P162">
            <v>95</v>
          </cell>
        </row>
        <row r="163">
          <cell r="A163">
            <v>39138</v>
          </cell>
          <cell r="B163">
            <v>2</v>
          </cell>
          <cell r="C163" t="str">
            <v>W</v>
          </cell>
          <cell r="D163">
            <v>78</v>
          </cell>
          <cell r="E163">
            <v>79</v>
          </cell>
          <cell r="F163">
            <v>80</v>
          </cell>
          <cell r="G163">
            <v>81</v>
          </cell>
          <cell r="H163">
            <v>82</v>
          </cell>
          <cell r="I163">
            <v>83</v>
          </cell>
          <cell r="J163">
            <v>84</v>
          </cell>
          <cell r="K163">
            <v>85</v>
          </cell>
          <cell r="L163">
            <v>86</v>
          </cell>
          <cell r="M163">
            <v>87</v>
          </cell>
          <cell r="N163">
            <v>88</v>
          </cell>
          <cell r="O163">
            <v>89</v>
          </cell>
          <cell r="P163">
            <v>90</v>
          </cell>
        </row>
        <row r="164">
          <cell r="A164">
            <v>39139</v>
          </cell>
          <cell r="B164">
            <v>2</v>
          </cell>
          <cell r="C164" t="str">
            <v>W</v>
          </cell>
          <cell r="D164">
            <v>58</v>
          </cell>
          <cell r="E164">
            <v>59</v>
          </cell>
          <cell r="F164">
            <v>60</v>
          </cell>
          <cell r="G164">
            <v>61</v>
          </cell>
          <cell r="H164">
            <v>62</v>
          </cell>
          <cell r="I164">
            <v>63</v>
          </cell>
          <cell r="J164">
            <v>64</v>
          </cell>
          <cell r="K164">
            <v>65</v>
          </cell>
          <cell r="L164">
            <v>66</v>
          </cell>
          <cell r="M164">
            <v>67</v>
          </cell>
          <cell r="N164">
            <v>68</v>
          </cell>
          <cell r="O164">
            <v>69</v>
          </cell>
          <cell r="P164">
            <v>70</v>
          </cell>
        </row>
        <row r="165">
          <cell r="A165">
            <v>39140</v>
          </cell>
          <cell r="B165">
            <v>2</v>
          </cell>
          <cell r="C165" t="str">
            <v>W</v>
          </cell>
          <cell r="D165">
            <v>71</v>
          </cell>
          <cell r="E165">
            <v>72</v>
          </cell>
          <cell r="F165">
            <v>73</v>
          </cell>
          <cell r="G165">
            <v>74</v>
          </cell>
          <cell r="H165">
            <v>75</v>
          </cell>
          <cell r="I165">
            <v>76</v>
          </cell>
          <cell r="J165">
            <v>77</v>
          </cell>
          <cell r="K165">
            <v>78</v>
          </cell>
          <cell r="L165">
            <v>79</v>
          </cell>
          <cell r="M165">
            <v>80</v>
          </cell>
          <cell r="N165">
            <v>81</v>
          </cell>
          <cell r="O165">
            <v>82</v>
          </cell>
          <cell r="P165">
            <v>83</v>
          </cell>
        </row>
        <row r="166">
          <cell r="A166">
            <v>39141</v>
          </cell>
          <cell r="B166">
            <v>2</v>
          </cell>
          <cell r="C166" t="str">
            <v>W</v>
          </cell>
          <cell r="D166">
            <v>79</v>
          </cell>
          <cell r="E166">
            <v>80</v>
          </cell>
          <cell r="F166">
            <v>81</v>
          </cell>
          <cell r="G166">
            <v>82</v>
          </cell>
          <cell r="H166">
            <v>83</v>
          </cell>
          <cell r="I166">
            <v>84</v>
          </cell>
          <cell r="J166">
            <v>85</v>
          </cell>
          <cell r="K166">
            <v>86</v>
          </cell>
          <cell r="L166">
            <v>87</v>
          </cell>
          <cell r="M166">
            <v>88</v>
          </cell>
          <cell r="N166">
            <v>89</v>
          </cell>
          <cell r="O166">
            <v>90</v>
          </cell>
          <cell r="P166">
            <v>91</v>
          </cell>
        </row>
        <row r="167">
          <cell r="A167">
            <v>39142</v>
          </cell>
          <cell r="B167">
            <v>3</v>
          </cell>
          <cell r="C167" t="str">
            <v>W</v>
          </cell>
          <cell r="D167">
            <v>77</v>
          </cell>
          <cell r="E167">
            <v>78</v>
          </cell>
          <cell r="F167">
            <v>79</v>
          </cell>
          <cell r="G167">
            <v>80</v>
          </cell>
          <cell r="H167">
            <v>81</v>
          </cell>
          <cell r="I167">
            <v>82</v>
          </cell>
          <cell r="J167">
            <v>83</v>
          </cell>
          <cell r="K167">
            <v>84</v>
          </cell>
          <cell r="L167">
            <v>85</v>
          </cell>
          <cell r="M167">
            <v>86</v>
          </cell>
          <cell r="N167">
            <v>87</v>
          </cell>
          <cell r="O167">
            <v>88</v>
          </cell>
          <cell r="P167">
            <v>89</v>
          </cell>
        </row>
        <row r="168">
          <cell r="A168">
            <v>39143</v>
          </cell>
          <cell r="B168">
            <v>3</v>
          </cell>
          <cell r="C168" t="str">
            <v>W</v>
          </cell>
          <cell r="D168">
            <v>79</v>
          </cell>
          <cell r="E168">
            <v>80</v>
          </cell>
          <cell r="F168">
            <v>81</v>
          </cell>
          <cell r="G168">
            <v>82</v>
          </cell>
          <cell r="H168">
            <v>83</v>
          </cell>
          <cell r="I168">
            <v>84</v>
          </cell>
          <cell r="J168">
            <v>85</v>
          </cell>
          <cell r="K168">
            <v>86</v>
          </cell>
          <cell r="L168">
            <v>87</v>
          </cell>
          <cell r="M168">
            <v>88</v>
          </cell>
          <cell r="N168">
            <v>89</v>
          </cell>
          <cell r="O168">
            <v>90</v>
          </cell>
          <cell r="P168">
            <v>91</v>
          </cell>
        </row>
        <row r="169">
          <cell r="A169">
            <v>39144</v>
          </cell>
          <cell r="B169">
            <v>3</v>
          </cell>
          <cell r="C169" t="str">
            <v>W</v>
          </cell>
          <cell r="D169">
            <v>76</v>
          </cell>
          <cell r="E169">
            <v>77</v>
          </cell>
          <cell r="F169">
            <v>78</v>
          </cell>
          <cell r="G169">
            <v>79</v>
          </cell>
          <cell r="H169">
            <v>80</v>
          </cell>
          <cell r="I169">
            <v>81</v>
          </cell>
          <cell r="J169">
            <v>82</v>
          </cell>
          <cell r="K169">
            <v>83</v>
          </cell>
          <cell r="L169">
            <v>84</v>
          </cell>
          <cell r="M169">
            <v>85</v>
          </cell>
          <cell r="N169">
            <v>86</v>
          </cell>
          <cell r="O169">
            <v>87</v>
          </cell>
          <cell r="P169">
            <v>88</v>
          </cell>
        </row>
        <row r="170">
          <cell r="A170">
            <v>39145</v>
          </cell>
          <cell r="B170">
            <v>3</v>
          </cell>
          <cell r="C170" t="str">
            <v>W</v>
          </cell>
          <cell r="D170">
            <v>72</v>
          </cell>
          <cell r="E170">
            <v>73</v>
          </cell>
          <cell r="F170">
            <v>74</v>
          </cell>
          <cell r="G170">
            <v>75</v>
          </cell>
          <cell r="H170">
            <v>76</v>
          </cell>
          <cell r="I170">
            <v>77</v>
          </cell>
          <cell r="J170">
            <v>78</v>
          </cell>
          <cell r="K170">
            <v>79</v>
          </cell>
          <cell r="L170">
            <v>80</v>
          </cell>
          <cell r="M170">
            <v>81</v>
          </cell>
          <cell r="N170">
            <v>82</v>
          </cell>
          <cell r="O170">
            <v>83</v>
          </cell>
          <cell r="P170">
            <v>84</v>
          </cell>
        </row>
        <row r="171">
          <cell r="A171">
            <v>39146</v>
          </cell>
          <cell r="B171">
            <v>3</v>
          </cell>
          <cell r="C171" t="str">
            <v>W</v>
          </cell>
          <cell r="D171">
            <v>66</v>
          </cell>
          <cell r="E171">
            <v>67</v>
          </cell>
          <cell r="F171">
            <v>68</v>
          </cell>
          <cell r="G171">
            <v>69</v>
          </cell>
          <cell r="H171">
            <v>70</v>
          </cell>
          <cell r="I171">
            <v>71</v>
          </cell>
          <cell r="J171">
            <v>72</v>
          </cell>
          <cell r="K171">
            <v>73</v>
          </cell>
          <cell r="L171">
            <v>74</v>
          </cell>
          <cell r="M171">
            <v>75</v>
          </cell>
          <cell r="N171">
            <v>76</v>
          </cell>
          <cell r="O171">
            <v>77</v>
          </cell>
          <cell r="P171">
            <v>78</v>
          </cell>
        </row>
        <row r="172">
          <cell r="A172">
            <v>39147</v>
          </cell>
          <cell r="B172">
            <v>3</v>
          </cell>
          <cell r="C172" t="str">
            <v>W</v>
          </cell>
          <cell r="D172">
            <v>70</v>
          </cell>
          <cell r="E172">
            <v>71</v>
          </cell>
          <cell r="F172">
            <v>72</v>
          </cell>
          <cell r="G172">
            <v>73</v>
          </cell>
          <cell r="H172">
            <v>74</v>
          </cell>
          <cell r="I172">
            <v>75</v>
          </cell>
          <cell r="J172">
            <v>76</v>
          </cell>
          <cell r="K172">
            <v>77</v>
          </cell>
          <cell r="L172">
            <v>78</v>
          </cell>
          <cell r="M172">
            <v>79</v>
          </cell>
          <cell r="N172">
            <v>80</v>
          </cell>
          <cell r="O172">
            <v>81</v>
          </cell>
          <cell r="P172">
            <v>82</v>
          </cell>
        </row>
        <row r="173">
          <cell r="A173">
            <v>39148</v>
          </cell>
          <cell r="B173">
            <v>3</v>
          </cell>
          <cell r="C173" t="str">
            <v>W</v>
          </cell>
          <cell r="D173">
            <v>64</v>
          </cell>
          <cell r="E173">
            <v>65</v>
          </cell>
          <cell r="F173">
            <v>66</v>
          </cell>
          <cell r="G173">
            <v>67</v>
          </cell>
          <cell r="H173">
            <v>68</v>
          </cell>
          <cell r="I173">
            <v>69</v>
          </cell>
          <cell r="J173">
            <v>70</v>
          </cell>
          <cell r="K173">
            <v>71</v>
          </cell>
          <cell r="L173">
            <v>72</v>
          </cell>
          <cell r="M173">
            <v>73</v>
          </cell>
          <cell r="N173">
            <v>74</v>
          </cell>
          <cell r="O173">
            <v>75</v>
          </cell>
          <cell r="P173">
            <v>76</v>
          </cell>
        </row>
        <row r="174">
          <cell r="A174">
            <v>39149</v>
          </cell>
          <cell r="B174">
            <v>3</v>
          </cell>
          <cell r="C174" t="str">
            <v>W</v>
          </cell>
          <cell r="D174">
            <v>66</v>
          </cell>
          <cell r="E174">
            <v>67</v>
          </cell>
          <cell r="F174">
            <v>68</v>
          </cell>
          <cell r="G174">
            <v>69</v>
          </cell>
          <cell r="H174">
            <v>70</v>
          </cell>
          <cell r="I174">
            <v>71</v>
          </cell>
          <cell r="J174">
            <v>72</v>
          </cell>
          <cell r="K174">
            <v>73</v>
          </cell>
          <cell r="L174">
            <v>74</v>
          </cell>
          <cell r="M174">
            <v>75</v>
          </cell>
          <cell r="N174">
            <v>76</v>
          </cell>
          <cell r="O174">
            <v>77</v>
          </cell>
          <cell r="P174">
            <v>78</v>
          </cell>
        </row>
        <row r="175">
          <cell r="A175">
            <v>39150</v>
          </cell>
          <cell r="B175">
            <v>3</v>
          </cell>
          <cell r="C175" t="str">
            <v>W</v>
          </cell>
          <cell r="D175">
            <v>56</v>
          </cell>
          <cell r="E175">
            <v>57</v>
          </cell>
          <cell r="F175">
            <v>58</v>
          </cell>
          <cell r="G175">
            <v>59</v>
          </cell>
          <cell r="H175">
            <v>60</v>
          </cell>
          <cell r="I175">
            <v>61</v>
          </cell>
          <cell r="J175">
            <v>62</v>
          </cell>
          <cell r="K175">
            <v>63</v>
          </cell>
          <cell r="L175">
            <v>64</v>
          </cell>
          <cell r="M175">
            <v>65</v>
          </cell>
          <cell r="N175">
            <v>66</v>
          </cell>
          <cell r="O175">
            <v>67</v>
          </cell>
          <cell r="P175">
            <v>68</v>
          </cell>
        </row>
        <row r="176">
          <cell r="A176">
            <v>39151</v>
          </cell>
          <cell r="B176">
            <v>3</v>
          </cell>
          <cell r="C176" t="str">
            <v>W</v>
          </cell>
          <cell r="D176">
            <v>58</v>
          </cell>
          <cell r="E176">
            <v>59</v>
          </cell>
          <cell r="F176">
            <v>60</v>
          </cell>
          <cell r="G176">
            <v>61</v>
          </cell>
          <cell r="H176">
            <v>62</v>
          </cell>
          <cell r="I176">
            <v>63</v>
          </cell>
          <cell r="J176">
            <v>64</v>
          </cell>
          <cell r="K176">
            <v>65</v>
          </cell>
          <cell r="L176">
            <v>66</v>
          </cell>
          <cell r="M176">
            <v>67</v>
          </cell>
          <cell r="N176">
            <v>68</v>
          </cell>
          <cell r="O176">
            <v>69</v>
          </cell>
          <cell r="P176">
            <v>70</v>
          </cell>
        </row>
        <row r="177">
          <cell r="A177">
            <v>39152</v>
          </cell>
          <cell r="B177">
            <v>3</v>
          </cell>
          <cell r="C177" t="str">
            <v>W</v>
          </cell>
          <cell r="D177">
            <v>63</v>
          </cell>
          <cell r="E177">
            <v>64</v>
          </cell>
          <cell r="F177">
            <v>65</v>
          </cell>
          <cell r="G177">
            <v>66</v>
          </cell>
          <cell r="H177">
            <v>67</v>
          </cell>
          <cell r="I177">
            <v>68</v>
          </cell>
          <cell r="J177">
            <v>69</v>
          </cell>
          <cell r="K177">
            <v>70</v>
          </cell>
          <cell r="L177">
            <v>71</v>
          </cell>
          <cell r="M177">
            <v>72</v>
          </cell>
          <cell r="N177">
            <v>73</v>
          </cell>
          <cell r="O177">
            <v>74</v>
          </cell>
          <cell r="P177">
            <v>75</v>
          </cell>
        </row>
        <row r="178">
          <cell r="A178">
            <v>39153</v>
          </cell>
          <cell r="B178">
            <v>3</v>
          </cell>
          <cell r="C178" t="str">
            <v>W</v>
          </cell>
          <cell r="D178">
            <v>68</v>
          </cell>
          <cell r="E178">
            <v>69</v>
          </cell>
          <cell r="F178">
            <v>70</v>
          </cell>
          <cell r="G178">
            <v>71</v>
          </cell>
          <cell r="H178">
            <v>72</v>
          </cell>
          <cell r="I178">
            <v>73</v>
          </cell>
          <cell r="J178">
            <v>74</v>
          </cell>
          <cell r="K178">
            <v>75</v>
          </cell>
          <cell r="L178">
            <v>76</v>
          </cell>
          <cell r="M178">
            <v>77</v>
          </cell>
          <cell r="N178">
            <v>78</v>
          </cell>
          <cell r="O178">
            <v>79</v>
          </cell>
          <cell r="P178">
            <v>80</v>
          </cell>
        </row>
        <row r="179">
          <cell r="A179">
            <v>39154</v>
          </cell>
          <cell r="B179">
            <v>3</v>
          </cell>
          <cell r="C179" t="str">
            <v>W</v>
          </cell>
          <cell r="D179">
            <v>72</v>
          </cell>
          <cell r="E179">
            <v>73</v>
          </cell>
          <cell r="F179">
            <v>74</v>
          </cell>
          <cell r="G179">
            <v>75</v>
          </cell>
          <cell r="H179">
            <v>76</v>
          </cell>
          <cell r="I179">
            <v>77</v>
          </cell>
          <cell r="J179">
            <v>78</v>
          </cell>
          <cell r="K179">
            <v>79</v>
          </cell>
          <cell r="L179">
            <v>80</v>
          </cell>
          <cell r="M179">
            <v>81</v>
          </cell>
          <cell r="N179">
            <v>82</v>
          </cell>
          <cell r="O179">
            <v>83</v>
          </cell>
          <cell r="P179">
            <v>84</v>
          </cell>
        </row>
        <row r="180">
          <cell r="A180">
            <v>39155</v>
          </cell>
          <cell r="B180">
            <v>3</v>
          </cell>
          <cell r="C180" t="str">
            <v>W</v>
          </cell>
          <cell r="D180">
            <v>75</v>
          </cell>
          <cell r="E180">
            <v>76</v>
          </cell>
          <cell r="F180">
            <v>77</v>
          </cell>
          <cell r="G180">
            <v>78</v>
          </cell>
          <cell r="H180">
            <v>79</v>
          </cell>
          <cell r="I180">
            <v>80</v>
          </cell>
          <cell r="J180">
            <v>81</v>
          </cell>
          <cell r="K180">
            <v>82</v>
          </cell>
          <cell r="L180">
            <v>83</v>
          </cell>
          <cell r="M180">
            <v>84</v>
          </cell>
          <cell r="N180">
            <v>85</v>
          </cell>
          <cell r="O180">
            <v>86</v>
          </cell>
          <cell r="P180">
            <v>87</v>
          </cell>
        </row>
        <row r="181">
          <cell r="A181">
            <v>39156</v>
          </cell>
          <cell r="B181">
            <v>3</v>
          </cell>
          <cell r="C181" t="str">
            <v>W</v>
          </cell>
          <cell r="D181">
            <v>67</v>
          </cell>
          <cell r="E181">
            <v>68</v>
          </cell>
          <cell r="F181">
            <v>69</v>
          </cell>
          <cell r="G181">
            <v>70</v>
          </cell>
          <cell r="H181">
            <v>71</v>
          </cell>
          <cell r="I181">
            <v>72</v>
          </cell>
          <cell r="J181">
            <v>73</v>
          </cell>
          <cell r="K181">
            <v>74</v>
          </cell>
          <cell r="L181">
            <v>75</v>
          </cell>
          <cell r="M181">
            <v>76</v>
          </cell>
          <cell r="N181">
            <v>77</v>
          </cell>
          <cell r="O181">
            <v>78</v>
          </cell>
          <cell r="P181">
            <v>79</v>
          </cell>
        </row>
        <row r="182">
          <cell r="A182">
            <v>39157</v>
          </cell>
          <cell r="B182">
            <v>3</v>
          </cell>
          <cell r="C182" t="str">
            <v>W</v>
          </cell>
          <cell r="D182">
            <v>61</v>
          </cell>
          <cell r="E182">
            <v>62</v>
          </cell>
          <cell r="F182">
            <v>63</v>
          </cell>
          <cell r="G182">
            <v>64</v>
          </cell>
          <cell r="H182">
            <v>65</v>
          </cell>
          <cell r="I182">
            <v>66</v>
          </cell>
          <cell r="J182">
            <v>67</v>
          </cell>
          <cell r="K182">
            <v>68</v>
          </cell>
          <cell r="L182">
            <v>69</v>
          </cell>
          <cell r="M182">
            <v>70</v>
          </cell>
          <cell r="N182">
            <v>71</v>
          </cell>
          <cell r="O182">
            <v>72</v>
          </cell>
          <cell r="P182">
            <v>73</v>
          </cell>
        </row>
        <row r="183">
          <cell r="A183">
            <v>39158</v>
          </cell>
          <cell r="B183">
            <v>3</v>
          </cell>
          <cell r="C183" t="str">
            <v>W</v>
          </cell>
          <cell r="D183">
            <v>55</v>
          </cell>
          <cell r="E183">
            <v>56</v>
          </cell>
          <cell r="F183">
            <v>57</v>
          </cell>
          <cell r="G183">
            <v>58</v>
          </cell>
          <cell r="H183">
            <v>59</v>
          </cell>
          <cell r="I183">
            <v>60</v>
          </cell>
          <cell r="J183">
            <v>61</v>
          </cell>
          <cell r="K183">
            <v>62</v>
          </cell>
          <cell r="L183">
            <v>63</v>
          </cell>
          <cell r="M183">
            <v>64</v>
          </cell>
          <cell r="N183">
            <v>65</v>
          </cell>
          <cell r="O183">
            <v>66</v>
          </cell>
          <cell r="P183">
            <v>67</v>
          </cell>
        </row>
        <row r="184">
          <cell r="A184">
            <v>39159</v>
          </cell>
          <cell r="B184">
            <v>3</v>
          </cell>
          <cell r="C184" t="str">
            <v>W</v>
          </cell>
          <cell r="D184">
            <v>51</v>
          </cell>
          <cell r="E184">
            <v>52</v>
          </cell>
          <cell r="F184">
            <v>53</v>
          </cell>
          <cell r="G184">
            <v>54</v>
          </cell>
          <cell r="H184">
            <v>55</v>
          </cell>
          <cell r="I184">
            <v>56</v>
          </cell>
          <cell r="J184">
            <v>57</v>
          </cell>
          <cell r="K184">
            <v>58</v>
          </cell>
          <cell r="L184">
            <v>59</v>
          </cell>
          <cell r="M184">
            <v>60</v>
          </cell>
          <cell r="N184">
            <v>61</v>
          </cell>
          <cell r="O184">
            <v>62</v>
          </cell>
          <cell r="P184">
            <v>63</v>
          </cell>
        </row>
        <row r="185">
          <cell r="A185">
            <v>39160</v>
          </cell>
          <cell r="B185">
            <v>3</v>
          </cell>
          <cell r="C185" t="str">
            <v>W</v>
          </cell>
          <cell r="D185">
            <v>58</v>
          </cell>
          <cell r="E185">
            <v>59</v>
          </cell>
          <cell r="F185">
            <v>60</v>
          </cell>
          <cell r="G185">
            <v>61</v>
          </cell>
          <cell r="H185">
            <v>62</v>
          </cell>
          <cell r="I185">
            <v>63</v>
          </cell>
          <cell r="J185">
            <v>64</v>
          </cell>
          <cell r="K185">
            <v>65</v>
          </cell>
          <cell r="L185">
            <v>66</v>
          </cell>
          <cell r="M185">
            <v>67</v>
          </cell>
          <cell r="N185">
            <v>68</v>
          </cell>
          <cell r="O185">
            <v>69</v>
          </cell>
          <cell r="P185">
            <v>70</v>
          </cell>
        </row>
        <row r="186">
          <cell r="A186">
            <v>39161</v>
          </cell>
          <cell r="B186">
            <v>3</v>
          </cell>
          <cell r="C186" t="str">
            <v>W</v>
          </cell>
          <cell r="D186">
            <v>55</v>
          </cell>
          <cell r="E186">
            <v>56</v>
          </cell>
          <cell r="F186">
            <v>57</v>
          </cell>
          <cell r="G186">
            <v>58</v>
          </cell>
          <cell r="H186">
            <v>59</v>
          </cell>
          <cell r="I186">
            <v>60</v>
          </cell>
          <cell r="J186">
            <v>61</v>
          </cell>
          <cell r="K186">
            <v>62</v>
          </cell>
          <cell r="L186">
            <v>63</v>
          </cell>
          <cell r="M186">
            <v>64</v>
          </cell>
          <cell r="N186">
            <v>65</v>
          </cell>
          <cell r="O186">
            <v>66</v>
          </cell>
          <cell r="P186">
            <v>67</v>
          </cell>
        </row>
        <row r="187">
          <cell r="A187">
            <v>39162</v>
          </cell>
          <cell r="B187">
            <v>3</v>
          </cell>
          <cell r="C187" t="str">
            <v>W</v>
          </cell>
          <cell r="D187">
            <v>34</v>
          </cell>
          <cell r="E187">
            <v>35</v>
          </cell>
          <cell r="F187">
            <v>36</v>
          </cell>
          <cell r="G187">
            <v>37</v>
          </cell>
          <cell r="H187">
            <v>38</v>
          </cell>
          <cell r="I187">
            <v>39</v>
          </cell>
          <cell r="J187">
            <v>40</v>
          </cell>
          <cell r="K187">
            <v>41</v>
          </cell>
          <cell r="L187">
            <v>42</v>
          </cell>
          <cell r="M187">
            <v>43</v>
          </cell>
          <cell r="N187">
            <v>44</v>
          </cell>
          <cell r="O187">
            <v>45</v>
          </cell>
          <cell r="P187">
            <v>46</v>
          </cell>
        </row>
        <row r="188">
          <cell r="A188">
            <v>39163</v>
          </cell>
          <cell r="B188">
            <v>3</v>
          </cell>
          <cell r="C188" t="str">
            <v>W</v>
          </cell>
          <cell r="D188">
            <v>50</v>
          </cell>
          <cell r="E188">
            <v>51</v>
          </cell>
          <cell r="F188">
            <v>52</v>
          </cell>
          <cell r="G188">
            <v>53</v>
          </cell>
          <cell r="H188">
            <v>54</v>
          </cell>
          <cell r="I188">
            <v>55</v>
          </cell>
          <cell r="J188">
            <v>56</v>
          </cell>
          <cell r="K188">
            <v>57</v>
          </cell>
          <cell r="L188">
            <v>58</v>
          </cell>
          <cell r="M188">
            <v>59</v>
          </cell>
          <cell r="N188">
            <v>60</v>
          </cell>
          <cell r="O188">
            <v>61</v>
          </cell>
          <cell r="P188">
            <v>62</v>
          </cell>
        </row>
        <row r="189">
          <cell r="A189">
            <v>39164</v>
          </cell>
          <cell r="B189">
            <v>3</v>
          </cell>
          <cell r="C189" t="str">
            <v>W</v>
          </cell>
          <cell r="D189">
            <v>52</v>
          </cell>
          <cell r="E189">
            <v>53</v>
          </cell>
          <cell r="F189">
            <v>54</v>
          </cell>
          <cell r="G189">
            <v>55</v>
          </cell>
          <cell r="H189">
            <v>56</v>
          </cell>
          <cell r="I189">
            <v>57</v>
          </cell>
          <cell r="J189">
            <v>58</v>
          </cell>
          <cell r="K189">
            <v>59</v>
          </cell>
          <cell r="L189">
            <v>60</v>
          </cell>
          <cell r="M189">
            <v>61</v>
          </cell>
          <cell r="N189">
            <v>62</v>
          </cell>
          <cell r="O189">
            <v>63</v>
          </cell>
          <cell r="P189">
            <v>64</v>
          </cell>
        </row>
        <row r="190">
          <cell r="A190">
            <v>39165</v>
          </cell>
          <cell r="B190">
            <v>3</v>
          </cell>
          <cell r="C190" t="str">
            <v>W</v>
          </cell>
          <cell r="D190">
            <v>58</v>
          </cell>
          <cell r="E190">
            <v>59</v>
          </cell>
          <cell r="F190">
            <v>60</v>
          </cell>
          <cell r="G190">
            <v>61</v>
          </cell>
          <cell r="H190">
            <v>62</v>
          </cell>
          <cell r="I190">
            <v>63</v>
          </cell>
          <cell r="J190">
            <v>64</v>
          </cell>
          <cell r="K190">
            <v>65</v>
          </cell>
          <cell r="L190">
            <v>66</v>
          </cell>
          <cell r="M190">
            <v>67</v>
          </cell>
          <cell r="N190">
            <v>68</v>
          </cell>
          <cell r="O190">
            <v>69</v>
          </cell>
          <cell r="P190">
            <v>70</v>
          </cell>
        </row>
        <row r="191">
          <cell r="A191">
            <v>39166</v>
          </cell>
          <cell r="B191">
            <v>3</v>
          </cell>
          <cell r="C191" t="str">
            <v>W</v>
          </cell>
          <cell r="D191">
            <v>63</v>
          </cell>
          <cell r="E191">
            <v>64</v>
          </cell>
          <cell r="F191">
            <v>65</v>
          </cell>
          <cell r="G191">
            <v>66</v>
          </cell>
          <cell r="H191">
            <v>67</v>
          </cell>
          <cell r="I191">
            <v>68</v>
          </cell>
          <cell r="J191">
            <v>69</v>
          </cell>
          <cell r="K191">
            <v>70</v>
          </cell>
          <cell r="L191">
            <v>71</v>
          </cell>
          <cell r="M191">
            <v>72</v>
          </cell>
          <cell r="N191">
            <v>73</v>
          </cell>
          <cell r="O191">
            <v>74</v>
          </cell>
          <cell r="P191">
            <v>75</v>
          </cell>
        </row>
        <row r="192">
          <cell r="A192">
            <v>39167</v>
          </cell>
          <cell r="B192">
            <v>3</v>
          </cell>
          <cell r="C192" t="str">
            <v>W</v>
          </cell>
          <cell r="D192">
            <v>57</v>
          </cell>
          <cell r="E192">
            <v>58</v>
          </cell>
          <cell r="F192">
            <v>59</v>
          </cell>
          <cell r="G192">
            <v>60</v>
          </cell>
          <cell r="H192">
            <v>61</v>
          </cell>
          <cell r="I192">
            <v>62</v>
          </cell>
          <cell r="J192">
            <v>63</v>
          </cell>
          <cell r="K192">
            <v>64</v>
          </cell>
          <cell r="L192">
            <v>65</v>
          </cell>
          <cell r="M192">
            <v>66</v>
          </cell>
          <cell r="N192">
            <v>67</v>
          </cell>
          <cell r="O192">
            <v>68</v>
          </cell>
          <cell r="P192">
            <v>69</v>
          </cell>
        </row>
        <row r="193">
          <cell r="A193">
            <v>39168</v>
          </cell>
          <cell r="B193">
            <v>3</v>
          </cell>
          <cell r="C193" t="str">
            <v>W</v>
          </cell>
          <cell r="D193">
            <v>57</v>
          </cell>
          <cell r="E193">
            <v>58</v>
          </cell>
          <cell r="F193">
            <v>59</v>
          </cell>
          <cell r="G193">
            <v>60</v>
          </cell>
          <cell r="H193">
            <v>61</v>
          </cell>
          <cell r="I193">
            <v>62</v>
          </cell>
          <cell r="J193">
            <v>63</v>
          </cell>
          <cell r="K193">
            <v>64</v>
          </cell>
          <cell r="L193">
            <v>65</v>
          </cell>
          <cell r="M193">
            <v>66</v>
          </cell>
          <cell r="N193">
            <v>67</v>
          </cell>
          <cell r="O193">
            <v>68</v>
          </cell>
          <cell r="P193">
            <v>69</v>
          </cell>
        </row>
        <row r="194">
          <cell r="A194">
            <v>39169</v>
          </cell>
          <cell r="B194">
            <v>3</v>
          </cell>
          <cell r="C194" t="str">
            <v>W</v>
          </cell>
          <cell r="D194">
            <v>54</v>
          </cell>
          <cell r="E194">
            <v>55</v>
          </cell>
          <cell r="F194">
            <v>56</v>
          </cell>
          <cell r="G194">
            <v>57</v>
          </cell>
          <cell r="H194">
            <v>58</v>
          </cell>
          <cell r="I194">
            <v>59</v>
          </cell>
          <cell r="J194">
            <v>60</v>
          </cell>
          <cell r="K194">
            <v>61</v>
          </cell>
          <cell r="L194">
            <v>62</v>
          </cell>
          <cell r="M194">
            <v>63</v>
          </cell>
          <cell r="N194">
            <v>64</v>
          </cell>
          <cell r="O194">
            <v>65</v>
          </cell>
          <cell r="P194">
            <v>66</v>
          </cell>
        </row>
        <row r="195">
          <cell r="A195">
            <v>39170</v>
          </cell>
          <cell r="B195">
            <v>3</v>
          </cell>
          <cell r="C195" t="str">
            <v>W</v>
          </cell>
          <cell r="D195">
            <v>49</v>
          </cell>
          <cell r="E195">
            <v>50</v>
          </cell>
          <cell r="F195">
            <v>51</v>
          </cell>
          <cell r="G195">
            <v>52</v>
          </cell>
          <cell r="H195">
            <v>53</v>
          </cell>
          <cell r="I195">
            <v>54</v>
          </cell>
          <cell r="J195">
            <v>55</v>
          </cell>
          <cell r="K195">
            <v>56</v>
          </cell>
          <cell r="L195">
            <v>57</v>
          </cell>
          <cell r="M195">
            <v>58</v>
          </cell>
          <cell r="N195">
            <v>59</v>
          </cell>
          <cell r="O195">
            <v>60</v>
          </cell>
          <cell r="P195">
            <v>61</v>
          </cell>
        </row>
        <row r="196">
          <cell r="A196">
            <v>39171</v>
          </cell>
          <cell r="B196">
            <v>3</v>
          </cell>
          <cell r="C196" t="str">
            <v>W</v>
          </cell>
          <cell r="D196">
            <v>46</v>
          </cell>
          <cell r="E196">
            <v>47</v>
          </cell>
          <cell r="F196">
            <v>48</v>
          </cell>
          <cell r="G196">
            <v>49</v>
          </cell>
          <cell r="H196">
            <v>50</v>
          </cell>
          <cell r="I196">
            <v>51</v>
          </cell>
          <cell r="J196">
            <v>52</v>
          </cell>
          <cell r="K196">
            <v>53</v>
          </cell>
          <cell r="L196">
            <v>54</v>
          </cell>
          <cell r="M196">
            <v>55</v>
          </cell>
          <cell r="N196">
            <v>56</v>
          </cell>
          <cell r="O196">
            <v>57</v>
          </cell>
          <cell r="P196">
            <v>58</v>
          </cell>
        </row>
        <row r="197">
          <cell r="A197">
            <v>39172</v>
          </cell>
          <cell r="B197">
            <v>3</v>
          </cell>
          <cell r="C197" t="str">
            <v>W</v>
          </cell>
          <cell r="D197">
            <v>36</v>
          </cell>
          <cell r="E197">
            <v>37</v>
          </cell>
          <cell r="F197">
            <v>38</v>
          </cell>
          <cell r="G197">
            <v>39</v>
          </cell>
          <cell r="H197">
            <v>40</v>
          </cell>
          <cell r="I197">
            <v>41</v>
          </cell>
          <cell r="J197">
            <v>42</v>
          </cell>
          <cell r="K197">
            <v>43</v>
          </cell>
          <cell r="L197">
            <v>44</v>
          </cell>
          <cell r="M197">
            <v>45</v>
          </cell>
          <cell r="N197">
            <v>46</v>
          </cell>
          <cell r="O197">
            <v>47</v>
          </cell>
          <cell r="P197">
            <v>48</v>
          </cell>
        </row>
        <row r="198">
          <cell r="A198">
            <v>39173</v>
          </cell>
          <cell r="B198">
            <v>4</v>
          </cell>
          <cell r="C198" t="str">
            <v>S</v>
          </cell>
          <cell r="D198">
            <v>30</v>
          </cell>
          <cell r="E198">
            <v>31</v>
          </cell>
          <cell r="F198">
            <v>32</v>
          </cell>
          <cell r="G198">
            <v>33</v>
          </cell>
          <cell r="H198">
            <v>34</v>
          </cell>
          <cell r="I198">
            <v>35</v>
          </cell>
          <cell r="J198">
            <v>36</v>
          </cell>
          <cell r="K198">
            <v>37</v>
          </cell>
          <cell r="L198">
            <v>38</v>
          </cell>
          <cell r="M198">
            <v>39</v>
          </cell>
          <cell r="N198">
            <v>40</v>
          </cell>
          <cell r="O198">
            <v>41</v>
          </cell>
          <cell r="P198">
            <v>42</v>
          </cell>
        </row>
        <row r="199">
          <cell r="A199">
            <v>39174</v>
          </cell>
          <cell r="B199">
            <v>4</v>
          </cell>
          <cell r="C199" t="str">
            <v>S</v>
          </cell>
          <cell r="D199">
            <v>34</v>
          </cell>
          <cell r="E199">
            <v>35</v>
          </cell>
          <cell r="F199">
            <v>36</v>
          </cell>
          <cell r="G199">
            <v>37</v>
          </cell>
          <cell r="H199">
            <v>38</v>
          </cell>
          <cell r="I199">
            <v>39</v>
          </cell>
          <cell r="J199">
            <v>40</v>
          </cell>
          <cell r="K199">
            <v>41</v>
          </cell>
          <cell r="L199">
            <v>42</v>
          </cell>
          <cell r="M199">
            <v>43</v>
          </cell>
          <cell r="N199">
            <v>44</v>
          </cell>
          <cell r="O199">
            <v>45</v>
          </cell>
          <cell r="P199">
            <v>46</v>
          </cell>
        </row>
        <row r="200">
          <cell r="A200">
            <v>39175</v>
          </cell>
          <cell r="B200">
            <v>4</v>
          </cell>
          <cell r="C200" t="str">
            <v>S</v>
          </cell>
          <cell r="D200">
            <v>34</v>
          </cell>
          <cell r="E200">
            <v>35</v>
          </cell>
          <cell r="F200">
            <v>36</v>
          </cell>
          <cell r="G200">
            <v>37</v>
          </cell>
          <cell r="H200">
            <v>38</v>
          </cell>
          <cell r="I200">
            <v>39</v>
          </cell>
          <cell r="J200">
            <v>40</v>
          </cell>
          <cell r="K200">
            <v>41</v>
          </cell>
          <cell r="L200">
            <v>42</v>
          </cell>
          <cell r="M200">
            <v>43</v>
          </cell>
          <cell r="N200">
            <v>44</v>
          </cell>
          <cell r="O200">
            <v>45</v>
          </cell>
          <cell r="P200">
            <v>46</v>
          </cell>
        </row>
        <row r="201">
          <cell r="A201">
            <v>39176</v>
          </cell>
          <cell r="B201">
            <v>4</v>
          </cell>
          <cell r="C201" t="str">
            <v>S</v>
          </cell>
          <cell r="D201">
            <v>26</v>
          </cell>
          <cell r="E201">
            <v>27</v>
          </cell>
          <cell r="F201">
            <v>28</v>
          </cell>
          <cell r="G201">
            <v>29</v>
          </cell>
          <cell r="H201">
            <v>30</v>
          </cell>
          <cell r="I201">
            <v>31</v>
          </cell>
          <cell r="J201">
            <v>32</v>
          </cell>
          <cell r="K201">
            <v>33</v>
          </cell>
          <cell r="L201">
            <v>34</v>
          </cell>
          <cell r="M201">
            <v>35</v>
          </cell>
          <cell r="N201">
            <v>36</v>
          </cell>
          <cell r="O201">
            <v>37</v>
          </cell>
          <cell r="P201">
            <v>38</v>
          </cell>
        </row>
        <row r="202">
          <cell r="A202">
            <v>39177</v>
          </cell>
          <cell r="B202">
            <v>4</v>
          </cell>
          <cell r="C202" t="str">
            <v>S</v>
          </cell>
          <cell r="D202">
            <v>26</v>
          </cell>
          <cell r="E202">
            <v>27</v>
          </cell>
          <cell r="F202">
            <v>28</v>
          </cell>
          <cell r="G202">
            <v>29</v>
          </cell>
          <cell r="H202">
            <v>30</v>
          </cell>
          <cell r="I202">
            <v>31</v>
          </cell>
          <cell r="J202">
            <v>32</v>
          </cell>
          <cell r="K202">
            <v>33</v>
          </cell>
          <cell r="L202">
            <v>34</v>
          </cell>
          <cell r="M202">
            <v>35</v>
          </cell>
          <cell r="N202">
            <v>36</v>
          </cell>
          <cell r="O202">
            <v>37</v>
          </cell>
          <cell r="P202">
            <v>38</v>
          </cell>
        </row>
        <row r="203">
          <cell r="A203">
            <v>39178</v>
          </cell>
          <cell r="B203">
            <v>4</v>
          </cell>
          <cell r="C203" t="str">
            <v>S</v>
          </cell>
          <cell r="D203">
            <v>22</v>
          </cell>
          <cell r="E203">
            <v>23</v>
          </cell>
          <cell r="F203">
            <v>24</v>
          </cell>
          <cell r="G203">
            <v>25</v>
          </cell>
          <cell r="H203">
            <v>26</v>
          </cell>
          <cell r="I203">
            <v>27</v>
          </cell>
          <cell r="J203">
            <v>28</v>
          </cell>
          <cell r="K203">
            <v>29</v>
          </cell>
          <cell r="L203">
            <v>30</v>
          </cell>
          <cell r="M203">
            <v>31</v>
          </cell>
          <cell r="N203">
            <v>32</v>
          </cell>
          <cell r="O203">
            <v>33</v>
          </cell>
          <cell r="P203">
            <v>34</v>
          </cell>
        </row>
        <row r="204">
          <cell r="A204">
            <v>39179</v>
          </cell>
          <cell r="B204">
            <v>4</v>
          </cell>
          <cell r="C204" t="str">
            <v>S</v>
          </cell>
          <cell r="D204">
            <v>14</v>
          </cell>
          <cell r="E204">
            <v>15</v>
          </cell>
          <cell r="F204">
            <v>16</v>
          </cell>
          <cell r="G204">
            <v>17</v>
          </cell>
          <cell r="H204">
            <v>18</v>
          </cell>
          <cell r="I204">
            <v>19</v>
          </cell>
          <cell r="J204">
            <v>20</v>
          </cell>
          <cell r="K204">
            <v>21</v>
          </cell>
          <cell r="L204">
            <v>22</v>
          </cell>
          <cell r="M204">
            <v>23</v>
          </cell>
          <cell r="N204">
            <v>24</v>
          </cell>
          <cell r="O204">
            <v>25</v>
          </cell>
          <cell r="P204">
            <v>26</v>
          </cell>
        </row>
        <row r="205">
          <cell r="A205">
            <v>39180</v>
          </cell>
          <cell r="B205">
            <v>4</v>
          </cell>
          <cell r="C205" t="str">
            <v>S</v>
          </cell>
          <cell r="D205">
            <v>16</v>
          </cell>
          <cell r="E205">
            <v>17</v>
          </cell>
          <cell r="F205">
            <v>18</v>
          </cell>
          <cell r="G205">
            <v>19</v>
          </cell>
          <cell r="H205">
            <v>20</v>
          </cell>
          <cell r="I205">
            <v>21</v>
          </cell>
          <cell r="J205">
            <v>22</v>
          </cell>
          <cell r="K205">
            <v>23</v>
          </cell>
          <cell r="L205">
            <v>24</v>
          </cell>
          <cell r="M205">
            <v>25</v>
          </cell>
          <cell r="N205">
            <v>26</v>
          </cell>
          <cell r="O205">
            <v>27</v>
          </cell>
          <cell r="P205">
            <v>28</v>
          </cell>
        </row>
        <row r="206">
          <cell r="A206">
            <v>39181</v>
          </cell>
          <cell r="B206">
            <v>4</v>
          </cell>
          <cell r="C206" t="str">
            <v>S</v>
          </cell>
          <cell r="D206">
            <v>14.5</v>
          </cell>
          <cell r="E206">
            <v>15.2</v>
          </cell>
          <cell r="F206">
            <v>16</v>
          </cell>
          <cell r="G206">
            <v>17</v>
          </cell>
          <cell r="H206">
            <v>18</v>
          </cell>
          <cell r="I206">
            <v>19</v>
          </cell>
          <cell r="J206">
            <v>20</v>
          </cell>
          <cell r="K206">
            <v>21</v>
          </cell>
          <cell r="L206">
            <v>22</v>
          </cell>
          <cell r="M206">
            <v>23</v>
          </cell>
          <cell r="N206">
            <v>24</v>
          </cell>
          <cell r="O206">
            <v>25</v>
          </cell>
          <cell r="P206">
            <v>26</v>
          </cell>
        </row>
        <row r="207">
          <cell r="A207">
            <v>39182</v>
          </cell>
          <cell r="B207">
            <v>4</v>
          </cell>
          <cell r="C207" t="str">
            <v>S</v>
          </cell>
          <cell r="D207">
            <v>18</v>
          </cell>
          <cell r="E207">
            <v>19</v>
          </cell>
          <cell r="F207">
            <v>20</v>
          </cell>
          <cell r="G207">
            <v>21</v>
          </cell>
          <cell r="H207">
            <v>22</v>
          </cell>
          <cell r="I207">
            <v>23</v>
          </cell>
          <cell r="J207">
            <v>24</v>
          </cell>
          <cell r="K207">
            <v>25</v>
          </cell>
          <cell r="L207">
            <v>26</v>
          </cell>
          <cell r="M207">
            <v>27</v>
          </cell>
          <cell r="N207">
            <v>28</v>
          </cell>
          <cell r="O207">
            <v>29</v>
          </cell>
          <cell r="P207">
            <v>30</v>
          </cell>
        </row>
        <row r="208">
          <cell r="A208">
            <v>39183</v>
          </cell>
          <cell r="B208">
            <v>4</v>
          </cell>
          <cell r="C208" t="str">
            <v>S</v>
          </cell>
          <cell r="D208">
            <v>19</v>
          </cell>
          <cell r="E208">
            <v>20</v>
          </cell>
          <cell r="F208">
            <v>21</v>
          </cell>
          <cell r="G208">
            <v>22</v>
          </cell>
          <cell r="H208">
            <v>23</v>
          </cell>
          <cell r="I208">
            <v>24</v>
          </cell>
          <cell r="J208">
            <v>25</v>
          </cell>
          <cell r="K208">
            <v>26</v>
          </cell>
          <cell r="L208">
            <v>27</v>
          </cell>
          <cell r="M208">
            <v>28</v>
          </cell>
          <cell r="N208">
            <v>29</v>
          </cell>
          <cell r="O208">
            <v>30</v>
          </cell>
          <cell r="P208">
            <v>31</v>
          </cell>
        </row>
        <row r="209">
          <cell r="A209">
            <v>39184</v>
          </cell>
          <cell r="B209">
            <v>4</v>
          </cell>
          <cell r="C209" t="str">
            <v>S</v>
          </cell>
          <cell r="D209">
            <v>19</v>
          </cell>
          <cell r="E209">
            <v>20</v>
          </cell>
          <cell r="F209">
            <v>21</v>
          </cell>
          <cell r="G209">
            <v>22</v>
          </cell>
          <cell r="H209">
            <v>23</v>
          </cell>
          <cell r="I209">
            <v>24</v>
          </cell>
          <cell r="J209">
            <v>25</v>
          </cell>
          <cell r="K209">
            <v>26</v>
          </cell>
          <cell r="L209">
            <v>27</v>
          </cell>
          <cell r="M209">
            <v>28</v>
          </cell>
          <cell r="N209">
            <v>29</v>
          </cell>
          <cell r="O209">
            <v>30</v>
          </cell>
          <cell r="P209">
            <v>31</v>
          </cell>
        </row>
        <row r="210">
          <cell r="A210">
            <v>39185</v>
          </cell>
          <cell r="B210">
            <v>4</v>
          </cell>
          <cell r="C210" t="str">
            <v>S</v>
          </cell>
          <cell r="D210">
            <v>18</v>
          </cell>
          <cell r="E210">
            <v>19</v>
          </cell>
          <cell r="F210">
            <v>20</v>
          </cell>
          <cell r="G210">
            <v>21</v>
          </cell>
          <cell r="H210">
            <v>22</v>
          </cell>
          <cell r="I210">
            <v>23</v>
          </cell>
          <cell r="J210">
            <v>24</v>
          </cell>
          <cell r="K210">
            <v>25</v>
          </cell>
          <cell r="L210">
            <v>26</v>
          </cell>
          <cell r="M210">
            <v>27</v>
          </cell>
          <cell r="N210">
            <v>28</v>
          </cell>
          <cell r="O210">
            <v>29</v>
          </cell>
          <cell r="P210">
            <v>30</v>
          </cell>
        </row>
        <row r="211">
          <cell r="A211">
            <v>39186</v>
          </cell>
          <cell r="B211">
            <v>4</v>
          </cell>
          <cell r="C211" t="str">
            <v>S</v>
          </cell>
          <cell r="D211">
            <v>16</v>
          </cell>
          <cell r="E211">
            <v>17</v>
          </cell>
          <cell r="F211">
            <v>18</v>
          </cell>
          <cell r="G211">
            <v>19</v>
          </cell>
          <cell r="H211">
            <v>20</v>
          </cell>
          <cell r="I211">
            <v>21</v>
          </cell>
          <cell r="J211">
            <v>22</v>
          </cell>
          <cell r="K211">
            <v>23</v>
          </cell>
          <cell r="L211">
            <v>24</v>
          </cell>
          <cell r="M211">
            <v>25</v>
          </cell>
          <cell r="N211">
            <v>26</v>
          </cell>
          <cell r="O211">
            <v>27</v>
          </cell>
          <cell r="P211">
            <v>28</v>
          </cell>
        </row>
        <row r="212">
          <cell r="A212">
            <v>39187</v>
          </cell>
          <cell r="B212">
            <v>4</v>
          </cell>
          <cell r="C212" t="str">
            <v>S</v>
          </cell>
          <cell r="D212">
            <v>14</v>
          </cell>
          <cell r="E212">
            <v>15</v>
          </cell>
          <cell r="F212">
            <v>16</v>
          </cell>
          <cell r="G212">
            <v>17</v>
          </cell>
          <cell r="H212">
            <v>18</v>
          </cell>
          <cell r="I212">
            <v>19</v>
          </cell>
          <cell r="J212">
            <v>20</v>
          </cell>
          <cell r="K212">
            <v>21</v>
          </cell>
          <cell r="L212">
            <v>22</v>
          </cell>
          <cell r="M212">
            <v>23</v>
          </cell>
          <cell r="N212">
            <v>24</v>
          </cell>
          <cell r="O212">
            <v>25</v>
          </cell>
          <cell r="P212">
            <v>26</v>
          </cell>
        </row>
        <row r="213">
          <cell r="A213">
            <v>39188</v>
          </cell>
          <cell r="B213">
            <v>4</v>
          </cell>
          <cell r="C213" t="str">
            <v>S</v>
          </cell>
          <cell r="D213">
            <v>13</v>
          </cell>
          <cell r="E213">
            <v>14</v>
          </cell>
          <cell r="F213">
            <v>15</v>
          </cell>
          <cell r="G213">
            <v>16</v>
          </cell>
          <cell r="H213">
            <v>17</v>
          </cell>
          <cell r="I213">
            <v>18</v>
          </cell>
          <cell r="J213">
            <v>19</v>
          </cell>
          <cell r="K213">
            <v>20</v>
          </cell>
          <cell r="L213">
            <v>21</v>
          </cell>
          <cell r="M213">
            <v>22</v>
          </cell>
          <cell r="N213">
            <v>23</v>
          </cell>
          <cell r="O213">
            <v>24</v>
          </cell>
          <cell r="P213">
            <v>25</v>
          </cell>
        </row>
        <row r="214">
          <cell r="A214">
            <v>39189</v>
          </cell>
          <cell r="B214">
            <v>4</v>
          </cell>
          <cell r="C214" t="str">
            <v>S</v>
          </cell>
          <cell r="D214">
            <v>13.5</v>
          </cell>
          <cell r="E214">
            <v>14.2</v>
          </cell>
          <cell r="F214">
            <v>15</v>
          </cell>
          <cell r="G214">
            <v>16</v>
          </cell>
          <cell r="H214">
            <v>17</v>
          </cell>
          <cell r="I214">
            <v>18</v>
          </cell>
          <cell r="J214">
            <v>19</v>
          </cell>
          <cell r="K214">
            <v>20</v>
          </cell>
          <cell r="L214">
            <v>21</v>
          </cell>
          <cell r="M214">
            <v>22</v>
          </cell>
          <cell r="N214">
            <v>23</v>
          </cell>
          <cell r="O214">
            <v>24</v>
          </cell>
          <cell r="P214">
            <v>25</v>
          </cell>
        </row>
        <row r="215">
          <cell r="A215">
            <v>39190</v>
          </cell>
          <cell r="B215">
            <v>4</v>
          </cell>
          <cell r="C215" t="str">
            <v>S</v>
          </cell>
          <cell r="D215">
            <v>10.5</v>
          </cell>
          <cell r="E215">
            <v>11.2</v>
          </cell>
          <cell r="F215">
            <v>12</v>
          </cell>
          <cell r="G215">
            <v>12.8</v>
          </cell>
          <cell r="H215">
            <v>13.5</v>
          </cell>
          <cell r="I215">
            <v>14</v>
          </cell>
          <cell r="J215">
            <v>15</v>
          </cell>
          <cell r="K215">
            <v>16</v>
          </cell>
          <cell r="L215">
            <v>17</v>
          </cell>
          <cell r="M215">
            <v>18</v>
          </cell>
          <cell r="N215">
            <v>19</v>
          </cell>
          <cell r="O215">
            <v>20</v>
          </cell>
          <cell r="P215">
            <v>21</v>
          </cell>
        </row>
        <row r="216">
          <cell r="A216">
            <v>39191</v>
          </cell>
          <cell r="B216">
            <v>4</v>
          </cell>
          <cell r="C216" t="str">
            <v>S</v>
          </cell>
          <cell r="D216">
            <v>11.5</v>
          </cell>
          <cell r="E216">
            <v>12.2</v>
          </cell>
          <cell r="F216">
            <v>13</v>
          </cell>
          <cell r="G216">
            <v>13.8</v>
          </cell>
          <cell r="H216">
            <v>14.5</v>
          </cell>
          <cell r="I216">
            <v>15</v>
          </cell>
          <cell r="J216">
            <v>16</v>
          </cell>
          <cell r="K216">
            <v>17</v>
          </cell>
          <cell r="L216">
            <v>18</v>
          </cell>
          <cell r="M216">
            <v>19</v>
          </cell>
          <cell r="N216">
            <v>20</v>
          </cell>
          <cell r="O216">
            <v>21</v>
          </cell>
          <cell r="P216">
            <v>22</v>
          </cell>
        </row>
        <row r="217">
          <cell r="A217">
            <v>39192</v>
          </cell>
          <cell r="B217">
            <v>4</v>
          </cell>
          <cell r="C217" t="str">
            <v>S</v>
          </cell>
          <cell r="D217">
            <v>10.8</v>
          </cell>
          <cell r="E217">
            <v>11.5</v>
          </cell>
          <cell r="F217">
            <v>12.2</v>
          </cell>
          <cell r="G217">
            <v>13</v>
          </cell>
          <cell r="H217">
            <v>13.8</v>
          </cell>
          <cell r="I217">
            <v>14.5</v>
          </cell>
          <cell r="J217">
            <v>15</v>
          </cell>
          <cell r="K217">
            <v>16</v>
          </cell>
          <cell r="L217">
            <v>17</v>
          </cell>
          <cell r="M217">
            <v>18</v>
          </cell>
          <cell r="N217">
            <v>19</v>
          </cell>
          <cell r="O217">
            <v>20</v>
          </cell>
          <cell r="P217">
            <v>21</v>
          </cell>
        </row>
        <row r="218">
          <cell r="A218">
            <v>39193</v>
          </cell>
          <cell r="B218">
            <v>4</v>
          </cell>
          <cell r="C218" t="str">
            <v>S</v>
          </cell>
          <cell r="D218">
            <v>11.8</v>
          </cell>
          <cell r="E218">
            <v>12.5</v>
          </cell>
          <cell r="F218">
            <v>13.2</v>
          </cell>
          <cell r="G218">
            <v>14</v>
          </cell>
          <cell r="H218">
            <v>14.8</v>
          </cell>
          <cell r="I218">
            <v>15.5</v>
          </cell>
          <cell r="J218">
            <v>16.2</v>
          </cell>
          <cell r="K218">
            <v>17</v>
          </cell>
          <cell r="L218">
            <v>18</v>
          </cell>
          <cell r="M218">
            <v>19</v>
          </cell>
          <cell r="N218">
            <v>20</v>
          </cell>
          <cell r="O218">
            <v>21</v>
          </cell>
          <cell r="P218">
            <v>22</v>
          </cell>
        </row>
        <row r="219">
          <cell r="A219">
            <v>39194</v>
          </cell>
          <cell r="B219">
            <v>4</v>
          </cell>
          <cell r="C219" t="str">
            <v>S</v>
          </cell>
          <cell r="D219">
            <v>11</v>
          </cell>
          <cell r="E219">
            <v>11.8</v>
          </cell>
          <cell r="F219">
            <v>12.5</v>
          </cell>
          <cell r="G219">
            <v>13.2</v>
          </cell>
          <cell r="H219">
            <v>14</v>
          </cell>
          <cell r="I219">
            <v>14.8</v>
          </cell>
          <cell r="J219">
            <v>15.5</v>
          </cell>
          <cell r="K219">
            <v>16.2</v>
          </cell>
          <cell r="L219">
            <v>17</v>
          </cell>
          <cell r="M219">
            <v>18</v>
          </cell>
          <cell r="N219">
            <v>19</v>
          </cell>
          <cell r="O219">
            <v>20</v>
          </cell>
          <cell r="P219">
            <v>21</v>
          </cell>
        </row>
        <row r="220">
          <cell r="A220">
            <v>39195</v>
          </cell>
          <cell r="B220">
            <v>4</v>
          </cell>
          <cell r="C220" t="str">
            <v>S</v>
          </cell>
          <cell r="D220">
            <v>10</v>
          </cell>
          <cell r="E220">
            <v>10.8</v>
          </cell>
          <cell r="F220">
            <v>11.5</v>
          </cell>
          <cell r="G220">
            <v>12.2</v>
          </cell>
          <cell r="H220">
            <v>13</v>
          </cell>
          <cell r="I220">
            <v>13.8</v>
          </cell>
          <cell r="J220">
            <v>14.5</v>
          </cell>
          <cell r="K220">
            <v>15</v>
          </cell>
          <cell r="L220">
            <v>16</v>
          </cell>
          <cell r="M220">
            <v>17</v>
          </cell>
          <cell r="N220">
            <v>18</v>
          </cell>
          <cell r="O220">
            <v>19</v>
          </cell>
          <cell r="P220">
            <v>20</v>
          </cell>
        </row>
        <row r="221">
          <cell r="A221">
            <v>39196</v>
          </cell>
          <cell r="B221">
            <v>4</v>
          </cell>
          <cell r="C221" t="str">
            <v>S</v>
          </cell>
          <cell r="D221">
            <v>9.5</v>
          </cell>
          <cell r="E221">
            <v>10.199999999999999</v>
          </cell>
          <cell r="F221">
            <v>11</v>
          </cell>
          <cell r="G221">
            <v>11.8</v>
          </cell>
          <cell r="H221">
            <v>12.5</v>
          </cell>
          <cell r="I221">
            <v>13.2</v>
          </cell>
          <cell r="J221">
            <v>14</v>
          </cell>
          <cell r="K221">
            <v>15</v>
          </cell>
          <cell r="L221">
            <v>16</v>
          </cell>
          <cell r="M221">
            <v>17</v>
          </cell>
          <cell r="N221">
            <v>18</v>
          </cell>
          <cell r="O221">
            <v>19</v>
          </cell>
          <cell r="P221">
            <v>20</v>
          </cell>
        </row>
        <row r="222">
          <cell r="A222">
            <v>39197</v>
          </cell>
          <cell r="B222">
            <v>4</v>
          </cell>
          <cell r="C222" t="str">
            <v>S</v>
          </cell>
          <cell r="D222">
            <v>10.5</v>
          </cell>
          <cell r="E222">
            <v>11.2</v>
          </cell>
          <cell r="F222">
            <v>12</v>
          </cell>
          <cell r="G222">
            <v>12.8</v>
          </cell>
          <cell r="H222">
            <v>13.5</v>
          </cell>
          <cell r="I222">
            <v>14.2</v>
          </cell>
          <cell r="J222">
            <v>15</v>
          </cell>
          <cell r="K222">
            <v>16</v>
          </cell>
          <cell r="L222">
            <v>17</v>
          </cell>
          <cell r="M222">
            <v>18</v>
          </cell>
          <cell r="N222">
            <v>19</v>
          </cell>
          <cell r="O222">
            <v>20</v>
          </cell>
          <cell r="P222">
            <v>21</v>
          </cell>
        </row>
        <row r="223">
          <cell r="A223">
            <v>39198</v>
          </cell>
          <cell r="B223">
            <v>4</v>
          </cell>
          <cell r="C223" t="str">
            <v>S</v>
          </cell>
          <cell r="D223">
            <v>9</v>
          </cell>
          <cell r="E223">
            <v>10</v>
          </cell>
          <cell r="F223">
            <v>11</v>
          </cell>
          <cell r="G223">
            <v>12</v>
          </cell>
          <cell r="H223">
            <v>13</v>
          </cell>
          <cell r="I223">
            <v>14</v>
          </cell>
          <cell r="J223">
            <v>15</v>
          </cell>
          <cell r="K223">
            <v>16</v>
          </cell>
          <cell r="L223">
            <v>17</v>
          </cell>
          <cell r="M223">
            <v>18</v>
          </cell>
          <cell r="N223">
            <v>19</v>
          </cell>
          <cell r="O223">
            <v>20</v>
          </cell>
          <cell r="P223">
            <v>21</v>
          </cell>
        </row>
        <row r="224">
          <cell r="A224">
            <v>39199</v>
          </cell>
          <cell r="B224">
            <v>4</v>
          </cell>
          <cell r="C224" t="str">
            <v>S</v>
          </cell>
          <cell r="D224">
            <v>14</v>
          </cell>
          <cell r="E224">
            <v>15</v>
          </cell>
          <cell r="F224">
            <v>16</v>
          </cell>
          <cell r="G224">
            <v>17</v>
          </cell>
          <cell r="H224">
            <v>18</v>
          </cell>
          <cell r="I224">
            <v>19</v>
          </cell>
          <cell r="J224">
            <v>20</v>
          </cell>
          <cell r="K224">
            <v>21</v>
          </cell>
          <cell r="L224">
            <v>22</v>
          </cell>
          <cell r="M224">
            <v>23</v>
          </cell>
          <cell r="N224">
            <v>24</v>
          </cell>
          <cell r="O224">
            <v>25</v>
          </cell>
          <cell r="P224">
            <v>26</v>
          </cell>
        </row>
        <row r="225">
          <cell r="A225">
            <v>39200</v>
          </cell>
          <cell r="B225">
            <v>4</v>
          </cell>
          <cell r="C225" t="str">
            <v>S</v>
          </cell>
          <cell r="D225">
            <v>17</v>
          </cell>
          <cell r="E225">
            <v>18</v>
          </cell>
          <cell r="F225">
            <v>19</v>
          </cell>
          <cell r="G225">
            <v>20</v>
          </cell>
          <cell r="H225">
            <v>21</v>
          </cell>
          <cell r="I225">
            <v>22</v>
          </cell>
          <cell r="J225">
            <v>23</v>
          </cell>
          <cell r="K225">
            <v>24</v>
          </cell>
          <cell r="L225">
            <v>25</v>
          </cell>
          <cell r="M225">
            <v>26</v>
          </cell>
          <cell r="N225">
            <v>27</v>
          </cell>
          <cell r="O225">
            <v>28</v>
          </cell>
          <cell r="P225">
            <v>29</v>
          </cell>
        </row>
        <row r="226">
          <cell r="A226">
            <v>39201</v>
          </cell>
          <cell r="B226">
            <v>4</v>
          </cell>
          <cell r="C226" t="str">
            <v>S</v>
          </cell>
          <cell r="D226">
            <v>14</v>
          </cell>
          <cell r="E226">
            <v>15</v>
          </cell>
          <cell r="F226">
            <v>16</v>
          </cell>
          <cell r="G226">
            <v>17</v>
          </cell>
          <cell r="H226">
            <v>18</v>
          </cell>
          <cell r="I226">
            <v>19</v>
          </cell>
          <cell r="J226">
            <v>20</v>
          </cell>
          <cell r="K226">
            <v>21</v>
          </cell>
          <cell r="L226">
            <v>22</v>
          </cell>
          <cell r="M226">
            <v>23</v>
          </cell>
          <cell r="N226">
            <v>24</v>
          </cell>
          <cell r="O226">
            <v>25</v>
          </cell>
          <cell r="P226">
            <v>26</v>
          </cell>
        </row>
        <row r="227">
          <cell r="A227">
            <v>39202</v>
          </cell>
          <cell r="B227">
            <v>4</v>
          </cell>
          <cell r="C227" t="str">
            <v>S</v>
          </cell>
          <cell r="D227">
            <v>14</v>
          </cell>
          <cell r="E227">
            <v>15</v>
          </cell>
          <cell r="F227">
            <v>16</v>
          </cell>
          <cell r="G227">
            <v>17</v>
          </cell>
          <cell r="H227">
            <v>18</v>
          </cell>
          <cell r="I227">
            <v>19</v>
          </cell>
          <cell r="J227">
            <v>20</v>
          </cell>
          <cell r="K227">
            <v>21</v>
          </cell>
          <cell r="L227">
            <v>22</v>
          </cell>
          <cell r="M227">
            <v>23</v>
          </cell>
          <cell r="N227">
            <v>24</v>
          </cell>
          <cell r="O227">
            <v>25</v>
          </cell>
          <cell r="P227">
            <v>26</v>
          </cell>
        </row>
        <row r="228">
          <cell r="A228">
            <v>39203</v>
          </cell>
          <cell r="B228">
            <v>5</v>
          </cell>
          <cell r="C228" t="str">
            <v>S</v>
          </cell>
          <cell r="D228">
            <v>12.8</v>
          </cell>
          <cell r="E228">
            <v>13.5</v>
          </cell>
          <cell r="F228">
            <v>14.2</v>
          </cell>
          <cell r="G228">
            <v>15</v>
          </cell>
          <cell r="H228">
            <v>15.8</v>
          </cell>
          <cell r="I228">
            <v>16.5</v>
          </cell>
          <cell r="J228">
            <v>17</v>
          </cell>
          <cell r="K228">
            <v>18</v>
          </cell>
          <cell r="L228">
            <v>19</v>
          </cell>
          <cell r="M228">
            <v>20</v>
          </cell>
          <cell r="N228">
            <v>21</v>
          </cell>
          <cell r="O228">
            <v>22</v>
          </cell>
          <cell r="P228">
            <v>23</v>
          </cell>
        </row>
        <row r="229">
          <cell r="A229">
            <v>39204</v>
          </cell>
          <cell r="B229">
            <v>5</v>
          </cell>
          <cell r="C229" t="str">
            <v>S</v>
          </cell>
          <cell r="D229">
            <v>6.8</v>
          </cell>
          <cell r="E229">
            <v>7.5</v>
          </cell>
          <cell r="F229">
            <v>8.1999999999999993</v>
          </cell>
          <cell r="G229">
            <v>9</v>
          </cell>
          <cell r="H229">
            <v>9.8000000000000007</v>
          </cell>
          <cell r="I229">
            <v>10.5</v>
          </cell>
          <cell r="J229">
            <v>11.2</v>
          </cell>
          <cell r="K229">
            <v>12</v>
          </cell>
          <cell r="L229">
            <v>12.8</v>
          </cell>
          <cell r="M229">
            <v>13.5</v>
          </cell>
          <cell r="N229">
            <v>14</v>
          </cell>
          <cell r="O229">
            <v>15</v>
          </cell>
          <cell r="P229">
            <v>16</v>
          </cell>
        </row>
        <row r="230">
          <cell r="A230">
            <v>39205</v>
          </cell>
          <cell r="B230">
            <v>5</v>
          </cell>
          <cell r="C230" t="str">
            <v>S</v>
          </cell>
          <cell r="D230">
            <v>2.2000000000000002</v>
          </cell>
          <cell r="E230">
            <v>2.5</v>
          </cell>
          <cell r="F230">
            <v>3.2</v>
          </cell>
          <cell r="G230">
            <v>4</v>
          </cell>
          <cell r="H230">
            <v>4.8</v>
          </cell>
          <cell r="I230">
            <v>5.5</v>
          </cell>
          <cell r="J230">
            <v>6.2</v>
          </cell>
          <cell r="K230">
            <v>7</v>
          </cell>
          <cell r="L230">
            <v>7.8</v>
          </cell>
          <cell r="M230">
            <v>8.5</v>
          </cell>
          <cell r="N230">
            <v>9.1999999999999993</v>
          </cell>
          <cell r="O230">
            <v>10</v>
          </cell>
          <cell r="P230">
            <v>11</v>
          </cell>
        </row>
        <row r="231">
          <cell r="A231">
            <v>39206</v>
          </cell>
          <cell r="B231">
            <v>5</v>
          </cell>
          <cell r="C231" t="str">
            <v>S</v>
          </cell>
          <cell r="D231">
            <v>5.2</v>
          </cell>
          <cell r="E231">
            <v>6</v>
          </cell>
          <cell r="F231">
            <v>6.8</v>
          </cell>
          <cell r="G231">
            <v>7.5</v>
          </cell>
          <cell r="H231">
            <v>8.1999999999999993</v>
          </cell>
          <cell r="I231">
            <v>9</v>
          </cell>
          <cell r="J231">
            <v>9.8000000000000007</v>
          </cell>
          <cell r="K231">
            <v>10.5</v>
          </cell>
          <cell r="L231">
            <v>11</v>
          </cell>
          <cell r="M231">
            <v>12</v>
          </cell>
          <cell r="N231">
            <v>13</v>
          </cell>
          <cell r="O231">
            <v>14</v>
          </cell>
          <cell r="P231">
            <v>15</v>
          </cell>
        </row>
        <row r="232">
          <cell r="A232">
            <v>39207</v>
          </cell>
          <cell r="B232">
            <v>5</v>
          </cell>
          <cell r="C232" t="str">
            <v>S</v>
          </cell>
          <cell r="D232">
            <v>12</v>
          </cell>
          <cell r="E232">
            <v>13</v>
          </cell>
          <cell r="F232">
            <v>14</v>
          </cell>
          <cell r="G232">
            <v>15</v>
          </cell>
          <cell r="H232">
            <v>16</v>
          </cell>
          <cell r="I232">
            <v>17</v>
          </cell>
          <cell r="J232">
            <v>18</v>
          </cell>
          <cell r="K232">
            <v>19</v>
          </cell>
          <cell r="L232">
            <v>20</v>
          </cell>
          <cell r="M232">
            <v>21</v>
          </cell>
          <cell r="N232">
            <v>22</v>
          </cell>
          <cell r="O232">
            <v>23</v>
          </cell>
          <cell r="P232">
            <v>24</v>
          </cell>
        </row>
        <row r="233">
          <cell r="A233">
            <v>39208</v>
          </cell>
          <cell r="B233">
            <v>5</v>
          </cell>
          <cell r="C233" t="str">
            <v>S</v>
          </cell>
          <cell r="D233">
            <v>12</v>
          </cell>
          <cell r="E233">
            <v>13</v>
          </cell>
          <cell r="F233">
            <v>14</v>
          </cell>
          <cell r="G233">
            <v>15</v>
          </cell>
          <cell r="H233">
            <v>16</v>
          </cell>
          <cell r="I233">
            <v>17</v>
          </cell>
          <cell r="J233">
            <v>18</v>
          </cell>
          <cell r="K233">
            <v>19</v>
          </cell>
          <cell r="L233">
            <v>20</v>
          </cell>
          <cell r="M233">
            <v>21</v>
          </cell>
          <cell r="N233">
            <v>22</v>
          </cell>
          <cell r="O233">
            <v>23</v>
          </cell>
          <cell r="P233">
            <v>24</v>
          </cell>
        </row>
        <row r="234">
          <cell r="A234">
            <v>39209</v>
          </cell>
          <cell r="B234">
            <v>5</v>
          </cell>
          <cell r="C234" t="str">
            <v>S</v>
          </cell>
          <cell r="D234">
            <v>10</v>
          </cell>
          <cell r="E234">
            <v>11</v>
          </cell>
          <cell r="F234">
            <v>12</v>
          </cell>
          <cell r="G234">
            <v>13</v>
          </cell>
          <cell r="H234">
            <v>14</v>
          </cell>
          <cell r="I234">
            <v>15</v>
          </cell>
          <cell r="J234">
            <v>16</v>
          </cell>
          <cell r="K234">
            <v>17</v>
          </cell>
          <cell r="L234">
            <v>18</v>
          </cell>
          <cell r="M234">
            <v>19</v>
          </cell>
          <cell r="N234">
            <v>20</v>
          </cell>
          <cell r="O234">
            <v>21</v>
          </cell>
          <cell r="P234">
            <v>22</v>
          </cell>
        </row>
        <row r="235">
          <cell r="A235">
            <v>39210</v>
          </cell>
          <cell r="B235">
            <v>5</v>
          </cell>
          <cell r="C235" t="str">
            <v>S</v>
          </cell>
          <cell r="D235">
            <v>10</v>
          </cell>
          <cell r="E235">
            <v>11</v>
          </cell>
          <cell r="F235">
            <v>12</v>
          </cell>
          <cell r="G235">
            <v>13</v>
          </cell>
          <cell r="H235">
            <v>14</v>
          </cell>
          <cell r="I235">
            <v>15</v>
          </cell>
          <cell r="J235">
            <v>16</v>
          </cell>
          <cell r="K235">
            <v>17</v>
          </cell>
          <cell r="L235">
            <v>18</v>
          </cell>
          <cell r="M235">
            <v>19</v>
          </cell>
          <cell r="N235">
            <v>20</v>
          </cell>
          <cell r="O235">
            <v>21</v>
          </cell>
          <cell r="P235">
            <v>22</v>
          </cell>
        </row>
        <row r="236">
          <cell r="A236">
            <v>39211</v>
          </cell>
          <cell r="B236">
            <v>5</v>
          </cell>
          <cell r="C236" t="str">
            <v>S</v>
          </cell>
          <cell r="D236">
            <v>11.2</v>
          </cell>
          <cell r="E236">
            <v>12</v>
          </cell>
          <cell r="F236">
            <v>13</v>
          </cell>
          <cell r="G236">
            <v>14</v>
          </cell>
          <cell r="H236">
            <v>15</v>
          </cell>
          <cell r="I236">
            <v>16</v>
          </cell>
          <cell r="J236">
            <v>17</v>
          </cell>
          <cell r="K236">
            <v>18</v>
          </cell>
          <cell r="L236">
            <v>19</v>
          </cell>
          <cell r="M236">
            <v>20</v>
          </cell>
          <cell r="N236">
            <v>21</v>
          </cell>
          <cell r="O236">
            <v>22</v>
          </cell>
          <cell r="P236">
            <v>23</v>
          </cell>
        </row>
        <row r="237">
          <cell r="A237">
            <v>39212</v>
          </cell>
          <cell r="B237">
            <v>5</v>
          </cell>
          <cell r="C237" t="str">
            <v>S</v>
          </cell>
          <cell r="D237">
            <v>11.8</v>
          </cell>
          <cell r="E237">
            <v>12.5</v>
          </cell>
          <cell r="F237">
            <v>13.2</v>
          </cell>
          <cell r="G237">
            <v>14</v>
          </cell>
          <cell r="H237">
            <v>15</v>
          </cell>
          <cell r="I237">
            <v>16</v>
          </cell>
          <cell r="J237">
            <v>17</v>
          </cell>
          <cell r="K237">
            <v>18</v>
          </cell>
          <cell r="L237">
            <v>19</v>
          </cell>
          <cell r="M237">
            <v>20</v>
          </cell>
          <cell r="N237">
            <v>21</v>
          </cell>
          <cell r="O237">
            <v>22</v>
          </cell>
          <cell r="P237">
            <v>23</v>
          </cell>
        </row>
        <row r="238">
          <cell r="A238">
            <v>39213</v>
          </cell>
          <cell r="B238">
            <v>5</v>
          </cell>
          <cell r="C238" t="str">
            <v>S</v>
          </cell>
          <cell r="D238">
            <v>10</v>
          </cell>
          <cell r="E238">
            <v>11</v>
          </cell>
          <cell r="F238">
            <v>12</v>
          </cell>
          <cell r="G238">
            <v>13</v>
          </cell>
          <cell r="H238">
            <v>14</v>
          </cell>
          <cell r="I238">
            <v>15</v>
          </cell>
          <cell r="J238">
            <v>16</v>
          </cell>
          <cell r="K238">
            <v>17</v>
          </cell>
          <cell r="L238">
            <v>18</v>
          </cell>
          <cell r="M238">
            <v>19</v>
          </cell>
          <cell r="N238">
            <v>20</v>
          </cell>
          <cell r="O238">
            <v>21</v>
          </cell>
          <cell r="P238">
            <v>22</v>
          </cell>
        </row>
        <row r="239">
          <cell r="A239">
            <v>39214</v>
          </cell>
          <cell r="B239">
            <v>5</v>
          </cell>
          <cell r="C239" t="str">
            <v>S</v>
          </cell>
          <cell r="D239">
            <v>15</v>
          </cell>
          <cell r="E239">
            <v>16</v>
          </cell>
          <cell r="F239">
            <v>17</v>
          </cell>
          <cell r="G239">
            <v>18</v>
          </cell>
          <cell r="H239">
            <v>19</v>
          </cell>
          <cell r="I239">
            <v>20</v>
          </cell>
          <cell r="J239">
            <v>21</v>
          </cell>
          <cell r="K239">
            <v>22</v>
          </cell>
          <cell r="L239">
            <v>23</v>
          </cell>
          <cell r="M239">
            <v>24</v>
          </cell>
          <cell r="N239">
            <v>25</v>
          </cell>
          <cell r="O239">
            <v>26</v>
          </cell>
          <cell r="P239">
            <v>27</v>
          </cell>
        </row>
        <row r="240">
          <cell r="A240">
            <v>39215</v>
          </cell>
          <cell r="B240">
            <v>5</v>
          </cell>
          <cell r="C240" t="str">
            <v>S</v>
          </cell>
          <cell r="D240">
            <v>13</v>
          </cell>
          <cell r="E240">
            <v>14</v>
          </cell>
          <cell r="F240">
            <v>15</v>
          </cell>
          <cell r="G240">
            <v>16</v>
          </cell>
          <cell r="H240">
            <v>17</v>
          </cell>
          <cell r="I240">
            <v>18</v>
          </cell>
          <cell r="J240">
            <v>19</v>
          </cell>
          <cell r="K240">
            <v>20</v>
          </cell>
          <cell r="L240">
            <v>21</v>
          </cell>
          <cell r="M240">
            <v>22</v>
          </cell>
          <cell r="N240">
            <v>23</v>
          </cell>
          <cell r="O240">
            <v>24</v>
          </cell>
          <cell r="P240">
            <v>25</v>
          </cell>
        </row>
        <row r="241">
          <cell r="A241">
            <v>39216</v>
          </cell>
          <cell r="B241">
            <v>5</v>
          </cell>
          <cell r="C241" t="str">
            <v>S</v>
          </cell>
          <cell r="D241">
            <v>8</v>
          </cell>
          <cell r="E241">
            <v>8.8000000000000007</v>
          </cell>
          <cell r="F241">
            <v>9.5</v>
          </cell>
          <cell r="G241">
            <v>10.199999999999999</v>
          </cell>
          <cell r="H241">
            <v>11</v>
          </cell>
          <cell r="I241">
            <v>11.8</v>
          </cell>
          <cell r="J241">
            <v>12.5</v>
          </cell>
          <cell r="K241">
            <v>13</v>
          </cell>
          <cell r="L241">
            <v>14</v>
          </cell>
          <cell r="M241">
            <v>15</v>
          </cell>
          <cell r="N241">
            <v>16</v>
          </cell>
          <cell r="O241">
            <v>17</v>
          </cell>
          <cell r="P241">
            <v>18</v>
          </cell>
        </row>
        <row r="242">
          <cell r="A242">
            <v>39217</v>
          </cell>
          <cell r="B242">
            <v>5</v>
          </cell>
          <cell r="C242" t="str">
            <v>S</v>
          </cell>
          <cell r="D242">
            <v>2.8</v>
          </cell>
          <cell r="E242">
            <v>3.5</v>
          </cell>
          <cell r="F242">
            <v>4.2</v>
          </cell>
          <cell r="G242">
            <v>5</v>
          </cell>
          <cell r="H242">
            <v>5.8</v>
          </cell>
          <cell r="I242">
            <v>6.5</v>
          </cell>
          <cell r="J242">
            <v>7.2</v>
          </cell>
          <cell r="K242">
            <v>8</v>
          </cell>
          <cell r="L242">
            <v>8.8000000000000007</v>
          </cell>
          <cell r="M242">
            <v>9.5</v>
          </cell>
          <cell r="N242">
            <v>10</v>
          </cell>
          <cell r="O242">
            <v>11</v>
          </cell>
          <cell r="P242">
            <v>12</v>
          </cell>
        </row>
        <row r="243">
          <cell r="A243">
            <v>39218</v>
          </cell>
          <cell r="B243">
            <v>5</v>
          </cell>
          <cell r="C243" t="str">
            <v>S</v>
          </cell>
          <cell r="D243">
            <v>2.5</v>
          </cell>
          <cell r="E243">
            <v>2.8</v>
          </cell>
          <cell r="F243">
            <v>3</v>
          </cell>
          <cell r="G243">
            <v>3.8</v>
          </cell>
          <cell r="H243">
            <v>4.5</v>
          </cell>
          <cell r="I243">
            <v>5.2</v>
          </cell>
          <cell r="J243">
            <v>6</v>
          </cell>
          <cell r="K243">
            <v>6.8</v>
          </cell>
          <cell r="L243">
            <v>7.5</v>
          </cell>
          <cell r="M243">
            <v>8.1999999999999993</v>
          </cell>
          <cell r="N243">
            <v>9</v>
          </cell>
          <cell r="O243">
            <v>9.8000000000000007</v>
          </cell>
          <cell r="P243">
            <v>10.5</v>
          </cell>
        </row>
        <row r="244">
          <cell r="A244">
            <v>39219</v>
          </cell>
          <cell r="B244">
            <v>5</v>
          </cell>
          <cell r="C244" t="str">
            <v>S</v>
          </cell>
          <cell r="D244">
            <v>4.2</v>
          </cell>
          <cell r="E244">
            <v>5</v>
          </cell>
          <cell r="F244">
            <v>5.8</v>
          </cell>
          <cell r="G244">
            <v>6.5</v>
          </cell>
          <cell r="H244">
            <v>7.2</v>
          </cell>
          <cell r="I244">
            <v>8</v>
          </cell>
          <cell r="J244">
            <v>8.8000000000000007</v>
          </cell>
          <cell r="K244">
            <v>9.5</v>
          </cell>
          <cell r="L244">
            <v>10.199999999999999</v>
          </cell>
          <cell r="M244">
            <v>11</v>
          </cell>
          <cell r="N244">
            <v>12</v>
          </cell>
          <cell r="O244">
            <v>13</v>
          </cell>
          <cell r="P244">
            <v>14</v>
          </cell>
        </row>
        <row r="245">
          <cell r="A245">
            <v>39220</v>
          </cell>
          <cell r="B245">
            <v>5</v>
          </cell>
          <cell r="C245" t="str">
            <v>S</v>
          </cell>
          <cell r="D245">
            <v>6</v>
          </cell>
          <cell r="E245">
            <v>6.8</v>
          </cell>
          <cell r="F245">
            <v>7.5</v>
          </cell>
          <cell r="G245">
            <v>8.1999999999999993</v>
          </cell>
          <cell r="H245">
            <v>9</v>
          </cell>
          <cell r="I245">
            <v>9.8000000000000007</v>
          </cell>
          <cell r="J245">
            <v>10.5</v>
          </cell>
          <cell r="K245">
            <v>11.2</v>
          </cell>
          <cell r="L245">
            <v>12</v>
          </cell>
          <cell r="M245">
            <v>12.8</v>
          </cell>
          <cell r="N245">
            <v>13.5</v>
          </cell>
          <cell r="O245">
            <v>14</v>
          </cell>
          <cell r="P245">
            <v>15</v>
          </cell>
        </row>
        <row r="246">
          <cell r="A246">
            <v>39221</v>
          </cell>
          <cell r="B246">
            <v>5</v>
          </cell>
          <cell r="C246" t="str">
            <v>S</v>
          </cell>
          <cell r="D246">
            <v>5.5</v>
          </cell>
          <cell r="E246">
            <v>6.2</v>
          </cell>
          <cell r="F246">
            <v>7</v>
          </cell>
          <cell r="G246">
            <v>7.8</v>
          </cell>
          <cell r="H246">
            <v>8.5</v>
          </cell>
          <cell r="I246">
            <v>9.1999999999999993</v>
          </cell>
          <cell r="J246">
            <v>10</v>
          </cell>
          <cell r="K246">
            <v>10.8</v>
          </cell>
          <cell r="L246">
            <v>11.5</v>
          </cell>
          <cell r="M246">
            <v>12.2</v>
          </cell>
          <cell r="N246">
            <v>13</v>
          </cell>
          <cell r="O246">
            <v>13.8</v>
          </cell>
          <cell r="P246">
            <v>14.5</v>
          </cell>
        </row>
        <row r="247">
          <cell r="A247">
            <v>39222</v>
          </cell>
          <cell r="B247">
            <v>5</v>
          </cell>
          <cell r="C247" t="str">
            <v>S</v>
          </cell>
          <cell r="D247">
            <v>3.5</v>
          </cell>
          <cell r="E247">
            <v>3.8</v>
          </cell>
          <cell r="F247">
            <v>4.5</v>
          </cell>
          <cell r="G247">
            <v>5.2</v>
          </cell>
          <cell r="H247">
            <v>6</v>
          </cell>
          <cell r="I247">
            <v>6.8</v>
          </cell>
          <cell r="J247">
            <v>7.5</v>
          </cell>
          <cell r="K247">
            <v>8.1999999999999993</v>
          </cell>
          <cell r="L247">
            <v>9</v>
          </cell>
          <cell r="M247">
            <v>9.8000000000000007</v>
          </cell>
          <cell r="N247">
            <v>10.5</v>
          </cell>
          <cell r="O247">
            <v>11.2</v>
          </cell>
          <cell r="P247">
            <v>12</v>
          </cell>
        </row>
        <row r="248">
          <cell r="A248">
            <v>39223</v>
          </cell>
          <cell r="B248">
            <v>5</v>
          </cell>
          <cell r="C248" t="str">
            <v>S</v>
          </cell>
          <cell r="D248">
            <v>2.5</v>
          </cell>
          <cell r="E248">
            <v>2.8</v>
          </cell>
          <cell r="F248">
            <v>3</v>
          </cell>
          <cell r="G248">
            <v>3.2</v>
          </cell>
          <cell r="H248">
            <v>4</v>
          </cell>
          <cell r="I248">
            <v>4.8</v>
          </cell>
          <cell r="J248">
            <v>5.5</v>
          </cell>
          <cell r="K248">
            <v>6.2</v>
          </cell>
          <cell r="L248">
            <v>7</v>
          </cell>
          <cell r="M248">
            <v>7.8</v>
          </cell>
          <cell r="N248">
            <v>8.5</v>
          </cell>
          <cell r="O248">
            <v>9.1999999999999993</v>
          </cell>
          <cell r="P248">
            <v>10</v>
          </cell>
        </row>
        <row r="249">
          <cell r="A249">
            <v>39224</v>
          </cell>
          <cell r="B249">
            <v>5</v>
          </cell>
          <cell r="C249" t="str">
            <v>S</v>
          </cell>
          <cell r="D249">
            <v>3.2</v>
          </cell>
          <cell r="E249">
            <v>3.5</v>
          </cell>
          <cell r="F249">
            <v>3.8</v>
          </cell>
          <cell r="G249">
            <v>4.5</v>
          </cell>
          <cell r="H249">
            <v>5.2</v>
          </cell>
          <cell r="I249">
            <v>6</v>
          </cell>
          <cell r="J249">
            <v>6.8</v>
          </cell>
          <cell r="K249">
            <v>7.5</v>
          </cell>
          <cell r="L249">
            <v>8.1999999999999993</v>
          </cell>
          <cell r="M249">
            <v>9</v>
          </cell>
          <cell r="N249">
            <v>9.8000000000000007</v>
          </cell>
          <cell r="O249">
            <v>10.5</v>
          </cell>
          <cell r="P249">
            <v>11.2</v>
          </cell>
        </row>
        <row r="250">
          <cell r="A250">
            <v>39225</v>
          </cell>
          <cell r="B250">
            <v>5</v>
          </cell>
          <cell r="C250" t="str">
            <v>S</v>
          </cell>
          <cell r="D250">
            <v>3.8</v>
          </cell>
          <cell r="E250">
            <v>4</v>
          </cell>
          <cell r="F250">
            <v>4.2</v>
          </cell>
          <cell r="G250">
            <v>5</v>
          </cell>
          <cell r="H250">
            <v>5.8</v>
          </cell>
          <cell r="I250">
            <v>6.5</v>
          </cell>
          <cell r="J250">
            <v>7.2</v>
          </cell>
          <cell r="K250">
            <v>8</v>
          </cell>
          <cell r="L250">
            <v>8.8000000000000007</v>
          </cell>
          <cell r="M250">
            <v>9.5</v>
          </cell>
          <cell r="N250">
            <v>10.199999999999999</v>
          </cell>
          <cell r="O250">
            <v>11</v>
          </cell>
          <cell r="P250">
            <v>11.8</v>
          </cell>
        </row>
        <row r="251">
          <cell r="A251">
            <v>39226</v>
          </cell>
          <cell r="B251">
            <v>5</v>
          </cell>
          <cell r="C251" t="str">
            <v>S</v>
          </cell>
          <cell r="D251">
            <v>1</v>
          </cell>
          <cell r="E251">
            <v>1.2</v>
          </cell>
          <cell r="F251">
            <v>1.5</v>
          </cell>
          <cell r="G251">
            <v>1.8</v>
          </cell>
          <cell r="H251">
            <v>2</v>
          </cell>
          <cell r="I251">
            <v>2.2000000000000002</v>
          </cell>
          <cell r="J251">
            <v>2.5</v>
          </cell>
          <cell r="K251">
            <v>2.8</v>
          </cell>
          <cell r="L251">
            <v>3.5</v>
          </cell>
          <cell r="M251">
            <v>4.2</v>
          </cell>
          <cell r="N251">
            <v>5</v>
          </cell>
          <cell r="O251">
            <v>5.8</v>
          </cell>
          <cell r="P251">
            <v>6.5</v>
          </cell>
        </row>
        <row r="252">
          <cell r="A252">
            <v>39227</v>
          </cell>
          <cell r="B252">
            <v>5</v>
          </cell>
          <cell r="C252" t="str">
            <v>S</v>
          </cell>
          <cell r="D252">
            <v>2</v>
          </cell>
          <cell r="E252">
            <v>2.2000000000000002</v>
          </cell>
          <cell r="F252">
            <v>2.5</v>
          </cell>
          <cell r="G252">
            <v>2.8</v>
          </cell>
          <cell r="H252">
            <v>3</v>
          </cell>
          <cell r="I252">
            <v>3.2</v>
          </cell>
          <cell r="J252">
            <v>3.5</v>
          </cell>
          <cell r="K252">
            <v>3.8</v>
          </cell>
          <cell r="L252">
            <v>4</v>
          </cell>
          <cell r="M252">
            <v>4.2</v>
          </cell>
          <cell r="N252">
            <v>5</v>
          </cell>
          <cell r="O252">
            <v>5.8</v>
          </cell>
          <cell r="P252">
            <v>6.5</v>
          </cell>
        </row>
        <row r="253">
          <cell r="A253">
            <v>39228</v>
          </cell>
          <cell r="B253">
            <v>5</v>
          </cell>
          <cell r="C253" t="str">
            <v>S</v>
          </cell>
          <cell r="D253">
            <v>0</v>
          </cell>
          <cell r="E253">
            <v>0</v>
          </cell>
          <cell r="F253">
            <v>0</v>
          </cell>
          <cell r="G253">
            <v>0.2</v>
          </cell>
          <cell r="H253">
            <v>0.5</v>
          </cell>
          <cell r="I253">
            <v>0.8</v>
          </cell>
          <cell r="J253">
            <v>1</v>
          </cell>
          <cell r="K253">
            <v>1.2</v>
          </cell>
          <cell r="L253">
            <v>1.5</v>
          </cell>
          <cell r="M253">
            <v>1.8</v>
          </cell>
          <cell r="N253">
            <v>2</v>
          </cell>
          <cell r="O253">
            <v>2.2000000000000002</v>
          </cell>
          <cell r="P253">
            <v>2.5</v>
          </cell>
        </row>
        <row r="254">
          <cell r="A254">
            <v>39229</v>
          </cell>
          <cell r="B254">
            <v>5</v>
          </cell>
          <cell r="C254" t="str">
            <v>S</v>
          </cell>
          <cell r="D254">
            <v>0.8</v>
          </cell>
          <cell r="E254">
            <v>1</v>
          </cell>
          <cell r="F254">
            <v>1.2</v>
          </cell>
          <cell r="G254">
            <v>1.5</v>
          </cell>
          <cell r="H254">
            <v>1.8</v>
          </cell>
          <cell r="I254">
            <v>2.5</v>
          </cell>
          <cell r="J254">
            <v>3.2</v>
          </cell>
          <cell r="K254">
            <v>4</v>
          </cell>
          <cell r="L254">
            <v>4.8</v>
          </cell>
          <cell r="M254">
            <v>5.5</v>
          </cell>
          <cell r="N254">
            <v>6</v>
          </cell>
          <cell r="O254">
            <v>7</v>
          </cell>
          <cell r="P254">
            <v>8</v>
          </cell>
        </row>
        <row r="255">
          <cell r="A255">
            <v>39230</v>
          </cell>
          <cell r="B255">
            <v>5</v>
          </cell>
          <cell r="C255" t="str">
            <v>S</v>
          </cell>
          <cell r="D255">
            <v>6</v>
          </cell>
          <cell r="E255">
            <v>7</v>
          </cell>
          <cell r="F255">
            <v>8</v>
          </cell>
          <cell r="G255">
            <v>9</v>
          </cell>
          <cell r="H255">
            <v>10</v>
          </cell>
          <cell r="I255">
            <v>11</v>
          </cell>
          <cell r="J255">
            <v>12</v>
          </cell>
          <cell r="K255">
            <v>13</v>
          </cell>
          <cell r="L255">
            <v>14</v>
          </cell>
          <cell r="M255">
            <v>15</v>
          </cell>
          <cell r="N255">
            <v>16</v>
          </cell>
          <cell r="O255">
            <v>17</v>
          </cell>
          <cell r="P255">
            <v>18</v>
          </cell>
        </row>
        <row r="256">
          <cell r="A256">
            <v>39231</v>
          </cell>
          <cell r="B256">
            <v>5</v>
          </cell>
          <cell r="C256" t="str">
            <v>S</v>
          </cell>
          <cell r="D256">
            <v>2.2000000000000002</v>
          </cell>
          <cell r="E256">
            <v>2.5</v>
          </cell>
          <cell r="F256">
            <v>3.2</v>
          </cell>
          <cell r="G256">
            <v>4</v>
          </cell>
          <cell r="H256">
            <v>4.8</v>
          </cell>
          <cell r="I256">
            <v>5.5</v>
          </cell>
          <cell r="J256">
            <v>6.2</v>
          </cell>
          <cell r="K256">
            <v>7</v>
          </cell>
          <cell r="L256">
            <v>7.8</v>
          </cell>
          <cell r="M256">
            <v>8.5</v>
          </cell>
          <cell r="N256">
            <v>9.1999999999999993</v>
          </cell>
          <cell r="O256">
            <v>10</v>
          </cell>
          <cell r="P256">
            <v>11</v>
          </cell>
        </row>
        <row r="257">
          <cell r="A257">
            <v>39232</v>
          </cell>
          <cell r="B257">
            <v>5</v>
          </cell>
          <cell r="C257" t="str">
            <v>S</v>
          </cell>
          <cell r="D257">
            <v>1</v>
          </cell>
          <cell r="E257">
            <v>1.2</v>
          </cell>
          <cell r="F257">
            <v>1.5</v>
          </cell>
          <cell r="G257">
            <v>1.8</v>
          </cell>
          <cell r="H257">
            <v>2</v>
          </cell>
          <cell r="I257">
            <v>2.2000000000000002</v>
          </cell>
          <cell r="J257">
            <v>2.5</v>
          </cell>
          <cell r="K257">
            <v>3.2</v>
          </cell>
          <cell r="L257">
            <v>4</v>
          </cell>
          <cell r="M257">
            <v>4.8</v>
          </cell>
          <cell r="N257">
            <v>5.5</v>
          </cell>
          <cell r="O257">
            <v>6.2</v>
          </cell>
          <cell r="P257">
            <v>7</v>
          </cell>
        </row>
        <row r="258">
          <cell r="A258">
            <v>39233</v>
          </cell>
          <cell r="B258">
            <v>5</v>
          </cell>
          <cell r="C258" t="str">
            <v>S</v>
          </cell>
          <cell r="D258">
            <v>0.8</v>
          </cell>
          <cell r="E258">
            <v>1</v>
          </cell>
          <cell r="F258">
            <v>1.2</v>
          </cell>
          <cell r="G258">
            <v>1.5</v>
          </cell>
          <cell r="H258">
            <v>1.8</v>
          </cell>
          <cell r="I258">
            <v>2.5</v>
          </cell>
          <cell r="J258">
            <v>3.2</v>
          </cell>
          <cell r="K258">
            <v>4</v>
          </cell>
          <cell r="L258">
            <v>4.8</v>
          </cell>
          <cell r="M258">
            <v>5.5</v>
          </cell>
          <cell r="N258">
            <v>6.2</v>
          </cell>
          <cell r="O258">
            <v>7</v>
          </cell>
          <cell r="P258">
            <v>8</v>
          </cell>
        </row>
        <row r="259">
          <cell r="A259">
            <v>39234</v>
          </cell>
          <cell r="B259">
            <v>6</v>
          </cell>
          <cell r="C259" t="str">
            <v>S</v>
          </cell>
          <cell r="D259">
            <v>3</v>
          </cell>
          <cell r="E259">
            <v>3.2</v>
          </cell>
          <cell r="F259">
            <v>3.5</v>
          </cell>
          <cell r="G259">
            <v>3.8</v>
          </cell>
          <cell r="H259">
            <v>4</v>
          </cell>
          <cell r="I259">
            <v>4.8</v>
          </cell>
          <cell r="J259">
            <v>5.5</v>
          </cell>
          <cell r="K259">
            <v>6.2</v>
          </cell>
          <cell r="L259">
            <v>7</v>
          </cell>
          <cell r="M259">
            <v>7.8</v>
          </cell>
          <cell r="N259">
            <v>8.5</v>
          </cell>
          <cell r="O259">
            <v>9.1999999999999993</v>
          </cell>
          <cell r="P259">
            <v>10</v>
          </cell>
        </row>
        <row r="260">
          <cell r="A260">
            <v>39235</v>
          </cell>
          <cell r="B260">
            <v>6</v>
          </cell>
          <cell r="C260" t="str">
            <v>S</v>
          </cell>
          <cell r="D260">
            <v>1.5</v>
          </cell>
          <cell r="E260">
            <v>1.8</v>
          </cell>
          <cell r="F260">
            <v>2</v>
          </cell>
          <cell r="G260">
            <v>2.2000000000000002</v>
          </cell>
          <cell r="H260">
            <v>2.5</v>
          </cell>
          <cell r="I260">
            <v>2.8</v>
          </cell>
          <cell r="J260">
            <v>3</v>
          </cell>
          <cell r="K260">
            <v>3.2</v>
          </cell>
          <cell r="L260">
            <v>3.5</v>
          </cell>
          <cell r="M260">
            <v>4.2</v>
          </cell>
          <cell r="N260">
            <v>5</v>
          </cell>
          <cell r="O260">
            <v>5.8</v>
          </cell>
          <cell r="P260">
            <v>6.5</v>
          </cell>
        </row>
        <row r="261">
          <cell r="A261">
            <v>39236</v>
          </cell>
          <cell r="B261">
            <v>6</v>
          </cell>
          <cell r="C261" t="str">
            <v>S</v>
          </cell>
          <cell r="D261">
            <v>0.5</v>
          </cell>
          <cell r="E261">
            <v>0.8</v>
          </cell>
          <cell r="F261">
            <v>1</v>
          </cell>
          <cell r="G261">
            <v>1.2</v>
          </cell>
          <cell r="H261">
            <v>1.5</v>
          </cell>
          <cell r="I261">
            <v>1.8</v>
          </cell>
          <cell r="J261">
            <v>2</v>
          </cell>
          <cell r="K261">
            <v>2.8</v>
          </cell>
          <cell r="L261">
            <v>3.5</v>
          </cell>
          <cell r="M261">
            <v>4.2</v>
          </cell>
          <cell r="N261">
            <v>5</v>
          </cell>
          <cell r="O261">
            <v>5.8</v>
          </cell>
          <cell r="P261">
            <v>6.5</v>
          </cell>
        </row>
        <row r="262">
          <cell r="A262">
            <v>39237</v>
          </cell>
          <cell r="B262">
            <v>6</v>
          </cell>
          <cell r="C262" t="str">
            <v>S</v>
          </cell>
          <cell r="D262">
            <v>1.2</v>
          </cell>
          <cell r="E262">
            <v>1.5</v>
          </cell>
          <cell r="F262">
            <v>1.8</v>
          </cell>
          <cell r="G262">
            <v>2</v>
          </cell>
          <cell r="H262">
            <v>2.2000000000000002</v>
          </cell>
          <cell r="I262">
            <v>2.5</v>
          </cell>
          <cell r="J262">
            <v>2.8</v>
          </cell>
          <cell r="K262">
            <v>3</v>
          </cell>
          <cell r="L262">
            <v>3.2</v>
          </cell>
          <cell r="M262">
            <v>3.5</v>
          </cell>
          <cell r="N262">
            <v>3.8</v>
          </cell>
          <cell r="O262">
            <v>4</v>
          </cell>
          <cell r="P262">
            <v>4.8</v>
          </cell>
        </row>
        <row r="263">
          <cell r="A263">
            <v>39238</v>
          </cell>
          <cell r="B263">
            <v>6</v>
          </cell>
          <cell r="C263" t="str">
            <v>S</v>
          </cell>
          <cell r="D263">
            <v>0</v>
          </cell>
          <cell r="E263">
            <v>0</v>
          </cell>
          <cell r="F263">
            <v>0.2</v>
          </cell>
          <cell r="G263">
            <v>0.5</v>
          </cell>
          <cell r="H263">
            <v>0.8</v>
          </cell>
          <cell r="I263">
            <v>1</v>
          </cell>
          <cell r="J263">
            <v>1.2</v>
          </cell>
          <cell r="K263">
            <v>1.5</v>
          </cell>
          <cell r="L263">
            <v>1.8</v>
          </cell>
          <cell r="M263">
            <v>2</v>
          </cell>
          <cell r="N263">
            <v>2.8</v>
          </cell>
          <cell r="O263">
            <v>3.5</v>
          </cell>
          <cell r="P263">
            <v>4.2</v>
          </cell>
        </row>
        <row r="264">
          <cell r="A264">
            <v>39239</v>
          </cell>
          <cell r="B264">
            <v>6</v>
          </cell>
          <cell r="C264" t="str">
            <v>S</v>
          </cell>
          <cell r="D264">
            <v>1</v>
          </cell>
          <cell r="E264">
            <v>1.2</v>
          </cell>
          <cell r="F264">
            <v>1.5</v>
          </cell>
          <cell r="G264">
            <v>1.8</v>
          </cell>
          <cell r="H264">
            <v>2.5</v>
          </cell>
          <cell r="I264">
            <v>3.2</v>
          </cell>
          <cell r="J264">
            <v>4</v>
          </cell>
          <cell r="K264">
            <v>4.8</v>
          </cell>
          <cell r="L264">
            <v>5.5</v>
          </cell>
          <cell r="M264">
            <v>6.2</v>
          </cell>
          <cell r="N264">
            <v>7</v>
          </cell>
          <cell r="O264">
            <v>8</v>
          </cell>
          <cell r="P264">
            <v>9</v>
          </cell>
        </row>
        <row r="265">
          <cell r="A265">
            <v>39240</v>
          </cell>
          <cell r="B265">
            <v>6</v>
          </cell>
          <cell r="C265" t="str">
            <v>S</v>
          </cell>
          <cell r="D265">
            <v>2</v>
          </cell>
          <cell r="E265">
            <v>3</v>
          </cell>
          <cell r="F265">
            <v>4</v>
          </cell>
          <cell r="G265">
            <v>5</v>
          </cell>
          <cell r="H265">
            <v>6</v>
          </cell>
          <cell r="I265">
            <v>7</v>
          </cell>
          <cell r="J265">
            <v>8</v>
          </cell>
          <cell r="K265">
            <v>9</v>
          </cell>
          <cell r="L265">
            <v>10</v>
          </cell>
          <cell r="M265">
            <v>11</v>
          </cell>
          <cell r="N265">
            <v>12</v>
          </cell>
          <cell r="O265">
            <v>13</v>
          </cell>
          <cell r="P265">
            <v>14</v>
          </cell>
        </row>
        <row r="266">
          <cell r="A266">
            <v>39241</v>
          </cell>
          <cell r="B266">
            <v>6</v>
          </cell>
          <cell r="C266" t="str">
            <v>S</v>
          </cell>
          <cell r="D266">
            <v>2.2000000000000002</v>
          </cell>
          <cell r="E266">
            <v>2.5</v>
          </cell>
          <cell r="F266">
            <v>2.8</v>
          </cell>
          <cell r="G266">
            <v>3</v>
          </cell>
          <cell r="H266">
            <v>3.8</v>
          </cell>
          <cell r="I266">
            <v>4.5</v>
          </cell>
          <cell r="J266">
            <v>5.2</v>
          </cell>
          <cell r="K266">
            <v>6</v>
          </cell>
          <cell r="L266">
            <v>6.8</v>
          </cell>
          <cell r="M266">
            <v>7.5</v>
          </cell>
          <cell r="N266">
            <v>8.1999999999999993</v>
          </cell>
          <cell r="O266">
            <v>9</v>
          </cell>
          <cell r="P266">
            <v>9.8000000000000007</v>
          </cell>
        </row>
        <row r="267">
          <cell r="A267">
            <v>39242</v>
          </cell>
          <cell r="B267">
            <v>6</v>
          </cell>
          <cell r="C267" t="str">
            <v>S</v>
          </cell>
          <cell r="D267">
            <v>1.8</v>
          </cell>
          <cell r="E267">
            <v>2</v>
          </cell>
          <cell r="F267">
            <v>2.2000000000000002</v>
          </cell>
          <cell r="G267">
            <v>2.5</v>
          </cell>
          <cell r="H267">
            <v>2.8</v>
          </cell>
          <cell r="I267">
            <v>3</v>
          </cell>
          <cell r="J267">
            <v>3.2</v>
          </cell>
          <cell r="K267">
            <v>3.5</v>
          </cell>
          <cell r="L267">
            <v>3.8</v>
          </cell>
          <cell r="M267">
            <v>4.5</v>
          </cell>
          <cell r="N267">
            <v>5.2</v>
          </cell>
          <cell r="O267">
            <v>6</v>
          </cell>
          <cell r="P267">
            <v>6.8</v>
          </cell>
        </row>
        <row r="268">
          <cell r="A268">
            <v>39243</v>
          </cell>
          <cell r="B268">
            <v>6</v>
          </cell>
          <cell r="C268" t="str">
            <v>S</v>
          </cell>
          <cell r="D268">
            <v>0</v>
          </cell>
          <cell r="E268">
            <v>0</v>
          </cell>
          <cell r="F268">
            <v>0.2</v>
          </cell>
          <cell r="G268">
            <v>0.5</v>
          </cell>
          <cell r="H268">
            <v>0.8</v>
          </cell>
          <cell r="I268">
            <v>1</v>
          </cell>
          <cell r="J268">
            <v>1.2</v>
          </cell>
          <cell r="K268">
            <v>1.5</v>
          </cell>
          <cell r="L268">
            <v>1.8</v>
          </cell>
          <cell r="M268">
            <v>2.5</v>
          </cell>
          <cell r="N268">
            <v>3.2</v>
          </cell>
          <cell r="O268">
            <v>4</v>
          </cell>
          <cell r="P268">
            <v>4.8</v>
          </cell>
        </row>
        <row r="269">
          <cell r="A269">
            <v>39244</v>
          </cell>
          <cell r="B269">
            <v>6</v>
          </cell>
          <cell r="C269" t="str">
            <v>S</v>
          </cell>
          <cell r="D269">
            <v>1.5</v>
          </cell>
          <cell r="E269">
            <v>1.8</v>
          </cell>
          <cell r="F269">
            <v>2</v>
          </cell>
          <cell r="G269">
            <v>2.2000000000000002</v>
          </cell>
          <cell r="H269">
            <v>2.5</v>
          </cell>
          <cell r="I269">
            <v>2.8</v>
          </cell>
          <cell r="J269">
            <v>3</v>
          </cell>
          <cell r="K269">
            <v>3.2</v>
          </cell>
          <cell r="L269">
            <v>4</v>
          </cell>
          <cell r="M269">
            <v>4.8</v>
          </cell>
          <cell r="N269">
            <v>5.5</v>
          </cell>
          <cell r="O269">
            <v>6.2</v>
          </cell>
          <cell r="P269">
            <v>7</v>
          </cell>
        </row>
        <row r="270">
          <cell r="A270">
            <v>39245</v>
          </cell>
          <cell r="B270">
            <v>6</v>
          </cell>
          <cell r="C270" t="str">
            <v>S</v>
          </cell>
          <cell r="D270">
            <v>0.8</v>
          </cell>
          <cell r="E270">
            <v>1</v>
          </cell>
          <cell r="F270">
            <v>1.2</v>
          </cell>
          <cell r="G270">
            <v>1.5</v>
          </cell>
          <cell r="H270">
            <v>1.8</v>
          </cell>
          <cell r="I270">
            <v>2</v>
          </cell>
          <cell r="J270">
            <v>2.8</v>
          </cell>
          <cell r="K270">
            <v>3.5</v>
          </cell>
          <cell r="L270">
            <v>4.2</v>
          </cell>
          <cell r="M270">
            <v>5</v>
          </cell>
          <cell r="N270">
            <v>5.8</v>
          </cell>
          <cell r="O270">
            <v>6.5</v>
          </cell>
          <cell r="P270">
            <v>7.2</v>
          </cell>
        </row>
        <row r="271">
          <cell r="A271">
            <v>39246</v>
          </cell>
          <cell r="B271">
            <v>6</v>
          </cell>
          <cell r="C271" t="str">
            <v>S</v>
          </cell>
          <cell r="D271">
            <v>1</v>
          </cell>
          <cell r="E271">
            <v>1.2</v>
          </cell>
          <cell r="F271">
            <v>1.5</v>
          </cell>
          <cell r="G271">
            <v>1.8</v>
          </cell>
          <cell r="H271">
            <v>2.5</v>
          </cell>
          <cell r="I271">
            <v>3.2</v>
          </cell>
          <cell r="J271">
            <v>4</v>
          </cell>
          <cell r="K271">
            <v>4.8</v>
          </cell>
          <cell r="L271">
            <v>5.5</v>
          </cell>
          <cell r="M271">
            <v>6.2</v>
          </cell>
          <cell r="N271">
            <v>7</v>
          </cell>
          <cell r="O271">
            <v>8</v>
          </cell>
          <cell r="P271">
            <v>9</v>
          </cell>
        </row>
        <row r="272">
          <cell r="A272">
            <v>39247</v>
          </cell>
          <cell r="B272">
            <v>6</v>
          </cell>
          <cell r="C272" t="str">
            <v>S</v>
          </cell>
          <cell r="D272">
            <v>1.2</v>
          </cell>
          <cell r="E272">
            <v>1.5</v>
          </cell>
          <cell r="F272">
            <v>1.8</v>
          </cell>
          <cell r="G272">
            <v>2</v>
          </cell>
          <cell r="H272">
            <v>2.2000000000000002</v>
          </cell>
          <cell r="I272">
            <v>2.5</v>
          </cell>
          <cell r="J272">
            <v>3.2</v>
          </cell>
          <cell r="K272">
            <v>4</v>
          </cell>
          <cell r="L272">
            <v>4.8</v>
          </cell>
          <cell r="M272">
            <v>5.5</v>
          </cell>
          <cell r="N272">
            <v>6.2</v>
          </cell>
          <cell r="O272">
            <v>7</v>
          </cell>
          <cell r="P272">
            <v>7.8</v>
          </cell>
        </row>
        <row r="273">
          <cell r="A273">
            <v>39248</v>
          </cell>
          <cell r="B273">
            <v>6</v>
          </cell>
          <cell r="C273" t="str">
            <v>S</v>
          </cell>
          <cell r="D273">
            <v>0.5</v>
          </cell>
          <cell r="E273">
            <v>0.8</v>
          </cell>
          <cell r="F273">
            <v>1</v>
          </cell>
          <cell r="G273">
            <v>1.2</v>
          </cell>
          <cell r="H273">
            <v>1.5</v>
          </cell>
          <cell r="I273">
            <v>1.8</v>
          </cell>
          <cell r="J273">
            <v>2</v>
          </cell>
          <cell r="K273">
            <v>2.8</v>
          </cell>
          <cell r="L273">
            <v>3.5</v>
          </cell>
          <cell r="M273">
            <v>4.2</v>
          </cell>
          <cell r="N273">
            <v>5</v>
          </cell>
          <cell r="O273">
            <v>5.8</v>
          </cell>
          <cell r="P273">
            <v>6.5</v>
          </cell>
        </row>
        <row r="274">
          <cell r="A274">
            <v>39249</v>
          </cell>
          <cell r="B274">
            <v>6</v>
          </cell>
          <cell r="C274" t="str">
            <v>S</v>
          </cell>
          <cell r="D274">
            <v>1.8</v>
          </cell>
          <cell r="E274">
            <v>2</v>
          </cell>
          <cell r="F274">
            <v>2.2000000000000002</v>
          </cell>
          <cell r="G274">
            <v>2.5</v>
          </cell>
          <cell r="H274">
            <v>2.8</v>
          </cell>
          <cell r="I274">
            <v>3</v>
          </cell>
          <cell r="J274">
            <v>3.2</v>
          </cell>
          <cell r="K274">
            <v>3.5</v>
          </cell>
          <cell r="L274">
            <v>4.2</v>
          </cell>
          <cell r="M274">
            <v>5</v>
          </cell>
          <cell r="N274">
            <v>5.8</v>
          </cell>
          <cell r="O274">
            <v>6.5</v>
          </cell>
          <cell r="P274">
            <v>7.2</v>
          </cell>
        </row>
        <row r="275">
          <cell r="A275">
            <v>39250</v>
          </cell>
          <cell r="B275">
            <v>6</v>
          </cell>
          <cell r="C275" t="str">
            <v>S</v>
          </cell>
          <cell r="D275">
            <v>0.2</v>
          </cell>
          <cell r="E275">
            <v>0.5</v>
          </cell>
          <cell r="F275">
            <v>0.8</v>
          </cell>
          <cell r="G275">
            <v>1</v>
          </cell>
          <cell r="H275">
            <v>1.2</v>
          </cell>
          <cell r="I275">
            <v>1.5</v>
          </cell>
          <cell r="J275">
            <v>1.8</v>
          </cell>
          <cell r="K275">
            <v>2</v>
          </cell>
          <cell r="L275">
            <v>2.2000000000000002</v>
          </cell>
          <cell r="M275">
            <v>2.5</v>
          </cell>
          <cell r="N275">
            <v>2.8</v>
          </cell>
          <cell r="O275">
            <v>3</v>
          </cell>
          <cell r="P275">
            <v>3.8</v>
          </cell>
        </row>
        <row r="276">
          <cell r="A276">
            <v>39251</v>
          </cell>
          <cell r="B276">
            <v>6</v>
          </cell>
          <cell r="C276" t="str">
            <v>S</v>
          </cell>
          <cell r="D276">
            <v>0.2</v>
          </cell>
          <cell r="E276">
            <v>0.5</v>
          </cell>
          <cell r="F276">
            <v>0.8</v>
          </cell>
          <cell r="G276">
            <v>1</v>
          </cell>
          <cell r="H276">
            <v>1.2</v>
          </cell>
          <cell r="I276">
            <v>1.5</v>
          </cell>
          <cell r="J276">
            <v>1.8</v>
          </cell>
          <cell r="K276">
            <v>2</v>
          </cell>
          <cell r="L276">
            <v>2.2000000000000002</v>
          </cell>
          <cell r="M276">
            <v>2.5</v>
          </cell>
          <cell r="N276">
            <v>2.8</v>
          </cell>
          <cell r="O276">
            <v>3</v>
          </cell>
          <cell r="P276">
            <v>3.8</v>
          </cell>
        </row>
        <row r="277">
          <cell r="A277">
            <v>39252</v>
          </cell>
          <cell r="B277">
            <v>6</v>
          </cell>
          <cell r="C277" t="str">
            <v>S</v>
          </cell>
          <cell r="D277">
            <v>0</v>
          </cell>
          <cell r="E277">
            <v>0</v>
          </cell>
          <cell r="F277">
            <v>0.2</v>
          </cell>
          <cell r="G277">
            <v>0.5</v>
          </cell>
          <cell r="H277">
            <v>0.8</v>
          </cell>
          <cell r="I277">
            <v>1</v>
          </cell>
          <cell r="J277">
            <v>1.2</v>
          </cell>
          <cell r="K277">
            <v>1.5</v>
          </cell>
          <cell r="L277">
            <v>1.8</v>
          </cell>
          <cell r="M277">
            <v>2</v>
          </cell>
          <cell r="N277">
            <v>2.2000000000000002</v>
          </cell>
          <cell r="O277">
            <v>2.5</v>
          </cell>
          <cell r="P277">
            <v>2.8</v>
          </cell>
        </row>
        <row r="278">
          <cell r="A278">
            <v>39253</v>
          </cell>
          <cell r="B278">
            <v>6</v>
          </cell>
          <cell r="C278" t="str">
            <v>S</v>
          </cell>
          <cell r="D278">
            <v>0</v>
          </cell>
          <cell r="E278">
            <v>0.2</v>
          </cell>
          <cell r="F278">
            <v>0.5</v>
          </cell>
          <cell r="G278">
            <v>0.8</v>
          </cell>
          <cell r="H278">
            <v>1</v>
          </cell>
          <cell r="I278">
            <v>1.2</v>
          </cell>
          <cell r="J278">
            <v>1.5</v>
          </cell>
          <cell r="K278">
            <v>1.8</v>
          </cell>
          <cell r="L278">
            <v>2</v>
          </cell>
          <cell r="M278">
            <v>2.2000000000000002</v>
          </cell>
          <cell r="N278">
            <v>2.5</v>
          </cell>
          <cell r="O278">
            <v>2.8</v>
          </cell>
          <cell r="P278">
            <v>3</v>
          </cell>
        </row>
        <row r="279">
          <cell r="A279">
            <v>39254</v>
          </cell>
          <cell r="B279">
            <v>6</v>
          </cell>
          <cell r="C279" t="str">
            <v>S</v>
          </cell>
          <cell r="D279">
            <v>0</v>
          </cell>
          <cell r="E279">
            <v>0</v>
          </cell>
          <cell r="F279">
            <v>0.2</v>
          </cell>
          <cell r="G279">
            <v>0.5</v>
          </cell>
          <cell r="H279">
            <v>0.8</v>
          </cell>
          <cell r="I279">
            <v>1</v>
          </cell>
          <cell r="J279">
            <v>1.2</v>
          </cell>
          <cell r="K279">
            <v>1.5</v>
          </cell>
          <cell r="L279">
            <v>1.8</v>
          </cell>
          <cell r="M279">
            <v>2</v>
          </cell>
          <cell r="N279">
            <v>2.2000000000000002</v>
          </cell>
          <cell r="O279">
            <v>2.5</v>
          </cell>
          <cell r="P279">
            <v>2.8</v>
          </cell>
        </row>
        <row r="280">
          <cell r="A280">
            <v>39255</v>
          </cell>
          <cell r="B280">
            <v>6</v>
          </cell>
          <cell r="C280" t="str">
            <v>S</v>
          </cell>
          <cell r="D280">
            <v>0</v>
          </cell>
          <cell r="E280">
            <v>0.2</v>
          </cell>
          <cell r="F280">
            <v>0.5</v>
          </cell>
          <cell r="G280">
            <v>0.8</v>
          </cell>
          <cell r="H280">
            <v>1</v>
          </cell>
          <cell r="I280">
            <v>1.2</v>
          </cell>
          <cell r="J280">
            <v>1.5</v>
          </cell>
          <cell r="K280">
            <v>1.8</v>
          </cell>
          <cell r="L280">
            <v>2</v>
          </cell>
          <cell r="M280">
            <v>2.2000000000000002</v>
          </cell>
          <cell r="N280">
            <v>3</v>
          </cell>
          <cell r="O280">
            <v>3.8</v>
          </cell>
          <cell r="P280">
            <v>4.5</v>
          </cell>
        </row>
        <row r="281">
          <cell r="A281">
            <v>39256</v>
          </cell>
          <cell r="B281">
            <v>6</v>
          </cell>
          <cell r="C281" t="str">
            <v>S</v>
          </cell>
          <cell r="D281">
            <v>1.5</v>
          </cell>
          <cell r="E281">
            <v>1.8</v>
          </cell>
          <cell r="F281">
            <v>2</v>
          </cell>
          <cell r="G281">
            <v>2.2000000000000002</v>
          </cell>
          <cell r="H281">
            <v>2.5</v>
          </cell>
          <cell r="I281">
            <v>3.2</v>
          </cell>
          <cell r="J281">
            <v>4</v>
          </cell>
          <cell r="K281">
            <v>4.8</v>
          </cell>
          <cell r="L281">
            <v>5.5</v>
          </cell>
          <cell r="M281">
            <v>6.2</v>
          </cell>
          <cell r="N281">
            <v>7</v>
          </cell>
          <cell r="O281">
            <v>7.8</v>
          </cell>
          <cell r="P281">
            <v>8.5</v>
          </cell>
        </row>
        <row r="282">
          <cell r="A282">
            <v>39257</v>
          </cell>
          <cell r="B282">
            <v>6</v>
          </cell>
          <cell r="C282" t="str">
            <v>S</v>
          </cell>
          <cell r="D282">
            <v>1</v>
          </cell>
          <cell r="E282">
            <v>1.2</v>
          </cell>
          <cell r="F282">
            <v>1.5</v>
          </cell>
          <cell r="G282">
            <v>1.8</v>
          </cell>
          <cell r="H282">
            <v>2</v>
          </cell>
          <cell r="I282">
            <v>2.2000000000000002</v>
          </cell>
          <cell r="J282">
            <v>2.5</v>
          </cell>
          <cell r="K282">
            <v>2.8</v>
          </cell>
          <cell r="L282">
            <v>3.5</v>
          </cell>
          <cell r="M282">
            <v>4.2</v>
          </cell>
          <cell r="N282">
            <v>5</v>
          </cell>
          <cell r="O282">
            <v>5.8</v>
          </cell>
          <cell r="P282">
            <v>6.5</v>
          </cell>
        </row>
        <row r="283">
          <cell r="A283">
            <v>39258</v>
          </cell>
          <cell r="B283">
            <v>6</v>
          </cell>
          <cell r="C283" t="str">
            <v>S</v>
          </cell>
          <cell r="D283">
            <v>0.2</v>
          </cell>
          <cell r="E283">
            <v>0.5</v>
          </cell>
          <cell r="F283">
            <v>0.8</v>
          </cell>
          <cell r="G283">
            <v>1</v>
          </cell>
          <cell r="H283">
            <v>1.2</v>
          </cell>
          <cell r="I283">
            <v>1.5</v>
          </cell>
          <cell r="J283">
            <v>1.8</v>
          </cell>
          <cell r="K283">
            <v>2.5</v>
          </cell>
          <cell r="L283">
            <v>3.2</v>
          </cell>
          <cell r="M283">
            <v>4</v>
          </cell>
          <cell r="N283">
            <v>4.8</v>
          </cell>
          <cell r="O283">
            <v>5.5</v>
          </cell>
          <cell r="P283">
            <v>6.2</v>
          </cell>
        </row>
        <row r="284">
          <cell r="A284">
            <v>39259</v>
          </cell>
          <cell r="B284">
            <v>6</v>
          </cell>
          <cell r="C284" t="str">
            <v>S</v>
          </cell>
          <cell r="D284">
            <v>0.5</v>
          </cell>
          <cell r="E284">
            <v>0.8</v>
          </cell>
          <cell r="F284">
            <v>1</v>
          </cell>
          <cell r="G284">
            <v>1.2</v>
          </cell>
          <cell r="H284">
            <v>1.5</v>
          </cell>
          <cell r="I284">
            <v>1.8</v>
          </cell>
          <cell r="J284">
            <v>2</v>
          </cell>
          <cell r="K284">
            <v>2.8</v>
          </cell>
          <cell r="L284">
            <v>3.5</v>
          </cell>
          <cell r="M284">
            <v>4.2</v>
          </cell>
          <cell r="N284">
            <v>5</v>
          </cell>
          <cell r="O284">
            <v>5.8</v>
          </cell>
          <cell r="P284">
            <v>6.5</v>
          </cell>
        </row>
        <row r="285">
          <cell r="A285">
            <v>39260</v>
          </cell>
          <cell r="B285">
            <v>6</v>
          </cell>
          <cell r="C285" t="str">
            <v>S</v>
          </cell>
          <cell r="D285">
            <v>1.8</v>
          </cell>
          <cell r="E285">
            <v>2</v>
          </cell>
          <cell r="F285">
            <v>2.2000000000000002</v>
          </cell>
          <cell r="G285">
            <v>2.5</v>
          </cell>
          <cell r="H285">
            <v>2.8</v>
          </cell>
          <cell r="I285">
            <v>3</v>
          </cell>
          <cell r="J285">
            <v>3.2</v>
          </cell>
          <cell r="K285">
            <v>4</v>
          </cell>
          <cell r="L285">
            <v>4.8</v>
          </cell>
          <cell r="M285">
            <v>5.5</v>
          </cell>
          <cell r="N285">
            <v>6.2</v>
          </cell>
          <cell r="O285">
            <v>7</v>
          </cell>
          <cell r="P285">
            <v>7.8</v>
          </cell>
        </row>
        <row r="286">
          <cell r="A286">
            <v>39261</v>
          </cell>
          <cell r="B286">
            <v>6</v>
          </cell>
          <cell r="C286" t="str">
            <v>S</v>
          </cell>
          <cell r="D286">
            <v>0.5</v>
          </cell>
          <cell r="E286">
            <v>0.8</v>
          </cell>
          <cell r="F286">
            <v>1</v>
          </cell>
          <cell r="G286">
            <v>1.2</v>
          </cell>
          <cell r="H286">
            <v>1.5</v>
          </cell>
          <cell r="I286">
            <v>1.8</v>
          </cell>
          <cell r="J286">
            <v>2</v>
          </cell>
          <cell r="K286">
            <v>2.2000000000000002</v>
          </cell>
          <cell r="L286">
            <v>2.5</v>
          </cell>
          <cell r="M286">
            <v>2.8</v>
          </cell>
          <cell r="N286">
            <v>3</v>
          </cell>
          <cell r="O286">
            <v>3.2</v>
          </cell>
          <cell r="P286">
            <v>3.5</v>
          </cell>
        </row>
        <row r="287">
          <cell r="A287">
            <v>39262</v>
          </cell>
          <cell r="B287">
            <v>6</v>
          </cell>
          <cell r="C287" t="str">
            <v>S</v>
          </cell>
          <cell r="D287">
            <v>0</v>
          </cell>
          <cell r="E287">
            <v>0</v>
          </cell>
          <cell r="F287">
            <v>0</v>
          </cell>
          <cell r="G287">
            <v>0.2</v>
          </cell>
          <cell r="H287">
            <v>0.5</v>
          </cell>
          <cell r="I287">
            <v>0.8</v>
          </cell>
          <cell r="J287">
            <v>1</v>
          </cell>
          <cell r="K287">
            <v>1.2</v>
          </cell>
          <cell r="L287">
            <v>1.5</v>
          </cell>
          <cell r="M287">
            <v>1.8</v>
          </cell>
          <cell r="N287">
            <v>2</v>
          </cell>
          <cell r="O287">
            <v>2.2000000000000002</v>
          </cell>
          <cell r="P287">
            <v>2.5</v>
          </cell>
        </row>
        <row r="288">
          <cell r="A288">
            <v>39263</v>
          </cell>
          <cell r="B288">
            <v>6</v>
          </cell>
          <cell r="C288" t="str">
            <v>S</v>
          </cell>
          <cell r="D288">
            <v>0</v>
          </cell>
          <cell r="E288">
            <v>0</v>
          </cell>
          <cell r="F288">
            <v>0</v>
          </cell>
          <cell r="G288">
            <v>0.2</v>
          </cell>
          <cell r="H288">
            <v>0.5</v>
          </cell>
          <cell r="I288">
            <v>0.8</v>
          </cell>
          <cell r="J288">
            <v>1</v>
          </cell>
          <cell r="K288">
            <v>1.2</v>
          </cell>
          <cell r="L288">
            <v>1.5</v>
          </cell>
          <cell r="M288">
            <v>1.8</v>
          </cell>
          <cell r="N288">
            <v>2</v>
          </cell>
          <cell r="O288">
            <v>2.2000000000000002</v>
          </cell>
          <cell r="P288">
            <v>2.5</v>
          </cell>
        </row>
        <row r="289">
          <cell r="A289">
            <v>39264</v>
          </cell>
          <cell r="B289">
            <v>7</v>
          </cell>
          <cell r="C289" t="str">
            <v>S</v>
          </cell>
          <cell r="D289">
            <v>0</v>
          </cell>
          <cell r="E289">
            <v>0</v>
          </cell>
          <cell r="F289">
            <v>0</v>
          </cell>
          <cell r="G289">
            <v>0.2</v>
          </cell>
          <cell r="H289">
            <v>0.5</v>
          </cell>
          <cell r="I289">
            <v>0.8</v>
          </cell>
          <cell r="J289">
            <v>1</v>
          </cell>
          <cell r="K289">
            <v>1.2</v>
          </cell>
          <cell r="L289">
            <v>1.5</v>
          </cell>
          <cell r="M289">
            <v>1.8</v>
          </cell>
          <cell r="N289">
            <v>2</v>
          </cell>
          <cell r="O289">
            <v>2.8</v>
          </cell>
          <cell r="P289">
            <v>3.5</v>
          </cell>
        </row>
        <row r="290">
          <cell r="A290">
            <v>39265</v>
          </cell>
          <cell r="B290">
            <v>7</v>
          </cell>
          <cell r="C290" t="str">
            <v>S</v>
          </cell>
          <cell r="D290">
            <v>0</v>
          </cell>
          <cell r="E290">
            <v>0</v>
          </cell>
          <cell r="F290">
            <v>0</v>
          </cell>
          <cell r="G290">
            <v>0</v>
          </cell>
          <cell r="H290">
            <v>0</v>
          </cell>
          <cell r="I290">
            <v>0</v>
          </cell>
          <cell r="J290">
            <v>0</v>
          </cell>
          <cell r="K290">
            <v>0</v>
          </cell>
          <cell r="L290">
            <v>0</v>
          </cell>
          <cell r="M290">
            <v>0.2</v>
          </cell>
          <cell r="N290">
            <v>0.5</v>
          </cell>
          <cell r="O290">
            <v>0.8</v>
          </cell>
          <cell r="P290">
            <v>1</v>
          </cell>
        </row>
        <row r="291">
          <cell r="A291">
            <v>39266</v>
          </cell>
          <cell r="B291">
            <v>7</v>
          </cell>
          <cell r="C291" t="str">
            <v>S</v>
          </cell>
          <cell r="D291">
            <v>0</v>
          </cell>
          <cell r="E291">
            <v>0</v>
          </cell>
          <cell r="F291">
            <v>0</v>
          </cell>
          <cell r="G291">
            <v>0</v>
          </cell>
          <cell r="H291">
            <v>0</v>
          </cell>
          <cell r="I291">
            <v>0</v>
          </cell>
          <cell r="J291">
            <v>0</v>
          </cell>
          <cell r="K291">
            <v>0.2</v>
          </cell>
          <cell r="L291">
            <v>0.5</v>
          </cell>
          <cell r="M291">
            <v>0.8</v>
          </cell>
          <cell r="N291">
            <v>1</v>
          </cell>
          <cell r="O291">
            <v>1.2</v>
          </cell>
          <cell r="P291">
            <v>1.5</v>
          </cell>
        </row>
        <row r="292">
          <cell r="A292">
            <v>39267</v>
          </cell>
          <cell r="B292">
            <v>7</v>
          </cell>
          <cell r="C292" t="str">
            <v>S</v>
          </cell>
          <cell r="D292">
            <v>0</v>
          </cell>
          <cell r="E292">
            <v>0</v>
          </cell>
          <cell r="F292">
            <v>0</v>
          </cell>
          <cell r="G292">
            <v>0</v>
          </cell>
          <cell r="H292">
            <v>0</v>
          </cell>
          <cell r="I292">
            <v>0.2</v>
          </cell>
          <cell r="J292">
            <v>0.5</v>
          </cell>
          <cell r="K292">
            <v>0.8</v>
          </cell>
          <cell r="L292">
            <v>1</v>
          </cell>
          <cell r="M292">
            <v>1.2</v>
          </cell>
          <cell r="N292">
            <v>1.5</v>
          </cell>
          <cell r="O292">
            <v>1.8</v>
          </cell>
          <cell r="P292">
            <v>2</v>
          </cell>
        </row>
        <row r="293">
          <cell r="A293">
            <v>39268</v>
          </cell>
          <cell r="B293">
            <v>7</v>
          </cell>
          <cell r="C293" t="str">
            <v>S</v>
          </cell>
          <cell r="D293">
            <v>0</v>
          </cell>
          <cell r="E293">
            <v>0</v>
          </cell>
          <cell r="F293">
            <v>0.2</v>
          </cell>
          <cell r="G293">
            <v>0.5</v>
          </cell>
          <cell r="H293">
            <v>0.8</v>
          </cell>
          <cell r="I293">
            <v>1</v>
          </cell>
          <cell r="J293">
            <v>1.2</v>
          </cell>
          <cell r="K293">
            <v>1.5</v>
          </cell>
          <cell r="L293">
            <v>1.8</v>
          </cell>
          <cell r="M293">
            <v>2</v>
          </cell>
          <cell r="N293">
            <v>2.2000000000000002</v>
          </cell>
          <cell r="O293">
            <v>2.5</v>
          </cell>
          <cell r="P293">
            <v>2.8</v>
          </cell>
        </row>
        <row r="294">
          <cell r="A294">
            <v>39269</v>
          </cell>
          <cell r="B294">
            <v>7</v>
          </cell>
          <cell r="C294" t="str">
            <v>S</v>
          </cell>
          <cell r="D294">
            <v>0.2</v>
          </cell>
          <cell r="E294">
            <v>0.5</v>
          </cell>
          <cell r="F294">
            <v>0.8</v>
          </cell>
          <cell r="G294">
            <v>1</v>
          </cell>
          <cell r="H294">
            <v>1.2</v>
          </cell>
          <cell r="I294">
            <v>1.5</v>
          </cell>
          <cell r="J294">
            <v>1.8</v>
          </cell>
          <cell r="K294">
            <v>2</v>
          </cell>
          <cell r="L294">
            <v>2.2000000000000002</v>
          </cell>
          <cell r="M294">
            <v>2.5</v>
          </cell>
          <cell r="N294">
            <v>2.8</v>
          </cell>
          <cell r="O294">
            <v>3</v>
          </cell>
          <cell r="P294">
            <v>3.8</v>
          </cell>
        </row>
        <row r="295">
          <cell r="A295">
            <v>39270</v>
          </cell>
          <cell r="B295">
            <v>7</v>
          </cell>
          <cell r="C295" t="str">
            <v>S</v>
          </cell>
          <cell r="D295">
            <v>0</v>
          </cell>
          <cell r="E295">
            <v>0</v>
          </cell>
          <cell r="F295">
            <v>0</v>
          </cell>
          <cell r="G295">
            <v>0.2</v>
          </cell>
          <cell r="H295">
            <v>0.5</v>
          </cell>
          <cell r="I295">
            <v>0.8</v>
          </cell>
          <cell r="J295">
            <v>1</v>
          </cell>
          <cell r="K295">
            <v>1.2</v>
          </cell>
          <cell r="L295">
            <v>1.5</v>
          </cell>
          <cell r="M295">
            <v>2.2000000000000002</v>
          </cell>
          <cell r="N295">
            <v>3</v>
          </cell>
          <cell r="O295">
            <v>3.8</v>
          </cell>
          <cell r="P295">
            <v>4.5</v>
          </cell>
        </row>
        <row r="296">
          <cell r="A296">
            <v>39271</v>
          </cell>
          <cell r="B296">
            <v>7</v>
          </cell>
          <cell r="C296" t="str">
            <v>S</v>
          </cell>
          <cell r="D296">
            <v>0</v>
          </cell>
          <cell r="E296">
            <v>0.2</v>
          </cell>
          <cell r="F296">
            <v>0.5</v>
          </cell>
          <cell r="G296">
            <v>0.8</v>
          </cell>
          <cell r="H296">
            <v>1</v>
          </cell>
          <cell r="I296">
            <v>1.2</v>
          </cell>
          <cell r="J296">
            <v>1.5</v>
          </cell>
          <cell r="K296">
            <v>1.8</v>
          </cell>
          <cell r="L296">
            <v>2</v>
          </cell>
          <cell r="M296">
            <v>2.2000000000000002</v>
          </cell>
          <cell r="N296">
            <v>2.5</v>
          </cell>
          <cell r="O296">
            <v>2.8</v>
          </cell>
          <cell r="P296">
            <v>3.5</v>
          </cell>
        </row>
        <row r="297">
          <cell r="A297">
            <v>39272</v>
          </cell>
          <cell r="B297">
            <v>7</v>
          </cell>
          <cell r="C297" t="str">
            <v>S</v>
          </cell>
          <cell r="D297">
            <v>0</v>
          </cell>
          <cell r="E297">
            <v>0.2</v>
          </cell>
          <cell r="F297">
            <v>0.5</v>
          </cell>
          <cell r="G297">
            <v>0.8</v>
          </cell>
          <cell r="H297">
            <v>1</v>
          </cell>
          <cell r="I297">
            <v>1.2</v>
          </cell>
          <cell r="J297">
            <v>1.5</v>
          </cell>
          <cell r="K297">
            <v>1.8</v>
          </cell>
          <cell r="L297">
            <v>2</v>
          </cell>
          <cell r="M297">
            <v>2.2000000000000002</v>
          </cell>
          <cell r="N297">
            <v>2.5</v>
          </cell>
          <cell r="O297">
            <v>2.8</v>
          </cell>
          <cell r="P297">
            <v>3</v>
          </cell>
        </row>
        <row r="298">
          <cell r="A298">
            <v>39273</v>
          </cell>
          <cell r="B298">
            <v>7</v>
          </cell>
          <cell r="C298" t="str">
            <v>S</v>
          </cell>
          <cell r="D298">
            <v>0.2</v>
          </cell>
          <cell r="E298">
            <v>0.5</v>
          </cell>
          <cell r="F298">
            <v>0.8</v>
          </cell>
          <cell r="G298">
            <v>1</v>
          </cell>
          <cell r="H298">
            <v>1.2</v>
          </cell>
          <cell r="I298">
            <v>1.5</v>
          </cell>
          <cell r="J298">
            <v>1.8</v>
          </cell>
          <cell r="K298">
            <v>2</v>
          </cell>
          <cell r="L298">
            <v>2.2000000000000002</v>
          </cell>
          <cell r="M298">
            <v>2.5</v>
          </cell>
          <cell r="N298">
            <v>3.2</v>
          </cell>
          <cell r="O298">
            <v>4</v>
          </cell>
          <cell r="P298">
            <v>4.8</v>
          </cell>
        </row>
        <row r="299">
          <cell r="A299">
            <v>39274</v>
          </cell>
          <cell r="B299">
            <v>7</v>
          </cell>
          <cell r="C299" t="str">
            <v>S</v>
          </cell>
          <cell r="D299">
            <v>0</v>
          </cell>
          <cell r="E299">
            <v>0</v>
          </cell>
          <cell r="F299">
            <v>0.2</v>
          </cell>
          <cell r="G299">
            <v>0.5</v>
          </cell>
          <cell r="H299">
            <v>0.8</v>
          </cell>
          <cell r="I299">
            <v>1</v>
          </cell>
          <cell r="J299">
            <v>1.2</v>
          </cell>
          <cell r="K299">
            <v>1.5</v>
          </cell>
          <cell r="L299">
            <v>2.2000000000000002</v>
          </cell>
          <cell r="M299">
            <v>3</v>
          </cell>
          <cell r="N299">
            <v>3.8</v>
          </cell>
          <cell r="O299">
            <v>4.5</v>
          </cell>
          <cell r="P299">
            <v>5.2</v>
          </cell>
        </row>
        <row r="300">
          <cell r="A300">
            <v>39275</v>
          </cell>
          <cell r="B300">
            <v>7</v>
          </cell>
          <cell r="C300" t="str">
            <v>S</v>
          </cell>
          <cell r="D300">
            <v>0.8</v>
          </cell>
          <cell r="E300">
            <v>1</v>
          </cell>
          <cell r="F300">
            <v>1.2</v>
          </cell>
          <cell r="G300">
            <v>1.5</v>
          </cell>
          <cell r="H300">
            <v>1.8</v>
          </cell>
          <cell r="I300">
            <v>2</v>
          </cell>
          <cell r="J300">
            <v>2.2000000000000002</v>
          </cell>
          <cell r="K300">
            <v>2.5</v>
          </cell>
          <cell r="L300">
            <v>2.8</v>
          </cell>
          <cell r="M300">
            <v>3</v>
          </cell>
          <cell r="N300">
            <v>3.8</v>
          </cell>
          <cell r="O300">
            <v>4.5</v>
          </cell>
          <cell r="P300">
            <v>5.2</v>
          </cell>
        </row>
        <row r="301">
          <cell r="A301">
            <v>39276</v>
          </cell>
          <cell r="B301">
            <v>7</v>
          </cell>
          <cell r="C301" t="str">
            <v>S</v>
          </cell>
          <cell r="D301">
            <v>0</v>
          </cell>
          <cell r="E301">
            <v>0</v>
          </cell>
          <cell r="F301">
            <v>0</v>
          </cell>
          <cell r="G301">
            <v>0</v>
          </cell>
          <cell r="H301">
            <v>0.2</v>
          </cell>
          <cell r="I301">
            <v>0.5</v>
          </cell>
          <cell r="J301">
            <v>0.8</v>
          </cell>
          <cell r="K301">
            <v>1</v>
          </cell>
          <cell r="L301">
            <v>1.2</v>
          </cell>
          <cell r="M301">
            <v>1.5</v>
          </cell>
          <cell r="N301">
            <v>1.8</v>
          </cell>
          <cell r="O301">
            <v>2</v>
          </cell>
          <cell r="P301">
            <v>2.2000000000000002</v>
          </cell>
        </row>
        <row r="302">
          <cell r="A302">
            <v>39277</v>
          </cell>
          <cell r="B302">
            <v>7</v>
          </cell>
          <cell r="C302" t="str">
            <v>S</v>
          </cell>
          <cell r="D302">
            <v>0.5</v>
          </cell>
          <cell r="E302">
            <v>0.8</v>
          </cell>
          <cell r="F302">
            <v>1</v>
          </cell>
          <cell r="G302">
            <v>1.2</v>
          </cell>
          <cell r="H302">
            <v>1.5</v>
          </cell>
          <cell r="I302">
            <v>1.8</v>
          </cell>
          <cell r="J302">
            <v>2</v>
          </cell>
          <cell r="K302">
            <v>2.8</v>
          </cell>
          <cell r="L302">
            <v>3.5</v>
          </cell>
          <cell r="M302">
            <v>4.2</v>
          </cell>
          <cell r="N302">
            <v>5</v>
          </cell>
          <cell r="O302">
            <v>5.8</v>
          </cell>
          <cell r="P302">
            <v>6.5</v>
          </cell>
        </row>
        <row r="303">
          <cell r="A303">
            <v>39278</v>
          </cell>
          <cell r="B303">
            <v>7</v>
          </cell>
          <cell r="C303" t="str">
            <v>S</v>
          </cell>
          <cell r="D303">
            <v>0.5</v>
          </cell>
          <cell r="E303">
            <v>0.8</v>
          </cell>
          <cell r="F303">
            <v>1</v>
          </cell>
          <cell r="G303">
            <v>1.2</v>
          </cell>
          <cell r="H303">
            <v>1.5</v>
          </cell>
          <cell r="I303">
            <v>1.8</v>
          </cell>
          <cell r="J303">
            <v>2.5</v>
          </cell>
          <cell r="K303">
            <v>3.2</v>
          </cell>
          <cell r="L303">
            <v>4</v>
          </cell>
          <cell r="M303">
            <v>4.8</v>
          </cell>
          <cell r="N303">
            <v>5.5</v>
          </cell>
          <cell r="O303">
            <v>6.2</v>
          </cell>
          <cell r="P303">
            <v>7</v>
          </cell>
        </row>
        <row r="304">
          <cell r="A304">
            <v>39279</v>
          </cell>
          <cell r="B304">
            <v>7</v>
          </cell>
          <cell r="C304" t="str">
            <v>S</v>
          </cell>
          <cell r="D304">
            <v>1.8</v>
          </cell>
          <cell r="E304">
            <v>2</v>
          </cell>
          <cell r="F304">
            <v>2.2000000000000002</v>
          </cell>
          <cell r="G304">
            <v>2.5</v>
          </cell>
          <cell r="H304">
            <v>2.8</v>
          </cell>
          <cell r="I304">
            <v>3</v>
          </cell>
          <cell r="J304">
            <v>3.2</v>
          </cell>
          <cell r="K304">
            <v>4</v>
          </cell>
          <cell r="L304">
            <v>4.8</v>
          </cell>
          <cell r="M304">
            <v>5.5</v>
          </cell>
          <cell r="N304">
            <v>6.2</v>
          </cell>
          <cell r="O304">
            <v>7</v>
          </cell>
          <cell r="P304">
            <v>7.8</v>
          </cell>
        </row>
        <row r="305">
          <cell r="A305">
            <v>39280</v>
          </cell>
          <cell r="B305">
            <v>7</v>
          </cell>
          <cell r="C305" t="str">
            <v>S</v>
          </cell>
          <cell r="D305">
            <v>0.8</v>
          </cell>
          <cell r="E305">
            <v>1</v>
          </cell>
          <cell r="F305">
            <v>1.2</v>
          </cell>
          <cell r="G305">
            <v>1.5</v>
          </cell>
          <cell r="H305">
            <v>1.8</v>
          </cell>
          <cell r="I305">
            <v>2</v>
          </cell>
          <cell r="J305">
            <v>2.2000000000000002</v>
          </cell>
          <cell r="K305">
            <v>2.5</v>
          </cell>
          <cell r="L305">
            <v>2.8</v>
          </cell>
          <cell r="M305">
            <v>3</v>
          </cell>
          <cell r="N305">
            <v>3.2</v>
          </cell>
          <cell r="O305">
            <v>3.5</v>
          </cell>
          <cell r="P305">
            <v>4.2</v>
          </cell>
        </row>
        <row r="306">
          <cell r="A306">
            <v>39281</v>
          </cell>
          <cell r="B306">
            <v>7</v>
          </cell>
          <cell r="C306" t="str">
            <v>S</v>
          </cell>
          <cell r="D306">
            <v>0</v>
          </cell>
          <cell r="E306">
            <v>0</v>
          </cell>
          <cell r="F306">
            <v>0</v>
          </cell>
          <cell r="G306">
            <v>0.2</v>
          </cell>
          <cell r="H306">
            <v>0.5</v>
          </cell>
          <cell r="I306">
            <v>0.8</v>
          </cell>
          <cell r="J306">
            <v>1</v>
          </cell>
          <cell r="K306">
            <v>1.2</v>
          </cell>
          <cell r="L306">
            <v>1.5</v>
          </cell>
          <cell r="M306">
            <v>1.8</v>
          </cell>
          <cell r="N306">
            <v>2</v>
          </cell>
          <cell r="O306">
            <v>2.2000000000000002</v>
          </cell>
          <cell r="P306">
            <v>2.5</v>
          </cell>
        </row>
        <row r="307">
          <cell r="A307">
            <v>39282</v>
          </cell>
          <cell r="B307">
            <v>7</v>
          </cell>
          <cell r="C307" t="str">
            <v>S</v>
          </cell>
          <cell r="D307">
            <v>0.2</v>
          </cell>
          <cell r="E307">
            <v>0.5</v>
          </cell>
          <cell r="F307">
            <v>0.8</v>
          </cell>
          <cell r="G307">
            <v>1</v>
          </cell>
          <cell r="H307">
            <v>1.2</v>
          </cell>
          <cell r="I307">
            <v>1.5</v>
          </cell>
          <cell r="J307">
            <v>1.8</v>
          </cell>
          <cell r="K307">
            <v>2</v>
          </cell>
          <cell r="L307">
            <v>2.2000000000000002</v>
          </cell>
          <cell r="M307">
            <v>2.5</v>
          </cell>
          <cell r="N307">
            <v>2.8</v>
          </cell>
          <cell r="O307">
            <v>3</v>
          </cell>
          <cell r="P307">
            <v>3.2</v>
          </cell>
        </row>
        <row r="308">
          <cell r="A308">
            <v>39283</v>
          </cell>
          <cell r="B308">
            <v>7</v>
          </cell>
          <cell r="C308" t="str">
            <v>S</v>
          </cell>
          <cell r="D308">
            <v>0</v>
          </cell>
          <cell r="E308">
            <v>0.2</v>
          </cell>
          <cell r="F308">
            <v>0.5</v>
          </cell>
          <cell r="G308">
            <v>0.8</v>
          </cell>
          <cell r="H308">
            <v>1</v>
          </cell>
          <cell r="I308">
            <v>1.2</v>
          </cell>
          <cell r="J308">
            <v>1.5</v>
          </cell>
          <cell r="K308">
            <v>1.8</v>
          </cell>
          <cell r="L308">
            <v>2</v>
          </cell>
          <cell r="M308">
            <v>2.2000000000000002</v>
          </cell>
          <cell r="N308">
            <v>2.5</v>
          </cell>
          <cell r="O308">
            <v>2.8</v>
          </cell>
          <cell r="P308">
            <v>3.5</v>
          </cell>
        </row>
        <row r="309">
          <cell r="A309">
            <v>39284</v>
          </cell>
          <cell r="B309">
            <v>7</v>
          </cell>
          <cell r="C309" t="str">
            <v>S</v>
          </cell>
          <cell r="D309">
            <v>0</v>
          </cell>
          <cell r="E309">
            <v>0</v>
          </cell>
          <cell r="F309">
            <v>0</v>
          </cell>
          <cell r="G309">
            <v>0</v>
          </cell>
          <cell r="H309">
            <v>0</v>
          </cell>
          <cell r="I309">
            <v>0</v>
          </cell>
          <cell r="J309">
            <v>0.2</v>
          </cell>
          <cell r="K309">
            <v>0.5</v>
          </cell>
          <cell r="L309">
            <v>0.8</v>
          </cell>
          <cell r="M309">
            <v>1</v>
          </cell>
          <cell r="N309">
            <v>1.2</v>
          </cell>
          <cell r="O309">
            <v>1.5</v>
          </cell>
          <cell r="P309">
            <v>1.8</v>
          </cell>
        </row>
        <row r="310">
          <cell r="A310">
            <v>39285</v>
          </cell>
          <cell r="B310">
            <v>7</v>
          </cell>
          <cell r="C310" t="str">
            <v>S</v>
          </cell>
          <cell r="D310">
            <v>0</v>
          </cell>
          <cell r="E310">
            <v>0</v>
          </cell>
          <cell r="F310">
            <v>0</v>
          </cell>
          <cell r="G310">
            <v>0</v>
          </cell>
          <cell r="H310">
            <v>0.2</v>
          </cell>
          <cell r="I310">
            <v>0.5</v>
          </cell>
          <cell r="J310">
            <v>0.8</v>
          </cell>
          <cell r="K310">
            <v>1</v>
          </cell>
          <cell r="L310">
            <v>1.2</v>
          </cell>
          <cell r="M310">
            <v>1.5</v>
          </cell>
          <cell r="N310">
            <v>1.8</v>
          </cell>
          <cell r="O310">
            <v>2</v>
          </cell>
          <cell r="P310">
            <v>2.2000000000000002</v>
          </cell>
        </row>
        <row r="311">
          <cell r="A311">
            <v>39286</v>
          </cell>
          <cell r="B311">
            <v>7</v>
          </cell>
          <cell r="C311" t="str">
            <v>S</v>
          </cell>
          <cell r="D311">
            <v>0</v>
          </cell>
          <cell r="E311">
            <v>0.2</v>
          </cell>
          <cell r="F311">
            <v>0.5</v>
          </cell>
          <cell r="G311">
            <v>0.8</v>
          </cell>
          <cell r="H311">
            <v>1</v>
          </cell>
          <cell r="I311">
            <v>1.2</v>
          </cell>
          <cell r="J311">
            <v>2</v>
          </cell>
          <cell r="K311">
            <v>2.8</v>
          </cell>
          <cell r="L311">
            <v>3.5</v>
          </cell>
          <cell r="M311">
            <v>4</v>
          </cell>
          <cell r="N311">
            <v>5</v>
          </cell>
          <cell r="O311">
            <v>6</v>
          </cell>
          <cell r="P311">
            <v>7</v>
          </cell>
        </row>
        <row r="312">
          <cell r="A312">
            <v>39287</v>
          </cell>
          <cell r="B312">
            <v>7</v>
          </cell>
          <cell r="C312" t="str">
            <v>S</v>
          </cell>
          <cell r="D312">
            <v>0.5</v>
          </cell>
          <cell r="E312">
            <v>0.8</v>
          </cell>
          <cell r="F312">
            <v>1</v>
          </cell>
          <cell r="G312">
            <v>1.2</v>
          </cell>
          <cell r="H312">
            <v>1.5</v>
          </cell>
          <cell r="I312">
            <v>1.8</v>
          </cell>
          <cell r="J312">
            <v>2</v>
          </cell>
          <cell r="K312">
            <v>2.2000000000000002</v>
          </cell>
          <cell r="L312">
            <v>2.5</v>
          </cell>
          <cell r="M312">
            <v>2.8</v>
          </cell>
          <cell r="N312">
            <v>3.5</v>
          </cell>
          <cell r="O312">
            <v>4.2</v>
          </cell>
          <cell r="P312">
            <v>5</v>
          </cell>
        </row>
        <row r="313">
          <cell r="A313">
            <v>39288</v>
          </cell>
          <cell r="B313">
            <v>7</v>
          </cell>
          <cell r="C313" t="str">
            <v>S</v>
          </cell>
          <cell r="D313">
            <v>1</v>
          </cell>
          <cell r="E313">
            <v>1.2</v>
          </cell>
          <cell r="F313">
            <v>1.5</v>
          </cell>
          <cell r="G313">
            <v>1.8</v>
          </cell>
          <cell r="H313">
            <v>2</v>
          </cell>
          <cell r="I313">
            <v>2.2000000000000002</v>
          </cell>
          <cell r="J313">
            <v>2.5</v>
          </cell>
          <cell r="K313">
            <v>2.8</v>
          </cell>
          <cell r="L313">
            <v>3</v>
          </cell>
          <cell r="M313">
            <v>3.2</v>
          </cell>
          <cell r="N313">
            <v>3.5</v>
          </cell>
          <cell r="O313">
            <v>4.2</v>
          </cell>
          <cell r="P313">
            <v>5</v>
          </cell>
        </row>
        <row r="314">
          <cell r="A314">
            <v>39289</v>
          </cell>
          <cell r="B314">
            <v>7</v>
          </cell>
          <cell r="C314" t="str">
            <v>S</v>
          </cell>
          <cell r="D314">
            <v>0</v>
          </cell>
          <cell r="E314">
            <v>0</v>
          </cell>
          <cell r="F314">
            <v>0</v>
          </cell>
          <cell r="G314">
            <v>0.2</v>
          </cell>
          <cell r="H314">
            <v>0.5</v>
          </cell>
          <cell r="I314">
            <v>0.8</v>
          </cell>
          <cell r="J314">
            <v>1</v>
          </cell>
          <cell r="K314">
            <v>1.2</v>
          </cell>
          <cell r="L314">
            <v>1.5</v>
          </cell>
          <cell r="M314">
            <v>1.8</v>
          </cell>
          <cell r="N314">
            <v>2</v>
          </cell>
          <cell r="O314">
            <v>2.2000000000000002</v>
          </cell>
          <cell r="P314">
            <v>2.5</v>
          </cell>
        </row>
        <row r="315">
          <cell r="A315">
            <v>39290</v>
          </cell>
          <cell r="B315">
            <v>7</v>
          </cell>
          <cell r="C315" t="str">
            <v>S</v>
          </cell>
          <cell r="D315">
            <v>1.5</v>
          </cell>
          <cell r="E315">
            <v>1.8</v>
          </cell>
          <cell r="F315">
            <v>2</v>
          </cell>
          <cell r="G315">
            <v>2.2000000000000002</v>
          </cell>
          <cell r="H315">
            <v>2.5</v>
          </cell>
          <cell r="I315">
            <v>2.8</v>
          </cell>
          <cell r="J315">
            <v>3</v>
          </cell>
          <cell r="K315">
            <v>3.8</v>
          </cell>
          <cell r="L315">
            <v>4.5</v>
          </cell>
          <cell r="M315">
            <v>5.2</v>
          </cell>
          <cell r="N315">
            <v>6</v>
          </cell>
          <cell r="O315">
            <v>6.8</v>
          </cell>
          <cell r="P315">
            <v>7.5</v>
          </cell>
        </row>
        <row r="316">
          <cell r="A316">
            <v>39291</v>
          </cell>
          <cell r="B316">
            <v>7</v>
          </cell>
          <cell r="C316" t="str">
            <v>S</v>
          </cell>
          <cell r="D316">
            <v>0.2</v>
          </cell>
          <cell r="E316">
            <v>0.5</v>
          </cell>
          <cell r="F316">
            <v>0.8</v>
          </cell>
          <cell r="G316">
            <v>1</v>
          </cell>
          <cell r="H316">
            <v>1.2</v>
          </cell>
          <cell r="I316">
            <v>1.5</v>
          </cell>
          <cell r="J316">
            <v>1.8</v>
          </cell>
          <cell r="K316">
            <v>2</v>
          </cell>
          <cell r="L316">
            <v>2.2000000000000002</v>
          </cell>
          <cell r="M316">
            <v>2.5</v>
          </cell>
          <cell r="N316">
            <v>2.8</v>
          </cell>
          <cell r="O316">
            <v>3.5</v>
          </cell>
          <cell r="P316">
            <v>4.2</v>
          </cell>
        </row>
        <row r="317">
          <cell r="A317">
            <v>39292</v>
          </cell>
          <cell r="B317">
            <v>7</v>
          </cell>
          <cell r="C317" t="str">
            <v>S</v>
          </cell>
          <cell r="D317">
            <v>0</v>
          </cell>
          <cell r="E317">
            <v>0</v>
          </cell>
          <cell r="F317">
            <v>0.2</v>
          </cell>
          <cell r="G317">
            <v>0.5</v>
          </cell>
          <cell r="H317">
            <v>0.8</v>
          </cell>
          <cell r="I317">
            <v>1</v>
          </cell>
          <cell r="J317">
            <v>1.2</v>
          </cell>
          <cell r="K317">
            <v>1.5</v>
          </cell>
          <cell r="L317">
            <v>1.8</v>
          </cell>
          <cell r="M317">
            <v>2</v>
          </cell>
          <cell r="N317">
            <v>2.2000000000000002</v>
          </cell>
          <cell r="O317">
            <v>3</v>
          </cell>
          <cell r="P317">
            <v>3.8</v>
          </cell>
        </row>
        <row r="318">
          <cell r="A318">
            <v>39293</v>
          </cell>
          <cell r="B318">
            <v>7</v>
          </cell>
          <cell r="C318" t="str">
            <v>S</v>
          </cell>
          <cell r="D318">
            <v>0.5</v>
          </cell>
          <cell r="E318">
            <v>0.8</v>
          </cell>
          <cell r="F318">
            <v>1</v>
          </cell>
          <cell r="G318">
            <v>1.2</v>
          </cell>
          <cell r="H318">
            <v>1.5</v>
          </cell>
          <cell r="I318">
            <v>1.8</v>
          </cell>
          <cell r="J318">
            <v>2</v>
          </cell>
          <cell r="K318">
            <v>2.2000000000000002</v>
          </cell>
          <cell r="L318">
            <v>2.5</v>
          </cell>
          <cell r="M318">
            <v>2.8</v>
          </cell>
          <cell r="N318">
            <v>3.5</v>
          </cell>
          <cell r="O318">
            <v>4.2</v>
          </cell>
          <cell r="P318">
            <v>5</v>
          </cell>
        </row>
        <row r="319">
          <cell r="A319">
            <v>39294</v>
          </cell>
          <cell r="B319">
            <v>7</v>
          </cell>
          <cell r="C319" t="str">
            <v>S</v>
          </cell>
          <cell r="D319">
            <v>0</v>
          </cell>
          <cell r="E319">
            <v>0</v>
          </cell>
          <cell r="F319">
            <v>0</v>
          </cell>
          <cell r="G319">
            <v>0.2</v>
          </cell>
          <cell r="H319">
            <v>0.5</v>
          </cell>
          <cell r="I319">
            <v>0.8</v>
          </cell>
          <cell r="J319">
            <v>1</v>
          </cell>
          <cell r="K319">
            <v>1.2</v>
          </cell>
          <cell r="L319">
            <v>1.5</v>
          </cell>
          <cell r="M319">
            <v>2.2000000000000002</v>
          </cell>
          <cell r="N319">
            <v>3</v>
          </cell>
          <cell r="O319">
            <v>3.8</v>
          </cell>
          <cell r="P319">
            <v>4.5</v>
          </cell>
        </row>
        <row r="320">
          <cell r="A320">
            <v>39295</v>
          </cell>
          <cell r="B320">
            <v>8</v>
          </cell>
          <cell r="C320" t="str">
            <v>S</v>
          </cell>
          <cell r="D320">
            <v>0</v>
          </cell>
          <cell r="E320">
            <v>0.2</v>
          </cell>
          <cell r="F320">
            <v>0.5</v>
          </cell>
          <cell r="G320">
            <v>0.8</v>
          </cell>
          <cell r="H320">
            <v>1</v>
          </cell>
          <cell r="I320">
            <v>1.2</v>
          </cell>
          <cell r="J320">
            <v>1.5</v>
          </cell>
          <cell r="K320">
            <v>1.8</v>
          </cell>
          <cell r="L320">
            <v>2</v>
          </cell>
          <cell r="M320">
            <v>2.2000000000000002</v>
          </cell>
          <cell r="N320">
            <v>3</v>
          </cell>
          <cell r="O320">
            <v>3.8</v>
          </cell>
          <cell r="P320">
            <v>4.5</v>
          </cell>
        </row>
        <row r="321">
          <cell r="A321">
            <v>39296</v>
          </cell>
          <cell r="B321">
            <v>8</v>
          </cell>
          <cell r="C321" t="str">
            <v>S</v>
          </cell>
          <cell r="D321">
            <v>0</v>
          </cell>
          <cell r="E321">
            <v>0</v>
          </cell>
          <cell r="F321">
            <v>0.2</v>
          </cell>
          <cell r="G321">
            <v>0.5</v>
          </cell>
          <cell r="H321">
            <v>0.8</v>
          </cell>
          <cell r="I321">
            <v>1</v>
          </cell>
          <cell r="J321">
            <v>1.2</v>
          </cell>
          <cell r="K321">
            <v>1.5</v>
          </cell>
          <cell r="L321">
            <v>1.8</v>
          </cell>
          <cell r="M321">
            <v>2</v>
          </cell>
          <cell r="N321">
            <v>2.2000000000000002</v>
          </cell>
          <cell r="O321">
            <v>3</v>
          </cell>
          <cell r="P321">
            <v>3.8</v>
          </cell>
        </row>
        <row r="322">
          <cell r="A322">
            <v>39297</v>
          </cell>
          <cell r="B322">
            <v>8</v>
          </cell>
          <cell r="C322" t="str">
            <v>S</v>
          </cell>
          <cell r="D322">
            <v>0.2</v>
          </cell>
          <cell r="E322">
            <v>0.5</v>
          </cell>
          <cell r="F322">
            <v>0.8</v>
          </cell>
          <cell r="G322">
            <v>1</v>
          </cell>
          <cell r="H322">
            <v>1.2</v>
          </cell>
          <cell r="I322">
            <v>1.5</v>
          </cell>
          <cell r="J322">
            <v>1.8</v>
          </cell>
          <cell r="K322">
            <v>2</v>
          </cell>
          <cell r="L322">
            <v>2.2000000000000002</v>
          </cell>
          <cell r="M322">
            <v>3</v>
          </cell>
          <cell r="N322">
            <v>3.8</v>
          </cell>
          <cell r="O322">
            <v>4.5</v>
          </cell>
          <cell r="P322">
            <v>5.2</v>
          </cell>
        </row>
        <row r="323">
          <cell r="A323">
            <v>39298</v>
          </cell>
          <cell r="B323">
            <v>8</v>
          </cell>
          <cell r="C323" t="str">
            <v>S</v>
          </cell>
          <cell r="D323">
            <v>0.2</v>
          </cell>
          <cell r="E323">
            <v>0.5</v>
          </cell>
          <cell r="F323">
            <v>0.8</v>
          </cell>
          <cell r="G323">
            <v>1</v>
          </cell>
          <cell r="H323">
            <v>1.2</v>
          </cell>
          <cell r="I323">
            <v>1.5</v>
          </cell>
          <cell r="J323">
            <v>1.8</v>
          </cell>
          <cell r="K323">
            <v>2</v>
          </cell>
          <cell r="L323">
            <v>2.2000000000000002</v>
          </cell>
          <cell r="M323">
            <v>2.5</v>
          </cell>
          <cell r="N323">
            <v>3.2</v>
          </cell>
          <cell r="O323">
            <v>4</v>
          </cell>
          <cell r="P323">
            <v>4.8</v>
          </cell>
        </row>
        <row r="324">
          <cell r="A324">
            <v>39299</v>
          </cell>
          <cell r="B324">
            <v>8</v>
          </cell>
          <cell r="C324" t="str">
            <v>S</v>
          </cell>
          <cell r="D324">
            <v>0</v>
          </cell>
          <cell r="E324">
            <v>0</v>
          </cell>
          <cell r="F324">
            <v>0</v>
          </cell>
          <cell r="G324">
            <v>0</v>
          </cell>
          <cell r="H324">
            <v>0.2</v>
          </cell>
          <cell r="I324">
            <v>0.5</v>
          </cell>
          <cell r="J324">
            <v>0.8</v>
          </cell>
          <cell r="K324">
            <v>1.5</v>
          </cell>
          <cell r="L324">
            <v>2.2000000000000002</v>
          </cell>
          <cell r="M324">
            <v>3</v>
          </cell>
          <cell r="N324">
            <v>4</v>
          </cell>
          <cell r="O324">
            <v>5</v>
          </cell>
          <cell r="P324">
            <v>6</v>
          </cell>
        </row>
        <row r="325">
          <cell r="A325">
            <v>39300</v>
          </cell>
          <cell r="B325">
            <v>8</v>
          </cell>
          <cell r="C325" t="str">
            <v>S</v>
          </cell>
          <cell r="D325">
            <v>0</v>
          </cell>
          <cell r="E325">
            <v>0.2</v>
          </cell>
          <cell r="F325">
            <v>0.5</v>
          </cell>
          <cell r="G325">
            <v>1</v>
          </cell>
          <cell r="H325">
            <v>2</v>
          </cell>
          <cell r="I325">
            <v>3</v>
          </cell>
          <cell r="J325">
            <v>4</v>
          </cell>
          <cell r="K325">
            <v>5</v>
          </cell>
          <cell r="L325">
            <v>6</v>
          </cell>
          <cell r="M325">
            <v>7</v>
          </cell>
          <cell r="N325">
            <v>8</v>
          </cell>
          <cell r="O325">
            <v>9</v>
          </cell>
          <cell r="P325">
            <v>10</v>
          </cell>
        </row>
        <row r="326">
          <cell r="A326">
            <v>39301</v>
          </cell>
          <cell r="B326">
            <v>8</v>
          </cell>
          <cell r="C326" t="str">
            <v>S</v>
          </cell>
          <cell r="D326">
            <v>0</v>
          </cell>
          <cell r="E326">
            <v>0.2</v>
          </cell>
          <cell r="F326">
            <v>0.5</v>
          </cell>
          <cell r="G326">
            <v>0.8</v>
          </cell>
          <cell r="H326">
            <v>1</v>
          </cell>
          <cell r="I326">
            <v>1.2</v>
          </cell>
          <cell r="J326">
            <v>2</v>
          </cell>
          <cell r="K326">
            <v>2.8</v>
          </cell>
          <cell r="L326">
            <v>3.5</v>
          </cell>
          <cell r="M326">
            <v>4</v>
          </cell>
          <cell r="N326">
            <v>5</v>
          </cell>
          <cell r="O326">
            <v>6</v>
          </cell>
          <cell r="P326">
            <v>7</v>
          </cell>
        </row>
        <row r="327">
          <cell r="A327">
            <v>39302</v>
          </cell>
          <cell r="B327">
            <v>8</v>
          </cell>
          <cell r="C327" t="str">
            <v>S</v>
          </cell>
          <cell r="D327">
            <v>0.8</v>
          </cell>
          <cell r="E327">
            <v>1</v>
          </cell>
          <cell r="F327">
            <v>1.2</v>
          </cell>
          <cell r="G327">
            <v>1.5</v>
          </cell>
          <cell r="H327">
            <v>1.8</v>
          </cell>
          <cell r="I327">
            <v>2</v>
          </cell>
          <cell r="J327">
            <v>2.2000000000000002</v>
          </cell>
          <cell r="K327">
            <v>2.5</v>
          </cell>
          <cell r="L327">
            <v>3.2</v>
          </cell>
          <cell r="M327">
            <v>4</v>
          </cell>
          <cell r="N327">
            <v>4.8</v>
          </cell>
          <cell r="O327">
            <v>5.5</v>
          </cell>
          <cell r="P327">
            <v>6.2</v>
          </cell>
        </row>
        <row r="328">
          <cell r="A328">
            <v>39303</v>
          </cell>
          <cell r="B328">
            <v>8</v>
          </cell>
          <cell r="C328" t="str">
            <v>S</v>
          </cell>
          <cell r="D328">
            <v>2.5</v>
          </cell>
          <cell r="E328">
            <v>2.8</v>
          </cell>
          <cell r="F328">
            <v>3</v>
          </cell>
          <cell r="G328">
            <v>3.8</v>
          </cell>
          <cell r="H328">
            <v>4.5</v>
          </cell>
          <cell r="I328">
            <v>5.2</v>
          </cell>
          <cell r="J328">
            <v>6</v>
          </cell>
          <cell r="K328">
            <v>6.8</v>
          </cell>
          <cell r="L328">
            <v>7.5</v>
          </cell>
          <cell r="M328">
            <v>8.1999999999999993</v>
          </cell>
          <cell r="N328">
            <v>9</v>
          </cell>
          <cell r="O328">
            <v>9.8000000000000007</v>
          </cell>
          <cell r="P328">
            <v>10.5</v>
          </cell>
        </row>
        <row r="329">
          <cell r="A329">
            <v>39304</v>
          </cell>
          <cell r="B329">
            <v>8</v>
          </cell>
          <cell r="C329" t="str">
            <v>S</v>
          </cell>
          <cell r="D329">
            <v>2.8</v>
          </cell>
          <cell r="E329">
            <v>3</v>
          </cell>
          <cell r="F329">
            <v>3.2</v>
          </cell>
          <cell r="G329">
            <v>3.5</v>
          </cell>
          <cell r="H329">
            <v>3.8</v>
          </cell>
          <cell r="I329">
            <v>4.5</v>
          </cell>
          <cell r="J329">
            <v>5.2</v>
          </cell>
          <cell r="K329">
            <v>6</v>
          </cell>
          <cell r="L329">
            <v>6.8</v>
          </cell>
          <cell r="M329">
            <v>7.5</v>
          </cell>
          <cell r="N329">
            <v>8.1999999999999993</v>
          </cell>
          <cell r="O329">
            <v>9</v>
          </cell>
          <cell r="P329">
            <v>9.8000000000000007</v>
          </cell>
        </row>
        <row r="330">
          <cell r="A330">
            <v>39305</v>
          </cell>
          <cell r="B330">
            <v>8</v>
          </cell>
          <cell r="C330" t="str">
            <v>S</v>
          </cell>
          <cell r="D330">
            <v>2.5</v>
          </cell>
          <cell r="E330">
            <v>2.8</v>
          </cell>
          <cell r="F330">
            <v>3</v>
          </cell>
          <cell r="G330">
            <v>3.2</v>
          </cell>
          <cell r="H330">
            <v>3.5</v>
          </cell>
          <cell r="I330">
            <v>3.8</v>
          </cell>
          <cell r="J330">
            <v>4</v>
          </cell>
          <cell r="K330">
            <v>4.8</v>
          </cell>
          <cell r="L330">
            <v>5.5</v>
          </cell>
          <cell r="M330">
            <v>6.2</v>
          </cell>
          <cell r="N330">
            <v>7</v>
          </cell>
          <cell r="O330">
            <v>7.8</v>
          </cell>
          <cell r="P330">
            <v>8.5</v>
          </cell>
        </row>
        <row r="331">
          <cell r="A331">
            <v>39306</v>
          </cell>
          <cell r="B331">
            <v>8</v>
          </cell>
          <cell r="C331" t="str">
            <v>S</v>
          </cell>
          <cell r="D331">
            <v>0.2</v>
          </cell>
          <cell r="E331">
            <v>0.5</v>
          </cell>
          <cell r="F331">
            <v>0.8</v>
          </cell>
          <cell r="G331">
            <v>1</v>
          </cell>
          <cell r="H331">
            <v>1.2</v>
          </cell>
          <cell r="I331">
            <v>2</v>
          </cell>
          <cell r="J331">
            <v>2.8</v>
          </cell>
          <cell r="K331">
            <v>3.5</v>
          </cell>
          <cell r="L331">
            <v>4</v>
          </cell>
          <cell r="M331">
            <v>5</v>
          </cell>
          <cell r="N331">
            <v>6</v>
          </cell>
          <cell r="O331">
            <v>7</v>
          </cell>
          <cell r="P331">
            <v>8</v>
          </cell>
        </row>
        <row r="332">
          <cell r="A332">
            <v>39307</v>
          </cell>
          <cell r="B332">
            <v>8</v>
          </cell>
          <cell r="C332" t="str">
            <v>S</v>
          </cell>
          <cell r="D332">
            <v>0</v>
          </cell>
          <cell r="E332">
            <v>0</v>
          </cell>
          <cell r="F332">
            <v>0</v>
          </cell>
          <cell r="G332">
            <v>0</v>
          </cell>
          <cell r="H332">
            <v>0</v>
          </cell>
          <cell r="I332">
            <v>0</v>
          </cell>
          <cell r="J332">
            <v>0.2</v>
          </cell>
          <cell r="K332">
            <v>0.5</v>
          </cell>
          <cell r="L332">
            <v>0.8</v>
          </cell>
          <cell r="M332">
            <v>1</v>
          </cell>
          <cell r="N332">
            <v>1.2</v>
          </cell>
          <cell r="O332">
            <v>1.5</v>
          </cell>
          <cell r="P332">
            <v>1.8</v>
          </cell>
        </row>
        <row r="333">
          <cell r="A333">
            <v>39308</v>
          </cell>
          <cell r="B333">
            <v>8</v>
          </cell>
          <cell r="C333" t="str">
            <v>S</v>
          </cell>
          <cell r="D333">
            <v>0</v>
          </cell>
          <cell r="E333">
            <v>0</v>
          </cell>
          <cell r="F333">
            <v>0.2</v>
          </cell>
          <cell r="G333">
            <v>0.5</v>
          </cell>
          <cell r="H333">
            <v>0.8</v>
          </cell>
          <cell r="I333">
            <v>1</v>
          </cell>
          <cell r="J333">
            <v>1.2</v>
          </cell>
          <cell r="K333">
            <v>1.5</v>
          </cell>
          <cell r="L333">
            <v>2.2000000000000002</v>
          </cell>
          <cell r="M333">
            <v>3</v>
          </cell>
          <cell r="N333">
            <v>3.8</v>
          </cell>
          <cell r="O333">
            <v>4.5</v>
          </cell>
          <cell r="P333">
            <v>5</v>
          </cell>
        </row>
        <row r="334">
          <cell r="A334">
            <v>39309</v>
          </cell>
          <cell r="B334">
            <v>8</v>
          </cell>
          <cell r="C334" t="str">
            <v>S</v>
          </cell>
          <cell r="D334">
            <v>0.8</v>
          </cell>
          <cell r="E334">
            <v>1</v>
          </cell>
          <cell r="F334">
            <v>1.2</v>
          </cell>
          <cell r="G334">
            <v>2</v>
          </cell>
          <cell r="H334">
            <v>2.8</v>
          </cell>
          <cell r="I334">
            <v>3.5</v>
          </cell>
          <cell r="J334">
            <v>4.2</v>
          </cell>
          <cell r="K334">
            <v>5</v>
          </cell>
          <cell r="L334">
            <v>6</v>
          </cell>
          <cell r="M334">
            <v>7</v>
          </cell>
          <cell r="N334">
            <v>8</v>
          </cell>
          <cell r="O334">
            <v>9</v>
          </cell>
          <cell r="P334">
            <v>10</v>
          </cell>
        </row>
        <row r="335">
          <cell r="A335">
            <v>39310</v>
          </cell>
          <cell r="B335">
            <v>8</v>
          </cell>
          <cell r="C335" t="str">
            <v>S</v>
          </cell>
          <cell r="D335">
            <v>0.2</v>
          </cell>
          <cell r="E335">
            <v>0.5</v>
          </cell>
          <cell r="F335">
            <v>0.8</v>
          </cell>
          <cell r="G335">
            <v>1</v>
          </cell>
          <cell r="H335">
            <v>1.2</v>
          </cell>
          <cell r="I335">
            <v>1.5</v>
          </cell>
          <cell r="J335">
            <v>1.8</v>
          </cell>
          <cell r="K335">
            <v>2</v>
          </cell>
          <cell r="L335">
            <v>2.2000000000000002</v>
          </cell>
          <cell r="M335">
            <v>2.5</v>
          </cell>
          <cell r="N335">
            <v>3.2</v>
          </cell>
          <cell r="O335">
            <v>4</v>
          </cell>
          <cell r="P335">
            <v>4.8</v>
          </cell>
        </row>
        <row r="336">
          <cell r="A336">
            <v>39311</v>
          </cell>
          <cell r="B336">
            <v>8</v>
          </cell>
          <cell r="C336" t="str">
            <v>S</v>
          </cell>
          <cell r="D336">
            <v>0</v>
          </cell>
          <cell r="E336">
            <v>0</v>
          </cell>
          <cell r="F336">
            <v>0</v>
          </cell>
          <cell r="G336">
            <v>0</v>
          </cell>
          <cell r="H336">
            <v>0</v>
          </cell>
          <cell r="I336">
            <v>0</v>
          </cell>
          <cell r="J336">
            <v>0</v>
          </cell>
          <cell r="K336">
            <v>0</v>
          </cell>
          <cell r="L336">
            <v>0</v>
          </cell>
          <cell r="M336">
            <v>0</v>
          </cell>
          <cell r="N336">
            <v>0.2</v>
          </cell>
          <cell r="O336">
            <v>0.5</v>
          </cell>
          <cell r="P336">
            <v>0.8</v>
          </cell>
        </row>
        <row r="337">
          <cell r="A337">
            <v>39312</v>
          </cell>
          <cell r="B337">
            <v>8</v>
          </cell>
          <cell r="C337" t="str">
            <v>S</v>
          </cell>
          <cell r="D337">
            <v>0</v>
          </cell>
          <cell r="E337">
            <v>0</v>
          </cell>
          <cell r="F337">
            <v>0</v>
          </cell>
          <cell r="G337">
            <v>0.2</v>
          </cell>
          <cell r="H337">
            <v>0.5</v>
          </cell>
          <cell r="I337">
            <v>0.8</v>
          </cell>
          <cell r="J337">
            <v>1</v>
          </cell>
          <cell r="K337">
            <v>1.2</v>
          </cell>
          <cell r="L337">
            <v>1.5</v>
          </cell>
          <cell r="M337">
            <v>1.8</v>
          </cell>
          <cell r="N337">
            <v>2</v>
          </cell>
          <cell r="O337">
            <v>2.2000000000000002</v>
          </cell>
          <cell r="P337">
            <v>2.5</v>
          </cell>
        </row>
        <row r="338">
          <cell r="A338">
            <v>39313</v>
          </cell>
          <cell r="B338">
            <v>8</v>
          </cell>
          <cell r="C338" t="str">
            <v>S</v>
          </cell>
          <cell r="D338">
            <v>0</v>
          </cell>
          <cell r="E338">
            <v>0</v>
          </cell>
          <cell r="F338">
            <v>0</v>
          </cell>
          <cell r="G338">
            <v>0.2</v>
          </cell>
          <cell r="H338">
            <v>0.5</v>
          </cell>
          <cell r="I338">
            <v>0.8</v>
          </cell>
          <cell r="J338">
            <v>1</v>
          </cell>
          <cell r="K338">
            <v>1.2</v>
          </cell>
          <cell r="L338">
            <v>1.5</v>
          </cell>
          <cell r="M338">
            <v>1.8</v>
          </cell>
          <cell r="N338">
            <v>2</v>
          </cell>
          <cell r="O338">
            <v>2.2000000000000002</v>
          </cell>
          <cell r="P338">
            <v>2.5</v>
          </cell>
        </row>
        <row r="339">
          <cell r="A339">
            <v>39314</v>
          </cell>
          <cell r="B339">
            <v>8</v>
          </cell>
          <cell r="C339" t="str">
            <v>S</v>
          </cell>
          <cell r="D339">
            <v>0.5</v>
          </cell>
          <cell r="E339">
            <v>0.8</v>
          </cell>
          <cell r="F339">
            <v>1</v>
          </cell>
          <cell r="G339">
            <v>1.2</v>
          </cell>
          <cell r="H339">
            <v>1.5</v>
          </cell>
          <cell r="I339">
            <v>1.8</v>
          </cell>
          <cell r="J339">
            <v>2</v>
          </cell>
          <cell r="K339">
            <v>2.2000000000000002</v>
          </cell>
          <cell r="L339">
            <v>3</v>
          </cell>
          <cell r="M339">
            <v>3.8</v>
          </cell>
          <cell r="N339">
            <v>4.5</v>
          </cell>
          <cell r="O339">
            <v>5.2</v>
          </cell>
          <cell r="P339">
            <v>6</v>
          </cell>
        </row>
        <row r="340">
          <cell r="A340">
            <v>39315</v>
          </cell>
          <cell r="B340">
            <v>8</v>
          </cell>
          <cell r="C340" t="str">
            <v>S</v>
          </cell>
          <cell r="D340">
            <v>0.8</v>
          </cell>
          <cell r="E340">
            <v>1</v>
          </cell>
          <cell r="F340">
            <v>1.2</v>
          </cell>
          <cell r="G340">
            <v>1.5</v>
          </cell>
          <cell r="H340">
            <v>1.8</v>
          </cell>
          <cell r="I340">
            <v>2</v>
          </cell>
          <cell r="J340">
            <v>2.2000000000000002</v>
          </cell>
          <cell r="K340">
            <v>3</v>
          </cell>
          <cell r="L340">
            <v>3.8</v>
          </cell>
          <cell r="M340">
            <v>4.5</v>
          </cell>
          <cell r="N340">
            <v>5.2</v>
          </cell>
          <cell r="O340">
            <v>6</v>
          </cell>
          <cell r="P340">
            <v>6.8</v>
          </cell>
        </row>
        <row r="341">
          <cell r="A341">
            <v>39316</v>
          </cell>
          <cell r="B341">
            <v>8</v>
          </cell>
          <cell r="C341" t="str">
            <v>S</v>
          </cell>
          <cell r="D341">
            <v>1.5</v>
          </cell>
          <cell r="E341">
            <v>1.8</v>
          </cell>
          <cell r="F341">
            <v>2</v>
          </cell>
          <cell r="G341">
            <v>2.2000000000000002</v>
          </cell>
          <cell r="H341">
            <v>2.5</v>
          </cell>
          <cell r="I341">
            <v>3.2</v>
          </cell>
          <cell r="J341">
            <v>4</v>
          </cell>
          <cell r="K341">
            <v>4.8</v>
          </cell>
          <cell r="L341">
            <v>5.5</v>
          </cell>
          <cell r="M341">
            <v>6.2</v>
          </cell>
          <cell r="N341">
            <v>7</v>
          </cell>
          <cell r="O341">
            <v>7.8</v>
          </cell>
          <cell r="P341">
            <v>8.5</v>
          </cell>
        </row>
        <row r="342">
          <cell r="A342">
            <v>39317</v>
          </cell>
          <cell r="B342">
            <v>8</v>
          </cell>
          <cell r="C342" t="str">
            <v>S</v>
          </cell>
          <cell r="D342">
            <v>1.8</v>
          </cell>
          <cell r="E342">
            <v>2</v>
          </cell>
          <cell r="F342">
            <v>2.2000000000000002</v>
          </cell>
          <cell r="G342">
            <v>2.5</v>
          </cell>
          <cell r="H342">
            <v>2.8</v>
          </cell>
          <cell r="I342">
            <v>3</v>
          </cell>
          <cell r="J342">
            <v>3.2</v>
          </cell>
          <cell r="K342">
            <v>4</v>
          </cell>
          <cell r="L342">
            <v>4.8</v>
          </cell>
          <cell r="M342">
            <v>5.5</v>
          </cell>
          <cell r="N342">
            <v>6.2</v>
          </cell>
          <cell r="O342">
            <v>7</v>
          </cell>
          <cell r="P342">
            <v>7.8</v>
          </cell>
        </row>
        <row r="343">
          <cell r="A343">
            <v>39318</v>
          </cell>
          <cell r="B343">
            <v>8</v>
          </cell>
          <cell r="C343" t="str">
            <v>S</v>
          </cell>
          <cell r="D343">
            <v>1.2</v>
          </cell>
          <cell r="E343">
            <v>1.5</v>
          </cell>
          <cell r="F343">
            <v>1.8</v>
          </cell>
          <cell r="G343">
            <v>2</v>
          </cell>
          <cell r="H343">
            <v>2.2000000000000002</v>
          </cell>
          <cell r="I343">
            <v>2.5</v>
          </cell>
          <cell r="J343">
            <v>2.8</v>
          </cell>
          <cell r="K343">
            <v>3</v>
          </cell>
          <cell r="L343">
            <v>3.8</v>
          </cell>
          <cell r="M343">
            <v>4.5</v>
          </cell>
          <cell r="N343">
            <v>5.2</v>
          </cell>
          <cell r="O343">
            <v>6</v>
          </cell>
          <cell r="P343">
            <v>6.8</v>
          </cell>
        </row>
        <row r="344">
          <cell r="A344">
            <v>39319</v>
          </cell>
          <cell r="B344">
            <v>8</v>
          </cell>
          <cell r="C344" t="str">
            <v>S</v>
          </cell>
          <cell r="D344">
            <v>2.8</v>
          </cell>
          <cell r="E344">
            <v>3</v>
          </cell>
          <cell r="F344">
            <v>3.2</v>
          </cell>
          <cell r="G344">
            <v>3.5</v>
          </cell>
          <cell r="H344">
            <v>3.8</v>
          </cell>
          <cell r="I344">
            <v>4.5</v>
          </cell>
          <cell r="J344">
            <v>5.2</v>
          </cell>
          <cell r="K344">
            <v>6</v>
          </cell>
          <cell r="L344">
            <v>6.8</v>
          </cell>
          <cell r="M344">
            <v>7.5</v>
          </cell>
          <cell r="N344">
            <v>8.1999999999999993</v>
          </cell>
          <cell r="O344">
            <v>9</v>
          </cell>
          <cell r="P344">
            <v>9.8000000000000007</v>
          </cell>
        </row>
        <row r="345">
          <cell r="A345">
            <v>39320</v>
          </cell>
          <cell r="B345">
            <v>8</v>
          </cell>
          <cell r="C345" t="str">
            <v>S</v>
          </cell>
          <cell r="D345">
            <v>2.2000000000000002</v>
          </cell>
          <cell r="E345">
            <v>2.5</v>
          </cell>
          <cell r="F345">
            <v>2.8</v>
          </cell>
          <cell r="G345">
            <v>3</v>
          </cell>
          <cell r="H345">
            <v>3.2</v>
          </cell>
          <cell r="I345">
            <v>3.5</v>
          </cell>
          <cell r="J345">
            <v>3.8</v>
          </cell>
          <cell r="K345">
            <v>4.5</v>
          </cell>
          <cell r="L345">
            <v>5.2</v>
          </cell>
          <cell r="M345">
            <v>6</v>
          </cell>
          <cell r="N345">
            <v>6.8</v>
          </cell>
          <cell r="O345">
            <v>7.5</v>
          </cell>
          <cell r="P345">
            <v>8.1999999999999993</v>
          </cell>
        </row>
        <row r="346">
          <cell r="A346">
            <v>39321</v>
          </cell>
          <cell r="B346">
            <v>8</v>
          </cell>
          <cell r="C346" t="str">
            <v>S</v>
          </cell>
          <cell r="D346">
            <v>2.5</v>
          </cell>
          <cell r="E346">
            <v>2.8</v>
          </cell>
          <cell r="F346">
            <v>3</v>
          </cell>
          <cell r="G346">
            <v>3.2</v>
          </cell>
          <cell r="H346">
            <v>3.5</v>
          </cell>
          <cell r="I346">
            <v>3.8</v>
          </cell>
          <cell r="J346">
            <v>4.5</v>
          </cell>
          <cell r="K346">
            <v>5.2</v>
          </cell>
          <cell r="L346">
            <v>6</v>
          </cell>
          <cell r="M346">
            <v>6.8</v>
          </cell>
          <cell r="N346">
            <v>7.5</v>
          </cell>
          <cell r="O346">
            <v>8.1999999999999993</v>
          </cell>
          <cell r="P346">
            <v>9</v>
          </cell>
        </row>
        <row r="347">
          <cell r="A347">
            <v>39322</v>
          </cell>
          <cell r="B347">
            <v>8</v>
          </cell>
          <cell r="C347" t="str">
            <v>S</v>
          </cell>
          <cell r="D347">
            <v>2.8</v>
          </cell>
          <cell r="E347">
            <v>3</v>
          </cell>
          <cell r="F347">
            <v>3.2</v>
          </cell>
          <cell r="G347">
            <v>3.5</v>
          </cell>
          <cell r="H347">
            <v>3.8</v>
          </cell>
          <cell r="I347">
            <v>4.5</v>
          </cell>
          <cell r="J347">
            <v>5.2</v>
          </cell>
          <cell r="K347">
            <v>6</v>
          </cell>
          <cell r="L347">
            <v>6.8</v>
          </cell>
          <cell r="M347">
            <v>7.5</v>
          </cell>
          <cell r="N347">
            <v>8.1999999999999993</v>
          </cell>
          <cell r="O347">
            <v>9</v>
          </cell>
          <cell r="P347">
            <v>9.8000000000000007</v>
          </cell>
        </row>
        <row r="348">
          <cell r="A348">
            <v>39323</v>
          </cell>
          <cell r="B348">
            <v>8</v>
          </cell>
          <cell r="C348" t="str">
            <v>S</v>
          </cell>
          <cell r="D348">
            <v>2</v>
          </cell>
          <cell r="E348">
            <v>2.2000000000000002</v>
          </cell>
          <cell r="F348">
            <v>2.5</v>
          </cell>
          <cell r="G348">
            <v>2.8</v>
          </cell>
          <cell r="H348">
            <v>3</v>
          </cell>
          <cell r="I348">
            <v>3.8</v>
          </cell>
          <cell r="J348">
            <v>4.5</v>
          </cell>
          <cell r="K348">
            <v>5.2</v>
          </cell>
          <cell r="L348">
            <v>6</v>
          </cell>
          <cell r="M348">
            <v>6.8</v>
          </cell>
          <cell r="N348">
            <v>7.5</v>
          </cell>
          <cell r="O348">
            <v>8.1999999999999993</v>
          </cell>
          <cell r="P348">
            <v>9</v>
          </cell>
        </row>
        <row r="349">
          <cell r="A349">
            <v>39324</v>
          </cell>
          <cell r="B349">
            <v>8</v>
          </cell>
          <cell r="C349" t="str">
            <v>S</v>
          </cell>
          <cell r="D349">
            <v>1.2</v>
          </cell>
          <cell r="E349">
            <v>1.5</v>
          </cell>
          <cell r="F349">
            <v>1.8</v>
          </cell>
          <cell r="G349">
            <v>2</v>
          </cell>
          <cell r="H349">
            <v>2.2000000000000002</v>
          </cell>
          <cell r="I349">
            <v>2.5</v>
          </cell>
          <cell r="J349">
            <v>2.8</v>
          </cell>
          <cell r="K349">
            <v>3</v>
          </cell>
          <cell r="L349">
            <v>3.8</v>
          </cell>
          <cell r="M349">
            <v>4.5</v>
          </cell>
          <cell r="N349">
            <v>5.2</v>
          </cell>
          <cell r="O349">
            <v>6</v>
          </cell>
          <cell r="P349">
            <v>6.8</v>
          </cell>
        </row>
        <row r="350">
          <cell r="A350">
            <v>39325</v>
          </cell>
          <cell r="B350">
            <v>8</v>
          </cell>
          <cell r="C350" t="str">
            <v>S</v>
          </cell>
          <cell r="D350">
            <v>3.5</v>
          </cell>
          <cell r="E350">
            <v>4.2</v>
          </cell>
          <cell r="F350">
            <v>5</v>
          </cell>
          <cell r="G350">
            <v>5.8</v>
          </cell>
          <cell r="H350">
            <v>6.5</v>
          </cell>
          <cell r="I350">
            <v>7.2</v>
          </cell>
          <cell r="J350">
            <v>8</v>
          </cell>
          <cell r="K350">
            <v>8.8000000000000007</v>
          </cell>
          <cell r="L350">
            <v>9.5</v>
          </cell>
          <cell r="M350">
            <v>10.199999999999999</v>
          </cell>
          <cell r="N350">
            <v>11</v>
          </cell>
          <cell r="O350">
            <v>11.8</v>
          </cell>
          <cell r="P350">
            <v>12.5</v>
          </cell>
        </row>
        <row r="351">
          <cell r="A351">
            <v>39326</v>
          </cell>
          <cell r="B351">
            <v>9</v>
          </cell>
          <cell r="C351" t="str">
            <v>S</v>
          </cell>
          <cell r="D351">
            <v>4.5</v>
          </cell>
          <cell r="E351">
            <v>5.2</v>
          </cell>
          <cell r="F351">
            <v>6</v>
          </cell>
          <cell r="G351">
            <v>6.8</v>
          </cell>
          <cell r="H351">
            <v>7.5</v>
          </cell>
          <cell r="I351">
            <v>8.1999999999999993</v>
          </cell>
          <cell r="J351">
            <v>9</v>
          </cell>
          <cell r="K351">
            <v>9.8000000000000007</v>
          </cell>
          <cell r="L351">
            <v>10.5</v>
          </cell>
          <cell r="M351">
            <v>11.2</v>
          </cell>
          <cell r="N351">
            <v>12</v>
          </cell>
          <cell r="O351">
            <v>12.8</v>
          </cell>
          <cell r="P351">
            <v>13.5</v>
          </cell>
        </row>
        <row r="352">
          <cell r="A352">
            <v>39327</v>
          </cell>
          <cell r="B352">
            <v>9</v>
          </cell>
          <cell r="C352" t="str">
            <v>S</v>
          </cell>
          <cell r="D352">
            <v>4.8</v>
          </cell>
          <cell r="E352">
            <v>5.5</v>
          </cell>
          <cell r="F352">
            <v>6.2</v>
          </cell>
          <cell r="G352">
            <v>7</v>
          </cell>
          <cell r="H352">
            <v>7.8</v>
          </cell>
          <cell r="I352">
            <v>8.5</v>
          </cell>
          <cell r="J352">
            <v>9.1999999999999993</v>
          </cell>
          <cell r="K352">
            <v>10</v>
          </cell>
          <cell r="L352">
            <v>10.8</v>
          </cell>
          <cell r="M352">
            <v>11.5</v>
          </cell>
          <cell r="N352">
            <v>12.2</v>
          </cell>
          <cell r="O352">
            <v>13</v>
          </cell>
          <cell r="P352">
            <v>14</v>
          </cell>
        </row>
        <row r="353">
          <cell r="A353">
            <v>39328</v>
          </cell>
          <cell r="B353">
            <v>9</v>
          </cell>
          <cell r="C353" t="str">
            <v>S</v>
          </cell>
          <cell r="D353">
            <v>2.5</v>
          </cell>
          <cell r="E353">
            <v>2.8</v>
          </cell>
          <cell r="F353">
            <v>3.5</v>
          </cell>
          <cell r="G353">
            <v>4.2</v>
          </cell>
          <cell r="H353">
            <v>5</v>
          </cell>
          <cell r="I353">
            <v>5.8</v>
          </cell>
          <cell r="J353">
            <v>6.5</v>
          </cell>
          <cell r="K353">
            <v>7.2</v>
          </cell>
          <cell r="L353">
            <v>8</v>
          </cell>
          <cell r="M353">
            <v>8.8000000000000007</v>
          </cell>
          <cell r="N353">
            <v>9.5</v>
          </cell>
          <cell r="O353">
            <v>10.199999999999999</v>
          </cell>
          <cell r="P353">
            <v>11</v>
          </cell>
        </row>
        <row r="354">
          <cell r="A354">
            <v>39329</v>
          </cell>
          <cell r="B354">
            <v>9</v>
          </cell>
          <cell r="C354" t="str">
            <v>S</v>
          </cell>
          <cell r="D354">
            <v>3.8</v>
          </cell>
          <cell r="E354">
            <v>4.5</v>
          </cell>
          <cell r="F354">
            <v>5.2</v>
          </cell>
          <cell r="G354">
            <v>6</v>
          </cell>
          <cell r="H354">
            <v>6.8</v>
          </cell>
          <cell r="I354">
            <v>7.5</v>
          </cell>
          <cell r="J354">
            <v>8.1999999999999993</v>
          </cell>
          <cell r="K354">
            <v>9</v>
          </cell>
          <cell r="L354">
            <v>9.8000000000000007</v>
          </cell>
          <cell r="M354">
            <v>10.5</v>
          </cell>
          <cell r="N354">
            <v>11.2</v>
          </cell>
          <cell r="O354">
            <v>12</v>
          </cell>
          <cell r="P354">
            <v>12.8</v>
          </cell>
        </row>
        <row r="355">
          <cell r="A355">
            <v>39330</v>
          </cell>
          <cell r="B355">
            <v>9</v>
          </cell>
          <cell r="C355" t="str">
            <v>S</v>
          </cell>
          <cell r="D355">
            <v>3</v>
          </cell>
          <cell r="E355">
            <v>3.8</v>
          </cell>
          <cell r="F355">
            <v>4.5</v>
          </cell>
          <cell r="G355">
            <v>5.2</v>
          </cell>
          <cell r="H355">
            <v>6</v>
          </cell>
          <cell r="I355">
            <v>6.8</v>
          </cell>
          <cell r="J355">
            <v>7.5</v>
          </cell>
          <cell r="K355">
            <v>8.1999999999999993</v>
          </cell>
          <cell r="L355">
            <v>9</v>
          </cell>
          <cell r="M355">
            <v>9.8000000000000007</v>
          </cell>
          <cell r="N355">
            <v>10.5</v>
          </cell>
          <cell r="O355">
            <v>11.2</v>
          </cell>
          <cell r="P355">
            <v>12</v>
          </cell>
        </row>
        <row r="356">
          <cell r="A356">
            <v>39331</v>
          </cell>
          <cell r="B356">
            <v>9</v>
          </cell>
          <cell r="C356" t="str">
            <v>S</v>
          </cell>
          <cell r="D356">
            <v>4.8</v>
          </cell>
          <cell r="E356">
            <v>5.5</v>
          </cell>
          <cell r="F356">
            <v>6.2</v>
          </cell>
          <cell r="G356">
            <v>7</v>
          </cell>
          <cell r="H356">
            <v>7.8</v>
          </cell>
          <cell r="I356">
            <v>8.5</v>
          </cell>
          <cell r="J356">
            <v>9.1999999999999993</v>
          </cell>
          <cell r="K356">
            <v>10</v>
          </cell>
          <cell r="L356">
            <v>11</v>
          </cell>
          <cell r="M356">
            <v>12</v>
          </cell>
          <cell r="N356">
            <v>13</v>
          </cell>
          <cell r="O356">
            <v>14</v>
          </cell>
          <cell r="P356">
            <v>15</v>
          </cell>
        </row>
        <row r="357">
          <cell r="A357">
            <v>39332</v>
          </cell>
          <cell r="B357">
            <v>9</v>
          </cell>
          <cell r="C357" t="str">
            <v>S</v>
          </cell>
          <cell r="D357">
            <v>4.8</v>
          </cell>
          <cell r="E357">
            <v>5.5</v>
          </cell>
          <cell r="F357">
            <v>6.2</v>
          </cell>
          <cell r="G357">
            <v>7</v>
          </cell>
          <cell r="H357">
            <v>7.8</v>
          </cell>
          <cell r="I357">
            <v>8.5</v>
          </cell>
          <cell r="J357">
            <v>9.1999999999999993</v>
          </cell>
          <cell r="K357">
            <v>10</v>
          </cell>
          <cell r="L357">
            <v>10.8</v>
          </cell>
          <cell r="M357">
            <v>11.5</v>
          </cell>
          <cell r="N357">
            <v>12.2</v>
          </cell>
          <cell r="O357">
            <v>13</v>
          </cell>
          <cell r="P357">
            <v>14</v>
          </cell>
        </row>
        <row r="358">
          <cell r="A358">
            <v>39333</v>
          </cell>
          <cell r="B358">
            <v>9</v>
          </cell>
          <cell r="C358" t="str">
            <v>S</v>
          </cell>
          <cell r="D358">
            <v>2.8</v>
          </cell>
          <cell r="E358">
            <v>3.5</v>
          </cell>
          <cell r="F358">
            <v>4.2</v>
          </cell>
          <cell r="G358">
            <v>5</v>
          </cell>
          <cell r="H358">
            <v>5.8</v>
          </cell>
          <cell r="I358">
            <v>6.5</v>
          </cell>
          <cell r="J358">
            <v>7.2</v>
          </cell>
          <cell r="K358">
            <v>8</v>
          </cell>
          <cell r="L358">
            <v>9</v>
          </cell>
          <cell r="M358">
            <v>10</v>
          </cell>
          <cell r="N358">
            <v>11</v>
          </cell>
          <cell r="O358">
            <v>12</v>
          </cell>
          <cell r="P358">
            <v>13</v>
          </cell>
        </row>
        <row r="359">
          <cell r="A359">
            <v>39334</v>
          </cell>
          <cell r="B359">
            <v>9</v>
          </cell>
          <cell r="C359" t="str">
            <v>S</v>
          </cell>
          <cell r="D359">
            <v>1.8</v>
          </cell>
          <cell r="E359">
            <v>2.5</v>
          </cell>
          <cell r="F359">
            <v>3</v>
          </cell>
          <cell r="G359">
            <v>4</v>
          </cell>
          <cell r="H359">
            <v>5</v>
          </cell>
          <cell r="I359">
            <v>6</v>
          </cell>
          <cell r="J359">
            <v>7</v>
          </cell>
          <cell r="K359">
            <v>8</v>
          </cell>
          <cell r="L359">
            <v>9</v>
          </cell>
          <cell r="M359">
            <v>10</v>
          </cell>
          <cell r="N359">
            <v>11</v>
          </cell>
          <cell r="O359">
            <v>12</v>
          </cell>
          <cell r="P359">
            <v>13</v>
          </cell>
        </row>
        <row r="360">
          <cell r="A360">
            <v>39335</v>
          </cell>
          <cell r="B360">
            <v>9</v>
          </cell>
          <cell r="C360" t="str">
            <v>S</v>
          </cell>
          <cell r="D360">
            <v>4.8</v>
          </cell>
          <cell r="E360">
            <v>5.5</v>
          </cell>
          <cell r="F360">
            <v>6.2</v>
          </cell>
          <cell r="G360">
            <v>7</v>
          </cell>
          <cell r="H360">
            <v>7.8</v>
          </cell>
          <cell r="I360">
            <v>8.5</v>
          </cell>
          <cell r="J360">
            <v>9.1999999999999993</v>
          </cell>
          <cell r="K360">
            <v>10</v>
          </cell>
          <cell r="L360">
            <v>11</v>
          </cell>
          <cell r="M360">
            <v>12</v>
          </cell>
          <cell r="N360">
            <v>13</v>
          </cell>
          <cell r="O360">
            <v>14</v>
          </cell>
          <cell r="P360">
            <v>15</v>
          </cell>
        </row>
        <row r="361">
          <cell r="A361">
            <v>39336</v>
          </cell>
          <cell r="B361">
            <v>9</v>
          </cell>
          <cell r="C361" t="str">
            <v>S</v>
          </cell>
          <cell r="D361">
            <v>4.5</v>
          </cell>
          <cell r="E361">
            <v>5.2</v>
          </cell>
          <cell r="F361">
            <v>6</v>
          </cell>
          <cell r="G361">
            <v>6.8</v>
          </cell>
          <cell r="H361">
            <v>7.5</v>
          </cell>
          <cell r="I361">
            <v>8.1999999999999993</v>
          </cell>
          <cell r="J361">
            <v>9</v>
          </cell>
          <cell r="K361">
            <v>9.8000000000000007</v>
          </cell>
          <cell r="L361">
            <v>10.5</v>
          </cell>
          <cell r="M361">
            <v>11.2</v>
          </cell>
          <cell r="N361">
            <v>12</v>
          </cell>
          <cell r="O361">
            <v>12.8</v>
          </cell>
          <cell r="P361">
            <v>13.5</v>
          </cell>
        </row>
        <row r="362">
          <cell r="A362">
            <v>39337</v>
          </cell>
          <cell r="B362">
            <v>9</v>
          </cell>
          <cell r="C362" t="str">
            <v>S</v>
          </cell>
          <cell r="D362">
            <v>1.8</v>
          </cell>
          <cell r="E362">
            <v>2</v>
          </cell>
          <cell r="F362">
            <v>2.2000000000000002</v>
          </cell>
          <cell r="G362">
            <v>2.5</v>
          </cell>
          <cell r="H362">
            <v>2.8</v>
          </cell>
          <cell r="I362">
            <v>3</v>
          </cell>
          <cell r="J362">
            <v>3.8</v>
          </cell>
          <cell r="K362">
            <v>4.5</v>
          </cell>
          <cell r="L362">
            <v>5.2</v>
          </cell>
          <cell r="M362">
            <v>6</v>
          </cell>
          <cell r="N362">
            <v>6.8</v>
          </cell>
          <cell r="O362">
            <v>7.5</v>
          </cell>
          <cell r="P362">
            <v>8.1999999999999993</v>
          </cell>
        </row>
        <row r="363">
          <cell r="A363">
            <v>39338</v>
          </cell>
          <cell r="B363">
            <v>9</v>
          </cell>
          <cell r="C363" t="str">
            <v>S</v>
          </cell>
          <cell r="D363">
            <v>1.5</v>
          </cell>
          <cell r="E363">
            <v>1.8</v>
          </cell>
          <cell r="F363">
            <v>2</v>
          </cell>
          <cell r="G363">
            <v>2.8</v>
          </cell>
          <cell r="H363">
            <v>3.5</v>
          </cell>
          <cell r="I363">
            <v>4.2</v>
          </cell>
          <cell r="J363">
            <v>5</v>
          </cell>
          <cell r="K363">
            <v>5.8</v>
          </cell>
          <cell r="L363">
            <v>6.5</v>
          </cell>
          <cell r="M363">
            <v>7</v>
          </cell>
          <cell r="N363">
            <v>8</v>
          </cell>
          <cell r="O363">
            <v>9</v>
          </cell>
          <cell r="P363">
            <v>10</v>
          </cell>
        </row>
        <row r="364">
          <cell r="A364">
            <v>39339</v>
          </cell>
          <cell r="B364">
            <v>9</v>
          </cell>
          <cell r="C364" t="str">
            <v>S</v>
          </cell>
          <cell r="D364">
            <v>6</v>
          </cell>
          <cell r="E364">
            <v>7</v>
          </cell>
          <cell r="F364">
            <v>8</v>
          </cell>
          <cell r="G364">
            <v>9</v>
          </cell>
          <cell r="H364">
            <v>10</v>
          </cell>
          <cell r="I364">
            <v>11</v>
          </cell>
          <cell r="J364">
            <v>12</v>
          </cell>
          <cell r="K364">
            <v>13</v>
          </cell>
          <cell r="L364">
            <v>14</v>
          </cell>
          <cell r="M364">
            <v>15</v>
          </cell>
          <cell r="N364">
            <v>16</v>
          </cell>
          <cell r="O364">
            <v>17</v>
          </cell>
          <cell r="P364">
            <v>18</v>
          </cell>
        </row>
        <row r="365">
          <cell r="A365">
            <v>39340</v>
          </cell>
          <cell r="B365">
            <v>9</v>
          </cell>
          <cell r="C365" t="str">
            <v>S</v>
          </cell>
          <cell r="D365">
            <v>7</v>
          </cell>
          <cell r="E365">
            <v>8</v>
          </cell>
          <cell r="F365">
            <v>9</v>
          </cell>
          <cell r="G365">
            <v>10</v>
          </cell>
          <cell r="H365">
            <v>11</v>
          </cell>
          <cell r="I365">
            <v>12</v>
          </cell>
          <cell r="J365">
            <v>13</v>
          </cell>
          <cell r="K365">
            <v>14</v>
          </cell>
          <cell r="L365">
            <v>15</v>
          </cell>
          <cell r="M365">
            <v>16</v>
          </cell>
          <cell r="N365">
            <v>17</v>
          </cell>
          <cell r="O365">
            <v>18</v>
          </cell>
          <cell r="P365">
            <v>19</v>
          </cell>
        </row>
        <row r="366">
          <cell r="A366">
            <v>39341</v>
          </cell>
          <cell r="B366">
            <v>9</v>
          </cell>
          <cell r="C366" t="str">
            <v>S</v>
          </cell>
          <cell r="D366">
            <v>9</v>
          </cell>
          <cell r="E366">
            <v>10</v>
          </cell>
          <cell r="F366">
            <v>11</v>
          </cell>
          <cell r="G366">
            <v>12</v>
          </cell>
          <cell r="H366">
            <v>13</v>
          </cell>
          <cell r="I366">
            <v>14</v>
          </cell>
          <cell r="J366">
            <v>15</v>
          </cell>
          <cell r="K366">
            <v>16</v>
          </cell>
          <cell r="L366">
            <v>17</v>
          </cell>
          <cell r="M366">
            <v>18</v>
          </cell>
          <cell r="N366">
            <v>19</v>
          </cell>
          <cell r="O366">
            <v>20</v>
          </cell>
          <cell r="P366">
            <v>21</v>
          </cell>
        </row>
        <row r="367">
          <cell r="A367">
            <v>39342</v>
          </cell>
          <cell r="B367">
            <v>9</v>
          </cell>
          <cell r="C367" t="str">
            <v>S</v>
          </cell>
          <cell r="D367">
            <v>10</v>
          </cell>
          <cell r="E367">
            <v>11</v>
          </cell>
          <cell r="F367">
            <v>12</v>
          </cell>
          <cell r="G367">
            <v>13</v>
          </cell>
          <cell r="H367">
            <v>14</v>
          </cell>
          <cell r="I367">
            <v>15</v>
          </cell>
          <cell r="J367">
            <v>16</v>
          </cell>
          <cell r="K367">
            <v>17</v>
          </cell>
          <cell r="L367">
            <v>18</v>
          </cell>
          <cell r="M367">
            <v>19</v>
          </cell>
          <cell r="N367">
            <v>20</v>
          </cell>
          <cell r="O367">
            <v>21</v>
          </cell>
          <cell r="P367">
            <v>22</v>
          </cell>
        </row>
        <row r="368">
          <cell r="A368">
            <v>39343</v>
          </cell>
          <cell r="B368">
            <v>9</v>
          </cell>
          <cell r="C368" t="str">
            <v>S</v>
          </cell>
          <cell r="D368">
            <v>9.8000000000000007</v>
          </cell>
          <cell r="E368">
            <v>10.5</v>
          </cell>
          <cell r="F368">
            <v>11.2</v>
          </cell>
          <cell r="G368">
            <v>12</v>
          </cell>
          <cell r="H368">
            <v>13</v>
          </cell>
          <cell r="I368">
            <v>14</v>
          </cell>
          <cell r="J368">
            <v>15</v>
          </cell>
          <cell r="K368">
            <v>16</v>
          </cell>
          <cell r="L368">
            <v>17</v>
          </cell>
          <cell r="M368">
            <v>18</v>
          </cell>
          <cell r="N368">
            <v>19</v>
          </cell>
          <cell r="O368">
            <v>20</v>
          </cell>
          <cell r="P368">
            <v>21</v>
          </cell>
        </row>
        <row r="369">
          <cell r="A369">
            <v>39344</v>
          </cell>
          <cell r="B369">
            <v>9</v>
          </cell>
          <cell r="C369" t="str">
            <v>S</v>
          </cell>
          <cell r="D369">
            <v>6</v>
          </cell>
          <cell r="E369">
            <v>7</v>
          </cell>
          <cell r="F369">
            <v>8</v>
          </cell>
          <cell r="G369">
            <v>9</v>
          </cell>
          <cell r="H369">
            <v>10</v>
          </cell>
          <cell r="I369">
            <v>11</v>
          </cell>
          <cell r="J369">
            <v>12</v>
          </cell>
          <cell r="K369">
            <v>13</v>
          </cell>
          <cell r="L369">
            <v>14</v>
          </cell>
          <cell r="M369">
            <v>15</v>
          </cell>
          <cell r="N369">
            <v>16</v>
          </cell>
          <cell r="O369">
            <v>17</v>
          </cell>
          <cell r="P369">
            <v>18</v>
          </cell>
        </row>
        <row r="370">
          <cell r="A370">
            <v>39345</v>
          </cell>
          <cell r="B370">
            <v>9</v>
          </cell>
          <cell r="C370" t="str">
            <v>S</v>
          </cell>
          <cell r="D370">
            <v>6</v>
          </cell>
          <cell r="E370">
            <v>7</v>
          </cell>
          <cell r="F370">
            <v>8</v>
          </cell>
          <cell r="G370">
            <v>9</v>
          </cell>
          <cell r="H370">
            <v>10</v>
          </cell>
          <cell r="I370">
            <v>11</v>
          </cell>
          <cell r="J370">
            <v>12</v>
          </cell>
          <cell r="K370">
            <v>13</v>
          </cell>
          <cell r="L370">
            <v>14</v>
          </cell>
          <cell r="M370">
            <v>15</v>
          </cell>
          <cell r="N370">
            <v>16</v>
          </cell>
          <cell r="O370">
            <v>17</v>
          </cell>
          <cell r="P370">
            <v>18</v>
          </cell>
        </row>
        <row r="371">
          <cell r="A371">
            <v>39346</v>
          </cell>
          <cell r="B371">
            <v>9</v>
          </cell>
          <cell r="C371" t="str">
            <v>S</v>
          </cell>
          <cell r="D371">
            <v>14</v>
          </cell>
          <cell r="E371">
            <v>15</v>
          </cell>
          <cell r="F371">
            <v>16</v>
          </cell>
          <cell r="G371">
            <v>17</v>
          </cell>
          <cell r="H371">
            <v>18</v>
          </cell>
          <cell r="I371">
            <v>19</v>
          </cell>
          <cell r="J371">
            <v>20</v>
          </cell>
          <cell r="K371">
            <v>21</v>
          </cell>
          <cell r="L371">
            <v>22</v>
          </cell>
          <cell r="M371">
            <v>23</v>
          </cell>
          <cell r="N371">
            <v>24</v>
          </cell>
          <cell r="O371">
            <v>25</v>
          </cell>
          <cell r="P371">
            <v>26</v>
          </cell>
        </row>
        <row r="372">
          <cell r="A372">
            <v>39347</v>
          </cell>
          <cell r="B372">
            <v>9</v>
          </cell>
          <cell r="C372" t="str">
            <v>S</v>
          </cell>
          <cell r="D372">
            <v>19</v>
          </cell>
          <cell r="E372">
            <v>20</v>
          </cell>
          <cell r="F372">
            <v>21</v>
          </cell>
          <cell r="G372">
            <v>22</v>
          </cell>
          <cell r="H372">
            <v>23</v>
          </cell>
          <cell r="I372">
            <v>24</v>
          </cell>
          <cell r="J372">
            <v>25</v>
          </cell>
          <cell r="K372">
            <v>26</v>
          </cell>
          <cell r="L372">
            <v>27</v>
          </cell>
          <cell r="M372">
            <v>28</v>
          </cell>
          <cell r="N372">
            <v>29</v>
          </cell>
          <cell r="O372">
            <v>30</v>
          </cell>
          <cell r="P372">
            <v>31</v>
          </cell>
        </row>
        <row r="373">
          <cell r="A373">
            <v>39348</v>
          </cell>
          <cell r="B373">
            <v>9</v>
          </cell>
          <cell r="C373" t="str">
            <v>S</v>
          </cell>
          <cell r="D373">
            <v>14</v>
          </cell>
          <cell r="E373">
            <v>15</v>
          </cell>
          <cell r="F373">
            <v>16</v>
          </cell>
          <cell r="G373">
            <v>17</v>
          </cell>
          <cell r="H373">
            <v>18</v>
          </cell>
          <cell r="I373">
            <v>19</v>
          </cell>
          <cell r="J373">
            <v>20</v>
          </cell>
          <cell r="K373">
            <v>21</v>
          </cell>
          <cell r="L373">
            <v>22</v>
          </cell>
          <cell r="M373">
            <v>23</v>
          </cell>
          <cell r="N373">
            <v>24</v>
          </cell>
          <cell r="O373">
            <v>25</v>
          </cell>
          <cell r="P373">
            <v>26</v>
          </cell>
        </row>
        <row r="374">
          <cell r="A374">
            <v>39349</v>
          </cell>
          <cell r="B374">
            <v>9</v>
          </cell>
          <cell r="C374" t="str">
            <v>S</v>
          </cell>
          <cell r="D374">
            <v>16</v>
          </cell>
          <cell r="E374">
            <v>17</v>
          </cell>
          <cell r="F374">
            <v>18</v>
          </cell>
          <cell r="G374">
            <v>19</v>
          </cell>
          <cell r="H374">
            <v>20</v>
          </cell>
          <cell r="I374">
            <v>21</v>
          </cell>
          <cell r="J374">
            <v>22</v>
          </cell>
          <cell r="K374">
            <v>23</v>
          </cell>
          <cell r="L374">
            <v>24</v>
          </cell>
          <cell r="M374">
            <v>25</v>
          </cell>
          <cell r="N374">
            <v>26</v>
          </cell>
          <cell r="O374">
            <v>27</v>
          </cell>
          <cell r="P374">
            <v>28</v>
          </cell>
        </row>
        <row r="375">
          <cell r="A375">
            <v>39350</v>
          </cell>
          <cell r="B375">
            <v>9</v>
          </cell>
          <cell r="C375" t="str">
            <v>S</v>
          </cell>
          <cell r="D375">
            <v>17</v>
          </cell>
          <cell r="E375">
            <v>18</v>
          </cell>
          <cell r="F375">
            <v>19</v>
          </cell>
          <cell r="G375">
            <v>20</v>
          </cell>
          <cell r="H375">
            <v>21</v>
          </cell>
          <cell r="I375">
            <v>22</v>
          </cell>
          <cell r="J375">
            <v>23</v>
          </cell>
          <cell r="K375">
            <v>24</v>
          </cell>
          <cell r="L375">
            <v>25</v>
          </cell>
          <cell r="M375">
            <v>26</v>
          </cell>
          <cell r="N375">
            <v>27</v>
          </cell>
          <cell r="O375">
            <v>28</v>
          </cell>
          <cell r="P375">
            <v>29</v>
          </cell>
        </row>
        <row r="376">
          <cell r="A376">
            <v>39351</v>
          </cell>
          <cell r="B376">
            <v>9</v>
          </cell>
          <cell r="C376" t="str">
            <v>S</v>
          </cell>
          <cell r="D376">
            <v>16</v>
          </cell>
          <cell r="E376">
            <v>17</v>
          </cell>
          <cell r="F376">
            <v>18</v>
          </cell>
          <cell r="G376">
            <v>19</v>
          </cell>
          <cell r="H376">
            <v>20</v>
          </cell>
          <cell r="I376">
            <v>21</v>
          </cell>
          <cell r="J376">
            <v>22</v>
          </cell>
          <cell r="K376">
            <v>23</v>
          </cell>
          <cell r="L376">
            <v>24</v>
          </cell>
          <cell r="M376">
            <v>25</v>
          </cell>
          <cell r="N376">
            <v>26</v>
          </cell>
          <cell r="O376">
            <v>27</v>
          </cell>
          <cell r="P376">
            <v>28</v>
          </cell>
        </row>
        <row r="377">
          <cell r="A377">
            <v>39352</v>
          </cell>
          <cell r="B377">
            <v>9</v>
          </cell>
          <cell r="C377" t="str">
            <v>S</v>
          </cell>
          <cell r="D377">
            <v>12</v>
          </cell>
          <cell r="E377">
            <v>13</v>
          </cell>
          <cell r="F377">
            <v>14</v>
          </cell>
          <cell r="G377">
            <v>15</v>
          </cell>
          <cell r="H377">
            <v>16</v>
          </cell>
          <cell r="I377">
            <v>17</v>
          </cell>
          <cell r="J377">
            <v>18</v>
          </cell>
          <cell r="K377">
            <v>19</v>
          </cell>
          <cell r="L377">
            <v>20</v>
          </cell>
          <cell r="M377">
            <v>21</v>
          </cell>
          <cell r="N377">
            <v>22</v>
          </cell>
          <cell r="O377">
            <v>23</v>
          </cell>
          <cell r="P377">
            <v>24</v>
          </cell>
        </row>
        <row r="378">
          <cell r="A378">
            <v>39353</v>
          </cell>
          <cell r="B378">
            <v>9</v>
          </cell>
          <cell r="C378" t="str">
            <v>S</v>
          </cell>
          <cell r="D378">
            <v>10</v>
          </cell>
          <cell r="E378">
            <v>11</v>
          </cell>
          <cell r="F378">
            <v>12</v>
          </cell>
          <cell r="G378">
            <v>13</v>
          </cell>
          <cell r="H378">
            <v>14</v>
          </cell>
          <cell r="I378">
            <v>15</v>
          </cell>
          <cell r="J378">
            <v>16</v>
          </cell>
          <cell r="K378">
            <v>17</v>
          </cell>
          <cell r="L378">
            <v>18</v>
          </cell>
          <cell r="M378">
            <v>19</v>
          </cell>
          <cell r="N378">
            <v>20</v>
          </cell>
          <cell r="O378">
            <v>21</v>
          </cell>
          <cell r="P378">
            <v>22</v>
          </cell>
        </row>
        <row r="379">
          <cell r="A379">
            <v>39354</v>
          </cell>
          <cell r="B379">
            <v>9</v>
          </cell>
          <cell r="C379" t="str">
            <v>S</v>
          </cell>
          <cell r="D379">
            <v>13</v>
          </cell>
          <cell r="E379">
            <v>14</v>
          </cell>
          <cell r="F379">
            <v>15</v>
          </cell>
          <cell r="G379">
            <v>16</v>
          </cell>
          <cell r="H379">
            <v>17</v>
          </cell>
          <cell r="I379">
            <v>18</v>
          </cell>
          <cell r="J379">
            <v>19</v>
          </cell>
          <cell r="K379">
            <v>20</v>
          </cell>
          <cell r="L379">
            <v>21</v>
          </cell>
          <cell r="M379">
            <v>22</v>
          </cell>
          <cell r="N379">
            <v>23</v>
          </cell>
          <cell r="O379">
            <v>24</v>
          </cell>
          <cell r="P379">
            <v>25</v>
          </cell>
        </row>
        <row r="380">
          <cell r="A380">
            <v>39355</v>
          </cell>
          <cell r="B380">
            <v>9</v>
          </cell>
          <cell r="C380" t="str">
            <v>S</v>
          </cell>
          <cell r="D380">
            <v>13</v>
          </cell>
          <cell r="E380">
            <v>14</v>
          </cell>
          <cell r="F380">
            <v>15</v>
          </cell>
          <cell r="G380">
            <v>16</v>
          </cell>
          <cell r="H380">
            <v>17</v>
          </cell>
          <cell r="I380">
            <v>18</v>
          </cell>
          <cell r="J380">
            <v>19</v>
          </cell>
          <cell r="K380">
            <v>20</v>
          </cell>
          <cell r="L380">
            <v>21</v>
          </cell>
          <cell r="M380">
            <v>22</v>
          </cell>
          <cell r="N380">
            <v>23</v>
          </cell>
          <cell r="O380">
            <v>24</v>
          </cell>
          <cell r="P380">
            <v>25</v>
          </cell>
        </row>
        <row r="381">
          <cell r="A381">
            <v>39356</v>
          </cell>
          <cell r="B381">
            <v>10</v>
          </cell>
          <cell r="C381" t="str">
            <v>W</v>
          </cell>
          <cell r="D381">
            <v>18</v>
          </cell>
          <cell r="E381">
            <v>19</v>
          </cell>
          <cell r="F381">
            <v>20</v>
          </cell>
          <cell r="G381">
            <v>21</v>
          </cell>
          <cell r="H381">
            <v>22</v>
          </cell>
          <cell r="I381">
            <v>23</v>
          </cell>
          <cell r="J381">
            <v>24</v>
          </cell>
          <cell r="K381">
            <v>25</v>
          </cell>
          <cell r="L381">
            <v>26</v>
          </cell>
          <cell r="M381">
            <v>27</v>
          </cell>
          <cell r="N381">
            <v>28</v>
          </cell>
          <cell r="O381">
            <v>29</v>
          </cell>
          <cell r="P381">
            <v>30</v>
          </cell>
        </row>
        <row r="382">
          <cell r="A382">
            <v>39357</v>
          </cell>
          <cell r="B382">
            <v>10</v>
          </cell>
          <cell r="C382" t="str">
            <v>W</v>
          </cell>
          <cell r="D382">
            <v>22</v>
          </cell>
          <cell r="E382">
            <v>23</v>
          </cell>
          <cell r="F382">
            <v>24</v>
          </cell>
          <cell r="G382">
            <v>25</v>
          </cell>
          <cell r="H382">
            <v>26</v>
          </cell>
          <cell r="I382">
            <v>27</v>
          </cell>
          <cell r="J382">
            <v>28</v>
          </cell>
          <cell r="K382">
            <v>29</v>
          </cell>
          <cell r="L382">
            <v>30</v>
          </cell>
          <cell r="M382">
            <v>31</v>
          </cell>
          <cell r="N382">
            <v>32</v>
          </cell>
          <cell r="O382">
            <v>33</v>
          </cell>
          <cell r="P382">
            <v>34</v>
          </cell>
        </row>
        <row r="383">
          <cell r="A383">
            <v>39358</v>
          </cell>
          <cell r="B383">
            <v>10</v>
          </cell>
          <cell r="C383" t="str">
            <v>W</v>
          </cell>
          <cell r="D383">
            <v>20</v>
          </cell>
          <cell r="E383">
            <v>21</v>
          </cell>
          <cell r="F383">
            <v>22</v>
          </cell>
          <cell r="G383">
            <v>23</v>
          </cell>
          <cell r="H383">
            <v>24</v>
          </cell>
          <cell r="I383">
            <v>25</v>
          </cell>
          <cell r="J383">
            <v>26</v>
          </cell>
          <cell r="K383">
            <v>27</v>
          </cell>
          <cell r="L383">
            <v>28</v>
          </cell>
          <cell r="M383">
            <v>29</v>
          </cell>
          <cell r="N383">
            <v>30</v>
          </cell>
          <cell r="O383">
            <v>31</v>
          </cell>
          <cell r="P383">
            <v>32</v>
          </cell>
        </row>
        <row r="384">
          <cell r="A384">
            <v>39359</v>
          </cell>
          <cell r="B384">
            <v>10</v>
          </cell>
          <cell r="C384" t="str">
            <v>W</v>
          </cell>
          <cell r="D384">
            <v>23</v>
          </cell>
          <cell r="E384">
            <v>24</v>
          </cell>
          <cell r="F384">
            <v>25</v>
          </cell>
          <cell r="G384">
            <v>26</v>
          </cell>
          <cell r="H384">
            <v>27</v>
          </cell>
          <cell r="I384">
            <v>28</v>
          </cell>
          <cell r="J384">
            <v>29</v>
          </cell>
          <cell r="K384">
            <v>30</v>
          </cell>
          <cell r="L384">
            <v>31</v>
          </cell>
          <cell r="M384">
            <v>32</v>
          </cell>
          <cell r="N384">
            <v>33</v>
          </cell>
          <cell r="O384">
            <v>34</v>
          </cell>
          <cell r="P384">
            <v>35</v>
          </cell>
        </row>
        <row r="385">
          <cell r="A385">
            <v>39360</v>
          </cell>
          <cell r="B385">
            <v>10</v>
          </cell>
          <cell r="C385" t="str">
            <v>W</v>
          </cell>
          <cell r="D385">
            <v>23</v>
          </cell>
          <cell r="E385">
            <v>24</v>
          </cell>
          <cell r="F385">
            <v>25</v>
          </cell>
          <cell r="G385">
            <v>26</v>
          </cell>
          <cell r="H385">
            <v>27</v>
          </cell>
          <cell r="I385">
            <v>28</v>
          </cell>
          <cell r="J385">
            <v>29</v>
          </cell>
          <cell r="K385">
            <v>30</v>
          </cell>
          <cell r="L385">
            <v>31</v>
          </cell>
          <cell r="M385">
            <v>32</v>
          </cell>
          <cell r="N385">
            <v>33</v>
          </cell>
          <cell r="O385">
            <v>34</v>
          </cell>
          <cell r="P385">
            <v>35</v>
          </cell>
        </row>
        <row r="386">
          <cell r="A386">
            <v>39361</v>
          </cell>
          <cell r="B386">
            <v>10</v>
          </cell>
          <cell r="C386" t="str">
            <v>W</v>
          </cell>
          <cell r="D386">
            <v>30</v>
          </cell>
          <cell r="E386">
            <v>31</v>
          </cell>
          <cell r="F386">
            <v>32</v>
          </cell>
          <cell r="G386">
            <v>33</v>
          </cell>
          <cell r="H386">
            <v>34</v>
          </cell>
          <cell r="I386">
            <v>35</v>
          </cell>
          <cell r="J386">
            <v>36</v>
          </cell>
          <cell r="K386">
            <v>37</v>
          </cell>
          <cell r="L386">
            <v>38</v>
          </cell>
          <cell r="M386">
            <v>39</v>
          </cell>
          <cell r="N386">
            <v>40</v>
          </cell>
          <cell r="O386">
            <v>41</v>
          </cell>
          <cell r="P386">
            <v>42</v>
          </cell>
        </row>
        <row r="387">
          <cell r="A387">
            <v>39362</v>
          </cell>
          <cell r="B387">
            <v>10</v>
          </cell>
          <cell r="C387" t="str">
            <v>W</v>
          </cell>
          <cell r="D387">
            <v>31</v>
          </cell>
          <cell r="E387">
            <v>32</v>
          </cell>
          <cell r="F387">
            <v>33</v>
          </cell>
          <cell r="G387">
            <v>34</v>
          </cell>
          <cell r="H387">
            <v>35</v>
          </cell>
          <cell r="I387">
            <v>36</v>
          </cell>
          <cell r="J387">
            <v>37</v>
          </cell>
          <cell r="K387">
            <v>38</v>
          </cell>
          <cell r="L387">
            <v>39</v>
          </cell>
          <cell r="M387">
            <v>40</v>
          </cell>
          <cell r="N387">
            <v>41</v>
          </cell>
          <cell r="O387">
            <v>42</v>
          </cell>
          <cell r="P387">
            <v>43</v>
          </cell>
        </row>
        <row r="388">
          <cell r="A388">
            <v>39363</v>
          </cell>
          <cell r="B388">
            <v>10</v>
          </cell>
          <cell r="C388" t="str">
            <v>W</v>
          </cell>
          <cell r="D388">
            <v>30</v>
          </cell>
          <cell r="E388">
            <v>31</v>
          </cell>
          <cell r="F388">
            <v>32</v>
          </cell>
          <cell r="G388">
            <v>33</v>
          </cell>
          <cell r="H388">
            <v>34</v>
          </cell>
          <cell r="I388">
            <v>35</v>
          </cell>
          <cell r="J388">
            <v>36</v>
          </cell>
          <cell r="K388">
            <v>37</v>
          </cell>
          <cell r="L388">
            <v>38</v>
          </cell>
          <cell r="M388">
            <v>39</v>
          </cell>
          <cell r="N388">
            <v>40</v>
          </cell>
          <cell r="O388">
            <v>41</v>
          </cell>
          <cell r="P388">
            <v>42</v>
          </cell>
        </row>
        <row r="389">
          <cell r="A389">
            <v>39364</v>
          </cell>
          <cell r="B389">
            <v>10</v>
          </cell>
          <cell r="C389" t="str">
            <v>W</v>
          </cell>
          <cell r="D389">
            <v>31</v>
          </cell>
          <cell r="E389">
            <v>32</v>
          </cell>
          <cell r="F389">
            <v>33</v>
          </cell>
          <cell r="G389">
            <v>34</v>
          </cell>
          <cell r="H389">
            <v>35</v>
          </cell>
          <cell r="I389">
            <v>36</v>
          </cell>
          <cell r="J389">
            <v>37</v>
          </cell>
          <cell r="K389">
            <v>38</v>
          </cell>
          <cell r="L389">
            <v>39</v>
          </cell>
          <cell r="M389">
            <v>40</v>
          </cell>
          <cell r="N389">
            <v>41</v>
          </cell>
          <cell r="O389">
            <v>42</v>
          </cell>
          <cell r="P389">
            <v>43</v>
          </cell>
        </row>
        <row r="390">
          <cell r="A390">
            <v>39365</v>
          </cell>
          <cell r="B390">
            <v>10</v>
          </cell>
          <cell r="C390" t="str">
            <v>W</v>
          </cell>
          <cell r="D390">
            <v>34</v>
          </cell>
          <cell r="E390">
            <v>35</v>
          </cell>
          <cell r="F390">
            <v>36</v>
          </cell>
          <cell r="G390">
            <v>37</v>
          </cell>
          <cell r="H390">
            <v>38</v>
          </cell>
          <cell r="I390">
            <v>39</v>
          </cell>
          <cell r="J390">
            <v>40</v>
          </cell>
          <cell r="K390">
            <v>41</v>
          </cell>
          <cell r="L390">
            <v>42</v>
          </cell>
          <cell r="M390">
            <v>43</v>
          </cell>
          <cell r="N390">
            <v>44</v>
          </cell>
          <cell r="O390">
            <v>45</v>
          </cell>
          <cell r="P390">
            <v>46</v>
          </cell>
        </row>
        <row r="391">
          <cell r="A391">
            <v>39366</v>
          </cell>
          <cell r="B391">
            <v>10</v>
          </cell>
          <cell r="C391" t="str">
            <v>W</v>
          </cell>
          <cell r="D391">
            <v>37</v>
          </cell>
          <cell r="E391">
            <v>38</v>
          </cell>
          <cell r="F391">
            <v>39</v>
          </cell>
          <cell r="G391">
            <v>40</v>
          </cell>
          <cell r="H391">
            <v>41</v>
          </cell>
          <cell r="I391">
            <v>42</v>
          </cell>
          <cell r="J391">
            <v>43</v>
          </cell>
          <cell r="K391">
            <v>44</v>
          </cell>
          <cell r="L391">
            <v>45</v>
          </cell>
          <cell r="M391">
            <v>46</v>
          </cell>
          <cell r="N391">
            <v>47</v>
          </cell>
          <cell r="O391">
            <v>48</v>
          </cell>
          <cell r="P391">
            <v>49</v>
          </cell>
        </row>
        <row r="392">
          <cell r="A392">
            <v>39367</v>
          </cell>
          <cell r="B392">
            <v>10</v>
          </cell>
          <cell r="C392" t="str">
            <v>W</v>
          </cell>
          <cell r="D392">
            <v>32</v>
          </cell>
          <cell r="E392">
            <v>33</v>
          </cell>
          <cell r="F392">
            <v>34</v>
          </cell>
          <cell r="G392">
            <v>35</v>
          </cell>
          <cell r="H392">
            <v>36</v>
          </cell>
          <cell r="I392">
            <v>37</v>
          </cell>
          <cell r="J392">
            <v>38</v>
          </cell>
          <cell r="K392">
            <v>39</v>
          </cell>
          <cell r="L392">
            <v>40</v>
          </cell>
          <cell r="M392">
            <v>41</v>
          </cell>
          <cell r="N392">
            <v>42</v>
          </cell>
          <cell r="O392">
            <v>43</v>
          </cell>
          <cell r="P392">
            <v>44</v>
          </cell>
        </row>
        <row r="393">
          <cell r="A393">
            <v>39368</v>
          </cell>
          <cell r="B393">
            <v>10</v>
          </cell>
          <cell r="C393" t="str">
            <v>W</v>
          </cell>
          <cell r="D393">
            <v>28</v>
          </cell>
          <cell r="E393">
            <v>29</v>
          </cell>
          <cell r="F393">
            <v>30</v>
          </cell>
          <cell r="G393">
            <v>31</v>
          </cell>
          <cell r="H393">
            <v>32</v>
          </cell>
          <cell r="I393">
            <v>33</v>
          </cell>
          <cell r="J393">
            <v>34</v>
          </cell>
          <cell r="K393">
            <v>35</v>
          </cell>
          <cell r="L393">
            <v>36</v>
          </cell>
          <cell r="M393">
            <v>37</v>
          </cell>
          <cell r="N393">
            <v>38</v>
          </cell>
          <cell r="O393">
            <v>39</v>
          </cell>
          <cell r="P393">
            <v>40</v>
          </cell>
        </row>
        <row r="394">
          <cell r="A394">
            <v>39369</v>
          </cell>
          <cell r="B394">
            <v>10</v>
          </cell>
          <cell r="C394" t="str">
            <v>W</v>
          </cell>
          <cell r="D394">
            <v>29</v>
          </cell>
          <cell r="E394">
            <v>30</v>
          </cell>
          <cell r="F394">
            <v>31</v>
          </cell>
          <cell r="G394">
            <v>32</v>
          </cell>
          <cell r="H394">
            <v>33</v>
          </cell>
          <cell r="I394">
            <v>34</v>
          </cell>
          <cell r="J394">
            <v>35</v>
          </cell>
          <cell r="K394">
            <v>36</v>
          </cell>
          <cell r="L394">
            <v>37</v>
          </cell>
          <cell r="M394">
            <v>38</v>
          </cell>
          <cell r="N394">
            <v>39</v>
          </cell>
          <cell r="O394">
            <v>40</v>
          </cell>
          <cell r="P394">
            <v>41</v>
          </cell>
        </row>
        <row r="395">
          <cell r="A395">
            <v>39370</v>
          </cell>
          <cell r="B395">
            <v>10</v>
          </cell>
          <cell r="C395" t="str">
            <v>W</v>
          </cell>
          <cell r="D395">
            <v>31</v>
          </cell>
          <cell r="E395">
            <v>32</v>
          </cell>
          <cell r="F395">
            <v>33</v>
          </cell>
          <cell r="G395">
            <v>34</v>
          </cell>
          <cell r="H395">
            <v>35</v>
          </cell>
          <cell r="I395">
            <v>36</v>
          </cell>
          <cell r="J395">
            <v>37</v>
          </cell>
          <cell r="K395">
            <v>38</v>
          </cell>
          <cell r="L395">
            <v>39</v>
          </cell>
          <cell r="M395">
            <v>40</v>
          </cell>
          <cell r="N395">
            <v>41</v>
          </cell>
          <cell r="O395">
            <v>42</v>
          </cell>
          <cell r="P395">
            <v>43</v>
          </cell>
        </row>
        <row r="396">
          <cell r="A396">
            <v>39371</v>
          </cell>
          <cell r="B396">
            <v>10</v>
          </cell>
          <cell r="C396" t="str">
            <v>W</v>
          </cell>
          <cell r="D396">
            <v>32</v>
          </cell>
          <cell r="E396">
            <v>33</v>
          </cell>
          <cell r="F396">
            <v>34</v>
          </cell>
          <cell r="G396">
            <v>35</v>
          </cell>
          <cell r="H396">
            <v>36</v>
          </cell>
          <cell r="I396">
            <v>37</v>
          </cell>
          <cell r="J396">
            <v>38</v>
          </cell>
          <cell r="K396">
            <v>39</v>
          </cell>
          <cell r="L396">
            <v>40</v>
          </cell>
          <cell r="M396">
            <v>41</v>
          </cell>
          <cell r="N396">
            <v>42</v>
          </cell>
          <cell r="O396">
            <v>43</v>
          </cell>
          <cell r="P396">
            <v>44</v>
          </cell>
        </row>
        <row r="397">
          <cell r="A397">
            <v>39372</v>
          </cell>
          <cell r="B397">
            <v>10</v>
          </cell>
          <cell r="C397" t="str">
            <v>W</v>
          </cell>
          <cell r="D397">
            <v>31</v>
          </cell>
          <cell r="E397">
            <v>32</v>
          </cell>
          <cell r="F397">
            <v>33</v>
          </cell>
          <cell r="G397">
            <v>34</v>
          </cell>
          <cell r="H397">
            <v>35</v>
          </cell>
          <cell r="I397">
            <v>36</v>
          </cell>
          <cell r="J397">
            <v>37</v>
          </cell>
          <cell r="K397">
            <v>38</v>
          </cell>
          <cell r="L397">
            <v>39</v>
          </cell>
          <cell r="M397">
            <v>40</v>
          </cell>
          <cell r="N397">
            <v>41</v>
          </cell>
          <cell r="O397">
            <v>42</v>
          </cell>
          <cell r="P397">
            <v>43</v>
          </cell>
        </row>
        <row r="398">
          <cell r="A398">
            <v>39373</v>
          </cell>
          <cell r="B398">
            <v>10</v>
          </cell>
          <cell r="C398" t="str">
            <v>W</v>
          </cell>
          <cell r="D398">
            <v>34</v>
          </cell>
          <cell r="E398">
            <v>35</v>
          </cell>
          <cell r="F398">
            <v>36</v>
          </cell>
          <cell r="G398">
            <v>37</v>
          </cell>
          <cell r="H398">
            <v>38</v>
          </cell>
          <cell r="I398">
            <v>39</v>
          </cell>
          <cell r="J398">
            <v>40</v>
          </cell>
          <cell r="K398">
            <v>41</v>
          </cell>
          <cell r="L398">
            <v>42</v>
          </cell>
          <cell r="M398">
            <v>43</v>
          </cell>
          <cell r="N398">
            <v>44</v>
          </cell>
          <cell r="O398">
            <v>45</v>
          </cell>
          <cell r="P398">
            <v>46</v>
          </cell>
        </row>
        <row r="399">
          <cell r="A399">
            <v>39374</v>
          </cell>
          <cell r="B399">
            <v>10</v>
          </cell>
          <cell r="C399" t="str">
            <v>W</v>
          </cell>
          <cell r="D399">
            <v>32</v>
          </cell>
          <cell r="E399">
            <v>33</v>
          </cell>
          <cell r="F399">
            <v>34</v>
          </cell>
          <cell r="G399">
            <v>35</v>
          </cell>
          <cell r="H399">
            <v>36</v>
          </cell>
          <cell r="I399">
            <v>37</v>
          </cell>
          <cell r="J399">
            <v>38</v>
          </cell>
          <cell r="K399">
            <v>39</v>
          </cell>
          <cell r="L399">
            <v>40</v>
          </cell>
          <cell r="M399">
            <v>41</v>
          </cell>
          <cell r="N399">
            <v>42</v>
          </cell>
          <cell r="O399">
            <v>43</v>
          </cell>
          <cell r="P399">
            <v>44</v>
          </cell>
        </row>
        <row r="400">
          <cell r="A400">
            <v>39375</v>
          </cell>
          <cell r="B400">
            <v>10</v>
          </cell>
          <cell r="C400" t="str">
            <v>W</v>
          </cell>
          <cell r="D400">
            <v>35</v>
          </cell>
          <cell r="E400">
            <v>36</v>
          </cell>
          <cell r="F400">
            <v>37</v>
          </cell>
          <cell r="G400">
            <v>38</v>
          </cell>
          <cell r="H400">
            <v>39</v>
          </cell>
          <cell r="I400">
            <v>40</v>
          </cell>
          <cell r="J400">
            <v>41</v>
          </cell>
          <cell r="K400">
            <v>42</v>
          </cell>
          <cell r="L400">
            <v>43</v>
          </cell>
          <cell r="M400">
            <v>44</v>
          </cell>
          <cell r="N400">
            <v>45</v>
          </cell>
          <cell r="O400">
            <v>46</v>
          </cell>
          <cell r="P400">
            <v>47</v>
          </cell>
        </row>
        <row r="401">
          <cell r="A401">
            <v>39376</v>
          </cell>
          <cell r="B401">
            <v>10</v>
          </cell>
          <cell r="C401" t="str">
            <v>W</v>
          </cell>
          <cell r="D401">
            <v>40</v>
          </cell>
          <cell r="E401">
            <v>41</v>
          </cell>
          <cell r="F401">
            <v>42</v>
          </cell>
          <cell r="G401">
            <v>43</v>
          </cell>
          <cell r="H401">
            <v>44</v>
          </cell>
          <cell r="I401">
            <v>45</v>
          </cell>
          <cell r="J401">
            <v>46</v>
          </cell>
          <cell r="K401">
            <v>47</v>
          </cell>
          <cell r="L401">
            <v>48</v>
          </cell>
          <cell r="M401">
            <v>49</v>
          </cell>
          <cell r="N401">
            <v>50</v>
          </cell>
          <cell r="O401">
            <v>51</v>
          </cell>
          <cell r="P401">
            <v>52</v>
          </cell>
        </row>
        <row r="402">
          <cell r="A402">
            <v>39377</v>
          </cell>
          <cell r="B402">
            <v>10</v>
          </cell>
          <cell r="C402" t="str">
            <v>W</v>
          </cell>
          <cell r="D402">
            <v>48</v>
          </cell>
          <cell r="E402">
            <v>49</v>
          </cell>
          <cell r="F402">
            <v>50</v>
          </cell>
          <cell r="G402">
            <v>51</v>
          </cell>
          <cell r="H402">
            <v>52</v>
          </cell>
          <cell r="I402">
            <v>53</v>
          </cell>
          <cell r="J402">
            <v>54</v>
          </cell>
          <cell r="K402">
            <v>55</v>
          </cell>
          <cell r="L402">
            <v>56</v>
          </cell>
          <cell r="M402">
            <v>57</v>
          </cell>
          <cell r="N402">
            <v>58</v>
          </cell>
          <cell r="O402">
            <v>59</v>
          </cell>
          <cell r="P402">
            <v>60</v>
          </cell>
        </row>
        <row r="403">
          <cell r="A403">
            <v>39378</v>
          </cell>
          <cell r="B403">
            <v>10</v>
          </cell>
          <cell r="C403" t="str">
            <v>W</v>
          </cell>
          <cell r="D403">
            <v>46</v>
          </cell>
          <cell r="E403">
            <v>47</v>
          </cell>
          <cell r="F403">
            <v>48</v>
          </cell>
          <cell r="G403">
            <v>49</v>
          </cell>
          <cell r="H403">
            <v>50</v>
          </cell>
          <cell r="I403">
            <v>51</v>
          </cell>
          <cell r="J403">
            <v>52</v>
          </cell>
          <cell r="K403">
            <v>53</v>
          </cell>
          <cell r="L403">
            <v>54</v>
          </cell>
          <cell r="M403">
            <v>55</v>
          </cell>
          <cell r="N403">
            <v>56</v>
          </cell>
          <cell r="O403">
            <v>57</v>
          </cell>
          <cell r="P403">
            <v>58</v>
          </cell>
        </row>
        <row r="404">
          <cell r="A404">
            <v>39379</v>
          </cell>
          <cell r="B404">
            <v>10</v>
          </cell>
          <cell r="C404" t="str">
            <v>W</v>
          </cell>
          <cell r="D404">
            <v>39</v>
          </cell>
          <cell r="E404">
            <v>40</v>
          </cell>
          <cell r="F404">
            <v>41</v>
          </cell>
          <cell r="G404">
            <v>42</v>
          </cell>
          <cell r="H404">
            <v>43</v>
          </cell>
          <cell r="I404">
            <v>44</v>
          </cell>
          <cell r="J404">
            <v>45</v>
          </cell>
          <cell r="K404">
            <v>46</v>
          </cell>
          <cell r="L404">
            <v>47</v>
          </cell>
          <cell r="M404">
            <v>48</v>
          </cell>
          <cell r="N404">
            <v>49</v>
          </cell>
          <cell r="O404">
            <v>50</v>
          </cell>
          <cell r="P404">
            <v>51</v>
          </cell>
        </row>
        <row r="405">
          <cell r="A405">
            <v>39380</v>
          </cell>
          <cell r="B405">
            <v>10</v>
          </cell>
          <cell r="C405" t="str">
            <v>W</v>
          </cell>
          <cell r="D405">
            <v>41</v>
          </cell>
          <cell r="E405">
            <v>42</v>
          </cell>
          <cell r="F405">
            <v>43</v>
          </cell>
          <cell r="G405">
            <v>44</v>
          </cell>
          <cell r="H405">
            <v>45</v>
          </cell>
          <cell r="I405">
            <v>46</v>
          </cell>
          <cell r="J405">
            <v>47</v>
          </cell>
          <cell r="K405">
            <v>48</v>
          </cell>
          <cell r="L405">
            <v>49</v>
          </cell>
          <cell r="M405">
            <v>50</v>
          </cell>
          <cell r="N405">
            <v>51</v>
          </cell>
          <cell r="O405">
            <v>52</v>
          </cell>
          <cell r="P405">
            <v>53</v>
          </cell>
        </row>
        <row r="406">
          <cell r="A406">
            <v>39381</v>
          </cell>
          <cell r="B406">
            <v>10</v>
          </cell>
          <cell r="C406" t="str">
            <v>W</v>
          </cell>
          <cell r="D406">
            <v>26</v>
          </cell>
          <cell r="E406">
            <v>27</v>
          </cell>
          <cell r="F406">
            <v>28</v>
          </cell>
          <cell r="G406">
            <v>29</v>
          </cell>
          <cell r="H406">
            <v>30</v>
          </cell>
          <cell r="I406">
            <v>31</v>
          </cell>
          <cell r="J406">
            <v>32</v>
          </cell>
          <cell r="K406">
            <v>33</v>
          </cell>
          <cell r="L406">
            <v>34</v>
          </cell>
          <cell r="M406">
            <v>35</v>
          </cell>
          <cell r="N406">
            <v>36</v>
          </cell>
          <cell r="O406">
            <v>37</v>
          </cell>
          <cell r="P406">
            <v>38</v>
          </cell>
        </row>
        <row r="407">
          <cell r="A407">
            <v>39382</v>
          </cell>
          <cell r="B407">
            <v>10</v>
          </cell>
          <cell r="C407" t="str">
            <v>W</v>
          </cell>
          <cell r="D407">
            <v>36</v>
          </cell>
          <cell r="E407">
            <v>37</v>
          </cell>
          <cell r="F407">
            <v>38</v>
          </cell>
          <cell r="G407">
            <v>39</v>
          </cell>
          <cell r="H407">
            <v>40</v>
          </cell>
          <cell r="I407">
            <v>41</v>
          </cell>
          <cell r="J407">
            <v>42</v>
          </cell>
          <cell r="K407">
            <v>43</v>
          </cell>
          <cell r="L407">
            <v>44</v>
          </cell>
          <cell r="M407">
            <v>45</v>
          </cell>
          <cell r="N407">
            <v>46</v>
          </cell>
          <cell r="O407">
            <v>47</v>
          </cell>
          <cell r="P407">
            <v>48</v>
          </cell>
        </row>
        <row r="408">
          <cell r="A408">
            <v>39383</v>
          </cell>
          <cell r="B408">
            <v>10</v>
          </cell>
          <cell r="C408" t="str">
            <v>W</v>
          </cell>
          <cell r="D408">
            <v>45</v>
          </cell>
          <cell r="E408">
            <v>46</v>
          </cell>
          <cell r="F408">
            <v>47</v>
          </cell>
          <cell r="G408">
            <v>48</v>
          </cell>
          <cell r="H408">
            <v>49</v>
          </cell>
          <cell r="I408">
            <v>50</v>
          </cell>
          <cell r="J408">
            <v>51</v>
          </cell>
          <cell r="K408">
            <v>52</v>
          </cell>
          <cell r="L408">
            <v>53</v>
          </cell>
          <cell r="M408">
            <v>54</v>
          </cell>
          <cell r="N408">
            <v>55</v>
          </cell>
          <cell r="O408">
            <v>56</v>
          </cell>
          <cell r="P408">
            <v>57</v>
          </cell>
        </row>
        <row r="409">
          <cell r="A409">
            <v>39384</v>
          </cell>
          <cell r="B409">
            <v>10</v>
          </cell>
          <cell r="C409" t="str">
            <v>W</v>
          </cell>
          <cell r="D409">
            <v>46</v>
          </cell>
          <cell r="E409">
            <v>47</v>
          </cell>
          <cell r="F409">
            <v>48</v>
          </cell>
          <cell r="G409">
            <v>49</v>
          </cell>
          <cell r="H409">
            <v>50</v>
          </cell>
          <cell r="I409">
            <v>51</v>
          </cell>
          <cell r="J409">
            <v>52</v>
          </cell>
          <cell r="K409">
            <v>53</v>
          </cell>
          <cell r="L409">
            <v>54</v>
          </cell>
          <cell r="M409">
            <v>55</v>
          </cell>
          <cell r="N409">
            <v>56</v>
          </cell>
          <cell r="O409">
            <v>57</v>
          </cell>
          <cell r="P409">
            <v>58</v>
          </cell>
        </row>
        <row r="410">
          <cell r="A410">
            <v>39385</v>
          </cell>
          <cell r="B410">
            <v>10</v>
          </cell>
          <cell r="C410" t="str">
            <v>W</v>
          </cell>
          <cell r="D410">
            <v>30</v>
          </cell>
          <cell r="E410">
            <v>31</v>
          </cell>
          <cell r="F410">
            <v>32</v>
          </cell>
          <cell r="G410">
            <v>33</v>
          </cell>
          <cell r="H410">
            <v>34</v>
          </cell>
          <cell r="I410">
            <v>35</v>
          </cell>
          <cell r="J410">
            <v>36</v>
          </cell>
          <cell r="K410">
            <v>37</v>
          </cell>
          <cell r="L410">
            <v>38</v>
          </cell>
          <cell r="M410">
            <v>39</v>
          </cell>
          <cell r="N410">
            <v>40</v>
          </cell>
          <cell r="O410">
            <v>41</v>
          </cell>
          <cell r="P410">
            <v>42</v>
          </cell>
        </row>
        <row r="411">
          <cell r="A411">
            <v>39386</v>
          </cell>
          <cell r="B411">
            <v>10</v>
          </cell>
          <cell r="C411" t="str">
            <v>W</v>
          </cell>
          <cell r="D411">
            <v>29</v>
          </cell>
          <cell r="E411">
            <v>30</v>
          </cell>
          <cell r="F411">
            <v>31</v>
          </cell>
          <cell r="G411">
            <v>32</v>
          </cell>
          <cell r="H411">
            <v>33</v>
          </cell>
          <cell r="I411">
            <v>34</v>
          </cell>
          <cell r="J411">
            <v>35</v>
          </cell>
          <cell r="K411">
            <v>36</v>
          </cell>
          <cell r="L411">
            <v>37</v>
          </cell>
          <cell r="M411">
            <v>38</v>
          </cell>
          <cell r="N411">
            <v>39</v>
          </cell>
          <cell r="O411">
            <v>40</v>
          </cell>
          <cell r="P411">
            <v>41</v>
          </cell>
        </row>
        <row r="412">
          <cell r="A412">
            <v>39387</v>
          </cell>
          <cell r="B412">
            <v>11</v>
          </cell>
          <cell r="C412" t="str">
            <v>W</v>
          </cell>
          <cell r="D412">
            <v>30</v>
          </cell>
          <cell r="E412">
            <v>31</v>
          </cell>
          <cell r="F412">
            <v>32</v>
          </cell>
          <cell r="G412">
            <v>33</v>
          </cell>
          <cell r="H412">
            <v>34</v>
          </cell>
          <cell r="I412">
            <v>35</v>
          </cell>
          <cell r="J412">
            <v>36</v>
          </cell>
          <cell r="K412">
            <v>37</v>
          </cell>
          <cell r="L412">
            <v>38</v>
          </cell>
          <cell r="M412">
            <v>39</v>
          </cell>
          <cell r="N412">
            <v>40</v>
          </cell>
          <cell r="O412">
            <v>41</v>
          </cell>
          <cell r="P412">
            <v>42</v>
          </cell>
        </row>
        <row r="413">
          <cell r="A413">
            <v>39388</v>
          </cell>
          <cell r="B413">
            <v>11</v>
          </cell>
          <cell r="C413" t="str">
            <v>W</v>
          </cell>
          <cell r="D413">
            <v>39</v>
          </cell>
          <cell r="E413">
            <v>40</v>
          </cell>
          <cell r="F413">
            <v>41</v>
          </cell>
          <cell r="G413">
            <v>42</v>
          </cell>
          <cell r="H413">
            <v>43</v>
          </cell>
          <cell r="I413">
            <v>44</v>
          </cell>
          <cell r="J413">
            <v>45</v>
          </cell>
          <cell r="K413">
            <v>46</v>
          </cell>
          <cell r="L413">
            <v>47</v>
          </cell>
          <cell r="M413">
            <v>48</v>
          </cell>
          <cell r="N413">
            <v>49</v>
          </cell>
          <cell r="O413">
            <v>50</v>
          </cell>
          <cell r="P413">
            <v>51</v>
          </cell>
        </row>
        <row r="414">
          <cell r="A414">
            <v>39389</v>
          </cell>
          <cell r="B414">
            <v>11</v>
          </cell>
          <cell r="C414" t="str">
            <v>W</v>
          </cell>
          <cell r="D414">
            <v>36</v>
          </cell>
          <cell r="E414">
            <v>37</v>
          </cell>
          <cell r="F414">
            <v>38</v>
          </cell>
          <cell r="G414">
            <v>39</v>
          </cell>
          <cell r="H414">
            <v>40</v>
          </cell>
          <cell r="I414">
            <v>41</v>
          </cell>
          <cell r="J414">
            <v>42</v>
          </cell>
          <cell r="K414">
            <v>43</v>
          </cell>
          <cell r="L414">
            <v>44</v>
          </cell>
          <cell r="M414">
            <v>45</v>
          </cell>
          <cell r="N414">
            <v>46</v>
          </cell>
          <cell r="O414">
            <v>47</v>
          </cell>
          <cell r="P414">
            <v>48</v>
          </cell>
        </row>
        <row r="415">
          <cell r="A415">
            <v>39390</v>
          </cell>
          <cell r="B415">
            <v>11</v>
          </cell>
          <cell r="C415" t="str">
            <v>W</v>
          </cell>
          <cell r="D415">
            <v>42</v>
          </cell>
          <cell r="E415">
            <v>43</v>
          </cell>
          <cell r="F415">
            <v>44</v>
          </cell>
          <cell r="G415">
            <v>45</v>
          </cell>
          <cell r="H415">
            <v>46</v>
          </cell>
          <cell r="I415">
            <v>47</v>
          </cell>
          <cell r="J415">
            <v>48</v>
          </cell>
          <cell r="K415">
            <v>49</v>
          </cell>
          <cell r="L415">
            <v>50</v>
          </cell>
          <cell r="M415">
            <v>51</v>
          </cell>
          <cell r="N415">
            <v>52</v>
          </cell>
          <cell r="O415">
            <v>53</v>
          </cell>
          <cell r="P415">
            <v>54</v>
          </cell>
        </row>
        <row r="416">
          <cell r="A416">
            <v>39391</v>
          </cell>
          <cell r="B416">
            <v>11</v>
          </cell>
          <cell r="C416" t="str">
            <v>W</v>
          </cell>
          <cell r="D416">
            <v>42</v>
          </cell>
          <cell r="E416">
            <v>43</v>
          </cell>
          <cell r="F416">
            <v>44</v>
          </cell>
          <cell r="G416">
            <v>45</v>
          </cell>
          <cell r="H416">
            <v>46</v>
          </cell>
          <cell r="I416">
            <v>47</v>
          </cell>
          <cell r="J416">
            <v>48</v>
          </cell>
          <cell r="K416">
            <v>49</v>
          </cell>
          <cell r="L416">
            <v>50</v>
          </cell>
          <cell r="M416">
            <v>51</v>
          </cell>
          <cell r="N416">
            <v>52</v>
          </cell>
          <cell r="O416">
            <v>53</v>
          </cell>
          <cell r="P416">
            <v>54</v>
          </cell>
        </row>
        <row r="417">
          <cell r="A417">
            <v>39392</v>
          </cell>
          <cell r="B417">
            <v>11</v>
          </cell>
          <cell r="C417" t="str">
            <v>W</v>
          </cell>
          <cell r="D417">
            <v>48</v>
          </cell>
          <cell r="E417">
            <v>49</v>
          </cell>
          <cell r="F417">
            <v>50</v>
          </cell>
          <cell r="G417">
            <v>51</v>
          </cell>
          <cell r="H417">
            <v>52</v>
          </cell>
          <cell r="I417">
            <v>53</v>
          </cell>
          <cell r="J417">
            <v>54</v>
          </cell>
          <cell r="K417">
            <v>55</v>
          </cell>
          <cell r="L417">
            <v>56</v>
          </cell>
          <cell r="M417">
            <v>57</v>
          </cell>
          <cell r="N417">
            <v>58</v>
          </cell>
          <cell r="O417">
            <v>59</v>
          </cell>
          <cell r="P417">
            <v>60</v>
          </cell>
        </row>
        <row r="418">
          <cell r="A418">
            <v>39393</v>
          </cell>
          <cell r="B418">
            <v>11</v>
          </cell>
          <cell r="C418" t="str">
            <v>W</v>
          </cell>
          <cell r="D418">
            <v>41</v>
          </cell>
          <cell r="E418">
            <v>42</v>
          </cell>
          <cell r="F418">
            <v>43</v>
          </cell>
          <cell r="G418">
            <v>44</v>
          </cell>
          <cell r="H418">
            <v>45</v>
          </cell>
          <cell r="I418">
            <v>46</v>
          </cell>
          <cell r="J418">
            <v>47</v>
          </cell>
          <cell r="K418">
            <v>48</v>
          </cell>
          <cell r="L418">
            <v>49</v>
          </cell>
          <cell r="M418">
            <v>50</v>
          </cell>
          <cell r="N418">
            <v>51</v>
          </cell>
          <cell r="O418">
            <v>52</v>
          </cell>
          <cell r="P418">
            <v>53</v>
          </cell>
        </row>
        <row r="419">
          <cell r="A419">
            <v>39394</v>
          </cell>
          <cell r="B419">
            <v>11</v>
          </cell>
          <cell r="C419" t="str">
            <v>W</v>
          </cell>
          <cell r="D419">
            <v>38</v>
          </cell>
          <cell r="E419">
            <v>39</v>
          </cell>
          <cell r="F419">
            <v>40</v>
          </cell>
          <cell r="G419">
            <v>41</v>
          </cell>
          <cell r="H419">
            <v>42</v>
          </cell>
          <cell r="I419">
            <v>43</v>
          </cell>
          <cell r="J419">
            <v>44</v>
          </cell>
          <cell r="K419">
            <v>45</v>
          </cell>
          <cell r="L419">
            <v>46</v>
          </cell>
          <cell r="M419">
            <v>47</v>
          </cell>
          <cell r="N419">
            <v>48</v>
          </cell>
          <cell r="O419">
            <v>49</v>
          </cell>
          <cell r="P419">
            <v>50</v>
          </cell>
        </row>
        <row r="420">
          <cell r="A420">
            <v>39395</v>
          </cell>
          <cell r="B420">
            <v>11</v>
          </cell>
          <cell r="C420" t="str">
            <v>W</v>
          </cell>
          <cell r="D420">
            <v>30</v>
          </cell>
          <cell r="E420">
            <v>31</v>
          </cell>
          <cell r="F420">
            <v>32</v>
          </cell>
          <cell r="G420">
            <v>33</v>
          </cell>
          <cell r="H420">
            <v>34</v>
          </cell>
          <cell r="I420">
            <v>35</v>
          </cell>
          <cell r="J420">
            <v>36</v>
          </cell>
          <cell r="K420">
            <v>37</v>
          </cell>
          <cell r="L420">
            <v>38</v>
          </cell>
          <cell r="M420">
            <v>39</v>
          </cell>
          <cell r="N420">
            <v>40</v>
          </cell>
          <cell r="O420">
            <v>41</v>
          </cell>
          <cell r="P420">
            <v>42</v>
          </cell>
        </row>
        <row r="421">
          <cell r="A421">
            <v>39396</v>
          </cell>
          <cell r="B421">
            <v>11</v>
          </cell>
          <cell r="C421" t="str">
            <v>W</v>
          </cell>
          <cell r="D421">
            <v>47</v>
          </cell>
          <cell r="E421">
            <v>48</v>
          </cell>
          <cell r="F421">
            <v>49</v>
          </cell>
          <cell r="G421">
            <v>50</v>
          </cell>
          <cell r="H421">
            <v>51</v>
          </cell>
          <cell r="I421">
            <v>52</v>
          </cell>
          <cell r="J421">
            <v>53</v>
          </cell>
          <cell r="K421">
            <v>54</v>
          </cell>
          <cell r="L421">
            <v>55</v>
          </cell>
          <cell r="M421">
            <v>56</v>
          </cell>
          <cell r="N421">
            <v>57</v>
          </cell>
          <cell r="O421">
            <v>58</v>
          </cell>
          <cell r="P421">
            <v>59</v>
          </cell>
        </row>
        <row r="422">
          <cell r="A422">
            <v>39397</v>
          </cell>
          <cell r="B422">
            <v>11</v>
          </cell>
          <cell r="C422" t="str">
            <v>W</v>
          </cell>
          <cell r="D422">
            <v>50</v>
          </cell>
          <cell r="E422">
            <v>51</v>
          </cell>
          <cell r="F422">
            <v>52</v>
          </cell>
          <cell r="G422">
            <v>53</v>
          </cell>
          <cell r="H422">
            <v>54</v>
          </cell>
          <cell r="I422">
            <v>55</v>
          </cell>
          <cell r="J422">
            <v>56</v>
          </cell>
          <cell r="K422">
            <v>57</v>
          </cell>
          <cell r="L422">
            <v>58</v>
          </cell>
          <cell r="M422">
            <v>59</v>
          </cell>
          <cell r="N422">
            <v>60</v>
          </cell>
          <cell r="O422">
            <v>61</v>
          </cell>
          <cell r="P422">
            <v>62</v>
          </cell>
        </row>
        <row r="423">
          <cell r="A423">
            <v>39398</v>
          </cell>
          <cell r="B423">
            <v>11</v>
          </cell>
          <cell r="C423" t="str">
            <v>W</v>
          </cell>
          <cell r="D423">
            <v>51</v>
          </cell>
          <cell r="E423">
            <v>52</v>
          </cell>
          <cell r="F423">
            <v>53</v>
          </cell>
          <cell r="G423">
            <v>54</v>
          </cell>
          <cell r="H423">
            <v>55</v>
          </cell>
          <cell r="I423">
            <v>56</v>
          </cell>
          <cell r="J423">
            <v>57</v>
          </cell>
          <cell r="K423">
            <v>58</v>
          </cell>
          <cell r="L423">
            <v>59</v>
          </cell>
          <cell r="M423">
            <v>60</v>
          </cell>
          <cell r="N423">
            <v>61</v>
          </cell>
          <cell r="O423">
            <v>62</v>
          </cell>
          <cell r="P423">
            <v>63</v>
          </cell>
        </row>
        <row r="424">
          <cell r="A424">
            <v>39399</v>
          </cell>
          <cell r="B424">
            <v>11</v>
          </cell>
          <cell r="C424" t="str">
            <v>W</v>
          </cell>
          <cell r="D424">
            <v>51</v>
          </cell>
          <cell r="E424">
            <v>52</v>
          </cell>
          <cell r="F424">
            <v>53</v>
          </cell>
          <cell r="G424">
            <v>54</v>
          </cell>
          <cell r="H424">
            <v>55</v>
          </cell>
          <cell r="I424">
            <v>56</v>
          </cell>
          <cell r="J424">
            <v>57</v>
          </cell>
          <cell r="K424">
            <v>58</v>
          </cell>
          <cell r="L424">
            <v>59</v>
          </cell>
          <cell r="M424">
            <v>60</v>
          </cell>
          <cell r="N424">
            <v>61</v>
          </cell>
          <cell r="O424">
            <v>62</v>
          </cell>
          <cell r="P424">
            <v>63</v>
          </cell>
        </row>
        <row r="425">
          <cell r="A425">
            <v>39400</v>
          </cell>
          <cell r="B425">
            <v>11</v>
          </cell>
          <cell r="C425" t="str">
            <v>W</v>
          </cell>
          <cell r="D425">
            <v>50</v>
          </cell>
          <cell r="E425">
            <v>51</v>
          </cell>
          <cell r="F425">
            <v>52</v>
          </cell>
          <cell r="G425">
            <v>53</v>
          </cell>
          <cell r="H425">
            <v>54</v>
          </cell>
          <cell r="I425">
            <v>55</v>
          </cell>
          <cell r="J425">
            <v>56</v>
          </cell>
          <cell r="K425">
            <v>57</v>
          </cell>
          <cell r="L425">
            <v>58</v>
          </cell>
          <cell r="M425">
            <v>59</v>
          </cell>
          <cell r="N425">
            <v>60</v>
          </cell>
          <cell r="O425">
            <v>61</v>
          </cell>
          <cell r="P425">
            <v>62</v>
          </cell>
        </row>
        <row r="426">
          <cell r="A426">
            <v>39401</v>
          </cell>
          <cell r="B426">
            <v>11</v>
          </cell>
          <cell r="C426" t="str">
            <v>W</v>
          </cell>
          <cell r="D426">
            <v>57</v>
          </cell>
          <cell r="E426">
            <v>58</v>
          </cell>
          <cell r="F426">
            <v>59</v>
          </cell>
          <cell r="G426">
            <v>60</v>
          </cell>
          <cell r="H426">
            <v>61</v>
          </cell>
          <cell r="I426">
            <v>62</v>
          </cell>
          <cell r="J426">
            <v>63</v>
          </cell>
          <cell r="K426">
            <v>64</v>
          </cell>
          <cell r="L426">
            <v>65</v>
          </cell>
          <cell r="M426">
            <v>66</v>
          </cell>
          <cell r="N426">
            <v>67</v>
          </cell>
          <cell r="O426">
            <v>68</v>
          </cell>
          <cell r="P426">
            <v>69</v>
          </cell>
        </row>
        <row r="427">
          <cell r="A427">
            <v>39402</v>
          </cell>
          <cell r="B427">
            <v>11</v>
          </cell>
          <cell r="C427" t="str">
            <v>W</v>
          </cell>
          <cell r="D427">
            <v>47</v>
          </cell>
          <cell r="E427">
            <v>48</v>
          </cell>
          <cell r="F427">
            <v>49</v>
          </cell>
          <cell r="G427">
            <v>50</v>
          </cell>
          <cell r="H427">
            <v>51</v>
          </cell>
          <cell r="I427">
            <v>52</v>
          </cell>
          <cell r="J427">
            <v>53</v>
          </cell>
          <cell r="K427">
            <v>54</v>
          </cell>
          <cell r="L427">
            <v>55</v>
          </cell>
          <cell r="M427">
            <v>56</v>
          </cell>
          <cell r="N427">
            <v>57</v>
          </cell>
          <cell r="O427">
            <v>58</v>
          </cell>
          <cell r="P427">
            <v>59</v>
          </cell>
        </row>
        <row r="428">
          <cell r="A428">
            <v>39403</v>
          </cell>
          <cell r="B428">
            <v>11</v>
          </cell>
          <cell r="C428" t="str">
            <v>W</v>
          </cell>
          <cell r="D428">
            <v>44</v>
          </cell>
          <cell r="E428">
            <v>45</v>
          </cell>
          <cell r="F428">
            <v>46</v>
          </cell>
          <cell r="G428">
            <v>47</v>
          </cell>
          <cell r="H428">
            <v>48</v>
          </cell>
          <cell r="I428">
            <v>49</v>
          </cell>
          <cell r="J428">
            <v>50</v>
          </cell>
          <cell r="K428">
            <v>51</v>
          </cell>
          <cell r="L428">
            <v>52</v>
          </cell>
          <cell r="M428">
            <v>53</v>
          </cell>
          <cell r="N428">
            <v>54</v>
          </cell>
          <cell r="O428">
            <v>55</v>
          </cell>
          <cell r="P428">
            <v>56</v>
          </cell>
        </row>
        <row r="429">
          <cell r="A429">
            <v>39404</v>
          </cell>
          <cell r="B429">
            <v>11</v>
          </cell>
          <cell r="C429" t="str">
            <v>W</v>
          </cell>
          <cell r="D429">
            <v>44</v>
          </cell>
          <cell r="E429">
            <v>45</v>
          </cell>
          <cell r="F429">
            <v>46</v>
          </cell>
          <cell r="G429">
            <v>47</v>
          </cell>
          <cell r="H429">
            <v>48</v>
          </cell>
          <cell r="I429">
            <v>49</v>
          </cell>
          <cell r="J429">
            <v>50</v>
          </cell>
          <cell r="K429">
            <v>51</v>
          </cell>
          <cell r="L429">
            <v>52</v>
          </cell>
          <cell r="M429">
            <v>53</v>
          </cell>
          <cell r="N429">
            <v>54</v>
          </cell>
          <cell r="O429">
            <v>55</v>
          </cell>
          <cell r="P429">
            <v>56</v>
          </cell>
        </row>
        <row r="430">
          <cell r="A430">
            <v>39405</v>
          </cell>
          <cell r="B430">
            <v>11</v>
          </cell>
          <cell r="C430" t="str">
            <v>W</v>
          </cell>
          <cell r="D430">
            <v>57</v>
          </cell>
          <cell r="E430">
            <v>58</v>
          </cell>
          <cell r="F430">
            <v>59</v>
          </cell>
          <cell r="G430">
            <v>60</v>
          </cell>
          <cell r="H430">
            <v>61</v>
          </cell>
          <cell r="I430">
            <v>62</v>
          </cell>
          <cell r="J430">
            <v>63</v>
          </cell>
          <cell r="K430">
            <v>64</v>
          </cell>
          <cell r="L430">
            <v>65</v>
          </cell>
          <cell r="M430">
            <v>66</v>
          </cell>
          <cell r="N430">
            <v>67</v>
          </cell>
          <cell r="O430">
            <v>68</v>
          </cell>
          <cell r="P430">
            <v>69</v>
          </cell>
        </row>
        <row r="431">
          <cell r="A431">
            <v>39406</v>
          </cell>
          <cell r="B431">
            <v>11</v>
          </cell>
          <cell r="C431" t="str">
            <v>W</v>
          </cell>
          <cell r="D431">
            <v>39</v>
          </cell>
          <cell r="E431">
            <v>40</v>
          </cell>
          <cell r="F431">
            <v>41</v>
          </cell>
          <cell r="G431">
            <v>42</v>
          </cell>
          <cell r="H431">
            <v>43</v>
          </cell>
          <cell r="I431">
            <v>44</v>
          </cell>
          <cell r="J431">
            <v>45</v>
          </cell>
          <cell r="K431">
            <v>46</v>
          </cell>
          <cell r="L431">
            <v>47</v>
          </cell>
          <cell r="M431">
            <v>48</v>
          </cell>
          <cell r="N431">
            <v>49</v>
          </cell>
          <cell r="O431">
            <v>50</v>
          </cell>
          <cell r="P431">
            <v>51</v>
          </cell>
        </row>
        <row r="432">
          <cell r="A432">
            <v>39407</v>
          </cell>
          <cell r="B432">
            <v>11</v>
          </cell>
          <cell r="C432" t="str">
            <v>W</v>
          </cell>
          <cell r="D432">
            <v>29</v>
          </cell>
          <cell r="E432">
            <v>30</v>
          </cell>
          <cell r="F432">
            <v>31</v>
          </cell>
          <cell r="G432">
            <v>32</v>
          </cell>
          <cell r="H432">
            <v>33</v>
          </cell>
          <cell r="I432">
            <v>34</v>
          </cell>
          <cell r="J432">
            <v>35</v>
          </cell>
          <cell r="K432">
            <v>36</v>
          </cell>
          <cell r="L432">
            <v>37</v>
          </cell>
          <cell r="M432">
            <v>38</v>
          </cell>
          <cell r="N432">
            <v>39</v>
          </cell>
          <cell r="O432">
            <v>40</v>
          </cell>
          <cell r="P432">
            <v>41</v>
          </cell>
        </row>
        <row r="433">
          <cell r="A433">
            <v>39408</v>
          </cell>
          <cell r="B433">
            <v>11</v>
          </cell>
          <cell r="C433" t="str">
            <v>W</v>
          </cell>
          <cell r="D433">
            <v>21</v>
          </cell>
          <cell r="E433">
            <v>22</v>
          </cell>
          <cell r="F433">
            <v>23</v>
          </cell>
          <cell r="G433">
            <v>24</v>
          </cell>
          <cell r="H433">
            <v>25</v>
          </cell>
          <cell r="I433">
            <v>26</v>
          </cell>
          <cell r="J433">
            <v>27</v>
          </cell>
          <cell r="K433">
            <v>28</v>
          </cell>
          <cell r="L433">
            <v>29</v>
          </cell>
          <cell r="M433">
            <v>30</v>
          </cell>
          <cell r="N433">
            <v>31</v>
          </cell>
          <cell r="O433">
            <v>32</v>
          </cell>
          <cell r="P433">
            <v>33</v>
          </cell>
        </row>
        <row r="434">
          <cell r="A434">
            <v>39409</v>
          </cell>
          <cell r="B434">
            <v>11</v>
          </cell>
          <cell r="C434" t="str">
            <v>W</v>
          </cell>
          <cell r="D434">
            <v>28</v>
          </cell>
          <cell r="E434">
            <v>29</v>
          </cell>
          <cell r="F434">
            <v>30</v>
          </cell>
          <cell r="G434">
            <v>31</v>
          </cell>
          <cell r="H434">
            <v>32</v>
          </cell>
          <cell r="I434">
            <v>33</v>
          </cell>
          <cell r="J434">
            <v>34</v>
          </cell>
          <cell r="K434">
            <v>35</v>
          </cell>
          <cell r="L434">
            <v>36</v>
          </cell>
          <cell r="M434">
            <v>37</v>
          </cell>
          <cell r="N434">
            <v>38</v>
          </cell>
          <cell r="O434">
            <v>39</v>
          </cell>
          <cell r="P434">
            <v>40</v>
          </cell>
        </row>
        <row r="435">
          <cell r="A435">
            <v>39410</v>
          </cell>
          <cell r="B435">
            <v>11</v>
          </cell>
          <cell r="C435" t="str">
            <v>W</v>
          </cell>
          <cell r="D435">
            <v>38</v>
          </cell>
          <cell r="E435">
            <v>39</v>
          </cell>
          <cell r="F435">
            <v>40</v>
          </cell>
          <cell r="G435">
            <v>41</v>
          </cell>
          <cell r="H435">
            <v>42</v>
          </cell>
          <cell r="I435">
            <v>43</v>
          </cell>
          <cell r="J435">
            <v>44</v>
          </cell>
          <cell r="K435">
            <v>45</v>
          </cell>
          <cell r="L435">
            <v>46</v>
          </cell>
          <cell r="M435">
            <v>47</v>
          </cell>
          <cell r="N435">
            <v>48</v>
          </cell>
          <cell r="O435">
            <v>49</v>
          </cell>
          <cell r="P435">
            <v>50</v>
          </cell>
        </row>
        <row r="436">
          <cell r="A436">
            <v>39411</v>
          </cell>
          <cell r="B436">
            <v>11</v>
          </cell>
          <cell r="C436" t="str">
            <v>W</v>
          </cell>
          <cell r="D436">
            <v>40</v>
          </cell>
          <cell r="E436">
            <v>41</v>
          </cell>
          <cell r="F436">
            <v>42</v>
          </cell>
          <cell r="G436">
            <v>43</v>
          </cell>
          <cell r="H436">
            <v>44</v>
          </cell>
          <cell r="I436">
            <v>45</v>
          </cell>
          <cell r="J436">
            <v>46</v>
          </cell>
          <cell r="K436">
            <v>47</v>
          </cell>
          <cell r="L436">
            <v>48</v>
          </cell>
          <cell r="M436">
            <v>49</v>
          </cell>
          <cell r="N436">
            <v>50</v>
          </cell>
          <cell r="O436">
            <v>51</v>
          </cell>
          <cell r="P436">
            <v>52</v>
          </cell>
        </row>
        <row r="437">
          <cell r="A437">
            <v>39412</v>
          </cell>
          <cell r="B437">
            <v>11</v>
          </cell>
          <cell r="C437" t="str">
            <v>W</v>
          </cell>
          <cell r="D437">
            <v>37</v>
          </cell>
          <cell r="E437">
            <v>38</v>
          </cell>
          <cell r="F437">
            <v>39</v>
          </cell>
          <cell r="G437">
            <v>40</v>
          </cell>
          <cell r="H437">
            <v>41</v>
          </cell>
          <cell r="I437">
            <v>42</v>
          </cell>
          <cell r="J437">
            <v>43</v>
          </cell>
          <cell r="K437">
            <v>44</v>
          </cell>
          <cell r="L437">
            <v>45</v>
          </cell>
          <cell r="M437">
            <v>46</v>
          </cell>
          <cell r="N437">
            <v>47</v>
          </cell>
          <cell r="O437">
            <v>48</v>
          </cell>
          <cell r="P437">
            <v>49</v>
          </cell>
        </row>
        <row r="438">
          <cell r="A438">
            <v>39413</v>
          </cell>
          <cell r="B438">
            <v>11</v>
          </cell>
          <cell r="C438" t="str">
            <v>W</v>
          </cell>
          <cell r="D438">
            <v>43</v>
          </cell>
          <cell r="E438">
            <v>44</v>
          </cell>
          <cell r="F438">
            <v>45</v>
          </cell>
          <cell r="G438">
            <v>46</v>
          </cell>
          <cell r="H438">
            <v>47</v>
          </cell>
          <cell r="I438">
            <v>48</v>
          </cell>
          <cell r="J438">
            <v>49</v>
          </cell>
          <cell r="K438">
            <v>50</v>
          </cell>
          <cell r="L438">
            <v>51</v>
          </cell>
          <cell r="M438">
            <v>52</v>
          </cell>
          <cell r="N438">
            <v>53</v>
          </cell>
          <cell r="O438">
            <v>54</v>
          </cell>
          <cell r="P438">
            <v>55</v>
          </cell>
        </row>
        <row r="439">
          <cell r="A439">
            <v>39414</v>
          </cell>
          <cell r="B439">
            <v>11</v>
          </cell>
          <cell r="C439" t="str">
            <v>W</v>
          </cell>
          <cell r="D439">
            <v>50</v>
          </cell>
          <cell r="E439">
            <v>51</v>
          </cell>
          <cell r="F439">
            <v>52</v>
          </cell>
          <cell r="G439">
            <v>53</v>
          </cell>
          <cell r="H439">
            <v>54</v>
          </cell>
          <cell r="I439">
            <v>55</v>
          </cell>
          <cell r="J439">
            <v>56</v>
          </cell>
          <cell r="K439">
            <v>57</v>
          </cell>
          <cell r="L439">
            <v>58</v>
          </cell>
          <cell r="M439">
            <v>59</v>
          </cell>
          <cell r="N439">
            <v>60</v>
          </cell>
          <cell r="O439">
            <v>61</v>
          </cell>
          <cell r="P439">
            <v>62</v>
          </cell>
        </row>
        <row r="440">
          <cell r="A440">
            <v>39415</v>
          </cell>
          <cell r="B440">
            <v>11</v>
          </cell>
          <cell r="C440" t="str">
            <v>W</v>
          </cell>
          <cell r="D440">
            <v>49</v>
          </cell>
          <cell r="E440">
            <v>50</v>
          </cell>
          <cell r="F440">
            <v>51</v>
          </cell>
          <cell r="G440">
            <v>52</v>
          </cell>
          <cell r="H440">
            <v>53</v>
          </cell>
          <cell r="I440">
            <v>54</v>
          </cell>
          <cell r="J440">
            <v>55</v>
          </cell>
          <cell r="K440">
            <v>56</v>
          </cell>
          <cell r="L440">
            <v>57</v>
          </cell>
          <cell r="M440">
            <v>58</v>
          </cell>
          <cell r="N440">
            <v>59</v>
          </cell>
          <cell r="O440">
            <v>60</v>
          </cell>
          <cell r="P440">
            <v>61</v>
          </cell>
        </row>
        <row r="441">
          <cell r="A441">
            <v>39416</v>
          </cell>
          <cell r="B441">
            <v>11</v>
          </cell>
          <cell r="C441" t="str">
            <v>W</v>
          </cell>
          <cell r="D441">
            <v>48</v>
          </cell>
          <cell r="E441">
            <v>49</v>
          </cell>
          <cell r="F441">
            <v>50</v>
          </cell>
          <cell r="G441">
            <v>51</v>
          </cell>
          <cell r="H441">
            <v>52</v>
          </cell>
          <cell r="I441">
            <v>53</v>
          </cell>
          <cell r="J441">
            <v>54</v>
          </cell>
          <cell r="K441">
            <v>55</v>
          </cell>
          <cell r="L441">
            <v>56</v>
          </cell>
          <cell r="M441">
            <v>57</v>
          </cell>
          <cell r="N441">
            <v>58</v>
          </cell>
          <cell r="O441">
            <v>59</v>
          </cell>
          <cell r="P441">
            <v>60</v>
          </cell>
        </row>
        <row r="442">
          <cell r="A442">
            <v>39417</v>
          </cell>
          <cell r="B442">
            <v>12</v>
          </cell>
          <cell r="C442" t="str">
            <v>W</v>
          </cell>
          <cell r="D442">
            <v>55</v>
          </cell>
          <cell r="E442">
            <v>56</v>
          </cell>
          <cell r="F442">
            <v>57</v>
          </cell>
          <cell r="G442">
            <v>58</v>
          </cell>
          <cell r="H442">
            <v>59</v>
          </cell>
          <cell r="I442">
            <v>60</v>
          </cell>
          <cell r="J442">
            <v>61</v>
          </cell>
          <cell r="K442">
            <v>62</v>
          </cell>
          <cell r="L442">
            <v>63</v>
          </cell>
          <cell r="M442">
            <v>64</v>
          </cell>
          <cell r="N442">
            <v>65</v>
          </cell>
          <cell r="O442">
            <v>66</v>
          </cell>
          <cell r="P442">
            <v>67</v>
          </cell>
        </row>
        <row r="443">
          <cell r="A443">
            <v>39418</v>
          </cell>
          <cell r="B443">
            <v>12</v>
          </cell>
          <cell r="C443" t="str">
            <v>W</v>
          </cell>
          <cell r="D443">
            <v>46</v>
          </cell>
          <cell r="E443">
            <v>47</v>
          </cell>
          <cell r="F443">
            <v>48</v>
          </cell>
          <cell r="G443">
            <v>49</v>
          </cell>
          <cell r="H443">
            <v>50</v>
          </cell>
          <cell r="I443">
            <v>51</v>
          </cell>
          <cell r="J443">
            <v>52</v>
          </cell>
          <cell r="K443">
            <v>53</v>
          </cell>
          <cell r="L443">
            <v>54</v>
          </cell>
          <cell r="M443">
            <v>55</v>
          </cell>
          <cell r="N443">
            <v>56</v>
          </cell>
          <cell r="O443">
            <v>57</v>
          </cell>
          <cell r="P443">
            <v>58</v>
          </cell>
        </row>
        <row r="444">
          <cell r="A444">
            <v>39419</v>
          </cell>
          <cell r="B444">
            <v>12</v>
          </cell>
          <cell r="C444" t="str">
            <v>W</v>
          </cell>
          <cell r="D444">
            <v>56</v>
          </cell>
          <cell r="E444">
            <v>57</v>
          </cell>
          <cell r="F444">
            <v>58</v>
          </cell>
          <cell r="G444">
            <v>59</v>
          </cell>
          <cell r="H444">
            <v>60</v>
          </cell>
          <cell r="I444">
            <v>61</v>
          </cell>
          <cell r="J444">
            <v>62</v>
          </cell>
          <cell r="K444">
            <v>63</v>
          </cell>
          <cell r="L444">
            <v>64</v>
          </cell>
          <cell r="M444">
            <v>65</v>
          </cell>
          <cell r="N444">
            <v>66</v>
          </cell>
          <cell r="O444">
            <v>67</v>
          </cell>
          <cell r="P444">
            <v>68</v>
          </cell>
        </row>
        <row r="445">
          <cell r="A445">
            <v>39420</v>
          </cell>
          <cell r="B445">
            <v>12</v>
          </cell>
          <cell r="C445" t="str">
            <v>W</v>
          </cell>
          <cell r="D445">
            <v>63</v>
          </cell>
          <cell r="E445">
            <v>64</v>
          </cell>
          <cell r="F445">
            <v>65</v>
          </cell>
          <cell r="G445">
            <v>66</v>
          </cell>
          <cell r="H445">
            <v>67</v>
          </cell>
          <cell r="I445">
            <v>68</v>
          </cell>
          <cell r="J445">
            <v>69</v>
          </cell>
          <cell r="K445">
            <v>70</v>
          </cell>
          <cell r="L445">
            <v>71</v>
          </cell>
          <cell r="M445">
            <v>72</v>
          </cell>
          <cell r="N445">
            <v>73</v>
          </cell>
          <cell r="O445">
            <v>74</v>
          </cell>
          <cell r="P445">
            <v>75</v>
          </cell>
        </row>
        <row r="446">
          <cell r="A446">
            <v>39421</v>
          </cell>
          <cell r="B446">
            <v>12</v>
          </cell>
          <cell r="C446" t="str">
            <v>W</v>
          </cell>
          <cell r="D446">
            <v>54</v>
          </cell>
          <cell r="E446">
            <v>55</v>
          </cell>
          <cell r="F446">
            <v>56</v>
          </cell>
          <cell r="G446">
            <v>57</v>
          </cell>
          <cell r="H446">
            <v>58</v>
          </cell>
          <cell r="I446">
            <v>59</v>
          </cell>
          <cell r="J446">
            <v>60</v>
          </cell>
          <cell r="K446">
            <v>61</v>
          </cell>
          <cell r="L446">
            <v>62</v>
          </cell>
          <cell r="M446">
            <v>63</v>
          </cell>
          <cell r="N446">
            <v>64</v>
          </cell>
          <cell r="O446">
            <v>65</v>
          </cell>
          <cell r="P446">
            <v>66</v>
          </cell>
        </row>
        <row r="447">
          <cell r="A447">
            <v>39422</v>
          </cell>
          <cell r="B447">
            <v>12</v>
          </cell>
          <cell r="C447" t="str">
            <v>W</v>
          </cell>
          <cell r="D447">
            <v>52</v>
          </cell>
          <cell r="E447">
            <v>53</v>
          </cell>
          <cell r="F447">
            <v>54</v>
          </cell>
          <cell r="G447">
            <v>55</v>
          </cell>
          <cell r="H447">
            <v>56</v>
          </cell>
          <cell r="I447">
            <v>57</v>
          </cell>
          <cell r="J447">
            <v>58</v>
          </cell>
          <cell r="K447">
            <v>59</v>
          </cell>
          <cell r="L447">
            <v>60</v>
          </cell>
          <cell r="M447">
            <v>61</v>
          </cell>
          <cell r="N447">
            <v>62</v>
          </cell>
          <cell r="O447">
            <v>63</v>
          </cell>
          <cell r="P447">
            <v>64</v>
          </cell>
        </row>
        <row r="448">
          <cell r="A448">
            <v>39423</v>
          </cell>
          <cell r="B448">
            <v>12</v>
          </cell>
          <cell r="C448" t="str">
            <v>W</v>
          </cell>
          <cell r="D448">
            <v>40</v>
          </cell>
          <cell r="E448">
            <v>41</v>
          </cell>
          <cell r="F448">
            <v>42</v>
          </cell>
          <cell r="G448">
            <v>43</v>
          </cell>
          <cell r="H448">
            <v>44</v>
          </cell>
          <cell r="I448">
            <v>45</v>
          </cell>
          <cell r="J448">
            <v>46</v>
          </cell>
          <cell r="K448">
            <v>47</v>
          </cell>
          <cell r="L448">
            <v>48</v>
          </cell>
          <cell r="M448">
            <v>49</v>
          </cell>
          <cell r="N448">
            <v>50</v>
          </cell>
          <cell r="O448">
            <v>51</v>
          </cell>
          <cell r="P448">
            <v>52</v>
          </cell>
        </row>
        <row r="449">
          <cell r="A449">
            <v>39424</v>
          </cell>
          <cell r="B449">
            <v>12</v>
          </cell>
          <cell r="C449" t="str">
            <v>W</v>
          </cell>
          <cell r="D449">
            <v>43</v>
          </cell>
          <cell r="E449">
            <v>44</v>
          </cell>
          <cell r="F449">
            <v>45</v>
          </cell>
          <cell r="G449">
            <v>46</v>
          </cell>
          <cell r="H449">
            <v>47</v>
          </cell>
          <cell r="I449">
            <v>48</v>
          </cell>
          <cell r="J449">
            <v>49</v>
          </cell>
          <cell r="K449">
            <v>50</v>
          </cell>
          <cell r="L449">
            <v>51</v>
          </cell>
          <cell r="M449">
            <v>52</v>
          </cell>
          <cell r="N449">
            <v>53</v>
          </cell>
          <cell r="O449">
            <v>54</v>
          </cell>
          <cell r="P449">
            <v>55</v>
          </cell>
        </row>
        <row r="450">
          <cell r="A450">
            <v>39425</v>
          </cell>
          <cell r="B450">
            <v>12</v>
          </cell>
          <cell r="C450" t="str">
            <v>W</v>
          </cell>
          <cell r="D450">
            <v>37</v>
          </cell>
          <cell r="E450">
            <v>38</v>
          </cell>
          <cell r="F450">
            <v>39</v>
          </cell>
          <cell r="G450">
            <v>40</v>
          </cell>
          <cell r="H450">
            <v>41</v>
          </cell>
          <cell r="I450">
            <v>42</v>
          </cell>
          <cell r="J450">
            <v>43</v>
          </cell>
          <cell r="K450">
            <v>44</v>
          </cell>
          <cell r="L450">
            <v>45</v>
          </cell>
          <cell r="M450">
            <v>46</v>
          </cell>
          <cell r="N450">
            <v>47</v>
          </cell>
          <cell r="O450">
            <v>48</v>
          </cell>
          <cell r="P450">
            <v>49</v>
          </cell>
        </row>
        <row r="451">
          <cell r="A451">
            <v>39426</v>
          </cell>
          <cell r="B451">
            <v>12</v>
          </cell>
          <cell r="C451" t="str">
            <v>W</v>
          </cell>
          <cell r="D451">
            <v>41</v>
          </cell>
          <cell r="E451">
            <v>42</v>
          </cell>
          <cell r="F451">
            <v>43</v>
          </cell>
          <cell r="G451">
            <v>44</v>
          </cell>
          <cell r="H451">
            <v>45</v>
          </cell>
          <cell r="I451">
            <v>46</v>
          </cell>
          <cell r="J451">
            <v>47</v>
          </cell>
          <cell r="K451">
            <v>48</v>
          </cell>
          <cell r="L451">
            <v>49</v>
          </cell>
          <cell r="M451">
            <v>50</v>
          </cell>
          <cell r="N451">
            <v>51</v>
          </cell>
          <cell r="O451">
            <v>52</v>
          </cell>
          <cell r="P451">
            <v>53</v>
          </cell>
        </row>
        <row r="452">
          <cell r="A452">
            <v>39427</v>
          </cell>
          <cell r="B452">
            <v>12</v>
          </cell>
          <cell r="C452" t="str">
            <v>W</v>
          </cell>
          <cell r="D452">
            <v>36</v>
          </cell>
          <cell r="E452">
            <v>37</v>
          </cell>
          <cell r="F452">
            <v>38</v>
          </cell>
          <cell r="G452">
            <v>39</v>
          </cell>
          <cell r="H452">
            <v>40</v>
          </cell>
          <cell r="I452">
            <v>41</v>
          </cell>
          <cell r="J452">
            <v>42</v>
          </cell>
          <cell r="K452">
            <v>43</v>
          </cell>
          <cell r="L452">
            <v>44</v>
          </cell>
          <cell r="M452">
            <v>45</v>
          </cell>
          <cell r="N452">
            <v>46</v>
          </cell>
          <cell r="O452">
            <v>47</v>
          </cell>
          <cell r="P452">
            <v>48</v>
          </cell>
        </row>
        <row r="453">
          <cell r="A453">
            <v>39428</v>
          </cell>
          <cell r="B453">
            <v>12</v>
          </cell>
          <cell r="C453" t="str">
            <v>W</v>
          </cell>
          <cell r="D453">
            <v>39</v>
          </cell>
          <cell r="E453">
            <v>40</v>
          </cell>
          <cell r="F453">
            <v>41</v>
          </cell>
          <cell r="G453">
            <v>42</v>
          </cell>
          <cell r="H453">
            <v>43</v>
          </cell>
          <cell r="I453">
            <v>44</v>
          </cell>
          <cell r="J453">
            <v>45</v>
          </cell>
          <cell r="K453">
            <v>46</v>
          </cell>
          <cell r="L453">
            <v>47</v>
          </cell>
          <cell r="M453">
            <v>48</v>
          </cell>
          <cell r="N453">
            <v>49</v>
          </cell>
          <cell r="O453">
            <v>50</v>
          </cell>
          <cell r="P453">
            <v>51</v>
          </cell>
        </row>
        <row r="454">
          <cell r="A454">
            <v>39429</v>
          </cell>
          <cell r="B454">
            <v>12</v>
          </cell>
          <cell r="C454" t="str">
            <v>W</v>
          </cell>
          <cell r="D454">
            <v>42</v>
          </cell>
          <cell r="E454">
            <v>43</v>
          </cell>
          <cell r="F454">
            <v>44</v>
          </cell>
          <cell r="G454">
            <v>45</v>
          </cell>
          <cell r="H454">
            <v>46</v>
          </cell>
          <cell r="I454">
            <v>47</v>
          </cell>
          <cell r="J454">
            <v>48</v>
          </cell>
          <cell r="K454">
            <v>49</v>
          </cell>
          <cell r="L454">
            <v>50</v>
          </cell>
          <cell r="M454">
            <v>51</v>
          </cell>
          <cell r="N454">
            <v>52</v>
          </cell>
          <cell r="O454">
            <v>53</v>
          </cell>
          <cell r="P454">
            <v>54</v>
          </cell>
        </row>
        <row r="455">
          <cell r="A455">
            <v>39430</v>
          </cell>
          <cell r="B455">
            <v>12</v>
          </cell>
          <cell r="C455" t="str">
            <v>W</v>
          </cell>
          <cell r="D455">
            <v>45</v>
          </cell>
          <cell r="E455">
            <v>46</v>
          </cell>
          <cell r="F455">
            <v>47</v>
          </cell>
          <cell r="G455">
            <v>48</v>
          </cell>
          <cell r="H455">
            <v>49</v>
          </cell>
          <cell r="I455">
            <v>50</v>
          </cell>
          <cell r="J455">
            <v>51</v>
          </cell>
          <cell r="K455">
            <v>52</v>
          </cell>
          <cell r="L455">
            <v>53</v>
          </cell>
          <cell r="M455">
            <v>54</v>
          </cell>
          <cell r="N455">
            <v>55</v>
          </cell>
          <cell r="O455">
            <v>56</v>
          </cell>
          <cell r="P455">
            <v>57</v>
          </cell>
        </row>
        <row r="456">
          <cell r="A456">
            <v>39431</v>
          </cell>
          <cell r="B456">
            <v>12</v>
          </cell>
          <cell r="C456" t="str">
            <v>W</v>
          </cell>
          <cell r="D456">
            <v>57</v>
          </cell>
          <cell r="E456">
            <v>58</v>
          </cell>
          <cell r="F456">
            <v>59</v>
          </cell>
          <cell r="G456">
            <v>60</v>
          </cell>
          <cell r="H456">
            <v>61</v>
          </cell>
          <cell r="I456">
            <v>62</v>
          </cell>
          <cell r="J456">
            <v>63</v>
          </cell>
          <cell r="K456">
            <v>64</v>
          </cell>
          <cell r="L456">
            <v>65</v>
          </cell>
          <cell r="M456">
            <v>66</v>
          </cell>
          <cell r="N456">
            <v>67</v>
          </cell>
          <cell r="O456">
            <v>68</v>
          </cell>
          <cell r="P456">
            <v>69</v>
          </cell>
        </row>
        <row r="457">
          <cell r="A457">
            <v>39432</v>
          </cell>
          <cell r="B457">
            <v>12</v>
          </cell>
          <cell r="C457" t="str">
            <v>W</v>
          </cell>
          <cell r="D457">
            <v>70</v>
          </cell>
          <cell r="E457">
            <v>71</v>
          </cell>
          <cell r="F457">
            <v>72</v>
          </cell>
          <cell r="G457">
            <v>73</v>
          </cell>
          <cell r="H457">
            <v>74</v>
          </cell>
          <cell r="I457">
            <v>75</v>
          </cell>
          <cell r="J457">
            <v>76</v>
          </cell>
          <cell r="K457">
            <v>77</v>
          </cell>
          <cell r="L457">
            <v>78</v>
          </cell>
          <cell r="M457">
            <v>79</v>
          </cell>
          <cell r="N457">
            <v>80</v>
          </cell>
          <cell r="O457">
            <v>81</v>
          </cell>
          <cell r="P457">
            <v>82</v>
          </cell>
        </row>
        <row r="458">
          <cell r="A458">
            <v>39433</v>
          </cell>
          <cell r="B458">
            <v>12</v>
          </cell>
          <cell r="C458" t="str">
            <v>W</v>
          </cell>
          <cell r="D458">
            <v>71</v>
          </cell>
          <cell r="E458">
            <v>72</v>
          </cell>
          <cell r="F458">
            <v>73</v>
          </cell>
          <cell r="G458">
            <v>74</v>
          </cell>
          <cell r="H458">
            <v>75</v>
          </cell>
          <cell r="I458">
            <v>76</v>
          </cell>
          <cell r="J458">
            <v>77</v>
          </cell>
          <cell r="K458">
            <v>78</v>
          </cell>
          <cell r="L458">
            <v>79</v>
          </cell>
          <cell r="M458">
            <v>80</v>
          </cell>
          <cell r="N458">
            <v>81</v>
          </cell>
          <cell r="O458">
            <v>82</v>
          </cell>
          <cell r="P458">
            <v>83</v>
          </cell>
        </row>
        <row r="459">
          <cell r="A459">
            <v>39434</v>
          </cell>
          <cell r="B459">
            <v>12</v>
          </cell>
          <cell r="C459" t="str">
            <v>W</v>
          </cell>
          <cell r="D459">
            <v>83</v>
          </cell>
          <cell r="E459">
            <v>84</v>
          </cell>
          <cell r="F459">
            <v>85</v>
          </cell>
          <cell r="G459">
            <v>86</v>
          </cell>
          <cell r="H459">
            <v>87</v>
          </cell>
          <cell r="I459">
            <v>88</v>
          </cell>
          <cell r="J459">
            <v>89</v>
          </cell>
          <cell r="K459">
            <v>90</v>
          </cell>
          <cell r="L459">
            <v>91</v>
          </cell>
          <cell r="M459">
            <v>92</v>
          </cell>
          <cell r="N459">
            <v>93</v>
          </cell>
          <cell r="O459">
            <v>94</v>
          </cell>
          <cell r="P459">
            <v>95</v>
          </cell>
        </row>
        <row r="460">
          <cell r="A460">
            <v>39435</v>
          </cell>
          <cell r="B460">
            <v>12</v>
          </cell>
          <cell r="C460" t="str">
            <v>W</v>
          </cell>
          <cell r="D460">
            <v>90</v>
          </cell>
          <cell r="E460">
            <v>91</v>
          </cell>
          <cell r="F460">
            <v>92</v>
          </cell>
          <cell r="G460">
            <v>93</v>
          </cell>
          <cell r="H460">
            <v>94</v>
          </cell>
          <cell r="I460">
            <v>95</v>
          </cell>
          <cell r="J460">
            <v>96</v>
          </cell>
          <cell r="K460">
            <v>97</v>
          </cell>
          <cell r="L460">
            <v>98</v>
          </cell>
          <cell r="M460">
            <v>99</v>
          </cell>
          <cell r="N460">
            <v>100</v>
          </cell>
          <cell r="O460">
            <v>101</v>
          </cell>
          <cell r="P460">
            <v>102</v>
          </cell>
        </row>
        <row r="461">
          <cell r="A461">
            <v>39436</v>
          </cell>
          <cell r="B461">
            <v>12</v>
          </cell>
          <cell r="C461" t="str">
            <v>W</v>
          </cell>
          <cell r="D461">
            <v>85</v>
          </cell>
          <cell r="E461">
            <v>86</v>
          </cell>
          <cell r="F461">
            <v>87</v>
          </cell>
          <cell r="G461">
            <v>88</v>
          </cell>
          <cell r="H461">
            <v>89</v>
          </cell>
          <cell r="I461">
            <v>90</v>
          </cell>
          <cell r="J461">
            <v>91</v>
          </cell>
          <cell r="K461">
            <v>92</v>
          </cell>
          <cell r="L461">
            <v>93</v>
          </cell>
          <cell r="M461">
            <v>94</v>
          </cell>
          <cell r="N461">
            <v>95</v>
          </cell>
          <cell r="O461">
            <v>96</v>
          </cell>
          <cell r="P461">
            <v>97</v>
          </cell>
        </row>
        <row r="462">
          <cell r="A462">
            <v>39437</v>
          </cell>
          <cell r="B462">
            <v>12</v>
          </cell>
          <cell r="C462" t="str">
            <v>W</v>
          </cell>
          <cell r="D462">
            <v>65</v>
          </cell>
          <cell r="E462">
            <v>66</v>
          </cell>
          <cell r="F462">
            <v>67</v>
          </cell>
          <cell r="G462">
            <v>68</v>
          </cell>
          <cell r="H462">
            <v>69</v>
          </cell>
          <cell r="I462">
            <v>70</v>
          </cell>
          <cell r="J462">
            <v>71</v>
          </cell>
          <cell r="K462">
            <v>72</v>
          </cell>
          <cell r="L462">
            <v>73</v>
          </cell>
          <cell r="M462">
            <v>74</v>
          </cell>
          <cell r="N462">
            <v>75</v>
          </cell>
          <cell r="O462">
            <v>76</v>
          </cell>
          <cell r="P462">
            <v>77</v>
          </cell>
        </row>
        <row r="463">
          <cell r="A463">
            <v>39438</v>
          </cell>
          <cell r="B463">
            <v>12</v>
          </cell>
          <cell r="C463" t="str">
            <v>W</v>
          </cell>
          <cell r="D463">
            <v>65</v>
          </cell>
          <cell r="E463">
            <v>66</v>
          </cell>
          <cell r="F463">
            <v>67</v>
          </cell>
          <cell r="G463">
            <v>68</v>
          </cell>
          <cell r="H463">
            <v>69</v>
          </cell>
          <cell r="I463">
            <v>70</v>
          </cell>
          <cell r="J463">
            <v>71</v>
          </cell>
          <cell r="K463">
            <v>72</v>
          </cell>
          <cell r="L463">
            <v>73</v>
          </cell>
          <cell r="M463">
            <v>74</v>
          </cell>
          <cell r="N463">
            <v>75</v>
          </cell>
          <cell r="O463">
            <v>76</v>
          </cell>
          <cell r="P463">
            <v>77</v>
          </cell>
        </row>
        <row r="464">
          <cell r="A464">
            <v>39439</v>
          </cell>
          <cell r="B464">
            <v>12</v>
          </cell>
          <cell r="C464" t="str">
            <v>W</v>
          </cell>
          <cell r="D464">
            <v>58</v>
          </cell>
          <cell r="E464">
            <v>59</v>
          </cell>
          <cell r="F464">
            <v>60</v>
          </cell>
          <cell r="G464">
            <v>61</v>
          </cell>
          <cell r="H464">
            <v>62</v>
          </cell>
          <cell r="I464">
            <v>63</v>
          </cell>
          <cell r="J464">
            <v>64</v>
          </cell>
          <cell r="K464">
            <v>65</v>
          </cell>
          <cell r="L464">
            <v>66</v>
          </cell>
          <cell r="M464">
            <v>67</v>
          </cell>
          <cell r="N464">
            <v>68</v>
          </cell>
          <cell r="O464">
            <v>69</v>
          </cell>
          <cell r="P464">
            <v>70</v>
          </cell>
        </row>
        <row r="465">
          <cell r="A465">
            <v>39440</v>
          </cell>
          <cell r="B465">
            <v>12</v>
          </cell>
          <cell r="C465" t="str">
            <v>W</v>
          </cell>
          <cell r="D465">
            <v>54</v>
          </cell>
          <cell r="E465">
            <v>55</v>
          </cell>
          <cell r="F465">
            <v>56</v>
          </cell>
          <cell r="G465">
            <v>57</v>
          </cell>
          <cell r="H465">
            <v>58</v>
          </cell>
          <cell r="I465">
            <v>59</v>
          </cell>
          <cell r="J465">
            <v>60</v>
          </cell>
          <cell r="K465">
            <v>61</v>
          </cell>
          <cell r="L465">
            <v>62</v>
          </cell>
          <cell r="M465">
            <v>63</v>
          </cell>
          <cell r="N465">
            <v>64</v>
          </cell>
          <cell r="O465">
            <v>65</v>
          </cell>
          <cell r="P465">
            <v>66</v>
          </cell>
        </row>
        <row r="466">
          <cell r="A466">
            <v>39441</v>
          </cell>
          <cell r="B466">
            <v>12</v>
          </cell>
          <cell r="C466" t="str">
            <v>W</v>
          </cell>
          <cell r="D466">
            <v>50</v>
          </cell>
          <cell r="E466">
            <v>51</v>
          </cell>
          <cell r="F466">
            <v>52</v>
          </cell>
          <cell r="G466">
            <v>53</v>
          </cell>
          <cell r="H466">
            <v>54</v>
          </cell>
          <cell r="I466">
            <v>55</v>
          </cell>
          <cell r="J466">
            <v>56</v>
          </cell>
          <cell r="K466">
            <v>57</v>
          </cell>
          <cell r="L466">
            <v>58</v>
          </cell>
          <cell r="M466">
            <v>59</v>
          </cell>
          <cell r="N466">
            <v>60</v>
          </cell>
          <cell r="O466">
            <v>61</v>
          </cell>
          <cell r="P466">
            <v>62</v>
          </cell>
        </row>
        <row r="467">
          <cell r="A467">
            <v>39442</v>
          </cell>
          <cell r="B467">
            <v>12</v>
          </cell>
          <cell r="C467" t="str">
            <v>W</v>
          </cell>
          <cell r="D467">
            <v>62</v>
          </cell>
          <cell r="E467">
            <v>63</v>
          </cell>
          <cell r="F467">
            <v>64</v>
          </cell>
          <cell r="G467">
            <v>65</v>
          </cell>
          <cell r="H467">
            <v>66</v>
          </cell>
          <cell r="I467">
            <v>67</v>
          </cell>
          <cell r="J467">
            <v>68</v>
          </cell>
          <cell r="K467">
            <v>69</v>
          </cell>
          <cell r="L467">
            <v>70</v>
          </cell>
          <cell r="M467">
            <v>71</v>
          </cell>
          <cell r="N467">
            <v>72</v>
          </cell>
          <cell r="O467">
            <v>73</v>
          </cell>
          <cell r="P467">
            <v>74</v>
          </cell>
        </row>
        <row r="468">
          <cell r="A468">
            <v>39443</v>
          </cell>
          <cell r="B468">
            <v>12</v>
          </cell>
          <cell r="C468" t="str">
            <v>W</v>
          </cell>
          <cell r="D468">
            <v>61</v>
          </cell>
          <cell r="E468">
            <v>62</v>
          </cell>
          <cell r="F468">
            <v>63</v>
          </cell>
          <cell r="G468">
            <v>64</v>
          </cell>
          <cell r="H468">
            <v>65</v>
          </cell>
          <cell r="I468">
            <v>66</v>
          </cell>
          <cell r="J468">
            <v>67</v>
          </cell>
          <cell r="K468">
            <v>68</v>
          </cell>
          <cell r="L468">
            <v>69</v>
          </cell>
          <cell r="M468">
            <v>70</v>
          </cell>
          <cell r="N468">
            <v>71</v>
          </cell>
          <cell r="O468">
            <v>72</v>
          </cell>
          <cell r="P468">
            <v>73</v>
          </cell>
        </row>
        <row r="469">
          <cell r="A469">
            <v>39444</v>
          </cell>
          <cell r="B469">
            <v>12</v>
          </cell>
          <cell r="C469" t="str">
            <v>W</v>
          </cell>
          <cell r="D469">
            <v>62</v>
          </cell>
          <cell r="E469">
            <v>63</v>
          </cell>
          <cell r="F469">
            <v>64</v>
          </cell>
          <cell r="G469">
            <v>65</v>
          </cell>
          <cell r="H469">
            <v>66</v>
          </cell>
          <cell r="I469">
            <v>67</v>
          </cell>
          <cell r="J469">
            <v>68</v>
          </cell>
          <cell r="K469">
            <v>69</v>
          </cell>
          <cell r="L469">
            <v>70</v>
          </cell>
          <cell r="M469">
            <v>71</v>
          </cell>
          <cell r="N469">
            <v>72</v>
          </cell>
          <cell r="O469">
            <v>73</v>
          </cell>
          <cell r="P469">
            <v>74</v>
          </cell>
        </row>
        <row r="470">
          <cell r="A470">
            <v>39445</v>
          </cell>
          <cell r="B470">
            <v>12</v>
          </cell>
          <cell r="C470" t="str">
            <v>W</v>
          </cell>
          <cell r="D470">
            <v>63</v>
          </cell>
          <cell r="E470">
            <v>64</v>
          </cell>
          <cell r="F470">
            <v>65</v>
          </cell>
          <cell r="G470">
            <v>66</v>
          </cell>
          <cell r="H470">
            <v>67</v>
          </cell>
          <cell r="I470">
            <v>68</v>
          </cell>
          <cell r="J470">
            <v>69</v>
          </cell>
          <cell r="K470">
            <v>70</v>
          </cell>
          <cell r="L470">
            <v>71</v>
          </cell>
          <cell r="M470">
            <v>72</v>
          </cell>
          <cell r="N470">
            <v>73</v>
          </cell>
          <cell r="O470">
            <v>74</v>
          </cell>
          <cell r="P470">
            <v>75</v>
          </cell>
        </row>
        <row r="471">
          <cell r="A471">
            <v>39446</v>
          </cell>
          <cell r="B471">
            <v>12</v>
          </cell>
          <cell r="C471" t="str">
            <v>W</v>
          </cell>
          <cell r="D471">
            <v>62</v>
          </cell>
          <cell r="E471">
            <v>63</v>
          </cell>
          <cell r="F471">
            <v>64</v>
          </cell>
          <cell r="G471">
            <v>65</v>
          </cell>
          <cell r="H471">
            <v>66</v>
          </cell>
          <cell r="I471">
            <v>67</v>
          </cell>
          <cell r="J471">
            <v>68</v>
          </cell>
          <cell r="K471">
            <v>69</v>
          </cell>
          <cell r="L471">
            <v>70</v>
          </cell>
          <cell r="M471">
            <v>71</v>
          </cell>
          <cell r="N471">
            <v>72</v>
          </cell>
          <cell r="O471">
            <v>73</v>
          </cell>
          <cell r="P471">
            <v>74</v>
          </cell>
        </row>
        <row r="472">
          <cell r="A472">
            <v>39447</v>
          </cell>
          <cell r="B472">
            <v>12</v>
          </cell>
          <cell r="C472" t="str">
            <v>W</v>
          </cell>
          <cell r="D472">
            <v>56</v>
          </cell>
          <cell r="E472">
            <v>57</v>
          </cell>
          <cell r="F472">
            <v>58</v>
          </cell>
          <cell r="G472">
            <v>59</v>
          </cell>
          <cell r="H472">
            <v>60</v>
          </cell>
          <cell r="I472">
            <v>61</v>
          </cell>
          <cell r="J472">
            <v>62</v>
          </cell>
          <cell r="K472">
            <v>63</v>
          </cell>
          <cell r="L472">
            <v>64</v>
          </cell>
          <cell r="M472">
            <v>65</v>
          </cell>
          <cell r="N472">
            <v>66</v>
          </cell>
          <cell r="O472">
            <v>67</v>
          </cell>
          <cell r="P472">
            <v>68</v>
          </cell>
        </row>
        <row r="473">
          <cell r="A473">
            <v>39448</v>
          </cell>
          <cell r="B473">
            <v>1</v>
          </cell>
          <cell r="C473" t="str">
            <v>W</v>
          </cell>
          <cell r="D473">
            <v>55</v>
          </cell>
          <cell r="E473">
            <v>56</v>
          </cell>
          <cell r="F473">
            <v>57</v>
          </cell>
          <cell r="G473">
            <v>58</v>
          </cell>
          <cell r="H473">
            <v>59</v>
          </cell>
          <cell r="I473">
            <v>60</v>
          </cell>
          <cell r="J473">
            <v>61</v>
          </cell>
          <cell r="K473">
            <v>62</v>
          </cell>
          <cell r="L473">
            <v>63</v>
          </cell>
          <cell r="M473">
            <v>64</v>
          </cell>
          <cell r="N473">
            <v>65</v>
          </cell>
          <cell r="O473">
            <v>66</v>
          </cell>
          <cell r="P473">
            <v>67</v>
          </cell>
        </row>
        <row r="474">
          <cell r="A474">
            <v>39449</v>
          </cell>
          <cell r="B474">
            <v>1</v>
          </cell>
          <cell r="C474" t="str">
            <v>W</v>
          </cell>
          <cell r="D474">
            <v>67</v>
          </cell>
          <cell r="E474">
            <v>68</v>
          </cell>
          <cell r="F474">
            <v>69</v>
          </cell>
          <cell r="G474">
            <v>70</v>
          </cell>
          <cell r="H474">
            <v>71</v>
          </cell>
          <cell r="I474">
            <v>72</v>
          </cell>
          <cell r="J474">
            <v>73</v>
          </cell>
          <cell r="K474">
            <v>74</v>
          </cell>
          <cell r="L474">
            <v>75</v>
          </cell>
          <cell r="M474">
            <v>76</v>
          </cell>
          <cell r="N474">
            <v>77</v>
          </cell>
          <cell r="O474">
            <v>78</v>
          </cell>
          <cell r="P474">
            <v>79</v>
          </cell>
        </row>
        <row r="475">
          <cell r="A475">
            <v>39450</v>
          </cell>
          <cell r="B475">
            <v>1</v>
          </cell>
          <cell r="C475" t="str">
            <v>W</v>
          </cell>
          <cell r="D475">
            <v>58</v>
          </cell>
          <cell r="E475">
            <v>59</v>
          </cell>
          <cell r="F475">
            <v>60</v>
          </cell>
          <cell r="G475">
            <v>61</v>
          </cell>
          <cell r="H475">
            <v>62</v>
          </cell>
          <cell r="I475">
            <v>63</v>
          </cell>
          <cell r="J475">
            <v>64</v>
          </cell>
          <cell r="K475">
            <v>65</v>
          </cell>
          <cell r="L475">
            <v>66</v>
          </cell>
          <cell r="M475">
            <v>67</v>
          </cell>
          <cell r="N475">
            <v>68</v>
          </cell>
          <cell r="O475">
            <v>69</v>
          </cell>
          <cell r="P475">
            <v>70</v>
          </cell>
        </row>
        <row r="476">
          <cell r="A476">
            <v>39451</v>
          </cell>
          <cell r="B476">
            <v>1</v>
          </cell>
          <cell r="C476" t="str">
            <v>W</v>
          </cell>
          <cell r="D476">
            <v>63</v>
          </cell>
          <cell r="E476">
            <v>64</v>
          </cell>
          <cell r="F476">
            <v>65</v>
          </cell>
          <cell r="G476">
            <v>66</v>
          </cell>
          <cell r="H476">
            <v>67</v>
          </cell>
          <cell r="I476">
            <v>68</v>
          </cell>
          <cell r="J476">
            <v>69</v>
          </cell>
          <cell r="K476">
            <v>70</v>
          </cell>
          <cell r="L476">
            <v>71</v>
          </cell>
          <cell r="M476">
            <v>72</v>
          </cell>
          <cell r="N476">
            <v>73</v>
          </cell>
          <cell r="O476">
            <v>74</v>
          </cell>
          <cell r="P476">
            <v>75</v>
          </cell>
        </row>
        <row r="477">
          <cell r="A477">
            <v>39452</v>
          </cell>
          <cell r="B477">
            <v>1</v>
          </cell>
          <cell r="C477" t="str">
            <v>W</v>
          </cell>
          <cell r="D477">
            <v>62</v>
          </cell>
          <cell r="E477">
            <v>63</v>
          </cell>
          <cell r="F477">
            <v>64</v>
          </cell>
          <cell r="G477">
            <v>65</v>
          </cell>
          <cell r="H477">
            <v>66</v>
          </cell>
          <cell r="I477">
            <v>67</v>
          </cell>
          <cell r="J477">
            <v>68</v>
          </cell>
          <cell r="K477">
            <v>69</v>
          </cell>
          <cell r="L477">
            <v>70</v>
          </cell>
          <cell r="M477">
            <v>71</v>
          </cell>
          <cell r="N477">
            <v>72</v>
          </cell>
          <cell r="O477">
            <v>73</v>
          </cell>
          <cell r="P477">
            <v>74</v>
          </cell>
        </row>
        <row r="478">
          <cell r="A478">
            <v>39453</v>
          </cell>
          <cell r="B478">
            <v>1</v>
          </cell>
          <cell r="C478" t="str">
            <v>W</v>
          </cell>
          <cell r="D478">
            <v>58</v>
          </cell>
          <cell r="E478">
            <v>59</v>
          </cell>
          <cell r="F478">
            <v>60</v>
          </cell>
          <cell r="G478">
            <v>61</v>
          </cell>
          <cell r="H478">
            <v>62</v>
          </cell>
          <cell r="I478">
            <v>63</v>
          </cell>
          <cell r="J478">
            <v>64</v>
          </cell>
          <cell r="K478">
            <v>65</v>
          </cell>
          <cell r="L478">
            <v>66</v>
          </cell>
          <cell r="M478">
            <v>67</v>
          </cell>
          <cell r="N478">
            <v>68</v>
          </cell>
          <cell r="O478">
            <v>69</v>
          </cell>
          <cell r="P478">
            <v>70</v>
          </cell>
        </row>
        <row r="479">
          <cell r="A479">
            <v>39454</v>
          </cell>
          <cell r="B479">
            <v>1</v>
          </cell>
          <cell r="C479" t="str">
            <v>W</v>
          </cell>
          <cell r="D479">
            <v>60</v>
          </cell>
          <cell r="E479">
            <v>61</v>
          </cell>
          <cell r="F479">
            <v>62</v>
          </cell>
          <cell r="G479">
            <v>63</v>
          </cell>
          <cell r="H479">
            <v>64</v>
          </cell>
          <cell r="I479">
            <v>65</v>
          </cell>
          <cell r="J479">
            <v>66</v>
          </cell>
          <cell r="K479">
            <v>67</v>
          </cell>
          <cell r="L479">
            <v>68</v>
          </cell>
          <cell r="M479">
            <v>69</v>
          </cell>
          <cell r="N479">
            <v>70</v>
          </cell>
          <cell r="O479">
            <v>71</v>
          </cell>
          <cell r="P479">
            <v>72</v>
          </cell>
        </row>
        <row r="480">
          <cell r="A480">
            <v>39455</v>
          </cell>
          <cell r="B480">
            <v>1</v>
          </cell>
          <cell r="C480" t="str">
            <v>W</v>
          </cell>
          <cell r="D480">
            <v>62</v>
          </cell>
          <cell r="E480">
            <v>63</v>
          </cell>
          <cell r="F480">
            <v>64</v>
          </cell>
          <cell r="G480">
            <v>65</v>
          </cell>
          <cell r="H480">
            <v>66</v>
          </cell>
          <cell r="I480">
            <v>67</v>
          </cell>
          <cell r="J480">
            <v>68</v>
          </cell>
          <cell r="K480">
            <v>69</v>
          </cell>
          <cell r="L480">
            <v>70</v>
          </cell>
          <cell r="M480">
            <v>71</v>
          </cell>
          <cell r="N480">
            <v>72</v>
          </cell>
          <cell r="O480">
            <v>73</v>
          </cell>
          <cell r="P480">
            <v>74</v>
          </cell>
        </row>
        <row r="481">
          <cell r="A481">
            <v>39456</v>
          </cell>
          <cell r="B481">
            <v>1</v>
          </cell>
          <cell r="C481" t="str">
            <v>W</v>
          </cell>
          <cell r="D481">
            <v>62</v>
          </cell>
          <cell r="E481">
            <v>63</v>
          </cell>
          <cell r="F481">
            <v>64</v>
          </cell>
          <cell r="G481">
            <v>65</v>
          </cell>
          <cell r="H481">
            <v>66</v>
          </cell>
          <cell r="I481">
            <v>67</v>
          </cell>
          <cell r="J481">
            <v>68</v>
          </cell>
          <cell r="K481">
            <v>69</v>
          </cell>
          <cell r="L481">
            <v>70</v>
          </cell>
          <cell r="M481">
            <v>71</v>
          </cell>
          <cell r="N481">
            <v>72</v>
          </cell>
          <cell r="O481">
            <v>73</v>
          </cell>
          <cell r="P481">
            <v>74</v>
          </cell>
        </row>
        <row r="482">
          <cell r="A482">
            <v>39457</v>
          </cell>
          <cell r="B482">
            <v>1</v>
          </cell>
          <cell r="C482" t="str">
            <v>W</v>
          </cell>
          <cell r="D482">
            <v>68</v>
          </cell>
          <cell r="E482">
            <v>69</v>
          </cell>
          <cell r="F482">
            <v>70</v>
          </cell>
          <cell r="G482">
            <v>71</v>
          </cell>
          <cell r="H482">
            <v>72</v>
          </cell>
          <cell r="I482">
            <v>73</v>
          </cell>
          <cell r="J482">
            <v>74</v>
          </cell>
          <cell r="K482">
            <v>75</v>
          </cell>
          <cell r="L482">
            <v>76</v>
          </cell>
          <cell r="M482">
            <v>77</v>
          </cell>
          <cell r="N482">
            <v>78</v>
          </cell>
          <cell r="O482">
            <v>79</v>
          </cell>
          <cell r="P482">
            <v>80</v>
          </cell>
        </row>
        <row r="483">
          <cell r="A483">
            <v>39458</v>
          </cell>
          <cell r="B483">
            <v>1</v>
          </cell>
          <cell r="C483" t="str">
            <v>W</v>
          </cell>
          <cell r="D483">
            <v>74</v>
          </cell>
          <cell r="E483">
            <v>75</v>
          </cell>
          <cell r="F483">
            <v>76</v>
          </cell>
          <cell r="G483">
            <v>77</v>
          </cell>
          <cell r="H483">
            <v>78</v>
          </cell>
          <cell r="I483">
            <v>79</v>
          </cell>
          <cell r="J483">
            <v>80</v>
          </cell>
          <cell r="K483">
            <v>81</v>
          </cell>
          <cell r="L483">
            <v>82</v>
          </cell>
          <cell r="M483">
            <v>83</v>
          </cell>
          <cell r="N483">
            <v>84</v>
          </cell>
          <cell r="O483">
            <v>85</v>
          </cell>
          <cell r="P483">
            <v>86</v>
          </cell>
        </row>
        <row r="484">
          <cell r="A484">
            <v>39459</v>
          </cell>
          <cell r="B484">
            <v>1</v>
          </cell>
          <cell r="C484" t="str">
            <v>W</v>
          </cell>
          <cell r="D484">
            <v>80</v>
          </cell>
          <cell r="E484">
            <v>81</v>
          </cell>
          <cell r="F484">
            <v>82</v>
          </cell>
          <cell r="G484">
            <v>83</v>
          </cell>
          <cell r="H484">
            <v>84</v>
          </cell>
          <cell r="I484">
            <v>85</v>
          </cell>
          <cell r="J484">
            <v>86</v>
          </cell>
          <cell r="K484">
            <v>87</v>
          </cell>
          <cell r="L484">
            <v>88</v>
          </cell>
          <cell r="M484">
            <v>89</v>
          </cell>
          <cell r="N484">
            <v>90</v>
          </cell>
          <cell r="O484">
            <v>91</v>
          </cell>
          <cell r="P484">
            <v>92</v>
          </cell>
        </row>
        <row r="485">
          <cell r="A485">
            <v>39460</v>
          </cell>
          <cell r="B485">
            <v>1</v>
          </cell>
          <cell r="C485" t="str">
            <v>W</v>
          </cell>
          <cell r="D485">
            <v>81</v>
          </cell>
          <cell r="E485">
            <v>82</v>
          </cell>
          <cell r="F485">
            <v>83</v>
          </cell>
          <cell r="G485">
            <v>84</v>
          </cell>
          <cell r="H485">
            <v>85</v>
          </cell>
          <cell r="I485">
            <v>86</v>
          </cell>
          <cell r="J485">
            <v>87</v>
          </cell>
          <cell r="K485">
            <v>88</v>
          </cell>
          <cell r="L485">
            <v>89</v>
          </cell>
          <cell r="M485">
            <v>90</v>
          </cell>
          <cell r="N485">
            <v>91</v>
          </cell>
          <cell r="O485">
            <v>92</v>
          </cell>
          <cell r="P485">
            <v>93</v>
          </cell>
        </row>
        <row r="486">
          <cell r="A486">
            <v>39461</v>
          </cell>
          <cell r="B486">
            <v>1</v>
          </cell>
          <cell r="C486" t="str">
            <v>W</v>
          </cell>
          <cell r="D486">
            <v>91</v>
          </cell>
          <cell r="E486">
            <v>92</v>
          </cell>
          <cell r="F486">
            <v>93</v>
          </cell>
          <cell r="G486">
            <v>94</v>
          </cell>
          <cell r="H486">
            <v>95</v>
          </cell>
          <cell r="I486">
            <v>96</v>
          </cell>
          <cell r="J486">
            <v>97</v>
          </cell>
          <cell r="K486">
            <v>98</v>
          </cell>
          <cell r="L486">
            <v>99</v>
          </cell>
          <cell r="M486">
            <v>100</v>
          </cell>
          <cell r="N486">
            <v>101</v>
          </cell>
          <cell r="O486">
            <v>102</v>
          </cell>
          <cell r="P486">
            <v>103</v>
          </cell>
        </row>
        <row r="487">
          <cell r="A487">
            <v>39462</v>
          </cell>
          <cell r="B487">
            <v>1</v>
          </cell>
          <cell r="C487" t="str">
            <v>W</v>
          </cell>
          <cell r="D487">
            <v>70</v>
          </cell>
          <cell r="E487">
            <v>71</v>
          </cell>
          <cell r="F487">
            <v>72</v>
          </cell>
          <cell r="G487">
            <v>73</v>
          </cell>
          <cell r="H487">
            <v>74</v>
          </cell>
          <cell r="I487">
            <v>75</v>
          </cell>
          <cell r="J487">
            <v>76</v>
          </cell>
          <cell r="K487">
            <v>77</v>
          </cell>
          <cell r="L487">
            <v>78</v>
          </cell>
          <cell r="M487">
            <v>79</v>
          </cell>
          <cell r="N487">
            <v>80</v>
          </cell>
          <cell r="O487">
            <v>81</v>
          </cell>
          <cell r="P487">
            <v>82</v>
          </cell>
        </row>
        <row r="488">
          <cell r="A488">
            <v>39463</v>
          </cell>
          <cell r="B488">
            <v>1</v>
          </cell>
          <cell r="C488" t="str">
            <v>W</v>
          </cell>
          <cell r="D488">
            <v>55</v>
          </cell>
          <cell r="E488">
            <v>56</v>
          </cell>
          <cell r="F488">
            <v>57</v>
          </cell>
          <cell r="G488">
            <v>58</v>
          </cell>
          <cell r="H488">
            <v>59</v>
          </cell>
          <cell r="I488">
            <v>60</v>
          </cell>
          <cell r="J488">
            <v>61</v>
          </cell>
          <cell r="K488">
            <v>62</v>
          </cell>
          <cell r="L488">
            <v>63</v>
          </cell>
          <cell r="M488">
            <v>64</v>
          </cell>
          <cell r="N488">
            <v>65</v>
          </cell>
          <cell r="O488">
            <v>66</v>
          </cell>
          <cell r="P488">
            <v>67</v>
          </cell>
        </row>
        <row r="489">
          <cell r="A489">
            <v>39464</v>
          </cell>
          <cell r="B489">
            <v>1</v>
          </cell>
          <cell r="C489" t="str">
            <v>W</v>
          </cell>
          <cell r="D489">
            <v>52</v>
          </cell>
          <cell r="E489">
            <v>53</v>
          </cell>
          <cell r="F489">
            <v>54</v>
          </cell>
          <cell r="G489">
            <v>55</v>
          </cell>
          <cell r="H489">
            <v>56</v>
          </cell>
          <cell r="I489">
            <v>57</v>
          </cell>
          <cell r="J489">
            <v>58</v>
          </cell>
          <cell r="K489">
            <v>59</v>
          </cell>
          <cell r="L489">
            <v>60</v>
          </cell>
          <cell r="M489">
            <v>61</v>
          </cell>
          <cell r="N489">
            <v>62</v>
          </cell>
          <cell r="O489">
            <v>63</v>
          </cell>
          <cell r="P489">
            <v>64</v>
          </cell>
        </row>
        <row r="490">
          <cell r="A490">
            <v>39465</v>
          </cell>
          <cell r="B490">
            <v>1</v>
          </cell>
          <cell r="C490" t="str">
            <v>W</v>
          </cell>
          <cell r="D490">
            <v>44</v>
          </cell>
          <cell r="E490">
            <v>45</v>
          </cell>
          <cell r="F490">
            <v>46</v>
          </cell>
          <cell r="G490">
            <v>47</v>
          </cell>
          <cell r="H490">
            <v>48</v>
          </cell>
          <cell r="I490">
            <v>49</v>
          </cell>
          <cell r="J490">
            <v>50</v>
          </cell>
          <cell r="K490">
            <v>51</v>
          </cell>
          <cell r="L490">
            <v>52</v>
          </cell>
          <cell r="M490">
            <v>53</v>
          </cell>
          <cell r="N490">
            <v>54</v>
          </cell>
          <cell r="O490">
            <v>55</v>
          </cell>
          <cell r="P490">
            <v>56</v>
          </cell>
        </row>
        <row r="491">
          <cell r="A491">
            <v>39466</v>
          </cell>
          <cell r="B491">
            <v>1</v>
          </cell>
          <cell r="C491" t="str">
            <v>W</v>
          </cell>
          <cell r="D491">
            <v>46</v>
          </cell>
          <cell r="E491">
            <v>47</v>
          </cell>
          <cell r="F491">
            <v>48</v>
          </cell>
          <cell r="G491">
            <v>49</v>
          </cell>
          <cell r="H491">
            <v>50</v>
          </cell>
          <cell r="I491">
            <v>51</v>
          </cell>
          <cell r="J491">
            <v>52</v>
          </cell>
          <cell r="K491">
            <v>53</v>
          </cell>
          <cell r="L491">
            <v>54</v>
          </cell>
          <cell r="M491">
            <v>55</v>
          </cell>
          <cell r="N491">
            <v>56</v>
          </cell>
          <cell r="O491">
            <v>57</v>
          </cell>
          <cell r="P491">
            <v>58</v>
          </cell>
        </row>
        <row r="492">
          <cell r="A492">
            <v>39467</v>
          </cell>
          <cell r="B492">
            <v>1</v>
          </cell>
          <cell r="C492" t="str">
            <v>W</v>
          </cell>
          <cell r="D492">
            <v>33</v>
          </cell>
          <cell r="E492">
            <v>34</v>
          </cell>
          <cell r="F492">
            <v>35</v>
          </cell>
          <cell r="G492">
            <v>36</v>
          </cell>
          <cell r="H492">
            <v>37</v>
          </cell>
          <cell r="I492">
            <v>38</v>
          </cell>
          <cell r="J492">
            <v>39</v>
          </cell>
          <cell r="K492">
            <v>40</v>
          </cell>
          <cell r="L492">
            <v>41</v>
          </cell>
          <cell r="M492">
            <v>42</v>
          </cell>
          <cell r="N492">
            <v>43</v>
          </cell>
          <cell r="O492">
            <v>44</v>
          </cell>
          <cell r="P492">
            <v>45</v>
          </cell>
        </row>
        <row r="493">
          <cell r="A493">
            <v>39468</v>
          </cell>
          <cell r="B493">
            <v>1</v>
          </cell>
          <cell r="C493" t="str">
            <v>W</v>
          </cell>
          <cell r="D493">
            <v>37</v>
          </cell>
          <cell r="E493">
            <v>38</v>
          </cell>
          <cell r="F493">
            <v>39</v>
          </cell>
          <cell r="G493">
            <v>40</v>
          </cell>
          <cell r="H493">
            <v>41</v>
          </cell>
          <cell r="I493">
            <v>42</v>
          </cell>
          <cell r="J493">
            <v>43</v>
          </cell>
          <cell r="K493">
            <v>44</v>
          </cell>
          <cell r="L493">
            <v>45</v>
          </cell>
          <cell r="M493">
            <v>46</v>
          </cell>
          <cell r="N493">
            <v>47</v>
          </cell>
          <cell r="O493">
            <v>48</v>
          </cell>
          <cell r="P493">
            <v>49</v>
          </cell>
        </row>
        <row r="494">
          <cell r="A494">
            <v>39469</v>
          </cell>
          <cell r="B494">
            <v>1</v>
          </cell>
          <cell r="C494" t="str">
            <v>W</v>
          </cell>
          <cell r="D494">
            <v>31</v>
          </cell>
          <cell r="E494">
            <v>32</v>
          </cell>
          <cell r="F494">
            <v>33</v>
          </cell>
          <cell r="G494">
            <v>34</v>
          </cell>
          <cell r="H494">
            <v>35</v>
          </cell>
          <cell r="I494">
            <v>36</v>
          </cell>
          <cell r="J494">
            <v>37</v>
          </cell>
          <cell r="K494">
            <v>38</v>
          </cell>
          <cell r="L494">
            <v>39</v>
          </cell>
          <cell r="M494">
            <v>40</v>
          </cell>
          <cell r="N494">
            <v>41</v>
          </cell>
          <cell r="O494">
            <v>42</v>
          </cell>
          <cell r="P494">
            <v>43</v>
          </cell>
        </row>
        <row r="495">
          <cell r="A495">
            <v>39470</v>
          </cell>
          <cell r="B495">
            <v>1</v>
          </cell>
          <cell r="C495" t="str">
            <v>W</v>
          </cell>
          <cell r="D495">
            <v>48</v>
          </cell>
          <cell r="E495">
            <v>49</v>
          </cell>
          <cell r="F495">
            <v>50</v>
          </cell>
          <cell r="G495">
            <v>51</v>
          </cell>
          <cell r="H495">
            <v>52</v>
          </cell>
          <cell r="I495">
            <v>53</v>
          </cell>
          <cell r="J495">
            <v>54</v>
          </cell>
          <cell r="K495">
            <v>55</v>
          </cell>
          <cell r="L495">
            <v>56</v>
          </cell>
          <cell r="M495">
            <v>57</v>
          </cell>
          <cell r="N495">
            <v>58</v>
          </cell>
          <cell r="O495">
            <v>59</v>
          </cell>
          <cell r="P495">
            <v>60</v>
          </cell>
        </row>
        <row r="496">
          <cell r="A496">
            <v>39471</v>
          </cell>
          <cell r="B496">
            <v>1</v>
          </cell>
          <cell r="C496" t="str">
            <v>W</v>
          </cell>
          <cell r="D496">
            <v>71</v>
          </cell>
          <cell r="E496">
            <v>72</v>
          </cell>
          <cell r="F496">
            <v>73</v>
          </cell>
          <cell r="G496">
            <v>74</v>
          </cell>
          <cell r="H496">
            <v>75</v>
          </cell>
          <cell r="I496">
            <v>76</v>
          </cell>
          <cell r="J496">
            <v>77</v>
          </cell>
          <cell r="K496">
            <v>78</v>
          </cell>
          <cell r="L496">
            <v>79</v>
          </cell>
          <cell r="M496">
            <v>80</v>
          </cell>
          <cell r="N496">
            <v>81</v>
          </cell>
          <cell r="O496">
            <v>82</v>
          </cell>
          <cell r="P496">
            <v>83</v>
          </cell>
        </row>
        <row r="497">
          <cell r="A497">
            <v>39472</v>
          </cell>
          <cell r="B497">
            <v>1</v>
          </cell>
          <cell r="C497" t="str">
            <v>W</v>
          </cell>
          <cell r="D497">
            <v>69</v>
          </cell>
          <cell r="E497">
            <v>70</v>
          </cell>
          <cell r="F497">
            <v>71</v>
          </cell>
          <cell r="G497">
            <v>72</v>
          </cell>
          <cell r="H497">
            <v>73</v>
          </cell>
          <cell r="I497">
            <v>74</v>
          </cell>
          <cell r="J497">
            <v>75</v>
          </cell>
          <cell r="K497">
            <v>76</v>
          </cell>
          <cell r="L497">
            <v>77</v>
          </cell>
          <cell r="M497">
            <v>78</v>
          </cell>
          <cell r="N497">
            <v>79</v>
          </cell>
          <cell r="O497">
            <v>80</v>
          </cell>
          <cell r="P497">
            <v>81</v>
          </cell>
        </row>
        <row r="498">
          <cell r="A498">
            <v>39473</v>
          </cell>
          <cell r="B498">
            <v>1</v>
          </cell>
          <cell r="C498" t="str">
            <v>W</v>
          </cell>
          <cell r="D498">
            <v>88</v>
          </cell>
          <cell r="E498">
            <v>89</v>
          </cell>
          <cell r="F498">
            <v>90</v>
          </cell>
          <cell r="G498">
            <v>91</v>
          </cell>
          <cell r="H498">
            <v>92</v>
          </cell>
          <cell r="I498">
            <v>93</v>
          </cell>
          <cell r="J498">
            <v>94</v>
          </cell>
          <cell r="K498">
            <v>95</v>
          </cell>
          <cell r="L498">
            <v>96</v>
          </cell>
          <cell r="M498">
            <v>97</v>
          </cell>
          <cell r="N498">
            <v>98</v>
          </cell>
          <cell r="O498">
            <v>99</v>
          </cell>
          <cell r="P498">
            <v>100</v>
          </cell>
        </row>
        <row r="499">
          <cell r="A499">
            <v>39474</v>
          </cell>
          <cell r="B499">
            <v>1</v>
          </cell>
          <cell r="C499" t="str">
            <v>W</v>
          </cell>
          <cell r="D499">
            <v>81</v>
          </cell>
          <cell r="E499">
            <v>82</v>
          </cell>
          <cell r="F499">
            <v>83</v>
          </cell>
          <cell r="G499">
            <v>84</v>
          </cell>
          <cell r="H499">
            <v>85</v>
          </cell>
          <cell r="I499">
            <v>86</v>
          </cell>
          <cell r="J499">
            <v>87</v>
          </cell>
          <cell r="K499">
            <v>88</v>
          </cell>
          <cell r="L499">
            <v>89</v>
          </cell>
          <cell r="M499">
            <v>90</v>
          </cell>
          <cell r="N499">
            <v>91</v>
          </cell>
          <cell r="O499">
            <v>92</v>
          </cell>
          <cell r="P499">
            <v>93</v>
          </cell>
        </row>
        <row r="500">
          <cell r="A500">
            <v>39475</v>
          </cell>
          <cell r="B500">
            <v>1</v>
          </cell>
          <cell r="C500" t="str">
            <v>W</v>
          </cell>
          <cell r="D500">
            <v>69</v>
          </cell>
          <cell r="E500">
            <v>70</v>
          </cell>
          <cell r="F500">
            <v>71</v>
          </cell>
          <cell r="G500">
            <v>72</v>
          </cell>
          <cell r="H500">
            <v>73</v>
          </cell>
          <cell r="I500">
            <v>74</v>
          </cell>
          <cell r="J500">
            <v>75</v>
          </cell>
          <cell r="K500">
            <v>76</v>
          </cell>
          <cell r="L500">
            <v>77</v>
          </cell>
          <cell r="M500">
            <v>78</v>
          </cell>
          <cell r="N500">
            <v>79</v>
          </cell>
          <cell r="O500">
            <v>80</v>
          </cell>
          <cell r="P500">
            <v>81</v>
          </cell>
        </row>
        <row r="501">
          <cell r="A501">
            <v>39476</v>
          </cell>
          <cell r="B501">
            <v>1</v>
          </cell>
          <cell r="C501" t="str">
            <v>W</v>
          </cell>
          <cell r="D501">
            <v>78</v>
          </cell>
          <cell r="E501">
            <v>79</v>
          </cell>
          <cell r="F501">
            <v>80</v>
          </cell>
          <cell r="G501">
            <v>81</v>
          </cell>
          <cell r="H501">
            <v>82</v>
          </cell>
          <cell r="I501">
            <v>83</v>
          </cell>
          <cell r="J501">
            <v>84</v>
          </cell>
          <cell r="K501">
            <v>85</v>
          </cell>
          <cell r="L501">
            <v>86</v>
          </cell>
          <cell r="M501">
            <v>87</v>
          </cell>
          <cell r="N501">
            <v>88</v>
          </cell>
          <cell r="O501">
            <v>89</v>
          </cell>
          <cell r="P501">
            <v>90</v>
          </cell>
        </row>
        <row r="502">
          <cell r="A502">
            <v>39477</v>
          </cell>
          <cell r="B502">
            <v>1</v>
          </cell>
          <cell r="C502" t="str">
            <v>W</v>
          </cell>
          <cell r="D502">
            <v>75</v>
          </cell>
          <cell r="E502">
            <v>76</v>
          </cell>
          <cell r="F502">
            <v>77</v>
          </cell>
          <cell r="G502">
            <v>78</v>
          </cell>
          <cell r="H502">
            <v>79</v>
          </cell>
          <cell r="I502">
            <v>80</v>
          </cell>
          <cell r="J502">
            <v>81</v>
          </cell>
          <cell r="K502">
            <v>82</v>
          </cell>
          <cell r="L502">
            <v>83</v>
          </cell>
          <cell r="M502">
            <v>84</v>
          </cell>
          <cell r="N502">
            <v>85</v>
          </cell>
          <cell r="O502">
            <v>86</v>
          </cell>
          <cell r="P502">
            <v>87</v>
          </cell>
        </row>
        <row r="503">
          <cell r="A503">
            <v>39478</v>
          </cell>
          <cell r="B503">
            <v>1</v>
          </cell>
          <cell r="C503" t="str">
            <v>W</v>
          </cell>
          <cell r="D503">
            <v>64</v>
          </cell>
          <cell r="E503">
            <v>65</v>
          </cell>
          <cell r="F503">
            <v>66</v>
          </cell>
          <cell r="G503">
            <v>67</v>
          </cell>
          <cell r="H503">
            <v>68</v>
          </cell>
          <cell r="I503">
            <v>69</v>
          </cell>
          <cell r="J503">
            <v>70</v>
          </cell>
          <cell r="K503">
            <v>71</v>
          </cell>
          <cell r="L503">
            <v>72</v>
          </cell>
          <cell r="M503">
            <v>73</v>
          </cell>
          <cell r="N503">
            <v>74</v>
          </cell>
          <cell r="O503">
            <v>75</v>
          </cell>
          <cell r="P503">
            <v>76</v>
          </cell>
        </row>
        <row r="504">
          <cell r="A504">
            <v>39479</v>
          </cell>
          <cell r="B504">
            <v>2</v>
          </cell>
          <cell r="C504" t="str">
            <v>W</v>
          </cell>
          <cell r="D504">
            <v>63</v>
          </cell>
          <cell r="E504">
            <v>64</v>
          </cell>
          <cell r="F504">
            <v>65</v>
          </cell>
          <cell r="G504">
            <v>66</v>
          </cell>
          <cell r="H504">
            <v>67</v>
          </cell>
          <cell r="I504">
            <v>68</v>
          </cell>
          <cell r="J504">
            <v>69</v>
          </cell>
          <cell r="K504">
            <v>70</v>
          </cell>
          <cell r="L504">
            <v>71</v>
          </cell>
          <cell r="M504">
            <v>72</v>
          </cell>
          <cell r="N504">
            <v>73</v>
          </cell>
          <cell r="O504">
            <v>74</v>
          </cell>
          <cell r="P504">
            <v>75</v>
          </cell>
        </row>
        <row r="505">
          <cell r="A505">
            <v>39480</v>
          </cell>
          <cell r="B505">
            <v>2</v>
          </cell>
          <cell r="C505" t="str">
            <v>W</v>
          </cell>
          <cell r="D505">
            <v>73</v>
          </cell>
          <cell r="E505">
            <v>74</v>
          </cell>
          <cell r="F505">
            <v>75</v>
          </cell>
          <cell r="G505">
            <v>76</v>
          </cell>
          <cell r="H505">
            <v>77</v>
          </cell>
          <cell r="I505">
            <v>78</v>
          </cell>
          <cell r="J505">
            <v>79</v>
          </cell>
          <cell r="K505">
            <v>80</v>
          </cell>
          <cell r="L505">
            <v>81</v>
          </cell>
          <cell r="M505">
            <v>82</v>
          </cell>
          <cell r="N505">
            <v>83</v>
          </cell>
          <cell r="O505">
            <v>84</v>
          </cell>
          <cell r="P505">
            <v>85</v>
          </cell>
        </row>
        <row r="506">
          <cell r="A506">
            <v>39481</v>
          </cell>
          <cell r="B506">
            <v>2</v>
          </cell>
          <cell r="C506" t="str">
            <v>W</v>
          </cell>
          <cell r="D506">
            <v>83</v>
          </cell>
          <cell r="E506">
            <v>84</v>
          </cell>
          <cell r="F506">
            <v>85</v>
          </cell>
          <cell r="G506">
            <v>86</v>
          </cell>
          <cell r="H506">
            <v>87</v>
          </cell>
          <cell r="I506">
            <v>88</v>
          </cell>
          <cell r="J506">
            <v>89</v>
          </cell>
          <cell r="K506">
            <v>90</v>
          </cell>
          <cell r="L506">
            <v>91</v>
          </cell>
          <cell r="M506">
            <v>92</v>
          </cell>
          <cell r="N506">
            <v>93</v>
          </cell>
          <cell r="O506">
            <v>94</v>
          </cell>
          <cell r="P506">
            <v>95</v>
          </cell>
        </row>
        <row r="507">
          <cell r="A507">
            <v>39482</v>
          </cell>
          <cell r="B507">
            <v>2</v>
          </cell>
          <cell r="C507" t="str">
            <v>W</v>
          </cell>
          <cell r="D507">
            <v>90</v>
          </cell>
          <cell r="E507">
            <v>91</v>
          </cell>
          <cell r="F507">
            <v>92</v>
          </cell>
          <cell r="G507">
            <v>93</v>
          </cell>
          <cell r="H507">
            <v>94</v>
          </cell>
          <cell r="I507">
            <v>95</v>
          </cell>
          <cell r="J507">
            <v>96</v>
          </cell>
          <cell r="K507">
            <v>97</v>
          </cell>
          <cell r="L507">
            <v>98</v>
          </cell>
          <cell r="M507">
            <v>99</v>
          </cell>
          <cell r="N507">
            <v>100</v>
          </cell>
          <cell r="O507">
            <v>101</v>
          </cell>
          <cell r="P507">
            <v>102</v>
          </cell>
        </row>
        <row r="508">
          <cell r="A508">
            <v>39483</v>
          </cell>
          <cell r="B508">
            <v>2</v>
          </cell>
          <cell r="C508" t="str">
            <v>W</v>
          </cell>
          <cell r="D508">
            <v>91</v>
          </cell>
          <cell r="E508">
            <v>92</v>
          </cell>
          <cell r="F508">
            <v>93</v>
          </cell>
          <cell r="G508">
            <v>94</v>
          </cell>
          <cell r="H508">
            <v>95</v>
          </cell>
          <cell r="I508">
            <v>96</v>
          </cell>
          <cell r="J508">
            <v>97</v>
          </cell>
          <cell r="K508">
            <v>98</v>
          </cell>
          <cell r="L508">
            <v>99</v>
          </cell>
          <cell r="M508">
            <v>100</v>
          </cell>
          <cell r="N508">
            <v>101</v>
          </cell>
          <cell r="O508">
            <v>102</v>
          </cell>
          <cell r="P508">
            <v>103</v>
          </cell>
        </row>
        <row r="509">
          <cell r="A509">
            <v>39484</v>
          </cell>
          <cell r="B509">
            <v>2</v>
          </cell>
          <cell r="C509" t="str">
            <v>W</v>
          </cell>
          <cell r="D509">
            <v>91</v>
          </cell>
          <cell r="E509">
            <v>92</v>
          </cell>
          <cell r="F509">
            <v>93</v>
          </cell>
          <cell r="G509">
            <v>94</v>
          </cell>
          <cell r="H509">
            <v>95</v>
          </cell>
          <cell r="I509">
            <v>96</v>
          </cell>
          <cell r="J509">
            <v>97</v>
          </cell>
          <cell r="K509">
            <v>98</v>
          </cell>
          <cell r="L509">
            <v>99</v>
          </cell>
          <cell r="M509">
            <v>100</v>
          </cell>
          <cell r="N509">
            <v>101</v>
          </cell>
          <cell r="O509">
            <v>102</v>
          </cell>
          <cell r="P509">
            <v>103</v>
          </cell>
        </row>
        <row r="510">
          <cell r="A510">
            <v>39485</v>
          </cell>
          <cell r="B510">
            <v>2</v>
          </cell>
          <cell r="C510" t="str">
            <v>W</v>
          </cell>
          <cell r="D510">
            <v>92</v>
          </cell>
          <cell r="E510">
            <v>93</v>
          </cell>
          <cell r="F510">
            <v>94</v>
          </cell>
          <cell r="G510">
            <v>95</v>
          </cell>
          <cell r="H510">
            <v>96</v>
          </cell>
          <cell r="I510">
            <v>97</v>
          </cell>
          <cell r="J510">
            <v>98</v>
          </cell>
          <cell r="K510">
            <v>99</v>
          </cell>
          <cell r="L510">
            <v>100</v>
          </cell>
          <cell r="M510">
            <v>101</v>
          </cell>
          <cell r="N510">
            <v>102</v>
          </cell>
          <cell r="O510">
            <v>103</v>
          </cell>
          <cell r="P510">
            <v>104</v>
          </cell>
        </row>
        <row r="511">
          <cell r="A511">
            <v>39486</v>
          </cell>
          <cell r="B511">
            <v>2</v>
          </cell>
          <cell r="C511" t="str">
            <v>W</v>
          </cell>
          <cell r="D511">
            <v>89</v>
          </cell>
          <cell r="E511">
            <v>90</v>
          </cell>
          <cell r="F511">
            <v>91</v>
          </cell>
          <cell r="G511">
            <v>92</v>
          </cell>
          <cell r="H511">
            <v>93</v>
          </cell>
          <cell r="I511">
            <v>94</v>
          </cell>
          <cell r="J511">
            <v>95</v>
          </cell>
          <cell r="K511">
            <v>96</v>
          </cell>
          <cell r="L511">
            <v>97</v>
          </cell>
          <cell r="M511">
            <v>98</v>
          </cell>
          <cell r="N511">
            <v>99</v>
          </cell>
          <cell r="O511">
            <v>100</v>
          </cell>
          <cell r="P511">
            <v>101</v>
          </cell>
        </row>
        <row r="512">
          <cell r="A512">
            <v>39487</v>
          </cell>
          <cell r="B512">
            <v>2</v>
          </cell>
          <cell r="C512" t="str">
            <v>W</v>
          </cell>
          <cell r="D512">
            <v>83</v>
          </cell>
          <cell r="E512">
            <v>84</v>
          </cell>
          <cell r="F512">
            <v>85</v>
          </cell>
          <cell r="G512">
            <v>86</v>
          </cell>
          <cell r="H512">
            <v>87</v>
          </cell>
          <cell r="I512">
            <v>88</v>
          </cell>
          <cell r="J512">
            <v>89</v>
          </cell>
          <cell r="K512">
            <v>90</v>
          </cell>
          <cell r="L512">
            <v>91</v>
          </cell>
          <cell r="M512">
            <v>92</v>
          </cell>
          <cell r="N512">
            <v>93</v>
          </cell>
          <cell r="O512">
            <v>94</v>
          </cell>
          <cell r="P512">
            <v>95</v>
          </cell>
        </row>
        <row r="513">
          <cell r="A513">
            <v>39488</v>
          </cell>
          <cell r="B513">
            <v>2</v>
          </cell>
          <cell r="C513" t="str">
            <v>W</v>
          </cell>
          <cell r="D513">
            <v>84</v>
          </cell>
          <cell r="E513">
            <v>85</v>
          </cell>
          <cell r="F513">
            <v>86</v>
          </cell>
          <cell r="G513">
            <v>87</v>
          </cell>
          <cell r="H513">
            <v>88</v>
          </cell>
          <cell r="I513">
            <v>89</v>
          </cell>
          <cell r="J513">
            <v>90</v>
          </cell>
          <cell r="K513">
            <v>91</v>
          </cell>
          <cell r="L513">
            <v>92</v>
          </cell>
          <cell r="M513">
            <v>93</v>
          </cell>
          <cell r="N513">
            <v>94</v>
          </cell>
          <cell r="O513">
            <v>95</v>
          </cell>
          <cell r="P513">
            <v>96</v>
          </cell>
        </row>
        <row r="514">
          <cell r="A514">
            <v>39489</v>
          </cell>
          <cell r="B514">
            <v>2</v>
          </cell>
          <cell r="C514" t="str">
            <v>W</v>
          </cell>
          <cell r="D514">
            <v>69</v>
          </cell>
          <cell r="E514">
            <v>70</v>
          </cell>
          <cell r="F514">
            <v>71</v>
          </cell>
          <cell r="G514">
            <v>72</v>
          </cell>
          <cell r="H514">
            <v>73</v>
          </cell>
          <cell r="I514">
            <v>74</v>
          </cell>
          <cell r="J514">
            <v>75</v>
          </cell>
          <cell r="K514">
            <v>76</v>
          </cell>
          <cell r="L514">
            <v>77</v>
          </cell>
          <cell r="M514">
            <v>78</v>
          </cell>
          <cell r="N514">
            <v>79</v>
          </cell>
          <cell r="O514">
            <v>80</v>
          </cell>
          <cell r="P514">
            <v>81</v>
          </cell>
        </row>
        <row r="515">
          <cell r="A515">
            <v>39490</v>
          </cell>
          <cell r="B515">
            <v>2</v>
          </cell>
          <cell r="C515" t="str">
            <v>W</v>
          </cell>
          <cell r="D515">
            <v>59</v>
          </cell>
          <cell r="E515">
            <v>60</v>
          </cell>
          <cell r="F515">
            <v>61</v>
          </cell>
          <cell r="G515">
            <v>62</v>
          </cell>
          <cell r="H515">
            <v>63</v>
          </cell>
          <cell r="I515">
            <v>64</v>
          </cell>
          <cell r="J515">
            <v>65</v>
          </cell>
          <cell r="K515">
            <v>66</v>
          </cell>
          <cell r="L515">
            <v>67</v>
          </cell>
          <cell r="M515">
            <v>68</v>
          </cell>
          <cell r="N515">
            <v>69</v>
          </cell>
          <cell r="O515">
            <v>70</v>
          </cell>
          <cell r="P515">
            <v>71</v>
          </cell>
        </row>
        <row r="516">
          <cell r="A516">
            <v>39491</v>
          </cell>
          <cell r="B516">
            <v>2</v>
          </cell>
          <cell r="C516" t="str">
            <v>W</v>
          </cell>
          <cell r="D516">
            <v>57</v>
          </cell>
          <cell r="E516">
            <v>58</v>
          </cell>
          <cell r="F516">
            <v>59</v>
          </cell>
          <cell r="G516">
            <v>60</v>
          </cell>
          <cell r="H516">
            <v>61</v>
          </cell>
          <cell r="I516">
            <v>62</v>
          </cell>
          <cell r="J516">
            <v>63</v>
          </cell>
          <cell r="K516">
            <v>64</v>
          </cell>
          <cell r="L516">
            <v>65</v>
          </cell>
          <cell r="M516">
            <v>66</v>
          </cell>
          <cell r="N516">
            <v>67</v>
          </cell>
          <cell r="O516">
            <v>68</v>
          </cell>
          <cell r="P516">
            <v>69</v>
          </cell>
        </row>
        <row r="517">
          <cell r="A517">
            <v>39492</v>
          </cell>
          <cell r="B517">
            <v>2</v>
          </cell>
          <cell r="C517" t="str">
            <v>W</v>
          </cell>
          <cell r="D517">
            <v>39</v>
          </cell>
          <cell r="E517">
            <v>40</v>
          </cell>
          <cell r="F517">
            <v>41</v>
          </cell>
          <cell r="G517">
            <v>42</v>
          </cell>
          <cell r="H517">
            <v>43</v>
          </cell>
          <cell r="I517">
            <v>44</v>
          </cell>
          <cell r="J517">
            <v>45</v>
          </cell>
          <cell r="K517">
            <v>46</v>
          </cell>
          <cell r="L517">
            <v>47</v>
          </cell>
          <cell r="M517">
            <v>48</v>
          </cell>
          <cell r="N517">
            <v>49</v>
          </cell>
          <cell r="O517">
            <v>50</v>
          </cell>
          <cell r="P517">
            <v>51</v>
          </cell>
        </row>
        <row r="518">
          <cell r="A518">
            <v>39493</v>
          </cell>
          <cell r="B518">
            <v>2</v>
          </cell>
          <cell r="C518" t="str">
            <v>W</v>
          </cell>
          <cell r="D518">
            <v>58</v>
          </cell>
          <cell r="E518">
            <v>59</v>
          </cell>
          <cell r="F518">
            <v>60</v>
          </cell>
          <cell r="G518">
            <v>61</v>
          </cell>
          <cell r="H518">
            <v>62</v>
          </cell>
          <cell r="I518">
            <v>63</v>
          </cell>
          <cell r="J518">
            <v>64</v>
          </cell>
          <cell r="K518">
            <v>65</v>
          </cell>
          <cell r="L518">
            <v>66</v>
          </cell>
          <cell r="M518">
            <v>67</v>
          </cell>
          <cell r="N518">
            <v>68</v>
          </cell>
          <cell r="O518">
            <v>69</v>
          </cell>
          <cell r="P518">
            <v>70</v>
          </cell>
        </row>
        <row r="519">
          <cell r="A519">
            <v>39494</v>
          </cell>
          <cell r="B519">
            <v>2</v>
          </cell>
          <cell r="C519" t="str">
            <v>W</v>
          </cell>
          <cell r="D519">
            <v>62</v>
          </cell>
          <cell r="E519">
            <v>63</v>
          </cell>
          <cell r="F519">
            <v>64</v>
          </cell>
          <cell r="G519">
            <v>65</v>
          </cell>
          <cell r="H519">
            <v>66</v>
          </cell>
          <cell r="I519">
            <v>67</v>
          </cell>
          <cell r="J519">
            <v>68</v>
          </cell>
          <cell r="K519">
            <v>69</v>
          </cell>
          <cell r="L519">
            <v>70</v>
          </cell>
          <cell r="M519">
            <v>71</v>
          </cell>
          <cell r="N519">
            <v>72</v>
          </cell>
          <cell r="O519">
            <v>73</v>
          </cell>
          <cell r="P519">
            <v>74</v>
          </cell>
        </row>
        <row r="520">
          <cell r="A520">
            <v>39495</v>
          </cell>
          <cell r="B520">
            <v>2</v>
          </cell>
          <cell r="C520" t="str">
            <v>W</v>
          </cell>
          <cell r="D520">
            <v>42</v>
          </cell>
          <cell r="E520">
            <v>43</v>
          </cell>
          <cell r="F520">
            <v>44</v>
          </cell>
          <cell r="G520">
            <v>45</v>
          </cell>
          <cell r="H520">
            <v>46</v>
          </cell>
          <cell r="I520">
            <v>47</v>
          </cell>
          <cell r="J520">
            <v>48</v>
          </cell>
          <cell r="K520">
            <v>49</v>
          </cell>
          <cell r="L520">
            <v>50</v>
          </cell>
          <cell r="M520">
            <v>51</v>
          </cell>
          <cell r="N520">
            <v>52</v>
          </cell>
          <cell r="O520">
            <v>53</v>
          </cell>
          <cell r="P520">
            <v>54</v>
          </cell>
        </row>
        <row r="521">
          <cell r="A521">
            <v>39496</v>
          </cell>
          <cell r="B521">
            <v>2</v>
          </cell>
          <cell r="C521" t="str">
            <v>W</v>
          </cell>
          <cell r="D521">
            <v>34</v>
          </cell>
          <cell r="E521">
            <v>35</v>
          </cell>
          <cell r="F521">
            <v>36</v>
          </cell>
          <cell r="G521">
            <v>37</v>
          </cell>
          <cell r="H521">
            <v>38</v>
          </cell>
          <cell r="I521">
            <v>39</v>
          </cell>
          <cell r="J521">
            <v>40</v>
          </cell>
          <cell r="K521">
            <v>41</v>
          </cell>
          <cell r="L521">
            <v>42</v>
          </cell>
          <cell r="M521">
            <v>43</v>
          </cell>
          <cell r="N521">
            <v>44</v>
          </cell>
          <cell r="O521">
            <v>45</v>
          </cell>
          <cell r="P521">
            <v>46</v>
          </cell>
        </row>
        <row r="522">
          <cell r="A522">
            <v>39497</v>
          </cell>
          <cell r="B522">
            <v>2</v>
          </cell>
          <cell r="C522" t="str">
            <v>W</v>
          </cell>
          <cell r="D522">
            <v>30</v>
          </cell>
          <cell r="E522">
            <v>31</v>
          </cell>
          <cell r="F522">
            <v>32</v>
          </cell>
          <cell r="G522">
            <v>33</v>
          </cell>
          <cell r="H522">
            <v>34</v>
          </cell>
          <cell r="I522">
            <v>35</v>
          </cell>
          <cell r="J522">
            <v>36</v>
          </cell>
          <cell r="K522">
            <v>37</v>
          </cell>
          <cell r="L522">
            <v>38</v>
          </cell>
          <cell r="M522">
            <v>39</v>
          </cell>
          <cell r="N522">
            <v>40</v>
          </cell>
          <cell r="O522">
            <v>41</v>
          </cell>
          <cell r="P522">
            <v>42</v>
          </cell>
        </row>
        <row r="523">
          <cell r="A523">
            <v>39498</v>
          </cell>
          <cell r="B523">
            <v>2</v>
          </cell>
          <cell r="C523" t="str">
            <v>W</v>
          </cell>
          <cell r="D523">
            <v>27</v>
          </cell>
          <cell r="E523">
            <v>28</v>
          </cell>
          <cell r="F523">
            <v>29</v>
          </cell>
          <cell r="G523">
            <v>30</v>
          </cell>
          <cell r="H523">
            <v>31</v>
          </cell>
          <cell r="I523">
            <v>32</v>
          </cell>
          <cell r="J523">
            <v>33</v>
          </cell>
          <cell r="K523">
            <v>34</v>
          </cell>
          <cell r="L523">
            <v>35</v>
          </cell>
          <cell r="M523">
            <v>36</v>
          </cell>
          <cell r="N523">
            <v>37</v>
          </cell>
          <cell r="O523">
            <v>38</v>
          </cell>
          <cell r="P523">
            <v>39</v>
          </cell>
        </row>
        <row r="524">
          <cell r="A524">
            <v>39499</v>
          </cell>
          <cell r="B524">
            <v>2</v>
          </cell>
          <cell r="C524" t="str">
            <v>W</v>
          </cell>
          <cell r="D524">
            <v>28</v>
          </cell>
          <cell r="E524">
            <v>29</v>
          </cell>
          <cell r="F524">
            <v>30</v>
          </cell>
          <cell r="G524">
            <v>31</v>
          </cell>
          <cell r="H524">
            <v>32</v>
          </cell>
          <cell r="I524">
            <v>33</v>
          </cell>
          <cell r="J524">
            <v>34</v>
          </cell>
          <cell r="K524">
            <v>35</v>
          </cell>
          <cell r="L524">
            <v>36</v>
          </cell>
          <cell r="M524">
            <v>37</v>
          </cell>
          <cell r="N524">
            <v>38</v>
          </cell>
          <cell r="O524">
            <v>39</v>
          </cell>
          <cell r="P524">
            <v>40</v>
          </cell>
        </row>
        <row r="525">
          <cell r="A525">
            <v>39500</v>
          </cell>
          <cell r="B525">
            <v>2</v>
          </cell>
          <cell r="C525" t="str">
            <v>W</v>
          </cell>
          <cell r="D525">
            <v>38</v>
          </cell>
          <cell r="E525">
            <v>39</v>
          </cell>
          <cell r="F525">
            <v>40</v>
          </cell>
          <cell r="G525">
            <v>41</v>
          </cell>
          <cell r="H525">
            <v>42</v>
          </cell>
          <cell r="I525">
            <v>43</v>
          </cell>
          <cell r="J525">
            <v>44</v>
          </cell>
          <cell r="K525">
            <v>45</v>
          </cell>
          <cell r="L525">
            <v>46</v>
          </cell>
          <cell r="M525">
            <v>47</v>
          </cell>
          <cell r="N525">
            <v>48</v>
          </cell>
          <cell r="O525">
            <v>49</v>
          </cell>
          <cell r="P525">
            <v>50</v>
          </cell>
        </row>
        <row r="526">
          <cell r="A526">
            <v>39501</v>
          </cell>
          <cell r="B526">
            <v>2</v>
          </cell>
          <cell r="C526" t="str">
            <v>W</v>
          </cell>
          <cell r="D526">
            <v>42</v>
          </cell>
          <cell r="E526">
            <v>43</v>
          </cell>
          <cell r="F526">
            <v>44</v>
          </cell>
          <cell r="G526">
            <v>45</v>
          </cell>
          <cell r="H526">
            <v>46</v>
          </cell>
          <cell r="I526">
            <v>47</v>
          </cell>
          <cell r="J526">
            <v>48</v>
          </cell>
          <cell r="K526">
            <v>49</v>
          </cell>
          <cell r="L526">
            <v>50</v>
          </cell>
          <cell r="M526">
            <v>51</v>
          </cell>
          <cell r="N526">
            <v>52</v>
          </cell>
          <cell r="O526">
            <v>53</v>
          </cell>
          <cell r="P526">
            <v>54</v>
          </cell>
        </row>
        <row r="527">
          <cell r="A527">
            <v>39502</v>
          </cell>
          <cell r="B527">
            <v>2</v>
          </cell>
          <cell r="C527" t="str">
            <v>W</v>
          </cell>
          <cell r="D527">
            <v>41</v>
          </cell>
          <cell r="E527">
            <v>42</v>
          </cell>
          <cell r="F527">
            <v>43</v>
          </cell>
          <cell r="G527">
            <v>44</v>
          </cell>
          <cell r="H527">
            <v>45</v>
          </cell>
          <cell r="I527">
            <v>46</v>
          </cell>
          <cell r="J527">
            <v>47</v>
          </cell>
          <cell r="K527">
            <v>48</v>
          </cell>
          <cell r="L527">
            <v>49</v>
          </cell>
          <cell r="M527">
            <v>50</v>
          </cell>
          <cell r="N527">
            <v>51</v>
          </cell>
          <cell r="O527">
            <v>52</v>
          </cell>
          <cell r="P527">
            <v>53</v>
          </cell>
        </row>
        <row r="528">
          <cell r="A528">
            <v>39503</v>
          </cell>
          <cell r="B528">
            <v>2</v>
          </cell>
          <cell r="C528" t="str">
            <v>W</v>
          </cell>
          <cell r="D528">
            <v>48</v>
          </cell>
          <cell r="E528">
            <v>49</v>
          </cell>
          <cell r="F528">
            <v>50</v>
          </cell>
          <cell r="G528">
            <v>51</v>
          </cell>
          <cell r="H528">
            <v>52</v>
          </cell>
          <cell r="I528">
            <v>53</v>
          </cell>
          <cell r="J528">
            <v>54</v>
          </cell>
          <cell r="K528">
            <v>55</v>
          </cell>
          <cell r="L528">
            <v>56</v>
          </cell>
          <cell r="M528">
            <v>57</v>
          </cell>
          <cell r="N528">
            <v>58</v>
          </cell>
          <cell r="O528">
            <v>59</v>
          </cell>
          <cell r="P528">
            <v>60</v>
          </cell>
        </row>
        <row r="529">
          <cell r="A529">
            <v>39504</v>
          </cell>
          <cell r="B529">
            <v>2</v>
          </cell>
          <cell r="C529" t="str">
            <v>W</v>
          </cell>
          <cell r="D529">
            <v>52</v>
          </cell>
          <cell r="E529">
            <v>53</v>
          </cell>
          <cell r="F529">
            <v>54</v>
          </cell>
          <cell r="G529">
            <v>55</v>
          </cell>
          <cell r="H529">
            <v>56</v>
          </cell>
          <cell r="I529">
            <v>57</v>
          </cell>
          <cell r="J529">
            <v>58</v>
          </cell>
          <cell r="K529">
            <v>59</v>
          </cell>
          <cell r="L529">
            <v>60</v>
          </cell>
          <cell r="M529">
            <v>61</v>
          </cell>
          <cell r="N529">
            <v>62</v>
          </cell>
          <cell r="O529">
            <v>63</v>
          </cell>
          <cell r="P529">
            <v>64</v>
          </cell>
        </row>
        <row r="530">
          <cell r="A530">
            <v>39505</v>
          </cell>
          <cell r="B530">
            <v>2</v>
          </cell>
          <cell r="C530" t="str">
            <v>W</v>
          </cell>
          <cell r="D530">
            <v>54</v>
          </cell>
          <cell r="E530">
            <v>55</v>
          </cell>
          <cell r="F530">
            <v>56</v>
          </cell>
          <cell r="G530">
            <v>57</v>
          </cell>
          <cell r="H530">
            <v>58</v>
          </cell>
          <cell r="I530">
            <v>59</v>
          </cell>
          <cell r="J530">
            <v>60</v>
          </cell>
          <cell r="K530">
            <v>61</v>
          </cell>
          <cell r="L530">
            <v>62</v>
          </cell>
          <cell r="M530">
            <v>63</v>
          </cell>
          <cell r="N530">
            <v>64</v>
          </cell>
          <cell r="O530">
            <v>65</v>
          </cell>
          <cell r="P530">
            <v>66</v>
          </cell>
        </row>
        <row r="531">
          <cell r="A531">
            <v>39506</v>
          </cell>
          <cell r="B531">
            <v>2</v>
          </cell>
          <cell r="C531" t="str">
            <v>W</v>
          </cell>
          <cell r="D531">
            <v>56</v>
          </cell>
          <cell r="E531">
            <v>57</v>
          </cell>
          <cell r="F531">
            <v>58</v>
          </cell>
          <cell r="G531">
            <v>59</v>
          </cell>
          <cell r="H531">
            <v>60</v>
          </cell>
          <cell r="I531">
            <v>61</v>
          </cell>
          <cell r="J531">
            <v>62</v>
          </cell>
          <cell r="K531">
            <v>63</v>
          </cell>
          <cell r="L531">
            <v>64</v>
          </cell>
          <cell r="M531">
            <v>65</v>
          </cell>
          <cell r="N531">
            <v>66</v>
          </cell>
          <cell r="O531">
            <v>67</v>
          </cell>
          <cell r="P531">
            <v>68</v>
          </cell>
        </row>
        <row r="532">
          <cell r="A532">
            <v>39507</v>
          </cell>
          <cell r="B532">
            <v>2</v>
          </cell>
          <cell r="C532" t="str">
            <v>W</v>
          </cell>
          <cell r="D532">
            <v>54</v>
          </cell>
          <cell r="E532">
            <v>55</v>
          </cell>
          <cell r="F532">
            <v>56</v>
          </cell>
          <cell r="G532">
            <v>57</v>
          </cell>
          <cell r="H532">
            <v>58</v>
          </cell>
          <cell r="I532">
            <v>59</v>
          </cell>
          <cell r="J532">
            <v>60</v>
          </cell>
          <cell r="K532">
            <v>61</v>
          </cell>
          <cell r="L532">
            <v>62</v>
          </cell>
          <cell r="M532">
            <v>63</v>
          </cell>
          <cell r="N532">
            <v>64</v>
          </cell>
          <cell r="O532">
            <v>65</v>
          </cell>
          <cell r="P532">
            <v>66</v>
          </cell>
        </row>
        <row r="533">
          <cell r="A533">
            <v>39508</v>
          </cell>
          <cell r="B533">
            <v>3</v>
          </cell>
          <cell r="C533" t="str">
            <v>W</v>
          </cell>
          <cell r="D533">
            <v>62</v>
          </cell>
          <cell r="E533">
            <v>63</v>
          </cell>
          <cell r="F533">
            <v>64</v>
          </cell>
          <cell r="G533">
            <v>65</v>
          </cell>
          <cell r="H533">
            <v>66</v>
          </cell>
          <cell r="I533">
            <v>67</v>
          </cell>
          <cell r="J533">
            <v>68</v>
          </cell>
          <cell r="K533">
            <v>69</v>
          </cell>
          <cell r="L533">
            <v>70</v>
          </cell>
          <cell r="M533">
            <v>71</v>
          </cell>
          <cell r="N533">
            <v>72</v>
          </cell>
          <cell r="O533">
            <v>73</v>
          </cell>
          <cell r="P533">
            <v>74</v>
          </cell>
        </row>
        <row r="534">
          <cell r="A534">
            <v>39509</v>
          </cell>
          <cell r="B534">
            <v>3</v>
          </cell>
          <cell r="C534" t="str">
            <v>W</v>
          </cell>
          <cell r="D534">
            <v>54</v>
          </cell>
          <cell r="E534">
            <v>55</v>
          </cell>
          <cell r="F534">
            <v>56</v>
          </cell>
          <cell r="G534">
            <v>57</v>
          </cell>
          <cell r="H534">
            <v>58</v>
          </cell>
          <cell r="I534">
            <v>59</v>
          </cell>
          <cell r="J534">
            <v>60</v>
          </cell>
          <cell r="K534">
            <v>61</v>
          </cell>
          <cell r="L534">
            <v>62</v>
          </cell>
          <cell r="M534">
            <v>63</v>
          </cell>
          <cell r="N534">
            <v>64</v>
          </cell>
          <cell r="O534">
            <v>65</v>
          </cell>
          <cell r="P534">
            <v>66</v>
          </cell>
        </row>
        <row r="535">
          <cell r="A535">
            <v>39510</v>
          </cell>
          <cell r="B535">
            <v>3</v>
          </cell>
          <cell r="C535" t="str">
            <v>W</v>
          </cell>
          <cell r="D535">
            <v>49</v>
          </cell>
          <cell r="E535">
            <v>50</v>
          </cell>
          <cell r="F535">
            <v>51</v>
          </cell>
          <cell r="G535">
            <v>52</v>
          </cell>
          <cell r="H535">
            <v>53</v>
          </cell>
          <cell r="I535">
            <v>54</v>
          </cell>
          <cell r="J535">
            <v>55</v>
          </cell>
          <cell r="K535">
            <v>56</v>
          </cell>
          <cell r="L535">
            <v>57</v>
          </cell>
          <cell r="M535">
            <v>58</v>
          </cell>
          <cell r="N535">
            <v>59</v>
          </cell>
          <cell r="O535">
            <v>60</v>
          </cell>
          <cell r="P535">
            <v>61</v>
          </cell>
        </row>
        <row r="536">
          <cell r="A536">
            <v>39511</v>
          </cell>
          <cell r="B536">
            <v>3</v>
          </cell>
          <cell r="C536" t="str">
            <v>W</v>
          </cell>
          <cell r="D536">
            <v>34</v>
          </cell>
          <cell r="E536">
            <v>35</v>
          </cell>
          <cell r="F536">
            <v>36</v>
          </cell>
          <cell r="G536">
            <v>37</v>
          </cell>
          <cell r="H536">
            <v>38</v>
          </cell>
          <cell r="I536">
            <v>39</v>
          </cell>
          <cell r="J536">
            <v>40</v>
          </cell>
          <cell r="K536">
            <v>41</v>
          </cell>
          <cell r="L536">
            <v>42</v>
          </cell>
          <cell r="M536">
            <v>43</v>
          </cell>
          <cell r="N536">
            <v>44</v>
          </cell>
          <cell r="O536">
            <v>45</v>
          </cell>
          <cell r="P536">
            <v>46</v>
          </cell>
        </row>
        <row r="537">
          <cell r="A537">
            <v>39512</v>
          </cell>
          <cell r="B537">
            <v>3</v>
          </cell>
          <cell r="C537" t="str">
            <v>W</v>
          </cell>
          <cell r="D537">
            <v>26</v>
          </cell>
          <cell r="E537">
            <v>27</v>
          </cell>
          <cell r="F537">
            <v>28</v>
          </cell>
          <cell r="G537">
            <v>29</v>
          </cell>
          <cell r="H537">
            <v>30</v>
          </cell>
          <cell r="I537">
            <v>31</v>
          </cell>
          <cell r="J537">
            <v>32</v>
          </cell>
          <cell r="K537">
            <v>33</v>
          </cell>
          <cell r="L537">
            <v>34</v>
          </cell>
          <cell r="M537">
            <v>35</v>
          </cell>
          <cell r="N537">
            <v>36</v>
          </cell>
          <cell r="O537">
            <v>37</v>
          </cell>
          <cell r="P537">
            <v>38</v>
          </cell>
        </row>
        <row r="538">
          <cell r="A538">
            <v>39513</v>
          </cell>
          <cell r="B538">
            <v>3</v>
          </cell>
          <cell r="C538" t="str">
            <v>W</v>
          </cell>
          <cell r="D538">
            <v>26</v>
          </cell>
          <cell r="E538">
            <v>27</v>
          </cell>
          <cell r="F538">
            <v>28</v>
          </cell>
          <cell r="G538">
            <v>29</v>
          </cell>
          <cell r="H538">
            <v>30</v>
          </cell>
          <cell r="I538">
            <v>31</v>
          </cell>
          <cell r="J538">
            <v>32</v>
          </cell>
          <cell r="K538">
            <v>33</v>
          </cell>
          <cell r="L538">
            <v>34</v>
          </cell>
          <cell r="M538">
            <v>35</v>
          </cell>
          <cell r="N538">
            <v>36</v>
          </cell>
          <cell r="O538">
            <v>37</v>
          </cell>
          <cell r="P538">
            <v>38</v>
          </cell>
        </row>
        <row r="539">
          <cell r="A539">
            <v>39514</v>
          </cell>
          <cell r="B539">
            <v>3</v>
          </cell>
          <cell r="C539" t="str">
            <v>W</v>
          </cell>
          <cell r="D539">
            <v>21</v>
          </cell>
          <cell r="E539">
            <v>22</v>
          </cell>
          <cell r="F539">
            <v>23</v>
          </cell>
          <cell r="G539">
            <v>24</v>
          </cell>
          <cell r="H539">
            <v>25</v>
          </cell>
          <cell r="I539">
            <v>26</v>
          </cell>
          <cell r="J539">
            <v>27</v>
          </cell>
          <cell r="K539">
            <v>28</v>
          </cell>
          <cell r="L539">
            <v>29</v>
          </cell>
          <cell r="M539">
            <v>30</v>
          </cell>
          <cell r="N539">
            <v>31</v>
          </cell>
          <cell r="O539">
            <v>32</v>
          </cell>
          <cell r="P539">
            <v>33</v>
          </cell>
        </row>
        <row r="540">
          <cell r="A540">
            <v>39515</v>
          </cell>
          <cell r="B540">
            <v>3</v>
          </cell>
          <cell r="C540" t="str">
            <v>W</v>
          </cell>
          <cell r="D540">
            <v>25</v>
          </cell>
          <cell r="E540">
            <v>26</v>
          </cell>
          <cell r="F540">
            <v>27</v>
          </cell>
          <cell r="G540">
            <v>28</v>
          </cell>
          <cell r="H540">
            <v>29</v>
          </cell>
          <cell r="I540">
            <v>30</v>
          </cell>
          <cell r="J540">
            <v>31</v>
          </cell>
          <cell r="K540">
            <v>32</v>
          </cell>
          <cell r="L540">
            <v>33</v>
          </cell>
          <cell r="M540">
            <v>34</v>
          </cell>
          <cell r="N540">
            <v>35</v>
          </cell>
          <cell r="O540">
            <v>36</v>
          </cell>
          <cell r="P540">
            <v>37</v>
          </cell>
        </row>
        <row r="541">
          <cell r="A541">
            <v>39516</v>
          </cell>
          <cell r="B541">
            <v>3</v>
          </cell>
          <cell r="C541" t="str">
            <v>W</v>
          </cell>
          <cell r="D541">
            <v>26</v>
          </cell>
          <cell r="E541">
            <v>27</v>
          </cell>
          <cell r="F541">
            <v>28</v>
          </cell>
          <cell r="G541">
            <v>29</v>
          </cell>
          <cell r="H541">
            <v>30</v>
          </cell>
          <cell r="I541">
            <v>31</v>
          </cell>
          <cell r="J541">
            <v>32</v>
          </cell>
          <cell r="K541">
            <v>33</v>
          </cell>
          <cell r="L541">
            <v>34</v>
          </cell>
          <cell r="M541">
            <v>35</v>
          </cell>
          <cell r="N541">
            <v>36</v>
          </cell>
          <cell r="O541">
            <v>37</v>
          </cell>
          <cell r="P541">
            <v>38</v>
          </cell>
        </row>
        <row r="542">
          <cell r="A542">
            <v>39517</v>
          </cell>
          <cell r="B542">
            <v>3</v>
          </cell>
          <cell r="C542" t="str">
            <v>W</v>
          </cell>
          <cell r="D542">
            <v>27</v>
          </cell>
          <cell r="E542">
            <v>28</v>
          </cell>
          <cell r="F542">
            <v>29</v>
          </cell>
          <cell r="G542">
            <v>30</v>
          </cell>
          <cell r="H542">
            <v>31</v>
          </cell>
          <cell r="I542">
            <v>32</v>
          </cell>
          <cell r="J542">
            <v>33</v>
          </cell>
          <cell r="K542">
            <v>34</v>
          </cell>
          <cell r="L542">
            <v>35</v>
          </cell>
          <cell r="M542">
            <v>36</v>
          </cell>
          <cell r="N542">
            <v>37</v>
          </cell>
          <cell r="O542">
            <v>38</v>
          </cell>
          <cell r="P542">
            <v>39</v>
          </cell>
        </row>
        <row r="543">
          <cell r="A543">
            <v>39518</v>
          </cell>
          <cell r="B543">
            <v>3</v>
          </cell>
          <cell r="C543" t="str">
            <v>W</v>
          </cell>
          <cell r="D543">
            <v>36</v>
          </cell>
          <cell r="E543">
            <v>37</v>
          </cell>
          <cell r="F543">
            <v>38</v>
          </cell>
          <cell r="G543">
            <v>39</v>
          </cell>
          <cell r="H543">
            <v>40</v>
          </cell>
          <cell r="I543">
            <v>41</v>
          </cell>
          <cell r="J543">
            <v>42</v>
          </cell>
          <cell r="K543">
            <v>43</v>
          </cell>
          <cell r="L543">
            <v>44</v>
          </cell>
          <cell r="M543">
            <v>45</v>
          </cell>
          <cell r="N543">
            <v>46</v>
          </cell>
          <cell r="O543">
            <v>47</v>
          </cell>
          <cell r="P543">
            <v>48</v>
          </cell>
        </row>
        <row r="544">
          <cell r="A544">
            <v>39519</v>
          </cell>
          <cell r="B544">
            <v>3</v>
          </cell>
          <cell r="C544" t="str">
            <v>W</v>
          </cell>
          <cell r="D544">
            <v>38</v>
          </cell>
          <cell r="E544">
            <v>39</v>
          </cell>
          <cell r="F544">
            <v>40</v>
          </cell>
          <cell r="G544">
            <v>41</v>
          </cell>
          <cell r="H544">
            <v>42</v>
          </cell>
          <cell r="I544">
            <v>43</v>
          </cell>
          <cell r="J544">
            <v>44</v>
          </cell>
          <cell r="K544">
            <v>45</v>
          </cell>
          <cell r="L544">
            <v>46</v>
          </cell>
          <cell r="M544">
            <v>47</v>
          </cell>
          <cell r="N544">
            <v>48</v>
          </cell>
          <cell r="O544">
            <v>49</v>
          </cell>
          <cell r="P544">
            <v>50</v>
          </cell>
        </row>
        <row r="545">
          <cell r="A545">
            <v>39520</v>
          </cell>
          <cell r="B545">
            <v>3</v>
          </cell>
          <cell r="C545" t="str">
            <v>W</v>
          </cell>
          <cell r="D545">
            <v>38</v>
          </cell>
          <cell r="E545">
            <v>39</v>
          </cell>
          <cell r="F545">
            <v>40</v>
          </cell>
          <cell r="G545">
            <v>41</v>
          </cell>
          <cell r="H545">
            <v>42</v>
          </cell>
          <cell r="I545">
            <v>43</v>
          </cell>
          <cell r="J545">
            <v>44</v>
          </cell>
          <cell r="K545">
            <v>45</v>
          </cell>
          <cell r="L545">
            <v>46</v>
          </cell>
          <cell r="M545">
            <v>47</v>
          </cell>
          <cell r="N545">
            <v>48</v>
          </cell>
          <cell r="O545">
            <v>49</v>
          </cell>
          <cell r="P545">
            <v>50</v>
          </cell>
        </row>
        <row r="546">
          <cell r="A546">
            <v>39521</v>
          </cell>
          <cell r="B546">
            <v>3</v>
          </cell>
          <cell r="C546" t="str">
            <v>W</v>
          </cell>
          <cell r="D546">
            <v>42</v>
          </cell>
          <cell r="E546">
            <v>43</v>
          </cell>
          <cell r="F546">
            <v>44</v>
          </cell>
          <cell r="G546">
            <v>45</v>
          </cell>
          <cell r="H546">
            <v>46</v>
          </cell>
          <cell r="I546">
            <v>47</v>
          </cell>
          <cell r="J546">
            <v>48</v>
          </cell>
          <cell r="K546">
            <v>49</v>
          </cell>
          <cell r="L546">
            <v>50</v>
          </cell>
          <cell r="M546">
            <v>51</v>
          </cell>
          <cell r="N546">
            <v>52</v>
          </cell>
          <cell r="O546">
            <v>53</v>
          </cell>
          <cell r="P546">
            <v>54</v>
          </cell>
        </row>
        <row r="547">
          <cell r="A547">
            <v>39522</v>
          </cell>
          <cell r="B547">
            <v>3</v>
          </cell>
          <cell r="C547" t="str">
            <v>W</v>
          </cell>
          <cell r="D547">
            <v>43</v>
          </cell>
          <cell r="E547">
            <v>44</v>
          </cell>
          <cell r="F547">
            <v>45</v>
          </cell>
          <cell r="G547">
            <v>46</v>
          </cell>
          <cell r="H547">
            <v>47</v>
          </cell>
          <cell r="I547">
            <v>48</v>
          </cell>
          <cell r="J547">
            <v>49</v>
          </cell>
          <cell r="K547">
            <v>50</v>
          </cell>
          <cell r="L547">
            <v>51</v>
          </cell>
          <cell r="M547">
            <v>52</v>
          </cell>
          <cell r="N547">
            <v>53</v>
          </cell>
          <cell r="O547">
            <v>54</v>
          </cell>
          <cell r="P547">
            <v>55</v>
          </cell>
        </row>
        <row r="548">
          <cell r="A548">
            <v>39523</v>
          </cell>
          <cell r="B548">
            <v>3</v>
          </cell>
          <cell r="C548" t="str">
            <v>W</v>
          </cell>
          <cell r="D548">
            <v>35</v>
          </cell>
          <cell r="E548">
            <v>36</v>
          </cell>
          <cell r="F548">
            <v>37</v>
          </cell>
          <cell r="G548">
            <v>38</v>
          </cell>
          <cell r="H548">
            <v>39</v>
          </cell>
          <cell r="I548">
            <v>40</v>
          </cell>
          <cell r="J548">
            <v>41</v>
          </cell>
          <cell r="K548">
            <v>42</v>
          </cell>
          <cell r="L548">
            <v>43</v>
          </cell>
          <cell r="M548">
            <v>44</v>
          </cell>
          <cell r="N548">
            <v>45</v>
          </cell>
          <cell r="O548">
            <v>46</v>
          </cell>
          <cell r="P548">
            <v>47</v>
          </cell>
        </row>
        <row r="549">
          <cell r="A549">
            <v>39524</v>
          </cell>
          <cell r="B549">
            <v>3</v>
          </cell>
          <cell r="C549" t="str">
            <v>W</v>
          </cell>
          <cell r="D549">
            <v>42</v>
          </cell>
          <cell r="E549">
            <v>43</v>
          </cell>
          <cell r="F549">
            <v>44</v>
          </cell>
          <cell r="G549">
            <v>45</v>
          </cell>
          <cell r="H549">
            <v>46</v>
          </cell>
          <cell r="I549">
            <v>47</v>
          </cell>
          <cell r="J549">
            <v>48</v>
          </cell>
          <cell r="K549">
            <v>49</v>
          </cell>
          <cell r="L549">
            <v>50</v>
          </cell>
          <cell r="M549">
            <v>51</v>
          </cell>
          <cell r="N549">
            <v>52</v>
          </cell>
          <cell r="O549">
            <v>53</v>
          </cell>
          <cell r="P549">
            <v>54</v>
          </cell>
        </row>
        <row r="550">
          <cell r="A550">
            <v>39525</v>
          </cell>
          <cell r="B550">
            <v>3</v>
          </cell>
          <cell r="C550" t="str">
            <v>W</v>
          </cell>
          <cell r="D550">
            <v>47</v>
          </cell>
          <cell r="E550">
            <v>48</v>
          </cell>
          <cell r="F550">
            <v>49</v>
          </cell>
          <cell r="G550">
            <v>50</v>
          </cell>
          <cell r="H550">
            <v>51</v>
          </cell>
          <cell r="I550">
            <v>52</v>
          </cell>
          <cell r="J550">
            <v>53</v>
          </cell>
          <cell r="K550">
            <v>54</v>
          </cell>
          <cell r="L550">
            <v>55</v>
          </cell>
          <cell r="M550">
            <v>56</v>
          </cell>
          <cell r="N550">
            <v>57</v>
          </cell>
          <cell r="O550">
            <v>58</v>
          </cell>
          <cell r="P550">
            <v>59</v>
          </cell>
        </row>
        <row r="551">
          <cell r="A551">
            <v>39526</v>
          </cell>
          <cell r="B551">
            <v>3</v>
          </cell>
          <cell r="C551" t="str">
            <v>W</v>
          </cell>
          <cell r="D551">
            <v>50</v>
          </cell>
          <cell r="E551">
            <v>51</v>
          </cell>
          <cell r="F551">
            <v>52</v>
          </cell>
          <cell r="G551">
            <v>53</v>
          </cell>
          <cell r="H551">
            <v>54</v>
          </cell>
          <cell r="I551">
            <v>55</v>
          </cell>
          <cell r="J551">
            <v>56</v>
          </cell>
          <cell r="K551">
            <v>57</v>
          </cell>
          <cell r="L551">
            <v>58</v>
          </cell>
          <cell r="M551">
            <v>59</v>
          </cell>
          <cell r="N551">
            <v>60</v>
          </cell>
          <cell r="O551">
            <v>61</v>
          </cell>
          <cell r="P551">
            <v>62</v>
          </cell>
        </row>
        <row r="552">
          <cell r="A552">
            <v>39527</v>
          </cell>
          <cell r="B552">
            <v>3</v>
          </cell>
          <cell r="C552" t="str">
            <v>W</v>
          </cell>
          <cell r="D552">
            <v>48</v>
          </cell>
          <cell r="E552">
            <v>49</v>
          </cell>
          <cell r="F552">
            <v>50</v>
          </cell>
          <cell r="G552">
            <v>51</v>
          </cell>
          <cell r="H552">
            <v>52</v>
          </cell>
          <cell r="I552">
            <v>53</v>
          </cell>
          <cell r="J552">
            <v>54</v>
          </cell>
          <cell r="K552">
            <v>55</v>
          </cell>
          <cell r="L552">
            <v>56</v>
          </cell>
          <cell r="M552">
            <v>57</v>
          </cell>
          <cell r="N552">
            <v>58</v>
          </cell>
          <cell r="O552">
            <v>59</v>
          </cell>
          <cell r="P552">
            <v>60</v>
          </cell>
        </row>
        <row r="553">
          <cell r="A553">
            <v>39528</v>
          </cell>
          <cell r="B553">
            <v>3</v>
          </cell>
          <cell r="C553" t="str">
            <v>W</v>
          </cell>
          <cell r="D553">
            <v>46</v>
          </cell>
          <cell r="E553">
            <v>47</v>
          </cell>
          <cell r="F553">
            <v>48</v>
          </cell>
          <cell r="G553">
            <v>49</v>
          </cell>
          <cell r="H553">
            <v>50</v>
          </cell>
          <cell r="I553">
            <v>51</v>
          </cell>
          <cell r="J553">
            <v>52</v>
          </cell>
          <cell r="K553">
            <v>53</v>
          </cell>
          <cell r="L553">
            <v>54</v>
          </cell>
          <cell r="M553">
            <v>55</v>
          </cell>
          <cell r="N553">
            <v>56</v>
          </cell>
          <cell r="O553">
            <v>57</v>
          </cell>
          <cell r="P553">
            <v>58</v>
          </cell>
        </row>
        <row r="554">
          <cell r="A554">
            <v>39529</v>
          </cell>
          <cell r="B554">
            <v>3</v>
          </cell>
          <cell r="C554" t="str">
            <v>W</v>
          </cell>
          <cell r="D554">
            <v>40</v>
          </cell>
          <cell r="E554">
            <v>41</v>
          </cell>
          <cell r="F554">
            <v>42</v>
          </cell>
          <cell r="G554">
            <v>43</v>
          </cell>
          <cell r="H554">
            <v>44</v>
          </cell>
          <cell r="I554">
            <v>45</v>
          </cell>
          <cell r="J554">
            <v>46</v>
          </cell>
          <cell r="K554">
            <v>47</v>
          </cell>
          <cell r="L554">
            <v>48</v>
          </cell>
          <cell r="M554">
            <v>49</v>
          </cell>
          <cell r="N554">
            <v>50</v>
          </cell>
          <cell r="O554">
            <v>51</v>
          </cell>
          <cell r="P554">
            <v>52</v>
          </cell>
        </row>
        <row r="555">
          <cell r="A555">
            <v>39530</v>
          </cell>
          <cell r="B555">
            <v>3</v>
          </cell>
          <cell r="C555" t="str">
            <v>W</v>
          </cell>
          <cell r="D555">
            <v>37</v>
          </cell>
          <cell r="E555">
            <v>38</v>
          </cell>
          <cell r="F555">
            <v>39</v>
          </cell>
          <cell r="G555">
            <v>40</v>
          </cell>
          <cell r="H555">
            <v>41</v>
          </cell>
          <cell r="I555">
            <v>42</v>
          </cell>
          <cell r="J555">
            <v>43</v>
          </cell>
          <cell r="K555">
            <v>44</v>
          </cell>
          <cell r="L555">
            <v>45</v>
          </cell>
          <cell r="M555">
            <v>46</v>
          </cell>
          <cell r="N555">
            <v>47</v>
          </cell>
          <cell r="O555">
            <v>48</v>
          </cell>
          <cell r="P555">
            <v>49</v>
          </cell>
        </row>
        <row r="556">
          <cell r="A556">
            <v>39531</v>
          </cell>
          <cell r="B556">
            <v>3</v>
          </cell>
          <cell r="C556" t="str">
            <v>W</v>
          </cell>
          <cell r="D556">
            <v>34</v>
          </cell>
          <cell r="E556">
            <v>35</v>
          </cell>
          <cell r="F556">
            <v>36</v>
          </cell>
          <cell r="G556">
            <v>37</v>
          </cell>
          <cell r="H556">
            <v>38</v>
          </cell>
          <cell r="I556">
            <v>39</v>
          </cell>
          <cell r="J556">
            <v>40</v>
          </cell>
          <cell r="K556">
            <v>41</v>
          </cell>
          <cell r="L556">
            <v>42</v>
          </cell>
          <cell r="M556">
            <v>43</v>
          </cell>
          <cell r="N556">
            <v>44</v>
          </cell>
          <cell r="O556">
            <v>45</v>
          </cell>
          <cell r="P556">
            <v>46</v>
          </cell>
        </row>
        <row r="557">
          <cell r="A557">
            <v>39532</v>
          </cell>
          <cell r="B557">
            <v>3</v>
          </cell>
          <cell r="C557" t="str">
            <v>W</v>
          </cell>
          <cell r="D557">
            <v>37</v>
          </cell>
          <cell r="E557">
            <v>38</v>
          </cell>
          <cell r="F557">
            <v>39</v>
          </cell>
          <cell r="G557">
            <v>40</v>
          </cell>
          <cell r="H557">
            <v>41</v>
          </cell>
          <cell r="I557">
            <v>42</v>
          </cell>
          <cell r="J557">
            <v>43</v>
          </cell>
          <cell r="K557">
            <v>44</v>
          </cell>
          <cell r="L557">
            <v>45</v>
          </cell>
          <cell r="M557">
            <v>46</v>
          </cell>
          <cell r="N557">
            <v>47</v>
          </cell>
          <cell r="O557">
            <v>48</v>
          </cell>
          <cell r="P557">
            <v>49</v>
          </cell>
        </row>
        <row r="558">
          <cell r="A558">
            <v>39533</v>
          </cell>
          <cell r="B558">
            <v>3</v>
          </cell>
          <cell r="C558" t="str">
            <v>W</v>
          </cell>
          <cell r="D558">
            <v>48</v>
          </cell>
          <cell r="E558">
            <v>49</v>
          </cell>
          <cell r="F558">
            <v>50</v>
          </cell>
          <cell r="G558">
            <v>51</v>
          </cell>
          <cell r="H558">
            <v>52</v>
          </cell>
          <cell r="I558">
            <v>53</v>
          </cell>
          <cell r="J558">
            <v>54</v>
          </cell>
          <cell r="K558">
            <v>55</v>
          </cell>
          <cell r="L558">
            <v>56</v>
          </cell>
          <cell r="M558">
            <v>57</v>
          </cell>
          <cell r="N558">
            <v>58</v>
          </cell>
          <cell r="O558">
            <v>59</v>
          </cell>
          <cell r="P558">
            <v>60</v>
          </cell>
        </row>
        <row r="559">
          <cell r="A559">
            <v>39534</v>
          </cell>
          <cell r="B559">
            <v>3</v>
          </cell>
          <cell r="C559" t="str">
            <v>W</v>
          </cell>
          <cell r="D559">
            <v>43</v>
          </cell>
          <cell r="E559">
            <v>44</v>
          </cell>
          <cell r="F559">
            <v>45</v>
          </cell>
          <cell r="G559">
            <v>46</v>
          </cell>
          <cell r="H559">
            <v>47</v>
          </cell>
          <cell r="I559">
            <v>48</v>
          </cell>
          <cell r="J559">
            <v>49</v>
          </cell>
          <cell r="K559">
            <v>50</v>
          </cell>
          <cell r="L559">
            <v>51</v>
          </cell>
          <cell r="M559">
            <v>52</v>
          </cell>
          <cell r="N559">
            <v>53</v>
          </cell>
          <cell r="O559">
            <v>54</v>
          </cell>
          <cell r="P559">
            <v>55</v>
          </cell>
        </row>
        <row r="560">
          <cell r="A560">
            <v>39535</v>
          </cell>
          <cell r="B560">
            <v>3</v>
          </cell>
          <cell r="C560" t="str">
            <v>W</v>
          </cell>
          <cell r="D560">
            <v>40</v>
          </cell>
          <cell r="E560">
            <v>41</v>
          </cell>
          <cell r="F560">
            <v>42</v>
          </cell>
          <cell r="G560">
            <v>43</v>
          </cell>
          <cell r="H560">
            <v>44</v>
          </cell>
          <cell r="I560">
            <v>45</v>
          </cell>
          <cell r="J560">
            <v>46</v>
          </cell>
          <cell r="K560">
            <v>47</v>
          </cell>
          <cell r="L560">
            <v>48</v>
          </cell>
          <cell r="M560">
            <v>49</v>
          </cell>
          <cell r="N560">
            <v>50</v>
          </cell>
          <cell r="O560">
            <v>51</v>
          </cell>
          <cell r="P560">
            <v>52</v>
          </cell>
        </row>
        <row r="561">
          <cell r="A561">
            <v>39536</v>
          </cell>
          <cell r="B561">
            <v>3</v>
          </cell>
          <cell r="C561" t="str">
            <v>W</v>
          </cell>
          <cell r="D561">
            <v>39</v>
          </cell>
          <cell r="E561">
            <v>40</v>
          </cell>
          <cell r="F561">
            <v>41</v>
          </cell>
          <cell r="G561">
            <v>42</v>
          </cell>
          <cell r="H561">
            <v>43</v>
          </cell>
          <cell r="I561">
            <v>44</v>
          </cell>
          <cell r="J561">
            <v>45</v>
          </cell>
          <cell r="K561">
            <v>46</v>
          </cell>
          <cell r="L561">
            <v>47</v>
          </cell>
          <cell r="M561">
            <v>48</v>
          </cell>
          <cell r="N561">
            <v>49</v>
          </cell>
          <cell r="O561">
            <v>50</v>
          </cell>
          <cell r="P561">
            <v>51</v>
          </cell>
        </row>
        <row r="562">
          <cell r="A562">
            <v>39537</v>
          </cell>
          <cell r="B562">
            <v>3</v>
          </cell>
          <cell r="C562" t="str">
            <v>W</v>
          </cell>
          <cell r="D562">
            <v>30</v>
          </cell>
          <cell r="E562">
            <v>31</v>
          </cell>
          <cell r="F562">
            <v>32</v>
          </cell>
          <cell r="G562">
            <v>33</v>
          </cell>
          <cell r="H562">
            <v>34</v>
          </cell>
          <cell r="I562">
            <v>35</v>
          </cell>
          <cell r="J562">
            <v>36</v>
          </cell>
          <cell r="K562">
            <v>37</v>
          </cell>
          <cell r="L562">
            <v>38</v>
          </cell>
          <cell r="M562">
            <v>39</v>
          </cell>
          <cell r="N562">
            <v>40</v>
          </cell>
          <cell r="O562">
            <v>41</v>
          </cell>
          <cell r="P562">
            <v>42</v>
          </cell>
        </row>
        <row r="563">
          <cell r="A563">
            <v>39538</v>
          </cell>
          <cell r="B563">
            <v>3</v>
          </cell>
          <cell r="C563" t="str">
            <v>W</v>
          </cell>
          <cell r="D563">
            <v>22</v>
          </cell>
          <cell r="E563">
            <v>23</v>
          </cell>
          <cell r="F563">
            <v>24</v>
          </cell>
          <cell r="G563">
            <v>25</v>
          </cell>
          <cell r="H563">
            <v>26</v>
          </cell>
          <cell r="I563">
            <v>27</v>
          </cell>
          <cell r="J563">
            <v>28</v>
          </cell>
          <cell r="K563">
            <v>29</v>
          </cell>
          <cell r="L563">
            <v>30</v>
          </cell>
          <cell r="M563">
            <v>31</v>
          </cell>
          <cell r="N563">
            <v>32</v>
          </cell>
          <cell r="O563">
            <v>33</v>
          </cell>
          <cell r="P563">
            <v>34</v>
          </cell>
        </row>
        <row r="564">
          <cell r="A564">
            <v>39539</v>
          </cell>
          <cell r="B564">
            <v>4</v>
          </cell>
          <cell r="C564" t="str">
            <v>S</v>
          </cell>
          <cell r="D564">
            <v>15</v>
          </cell>
          <cell r="E564">
            <v>16</v>
          </cell>
          <cell r="F564">
            <v>17</v>
          </cell>
          <cell r="G564">
            <v>18</v>
          </cell>
          <cell r="H564">
            <v>19</v>
          </cell>
          <cell r="I564">
            <v>20</v>
          </cell>
          <cell r="J564">
            <v>21</v>
          </cell>
          <cell r="K564">
            <v>22</v>
          </cell>
          <cell r="L564">
            <v>23</v>
          </cell>
          <cell r="M564">
            <v>24</v>
          </cell>
          <cell r="N564">
            <v>25</v>
          </cell>
          <cell r="O564">
            <v>26</v>
          </cell>
          <cell r="P564">
            <v>27</v>
          </cell>
        </row>
        <row r="565">
          <cell r="A565">
            <v>39540</v>
          </cell>
          <cell r="B565">
            <v>4</v>
          </cell>
          <cell r="C565" t="str">
            <v>S</v>
          </cell>
          <cell r="D565">
            <v>17</v>
          </cell>
          <cell r="E565">
            <v>18</v>
          </cell>
          <cell r="F565">
            <v>19</v>
          </cell>
          <cell r="G565">
            <v>20</v>
          </cell>
          <cell r="H565">
            <v>21</v>
          </cell>
          <cell r="I565">
            <v>22</v>
          </cell>
          <cell r="J565">
            <v>23</v>
          </cell>
          <cell r="K565">
            <v>24</v>
          </cell>
          <cell r="L565">
            <v>25</v>
          </cell>
          <cell r="M565">
            <v>26</v>
          </cell>
          <cell r="N565">
            <v>27</v>
          </cell>
          <cell r="O565">
            <v>28</v>
          </cell>
          <cell r="P565">
            <v>29</v>
          </cell>
        </row>
        <row r="566">
          <cell r="A566">
            <v>39541</v>
          </cell>
          <cell r="B566">
            <v>4</v>
          </cell>
          <cell r="C566" t="str">
            <v>S</v>
          </cell>
          <cell r="D566">
            <v>15</v>
          </cell>
          <cell r="E566">
            <v>16</v>
          </cell>
          <cell r="F566">
            <v>17</v>
          </cell>
          <cell r="G566">
            <v>18</v>
          </cell>
          <cell r="H566">
            <v>19</v>
          </cell>
          <cell r="I566">
            <v>20</v>
          </cell>
          <cell r="J566">
            <v>21</v>
          </cell>
          <cell r="K566">
            <v>22</v>
          </cell>
          <cell r="L566">
            <v>23</v>
          </cell>
          <cell r="M566">
            <v>24</v>
          </cell>
          <cell r="N566">
            <v>25</v>
          </cell>
          <cell r="O566">
            <v>26</v>
          </cell>
          <cell r="P566">
            <v>27</v>
          </cell>
        </row>
        <row r="567">
          <cell r="A567">
            <v>39542</v>
          </cell>
          <cell r="B567">
            <v>4</v>
          </cell>
          <cell r="C567" t="str">
            <v>S</v>
          </cell>
          <cell r="D567">
            <v>15</v>
          </cell>
          <cell r="E567">
            <v>16</v>
          </cell>
          <cell r="F567">
            <v>17</v>
          </cell>
          <cell r="G567">
            <v>18</v>
          </cell>
          <cell r="H567">
            <v>19</v>
          </cell>
          <cell r="I567">
            <v>20</v>
          </cell>
          <cell r="J567">
            <v>21</v>
          </cell>
          <cell r="K567">
            <v>22</v>
          </cell>
          <cell r="L567">
            <v>23</v>
          </cell>
          <cell r="M567">
            <v>24</v>
          </cell>
          <cell r="N567">
            <v>25</v>
          </cell>
          <cell r="O567">
            <v>26</v>
          </cell>
          <cell r="P567">
            <v>27</v>
          </cell>
        </row>
        <row r="568">
          <cell r="A568">
            <v>39543</v>
          </cell>
          <cell r="B568">
            <v>4</v>
          </cell>
          <cell r="C568" t="str">
            <v>S</v>
          </cell>
          <cell r="D568">
            <v>27</v>
          </cell>
          <cell r="E568">
            <v>28</v>
          </cell>
          <cell r="F568">
            <v>29</v>
          </cell>
          <cell r="G568">
            <v>30</v>
          </cell>
          <cell r="H568">
            <v>31</v>
          </cell>
          <cell r="I568">
            <v>32</v>
          </cell>
          <cell r="J568">
            <v>33</v>
          </cell>
          <cell r="K568">
            <v>34</v>
          </cell>
          <cell r="L568">
            <v>35</v>
          </cell>
          <cell r="M568">
            <v>36</v>
          </cell>
          <cell r="N568">
            <v>37</v>
          </cell>
          <cell r="O568">
            <v>38</v>
          </cell>
          <cell r="P568">
            <v>39</v>
          </cell>
        </row>
        <row r="569">
          <cell r="A569">
            <v>39544</v>
          </cell>
          <cell r="B569">
            <v>4</v>
          </cell>
          <cell r="C569" t="str">
            <v>S</v>
          </cell>
          <cell r="D569">
            <v>33</v>
          </cell>
          <cell r="E569">
            <v>34</v>
          </cell>
          <cell r="F569">
            <v>35</v>
          </cell>
          <cell r="G569">
            <v>36</v>
          </cell>
          <cell r="H569">
            <v>37</v>
          </cell>
          <cell r="I569">
            <v>38</v>
          </cell>
          <cell r="J569">
            <v>39</v>
          </cell>
          <cell r="K569">
            <v>40</v>
          </cell>
          <cell r="L569">
            <v>41</v>
          </cell>
          <cell r="M569">
            <v>42</v>
          </cell>
          <cell r="N569">
            <v>43</v>
          </cell>
          <cell r="O569">
            <v>44</v>
          </cell>
          <cell r="P569">
            <v>45</v>
          </cell>
        </row>
        <row r="570">
          <cell r="A570">
            <v>39545</v>
          </cell>
          <cell r="B570">
            <v>4</v>
          </cell>
          <cell r="C570" t="str">
            <v>S</v>
          </cell>
          <cell r="D570">
            <v>36</v>
          </cell>
          <cell r="E570">
            <v>37</v>
          </cell>
          <cell r="F570">
            <v>38</v>
          </cell>
          <cell r="G570">
            <v>39</v>
          </cell>
          <cell r="H570">
            <v>40</v>
          </cell>
          <cell r="I570">
            <v>41</v>
          </cell>
          <cell r="J570">
            <v>42</v>
          </cell>
          <cell r="K570">
            <v>43</v>
          </cell>
          <cell r="L570">
            <v>44</v>
          </cell>
          <cell r="M570">
            <v>45</v>
          </cell>
          <cell r="N570">
            <v>46</v>
          </cell>
          <cell r="O570">
            <v>47</v>
          </cell>
          <cell r="P570">
            <v>48</v>
          </cell>
        </row>
        <row r="571">
          <cell r="A571">
            <v>39546</v>
          </cell>
          <cell r="B571">
            <v>4</v>
          </cell>
          <cell r="C571" t="str">
            <v>S</v>
          </cell>
          <cell r="D571">
            <v>34</v>
          </cell>
          <cell r="E571">
            <v>35</v>
          </cell>
          <cell r="F571">
            <v>36</v>
          </cell>
          <cell r="G571">
            <v>37</v>
          </cell>
          <cell r="H571">
            <v>38</v>
          </cell>
          <cell r="I571">
            <v>39</v>
          </cell>
          <cell r="J571">
            <v>40</v>
          </cell>
          <cell r="K571">
            <v>41</v>
          </cell>
          <cell r="L571">
            <v>42</v>
          </cell>
          <cell r="M571">
            <v>43</v>
          </cell>
          <cell r="N571">
            <v>44</v>
          </cell>
          <cell r="O571">
            <v>45</v>
          </cell>
          <cell r="P571">
            <v>46</v>
          </cell>
        </row>
        <row r="572">
          <cell r="A572">
            <v>39547</v>
          </cell>
          <cell r="B572">
            <v>4</v>
          </cell>
          <cell r="C572" t="str">
            <v>S</v>
          </cell>
          <cell r="D572">
            <v>27</v>
          </cell>
          <cell r="E572">
            <v>28</v>
          </cell>
          <cell r="F572">
            <v>29</v>
          </cell>
          <cell r="G572">
            <v>30</v>
          </cell>
          <cell r="H572">
            <v>31</v>
          </cell>
          <cell r="I572">
            <v>32</v>
          </cell>
          <cell r="J572">
            <v>33</v>
          </cell>
          <cell r="K572">
            <v>34</v>
          </cell>
          <cell r="L572">
            <v>35</v>
          </cell>
          <cell r="M572">
            <v>36</v>
          </cell>
          <cell r="N572">
            <v>37</v>
          </cell>
          <cell r="O572">
            <v>38</v>
          </cell>
          <cell r="P572">
            <v>39</v>
          </cell>
        </row>
        <row r="573">
          <cell r="A573">
            <v>39548</v>
          </cell>
          <cell r="B573">
            <v>4</v>
          </cell>
          <cell r="C573" t="str">
            <v>S</v>
          </cell>
          <cell r="D573">
            <v>36</v>
          </cell>
          <cell r="E573">
            <v>37</v>
          </cell>
          <cell r="F573">
            <v>38</v>
          </cell>
          <cell r="G573">
            <v>39</v>
          </cell>
          <cell r="H573">
            <v>40</v>
          </cell>
          <cell r="I573">
            <v>41</v>
          </cell>
          <cell r="J573">
            <v>42</v>
          </cell>
          <cell r="K573">
            <v>43</v>
          </cell>
          <cell r="L573">
            <v>44</v>
          </cell>
          <cell r="M573">
            <v>45</v>
          </cell>
          <cell r="N573">
            <v>46</v>
          </cell>
          <cell r="O573">
            <v>47</v>
          </cell>
          <cell r="P573">
            <v>48</v>
          </cell>
        </row>
        <row r="574">
          <cell r="A574">
            <v>39549</v>
          </cell>
          <cell r="B574">
            <v>4</v>
          </cell>
          <cell r="C574" t="str">
            <v>S</v>
          </cell>
          <cell r="D574">
            <v>40</v>
          </cell>
          <cell r="E574">
            <v>41</v>
          </cell>
          <cell r="F574">
            <v>42</v>
          </cell>
          <cell r="G574">
            <v>43</v>
          </cell>
          <cell r="H574">
            <v>44</v>
          </cell>
          <cell r="I574">
            <v>45</v>
          </cell>
          <cell r="J574">
            <v>46</v>
          </cell>
          <cell r="K574">
            <v>47</v>
          </cell>
          <cell r="L574">
            <v>48</v>
          </cell>
          <cell r="M574">
            <v>49</v>
          </cell>
          <cell r="N574">
            <v>50</v>
          </cell>
          <cell r="O574">
            <v>51</v>
          </cell>
          <cell r="P574">
            <v>52</v>
          </cell>
        </row>
        <row r="575">
          <cell r="A575">
            <v>39550</v>
          </cell>
          <cell r="B575">
            <v>4</v>
          </cell>
          <cell r="C575" t="str">
            <v>S</v>
          </cell>
          <cell r="D575">
            <v>35</v>
          </cell>
          <cell r="E575">
            <v>36</v>
          </cell>
          <cell r="F575">
            <v>37</v>
          </cell>
          <cell r="G575">
            <v>38</v>
          </cell>
          <cell r="H575">
            <v>39</v>
          </cell>
          <cell r="I575">
            <v>40</v>
          </cell>
          <cell r="J575">
            <v>41</v>
          </cell>
          <cell r="K575">
            <v>42</v>
          </cell>
          <cell r="L575">
            <v>43</v>
          </cell>
          <cell r="M575">
            <v>44</v>
          </cell>
          <cell r="N575">
            <v>45</v>
          </cell>
          <cell r="O575">
            <v>46</v>
          </cell>
          <cell r="P575">
            <v>47</v>
          </cell>
        </row>
        <row r="576">
          <cell r="A576">
            <v>39551</v>
          </cell>
          <cell r="B576">
            <v>4</v>
          </cell>
          <cell r="C576" t="str">
            <v>S</v>
          </cell>
          <cell r="D576">
            <v>33</v>
          </cell>
          <cell r="E576">
            <v>34</v>
          </cell>
          <cell r="F576">
            <v>35</v>
          </cell>
          <cell r="G576">
            <v>36</v>
          </cell>
          <cell r="H576">
            <v>37</v>
          </cell>
          <cell r="I576">
            <v>38</v>
          </cell>
          <cell r="J576">
            <v>39</v>
          </cell>
          <cell r="K576">
            <v>40</v>
          </cell>
          <cell r="L576">
            <v>41</v>
          </cell>
          <cell r="M576">
            <v>42</v>
          </cell>
          <cell r="N576">
            <v>43</v>
          </cell>
          <cell r="O576">
            <v>44</v>
          </cell>
          <cell r="P576">
            <v>45</v>
          </cell>
        </row>
        <row r="577">
          <cell r="A577">
            <v>39552</v>
          </cell>
          <cell r="B577">
            <v>4</v>
          </cell>
          <cell r="C577" t="str">
            <v>S</v>
          </cell>
          <cell r="D577">
            <v>28</v>
          </cell>
          <cell r="E577">
            <v>29</v>
          </cell>
          <cell r="F577">
            <v>30</v>
          </cell>
          <cell r="G577">
            <v>31</v>
          </cell>
          <cell r="H577">
            <v>32</v>
          </cell>
          <cell r="I577">
            <v>33</v>
          </cell>
          <cell r="J577">
            <v>34</v>
          </cell>
          <cell r="K577">
            <v>35</v>
          </cell>
          <cell r="L577">
            <v>36</v>
          </cell>
          <cell r="M577">
            <v>37</v>
          </cell>
          <cell r="N577">
            <v>38</v>
          </cell>
          <cell r="O577">
            <v>39</v>
          </cell>
          <cell r="P577">
            <v>40</v>
          </cell>
        </row>
        <row r="578">
          <cell r="A578">
            <v>39553</v>
          </cell>
          <cell r="B578">
            <v>4</v>
          </cell>
          <cell r="C578" t="str">
            <v>S</v>
          </cell>
          <cell r="D578">
            <v>38</v>
          </cell>
          <cell r="E578">
            <v>39</v>
          </cell>
          <cell r="F578">
            <v>40</v>
          </cell>
          <cell r="G578">
            <v>41</v>
          </cell>
          <cell r="H578">
            <v>42</v>
          </cell>
          <cell r="I578">
            <v>43</v>
          </cell>
          <cell r="J578">
            <v>44</v>
          </cell>
          <cell r="K578">
            <v>45</v>
          </cell>
          <cell r="L578">
            <v>46</v>
          </cell>
          <cell r="M578">
            <v>47</v>
          </cell>
          <cell r="N578">
            <v>48</v>
          </cell>
          <cell r="O578">
            <v>49</v>
          </cell>
          <cell r="P578">
            <v>50</v>
          </cell>
        </row>
        <row r="579">
          <cell r="A579">
            <v>39554</v>
          </cell>
          <cell r="B579">
            <v>4</v>
          </cell>
          <cell r="C579" t="str">
            <v>S</v>
          </cell>
          <cell r="D579">
            <v>46</v>
          </cell>
          <cell r="E579">
            <v>47</v>
          </cell>
          <cell r="F579">
            <v>48</v>
          </cell>
          <cell r="G579">
            <v>49</v>
          </cell>
          <cell r="H579">
            <v>50</v>
          </cell>
          <cell r="I579">
            <v>51</v>
          </cell>
          <cell r="J579">
            <v>52</v>
          </cell>
          <cell r="K579">
            <v>53</v>
          </cell>
          <cell r="L579">
            <v>54</v>
          </cell>
          <cell r="M579">
            <v>55</v>
          </cell>
          <cell r="N579">
            <v>56</v>
          </cell>
          <cell r="O579">
            <v>57</v>
          </cell>
          <cell r="P579">
            <v>58</v>
          </cell>
        </row>
        <row r="580">
          <cell r="A580">
            <v>39555</v>
          </cell>
          <cell r="B580">
            <v>4</v>
          </cell>
          <cell r="C580" t="str">
            <v>S</v>
          </cell>
          <cell r="D580">
            <v>42</v>
          </cell>
          <cell r="E580">
            <v>43</v>
          </cell>
          <cell r="F580">
            <v>44</v>
          </cell>
          <cell r="G580">
            <v>45</v>
          </cell>
          <cell r="H580">
            <v>46</v>
          </cell>
          <cell r="I580">
            <v>47</v>
          </cell>
          <cell r="J580">
            <v>48</v>
          </cell>
          <cell r="K580">
            <v>49</v>
          </cell>
          <cell r="L580">
            <v>50</v>
          </cell>
          <cell r="M580">
            <v>51</v>
          </cell>
          <cell r="N580">
            <v>52</v>
          </cell>
          <cell r="O580">
            <v>53</v>
          </cell>
          <cell r="P580">
            <v>54</v>
          </cell>
        </row>
        <row r="581">
          <cell r="A581">
            <v>39556</v>
          </cell>
          <cell r="B581">
            <v>4</v>
          </cell>
          <cell r="C581" t="str">
            <v>S</v>
          </cell>
          <cell r="D581">
            <v>23</v>
          </cell>
          <cell r="E581">
            <v>24</v>
          </cell>
          <cell r="F581">
            <v>25</v>
          </cell>
          <cell r="G581">
            <v>26</v>
          </cell>
          <cell r="H581">
            <v>27</v>
          </cell>
          <cell r="I581">
            <v>28</v>
          </cell>
          <cell r="J581">
            <v>29</v>
          </cell>
          <cell r="K581">
            <v>30</v>
          </cell>
          <cell r="L581">
            <v>31</v>
          </cell>
          <cell r="M581">
            <v>32</v>
          </cell>
          <cell r="N581">
            <v>33</v>
          </cell>
          <cell r="O581">
            <v>34</v>
          </cell>
          <cell r="P581">
            <v>35</v>
          </cell>
        </row>
        <row r="582">
          <cell r="A582">
            <v>39557</v>
          </cell>
          <cell r="B582">
            <v>4</v>
          </cell>
          <cell r="C582" t="str">
            <v>S</v>
          </cell>
          <cell r="D582">
            <v>22</v>
          </cell>
          <cell r="E582">
            <v>23</v>
          </cell>
          <cell r="F582">
            <v>24</v>
          </cell>
          <cell r="G582">
            <v>25</v>
          </cell>
          <cell r="H582">
            <v>26</v>
          </cell>
          <cell r="I582">
            <v>27</v>
          </cell>
          <cell r="J582">
            <v>28</v>
          </cell>
          <cell r="K582">
            <v>29</v>
          </cell>
          <cell r="L582">
            <v>30</v>
          </cell>
          <cell r="M582">
            <v>31</v>
          </cell>
          <cell r="N582">
            <v>32</v>
          </cell>
          <cell r="O582">
            <v>33</v>
          </cell>
          <cell r="P582">
            <v>34</v>
          </cell>
        </row>
        <row r="583">
          <cell r="A583">
            <v>39558</v>
          </cell>
          <cell r="B583">
            <v>4</v>
          </cell>
          <cell r="C583" t="str">
            <v>S</v>
          </cell>
          <cell r="D583">
            <v>8.1999999999999993</v>
          </cell>
          <cell r="E583">
            <v>9</v>
          </cell>
          <cell r="F583">
            <v>9.8000000000000007</v>
          </cell>
          <cell r="G583">
            <v>10.5</v>
          </cell>
          <cell r="H583">
            <v>11</v>
          </cell>
          <cell r="I583">
            <v>12</v>
          </cell>
          <cell r="J583">
            <v>13</v>
          </cell>
          <cell r="K583">
            <v>14</v>
          </cell>
          <cell r="L583">
            <v>15</v>
          </cell>
          <cell r="M583">
            <v>16</v>
          </cell>
          <cell r="N583">
            <v>17</v>
          </cell>
          <cell r="O583">
            <v>18</v>
          </cell>
          <cell r="P583">
            <v>19</v>
          </cell>
        </row>
        <row r="584">
          <cell r="A584">
            <v>39559</v>
          </cell>
          <cell r="B584">
            <v>4</v>
          </cell>
          <cell r="C584" t="str">
            <v>S</v>
          </cell>
          <cell r="D584">
            <v>10.5</v>
          </cell>
          <cell r="E584">
            <v>11.2</v>
          </cell>
          <cell r="F584">
            <v>12</v>
          </cell>
          <cell r="G584">
            <v>12.8</v>
          </cell>
          <cell r="H584">
            <v>13.5</v>
          </cell>
          <cell r="I584">
            <v>14</v>
          </cell>
          <cell r="J584">
            <v>15</v>
          </cell>
          <cell r="K584">
            <v>16</v>
          </cell>
          <cell r="L584">
            <v>17</v>
          </cell>
          <cell r="M584">
            <v>18</v>
          </cell>
          <cell r="N584">
            <v>19</v>
          </cell>
          <cell r="O584">
            <v>20</v>
          </cell>
          <cell r="P584">
            <v>21</v>
          </cell>
        </row>
        <row r="585">
          <cell r="A585">
            <v>39560</v>
          </cell>
          <cell r="B585">
            <v>4</v>
          </cell>
          <cell r="C585" t="str">
            <v>S</v>
          </cell>
          <cell r="D585">
            <v>11.8</v>
          </cell>
          <cell r="E585">
            <v>12.5</v>
          </cell>
          <cell r="F585">
            <v>13.2</v>
          </cell>
          <cell r="G585">
            <v>14</v>
          </cell>
          <cell r="H585">
            <v>15</v>
          </cell>
          <cell r="I585">
            <v>16</v>
          </cell>
          <cell r="J585">
            <v>17</v>
          </cell>
          <cell r="K585">
            <v>18</v>
          </cell>
          <cell r="L585">
            <v>19</v>
          </cell>
          <cell r="M585">
            <v>20</v>
          </cell>
          <cell r="N585">
            <v>21</v>
          </cell>
          <cell r="O585">
            <v>22</v>
          </cell>
          <cell r="P585">
            <v>23</v>
          </cell>
        </row>
        <row r="586">
          <cell r="A586">
            <v>39561</v>
          </cell>
          <cell r="B586">
            <v>4</v>
          </cell>
          <cell r="C586" t="str">
            <v>S</v>
          </cell>
          <cell r="D586">
            <v>10.5</v>
          </cell>
          <cell r="E586">
            <v>11.2</v>
          </cell>
          <cell r="F586">
            <v>12</v>
          </cell>
          <cell r="G586">
            <v>12.8</v>
          </cell>
          <cell r="H586">
            <v>13.5</v>
          </cell>
          <cell r="I586">
            <v>14</v>
          </cell>
          <cell r="J586">
            <v>15</v>
          </cell>
          <cell r="K586">
            <v>16</v>
          </cell>
          <cell r="L586">
            <v>17</v>
          </cell>
          <cell r="M586">
            <v>18</v>
          </cell>
          <cell r="N586">
            <v>19</v>
          </cell>
          <cell r="O586">
            <v>20</v>
          </cell>
          <cell r="P586">
            <v>21</v>
          </cell>
        </row>
        <row r="587">
          <cell r="A587">
            <v>39562</v>
          </cell>
          <cell r="B587">
            <v>4</v>
          </cell>
          <cell r="C587" t="str">
            <v>S</v>
          </cell>
          <cell r="D587">
            <v>14</v>
          </cell>
          <cell r="E587">
            <v>15</v>
          </cell>
          <cell r="F587">
            <v>16</v>
          </cell>
          <cell r="G587">
            <v>17</v>
          </cell>
          <cell r="H587">
            <v>18</v>
          </cell>
          <cell r="I587">
            <v>19</v>
          </cell>
          <cell r="J587">
            <v>20</v>
          </cell>
          <cell r="K587">
            <v>21</v>
          </cell>
          <cell r="L587">
            <v>22</v>
          </cell>
          <cell r="M587">
            <v>23</v>
          </cell>
          <cell r="N587">
            <v>24</v>
          </cell>
          <cell r="O587">
            <v>25</v>
          </cell>
          <cell r="P587">
            <v>26</v>
          </cell>
        </row>
        <row r="588">
          <cell r="A588">
            <v>39563</v>
          </cell>
          <cell r="B588">
            <v>4</v>
          </cell>
          <cell r="C588" t="str">
            <v>S</v>
          </cell>
          <cell r="D588">
            <v>22</v>
          </cell>
          <cell r="E588">
            <v>23</v>
          </cell>
          <cell r="F588">
            <v>24</v>
          </cell>
          <cell r="G588">
            <v>25</v>
          </cell>
          <cell r="H588">
            <v>26</v>
          </cell>
          <cell r="I588">
            <v>27</v>
          </cell>
          <cell r="J588">
            <v>28</v>
          </cell>
          <cell r="K588">
            <v>29</v>
          </cell>
          <cell r="L588">
            <v>30</v>
          </cell>
          <cell r="M588">
            <v>31</v>
          </cell>
          <cell r="N588">
            <v>32</v>
          </cell>
          <cell r="O588">
            <v>33</v>
          </cell>
          <cell r="P588">
            <v>34</v>
          </cell>
        </row>
        <row r="589">
          <cell r="A589">
            <v>39564</v>
          </cell>
          <cell r="B589">
            <v>4</v>
          </cell>
          <cell r="C589" t="str">
            <v>S</v>
          </cell>
          <cell r="D589">
            <v>24</v>
          </cell>
          <cell r="E589">
            <v>25</v>
          </cell>
          <cell r="F589">
            <v>26</v>
          </cell>
          <cell r="G589">
            <v>27</v>
          </cell>
          <cell r="H589">
            <v>28</v>
          </cell>
          <cell r="I589">
            <v>29</v>
          </cell>
          <cell r="J589">
            <v>30</v>
          </cell>
          <cell r="K589">
            <v>31</v>
          </cell>
          <cell r="L589">
            <v>32</v>
          </cell>
          <cell r="M589">
            <v>33</v>
          </cell>
          <cell r="N589">
            <v>34</v>
          </cell>
          <cell r="O589">
            <v>35</v>
          </cell>
          <cell r="P589">
            <v>36</v>
          </cell>
        </row>
        <row r="590">
          <cell r="A590">
            <v>39565</v>
          </cell>
          <cell r="B590">
            <v>4</v>
          </cell>
          <cell r="C590" t="str">
            <v>S</v>
          </cell>
          <cell r="D590">
            <v>18</v>
          </cell>
          <cell r="E590">
            <v>19</v>
          </cell>
          <cell r="F590">
            <v>20</v>
          </cell>
          <cell r="G590">
            <v>21</v>
          </cell>
          <cell r="H590">
            <v>22</v>
          </cell>
          <cell r="I590">
            <v>23</v>
          </cell>
          <cell r="J590">
            <v>24</v>
          </cell>
          <cell r="K590">
            <v>25</v>
          </cell>
          <cell r="L590">
            <v>26</v>
          </cell>
          <cell r="M590">
            <v>27</v>
          </cell>
          <cell r="N590">
            <v>28</v>
          </cell>
          <cell r="O590">
            <v>29</v>
          </cell>
          <cell r="P590">
            <v>30</v>
          </cell>
        </row>
        <row r="591">
          <cell r="A591">
            <v>39566</v>
          </cell>
          <cell r="B591">
            <v>4</v>
          </cell>
          <cell r="C591" t="str">
            <v>S</v>
          </cell>
          <cell r="D591">
            <v>18</v>
          </cell>
          <cell r="E591">
            <v>19</v>
          </cell>
          <cell r="F591">
            <v>20</v>
          </cell>
          <cell r="G591">
            <v>21</v>
          </cell>
          <cell r="H591">
            <v>22</v>
          </cell>
          <cell r="I591">
            <v>23</v>
          </cell>
          <cell r="J591">
            <v>24</v>
          </cell>
          <cell r="K591">
            <v>25</v>
          </cell>
          <cell r="L591">
            <v>26</v>
          </cell>
          <cell r="M591">
            <v>27</v>
          </cell>
          <cell r="N591">
            <v>28</v>
          </cell>
          <cell r="O591">
            <v>29</v>
          </cell>
          <cell r="P591">
            <v>30</v>
          </cell>
        </row>
        <row r="592">
          <cell r="A592">
            <v>39567</v>
          </cell>
          <cell r="B592">
            <v>4</v>
          </cell>
          <cell r="C592" t="str">
            <v>S</v>
          </cell>
          <cell r="D592">
            <v>15</v>
          </cell>
          <cell r="E592">
            <v>16</v>
          </cell>
          <cell r="F592">
            <v>17</v>
          </cell>
          <cell r="G592">
            <v>18</v>
          </cell>
          <cell r="H592">
            <v>19</v>
          </cell>
          <cell r="I592">
            <v>20</v>
          </cell>
          <cell r="J592">
            <v>21</v>
          </cell>
          <cell r="K592">
            <v>22</v>
          </cell>
          <cell r="L592">
            <v>23</v>
          </cell>
          <cell r="M592">
            <v>24</v>
          </cell>
          <cell r="N592">
            <v>25</v>
          </cell>
          <cell r="O592">
            <v>26</v>
          </cell>
          <cell r="P592">
            <v>27</v>
          </cell>
        </row>
        <row r="593">
          <cell r="A593">
            <v>39568</v>
          </cell>
          <cell r="B593">
            <v>4</v>
          </cell>
          <cell r="C593" t="str">
            <v>S</v>
          </cell>
          <cell r="D593">
            <v>18</v>
          </cell>
          <cell r="E593">
            <v>19</v>
          </cell>
          <cell r="F593">
            <v>20</v>
          </cell>
          <cell r="G593">
            <v>21</v>
          </cell>
          <cell r="H593">
            <v>22</v>
          </cell>
          <cell r="I593">
            <v>23</v>
          </cell>
          <cell r="J593">
            <v>24</v>
          </cell>
          <cell r="K593">
            <v>25</v>
          </cell>
          <cell r="L593">
            <v>26</v>
          </cell>
          <cell r="M593">
            <v>27</v>
          </cell>
          <cell r="N593">
            <v>28</v>
          </cell>
          <cell r="O593">
            <v>29</v>
          </cell>
          <cell r="P593">
            <v>30</v>
          </cell>
        </row>
        <row r="594">
          <cell r="A594">
            <v>39569</v>
          </cell>
          <cell r="B594">
            <v>5</v>
          </cell>
          <cell r="C594" t="str">
            <v>S</v>
          </cell>
          <cell r="D594">
            <v>16</v>
          </cell>
          <cell r="E594">
            <v>17</v>
          </cell>
          <cell r="F594">
            <v>18</v>
          </cell>
          <cell r="G594">
            <v>19</v>
          </cell>
          <cell r="H594">
            <v>20</v>
          </cell>
          <cell r="I594">
            <v>21</v>
          </cell>
          <cell r="J594">
            <v>22</v>
          </cell>
          <cell r="K594">
            <v>23</v>
          </cell>
          <cell r="L594">
            <v>24</v>
          </cell>
          <cell r="M594">
            <v>25</v>
          </cell>
          <cell r="N594">
            <v>26</v>
          </cell>
          <cell r="O594">
            <v>27</v>
          </cell>
          <cell r="P594">
            <v>28</v>
          </cell>
        </row>
        <row r="595">
          <cell r="A595">
            <v>39570</v>
          </cell>
          <cell r="B595">
            <v>5</v>
          </cell>
          <cell r="C595" t="str">
            <v>S</v>
          </cell>
          <cell r="D595">
            <v>6.2</v>
          </cell>
          <cell r="E595">
            <v>7</v>
          </cell>
          <cell r="F595">
            <v>7.8</v>
          </cell>
          <cell r="G595">
            <v>8.5</v>
          </cell>
          <cell r="H595">
            <v>9.1999999999999993</v>
          </cell>
          <cell r="I595">
            <v>10</v>
          </cell>
          <cell r="J595">
            <v>11</v>
          </cell>
          <cell r="K595">
            <v>12</v>
          </cell>
          <cell r="L595">
            <v>13</v>
          </cell>
          <cell r="M595">
            <v>14</v>
          </cell>
          <cell r="N595">
            <v>15</v>
          </cell>
          <cell r="O595">
            <v>16</v>
          </cell>
          <cell r="P595">
            <v>17</v>
          </cell>
        </row>
        <row r="596">
          <cell r="A596">
            <v>39571</v>
          </cell>
          <cell r="B596">
            <v>5</v>
          </cell>
          <cell r="C596" t="str">
            <v>S</v>
          </cell>
          <cell r="D596">
            <v>3.8</v>
          </cell>
          <cell r="E596">
            <v>4.5</v>
          </cell>
          <cell r="F596">
            <v>5.2</v>
          </cell>
          <cell r="G596">
            <v>6</v>
          </cell>
          <cell r="H596">
            <v>7</v>
          </cell>
          <cell r="I596">
            <v>8</v>
          </cell>
          <cell r="J596">
            <v>9</v>
          </cell>
          <cell r="K596">
            <v>10</v>
          </cell>
          <cell r="L596">
            <v>11</v>
          </cell>
          <cell r="M596">
            <v>12</v>
          </cell>
          <cell r="N596">
            <v>13</v>
          </cell>
          <cell r="O596">
            <v>14</v>
          </cell>
          <cell r="P596">
            <v>15</v>
          </cell>
        </row>
        <row r="597">
          <cell r="A597">
            <v>39572</v>
          </cell>
          <cell r="B597">
            <v>5</v>
          </cell>
          <cell r="C597" t="str">
            <v>S</v>
          </cell>
          <cell r="D597">
            <v>7</v>
          </cell>
          <cell r="E597">
            <v>7.8</v>
          </cell>
          <cell r="F597">
            <v>8.5</v>
          </cell>
          <cell r="G597">
            <v>9.1999999999999993</v>
          </cell>
          <cell r="H597">
            <v>10</v>
          </cell>
          <cell r="I597">
            <v>10.8</v>
          </cell>
          <cell r="J597">
            <v>11.5</v>
          </cell>
          <cell r="K597">
            <v>12</v>
          </cell>
          <cell r="L597">
            <v>13</v>
          </cell>
          <cell r="M597">
            <v>14</v>
          </cell>
          <cell r="N597">
            <v>15</v>
          </cell>
          <cell r="O597">
            <v>16</v>
          </cell>
          <cell r="P597">
            <v>17</v>
          </cell>
        </row>
        <row r="598">
          <cell r="A598">
            <v>39573</v>
          </cell>
          <cell r="B598">
            <v>5</v>
          </cell>
          <cell r="C598" t="str">
            <v>S</v>
          </cell>
          <cell r="D598">
            <v>7.2</v>
          </cell>
          <cell r="E598">
            <v>8</v>
          </cell>
          <cell r="F598">
            <v>8.8000000000000007</v>
          </cell>
          <cell r="G598">
            <v>10</v>
          </cell>
          <cell r="H598">
            <v>11</v>
          </cell>
          <cell r="I598">
            <v>12</v>
          </cell>
          <cell r="J598">
            <v>13</v>
          </cell>
          <cell r="K598">
            <v>14</v>
          </cell>
          <cell r="L598">
            <v>15</v>
          </cell>
          <cell r="M598">
            <v>16</v>
          </cell>
          <cell r="N598">
            <v>17</v>
          </cell>
          <cell r="O598">
            <v>18</v>
          </cell>
          <cell r="P598">
            <v>19</v>
          </cell>
        </row>
        <row r="599">
          <cell r="A599">
            <v>39574</v>
          </cell>
          <cell r="B599">
            <v>5</v>
          </cell>
          <cell r="C599" t="str">
            <v>S</v>
          </cell>
          <cell r="D599">
            <v>11</v>
          </cell>
          <cell r="E599">
            <v>11.8</v>
          </cell>
          <cell r="F599">
            <v>12.5</v>
          </cell>
          <cell r="G599">
            <v>13.2</v>
          </cell>
          <cell r="H599">
            <v>14</v>
          </cell>
          <cell r="I599">
            <v>14.8</v>
          </cell>
          <cell r="J599">
            <v>16</v>
          </cell>
          <cell r="K599">
            <v>17</v>
          </cell>
          <cell r="L599">
            <v>18</v>
          </cell>
          <cell r="M599">
            <v>19</v>
          </cell>
          <cell r="N599">
            <v>20</v>
          </cell>
          <cell r="O599">
            <v>21</v>
          </cell>
          <cell r="P599">
            <v>22</v>
          </cell>
        </row>
        <row r="600">
          <cell r="A600">
            <v>39575</v>
          </cell>
          <cell r="B600">
            <v>5</v>
          </cell>
          <cell r="C600" t="str">
            <v>S</v>
          </cell>
          <cell r="D600">
            <v>8.8000000000000007</v>
          </cell>
          <cell r="E600">
            <v>9.5</v>
          </cell>
          <cell r="F600">
            <v>10.199999999999999</v>
          </cell>
          <cell r="G600">
            <v>11</v>
          </cell>
          <cell r="H600">
            <v>11.8</v>
          </cell>
          <cell r="I600">
            <v>13</v>
          </cell>
          <cell r="J600">
            <v>14</v>
          </cell>
          <cell r="K600">
            <v>15</v>
          </cell>
          <cell r="L600">
            <v>16</v>
          </cell>
          <cell r="M600">
            <v>17</v>
          </cell>
          <cell r="N600">
            <v>18</v>
          </cell>
          <cell r="O600">
            <v>19</v>
          </cell>
          <cell r="P600">
            <v>20</v>
          </cell>
        </row>
        <row r="601">
          <cell r="A601">
            <v>39576</v>
          </cell>
          <cell r="B601">
            <v>5</v>
          </cell>
          <cell r="C601" t="str">
            <v>S</v>
          </cell>
          <cell r="D601">
            <v>6.8</v>
          </cell>
          <cell r="E601">
            <v>7.5</v>
          </cell>
          <cell r="F601">
            <v>8.1999999999999993</v>
          </cell>
          <cell r="G601">
            <v>9</v>
          </cell>
          <cell r="H601">
            <v>9.8000000000000007</v>
          </cell>
          <cell r="I601">
            <v>11</v>
          </cell>
          <cell r="J601">
            <v>12</v>
          </cell>
          <cell r="K601">
            <v>13</v>
          </cell>
          <cell r="L601">
            <v>14</v>
          </cell>
          <cell r="M601">
            <v>15</v>
          </cell>
          <cell r="N601">
            <v>16</v>
          </cell>
          <cell r="O601">
            <v>17</v>
          </cell>
          <cell r="P601">
            <v>18</v>
          </cell>
        </row>
        <row r="602">
          <cell r="A602">
            <v>39577</v>
          </cell>
          <cell r="B602">
            <v>5</v>
          </cell>
          <cell r="C602" t="str">
            <v>S</v>
          </cell>
          <cell r="D602">
            <v>7.5</v>
          </cell>
          <cell r="E602">
            <v>8.1999999999999993</v>
          </cell>
          <cell r="F602">
            <v>9</v>
          </cell>
          <cell r="G602">
            <v>9.8000000000000007</v>
          </cell>
          <cell r="H602">
            <v>10.5</v>
          </cell>
          <cell r="I602">
            <v>11.2</v>
          </cell>
          <cell r="J602">
            <v>12</v>
          </cell>
          <cell r="K602">
            <v>12.8</v>
          </cell>
          <cell r="L602">
            <v>13.5</v>
          </cell>
          <cell r="M602">
            <v>14.2</v>
          </cell>
          <cell r="N602">
            <v>15</v>
          </cell>
          <cell r="O602">
            <v>16</v>
          </cell>
          <cell r="P602">
            <v>17</v>
          </cell>
        </row>
        <row r="603">
          <cell r="A603">
            <v>39578</v>
          </cell>
          <cell r="B603">
            <v>5</v>
          </cell>
          <cell r="C603" t="str">
            <v>S</v>
          </cell>
          <cell r="D603">
            <v>2.8</v>
          </cell>
          <cell r="E603">
            <v>3</v>
          </cell>
          <cell r="F603">
            <v>3.2</v>
          </cell>
          <cell r="G603">
            <v>4</v>
          </cell>
          <cell r="H603">
            <v>4.8</v>
          </cell>
          <cell r="I603">
            <v>5.5</v>
          </cell>
          <cell r="J603">
            <v>6.2</v>
          </cell>
          <cell r="K603">
            <v>7</v>
          </cell>
          <cell r="L603">
            <v>7.8</v>
          </cell>
          <cell r="M603">
            <v>8.5</v>
          </cell>
          <cell r="N603">
            <v>9.1999999999999993</v>
          </cell>
          <cell r="O603">
            <v>10</v>
          </cell>
          <cell r="P603">
            <v>10.8</v>
          </cell>
        </row>
        <row r="604">
          <cell r="A604">
            <v>39579</v>
          </cell>
          <cell r="B604">
            <v>5</v>
          </cell>
          <cell r="C604" t="str">
            <v>S</v>
          </cell>
          <cell r="D604">
            <v>2.8</v>
          </cell>
          <cell r="E604">
            <v>3</v>
          </cell>
          <cell r="F604">
            <v>3.2</v>
          </cell>
          <cell r="G604">
            <v>4</v>
          </cell>
          <cell r="H604">
            <v>4.8</v>
          </cell>
          <cell r="I604">
            <v>5.5</v>
          </cell>
          <cell r="J604">
            <v>6.2</v>
          </cell>
          <cell r="K604">
            <v>7</v>
          </cell>
          <cell r="L604">
            <v>7.8</v>
          </cell>
          <cell r="M604">
            <v>8.5</v>
          </cell>
          <cell r="N604">
            <v>9.1999999999999993</v>
          </cell>
          <cell r="O604">
            <v>10</v>
          </cell>
          <cell r="P604">
            <v>10.8</v>
          </cell>
        </row>
        <row r="605">
          <cell r="A605">
            <v>39580</v>
          </cell>
          <cell r="B605">
            <v>5</v>
          </cell>
          <cell r="C605" t="str">
            <v>S</v>
          </cell>
          <cell r="D605">
            <v>5.5</v>
          </cell>
          <cell r="E605">
            <v>6.2</v>
          </cell>
          <cell r="F605">
            <v>7</v>
          </cell>
          <cell r="G605">
            <v>7.8</v>
          </cell>
          <cell r="H605">
            <v>8.5</v>
          </cell>
          <cell r="I605">
            <v>9.1999999999999993</v>
          </cell>
          <cell r="J605">
            <v>10</v>
          </cell>
          <cell r="K605">
            <v>10.8</v>
          </cell>
          <cell r="L605">
            <v>11.5</v>
          </cell>
          <cell r="M605">
            <v>12</v>
          </cell>
          <cell r="N605">
            <v>13</v>
          </cell>
          <cell r="O605">
            <v>14</v>
          </cell>
          <cell r="P605">
            <v>15</v>
          </cell>
        </row>
        <row r="606">
          <cell r="A606">
            <v>39581</v>
          </cell>
          <cell r="B606">
            <v>5</v>
          </cell>
          <cell r="C606" t="str">
            <v>S</v>
          </cell>
          <cell r="D606">
            <v>5.8</v>
          </cell>
          <cell r="E606">
            <v>6.5</v>
          </cell>
          <cell r="F606">
            <v>7.2</v>
          </cell>
          <cell r="G606">
            <v>8</v>
          </cell>
          <cell r="H606">
            <v>8.8000000000000007</v>
          </cell>
          <cell r="I606">
            <v>9.5</v>
          </cell>
          <cell r="J606">
            <v>10</v>
          </cell>
          <cell r="K606">
            <v>11</v>
          </cell>
          <cell r="L606">
            <v>12</v>
          </cell>
          <cell r="M606">
            <v>13</v>
          </cell>
          <cell r="N606">
            <v>14</v>
          </cell>
          <cell r="O606">
            <v>15</v>
          </cell>
          <cell r="P606">
            <v>16</v>
          </cell>
        </row>
        <row r="607">
          <cell r="A607">
            <v>39582</v>
          </cell>
          <cell r="B607">
            <v>5</v>
          </cell>
          <cell r="C607" t="str">
            <v>S</v>
          </cell>
          <cell r="D607">
            <v>9.8000000000000007</v>
          </cell>
          <cell r="E607">
            <v>10.5</v>
          </cell>
          <cell r="F607">
            <v>11.2</v>
          </cell>
          <cell r="G607">
            <v>12</v>
          </cell>
          <cell r="H607">
            <v>12.8</v>
          </cell>
          <cell r="I607">
            <v>13.5</v>
          </cell>
          <cell r="J607">
            <v>14.2</v>
          </cell>
          <cell r="K607">
            <v>15</v>
          </cell>
          <cell r="L607">
            <v>16</v>
          </cell>
          <cell r="M607">
            <v>17</v>
          </cell>
          <cell r="N607">
            <v>18</v>
          </cell>
          <cell r="O607">
            <v>19</v>
          </cell>
          <cell r="P607">
            <v>20</v>
          </cell>
        </row>
        <row r="608">
          <cell r="A608">
            <v>39583</v>
          </cell>
          <cell r="B608">
            <v>5</v>
          </cell>
          <cell r="C608" t="str">
            <v>S</v>
          </cell>
          <cell r="D608">
            <v>7.2</v>
          </cell>
          <cell r="E608">
            <v>8</v>
          </cell>
          <cell r="F608">
            <v>8.8000000000000007</v>
          </cell>
          <cell r="G608">
            <v>9.5</v>
          </cell>
          <cell r="H608">
            <v>10.199999999999999</v>
          </cell>
          <cell r="I608">
            <v>11</v>
          </cell>
          <cell r="J608">
            <v>11.8</v>
          </cell>
          <cell r="K608">
            <v>12.5</v>
          </cell>
          <cell r="L608">
            <v>13.2</v>
          </cell>
          <cell r="M608">
            <v>14</v>
          </cell>
          <cell r="N608">
            <v>15</v>
          </cell>
          <cell r="O608">
            <v>16</v>
          </cell>
          <cell r="P608">
            <v>17</v>
          </cell>
        </row>
        <row r="609">
          <cell r="A609">
            <v>39584</v>
          </cell>
          <cell r="B609">
            <v>5</v>
          </cell>
          <cell r="C609" t="str">
            <v>S</v>
          </cell>
          <cell r="D609">
            <v>3.5</v>
          </cell>
          <cell r="E609">
            <v>4.2</v>
          </cell>
          <cell r="F609">
            <v>5</v>
          </cell>
          <cell r="G609">
            <v>5.8</v>
          </cell>
          <cell r="H609">
            <v>6.5</v>
          </cell>
          <cell r="I609">
            <v>7</v>
          </cell>
          <cell r="J609">
            <v>8</v>
          </cell>
          <cell r="K609">
            <v>9</v>
          </cell>
          <cell r="L609">
            <v>10</v>
          </cell>
          <cell r="M609">
            <v>11</v>
          </cell>
          <cell r="N609">
            <v>12</v>
          </cell>
          <cell r="O609">
            <v>13</v>
          </cell>
          <cell r="P609">
            <v>14</v>
          </cell>
        </row>
        <row r="610">
          <cell r="A610">
            <v>39585</v>
          </cell>
          <cell r="B610">
            <v>5</v>
          </cell>
          <cell r="C610" t="str">
            <v>S</v>
          </cell>
          <cell r="D610">
            <v>6.5</v>
          </cell>
          <cell r="E610">
            <v>7.2</v>
          </cell>
          <cell r="F610">
            <v>8</v>
          </cell>
          <cell r="G610">
            <v>8.8000000000000007</v>
          </cell>
          <cell r="H610">
            <v>9.5</v>
          </cell>
          <cell r="I610">
            <v>10.199999999999999</v>
          </cell>
          <cell r="J610">
            <v>11</v>
          </cell>
          <cell r="K610">
            <v>12</v>
          </cell>
          <cell r="L610">
            <v>13</v>
          </cell>
          <cell r="M610">
            <v>14</v>
          </cell>
          <cell r="N610">
            <v>15</v>
          </cell>
          <cell r="O610">
            <v>16</v>
          </cell>
          <cell r="P610">
            <v>17</v>
          </cell>
        </row>
        <row r="611">
          <cell r="A611">
            <v>39586</v>
          </cell>
          <cell r="B611">
            <v>5</v>
          </cell>
          <cell r="C611" t="str">
            <v>S</v>
          </cell>
          <cell r="D611">
            <v>7</v>
          </cell>
          <cell r="E611">
            <v>7.8</v>
          </cell>
          <cell r="F611">
            <v>8.5</v>
          </cell>
          <cell r="G611">
            <v>9.1999999999999993</v>
          </cell>
          <cell r="H611">
            <v>10</v>
          </cell>
          <cell r="I611">
            <v>10.8</v>
          </cell>
          <cell r="J611">
            <v>11.5</v>
          </cell>
          <cell r="K611">
            <v>12</v>
          </cell>
          <cell r="L611">
            <v>13</v>
          </cell>
          <cell r="M611">
            <v>14</v>
          </cell>
          <cell r="N611">
            <v>15</v>
          </cell>
          <cell r="O611">
            <v>16</v>
          </cell>
          <cell r="P611">
            <v>17</v>
          </cell>
        </row>
        <row r="612">
          <cell r="A612">
            <v>39587</v>
          </cell>
          <cell r="B612">
            <v>5</v>
          </cell>
          <cell r="C612" t="str">
            <v>S</v>
          </cell>
          <cell r="D612">
            <v>4.5</v>
          </cell>
          <cell r="E612">
            <v>5.2</v>
          </cell>
          <cell r="F612">
            <v>6</v>
          </cell>
          <cell r="G612">
            <v>6.8</v>
          </cell>
          <cell r="H612">
            <v>7.5</v>
          </cell>
          <cell r="I612">
            <v>8.1999999999999993</v>
          </cell>
          <cell r="J612">
            <v>9</v>
          </cell>
          <cell r="K612">
            <v>9.8000000000000007</v>
          </cell>
          <cell r="L612">
            <v>10.5</v>
          </cell>
          <cell r="M612">
            <v>11.2</v>
          </cell>
          <cell r="N612">
            <v>12</v>
          </cell>
          <cell r="O612">
            <v>13</v>
          </cell>
          <cell r="P612">
            <v>14</v>
          </cell>
        </row>
        <row r="613">
          <cell r="A613">
            <v>39588</v>
          </cell>
          <cell r="B613">
            <v>5</v>
          </cell>
          <cell r="C613" t="str">
            <v>S</v>
          </cell>
          <cell r="D613">
            <v>3.5</v>
          </cell>
          <cell r="E613">
            <v>4.2</v>
          </cell>
          <cell r="F613">
            <v>5</v>
          </cell>
          <cell r="G613">
            <v>5.8</v>
          </cell>
          <cell r="H613">
            <v>6.5</v>
          </cell>
          <cell r="I613">
            <v>7.2</v>
          </cell>
          <cell r="J613">
            <v>8</v>
          </cell>
          <cell r="K613">
            <v>8.8000000000000007</v>
          </cell>
          <cell r="L613">
            <v>9.5</v>
          </cell>
          <cell r="M613">
            <v>10.199999999999999</v>
          </cell>
          <cell r="N613">
            <v>11</v>
          </cell>
          <cell r="O613">
            <v>11.8</v>
          </cell>
          <cell r="P613">
            <v>12.5</v>
          </cell>
        </row>
        <row r="614">
          <cell r="A614">
            <v>39589</v>
          </cell>
          <cell r="B614">
            <v>5</v>
          </cell>
          <cell r="C614" t="str">
            <v>S</v>
          </cell>
          <cell r="D614">
            <v>1.2</v>
          </cell>
          <cell r="E614">
            <v>1.5</v>
          </cell>
          <cell r="F614">
            <v>1.8</v>
          </cell>
          <cell r="G614">
            <v>2</v>
          </cell>
          <cell r="H614">
            <v>2.8</v>
          </cell>
          <cell r="I614">
            <v>3.5</v>
          </cell>
          <cell r="J614">
            <v>4.2</v>
          </cell>
          <cell r="K614">
            <v>5</v>
          </cell>
          <cell r="L614">
            <v>5.8</v>
          </cell>
          <cell r="M614">
            <v>6.5</v>
          </cell>
          <cell r="N614">
            <v>7</v>
          </cell>
          <cell r="O614">
            <v>8</v>
          </cell>
          <cell r="P614">
            <v>9</v>
          </cell>
        </row>
        <row r="615">
          <cell r="A615">
            <v>39590</v>
          </cell>
          <cell r="B615">
            <v>5</v>
          </cell>
          <cell r="C615" t="str">
            <v>S</v>
          </cell>
          <cell r="D615">
            <v>1.8</v>
          </cell>
          <cell r="E615">
            <v>2.5</v>
          </cell>
          <cell r="F615">
            <v>3.2</v>
          </cell>
          <cell r="G615">
            <v>4</v>
          </cell>
          <cell r="H615">
            <v>4.8</v>
          </cell>
          <cell r="I615">
            <v>5.5</v>
          </cell>
          <cell r="J615">
            <v>6.2</v>
          </cell>
          <cell r="K615">
            <v>7</v>
          </cell>
          <cell r="L615">
            <v>8</v>
          </cell>
          <cell r="M615">
            <v>9</v>
          </cell>
          <cell r="N615">
            <v>10</v>
          </cell>
          <cell r="O615">
            <v>11</v>
          </cell>
          <cell r="P615">
            <v>12</v>
          </cell>
        </row>
        <row r="616">
          <cell r="A616">
            <v>39591</v>
          </cell>
          <cell r="B616">
            <v>5</v>
          </cell>
          <cell r="C616" t="str">
            <v>S</v>
          </cell>
          <cell r="D616">
            <v>3.2</v>
          </cell>
          <cell r="E616">
            <v>3.5</v>
          </cell>
          <cell r="F616">
            <v>3.8</v>
          </cell>
          <cell r="G616">
            <v>4.5</v>
          </cell>
          <cell r="H616">
            <v>5.2</v>
          </cell>
          <cell r="I616">
            <v>6</v>
          </cell>
          <cell r="J616">
            <v>6.8</v>
          </cell>
          <cell r="K616">
            <v>7.5</v>
          </cell>
          <cell r="L616">
            <v>8.1999999999999993</v>
          </cell>
          <cell r="M616">
            <v>9</v>
          </cell>
          <cell r="N616">
            <v>9.8000000000000007</v>
          </cell>
          <cell r="O616">
            <v>10.5</v>
          </cell>
          <cell r="P616">
            <v>11.2</v>
          </cell>
        </row>
        <row r="617">
          <cell r="A617">
            <v>39592</v>
          </cell>
          <cell r="B617">
            <v>5</v>
          </cell>
          <cell r="C617" t="str">
            <v>S</v>
          </cell>
          <cell r="D617">
            <v>4</v>
          </cell>
          <cell r="E617">
            <v>4.8</v>
          </cell>
          <cell r="F617">
            <v>5.5</v>
          </cell>
          <cell r="G617">
            <v>6.2</v>
          </cell>
          <cell r="H617">
            <v>7</v>
          </cell>
          <cell r="I617">
            <v>7.8</v>
          </cell>
          <cell r="J617">
            <v>8.5</v>
          </cell>
          <cell r="K617">
            <v>9.1999999999999993</v>
          </cell>
          <cell r="L617">
            <v>10</v>
          </cell>
          <cell r="M617">
            <v>10.8</v>
          </cell>
          <cell r="N617">
            <v>11.5</v>
          </cell>
          <cell r="O617">
            <v>12</v>
          </cell>
          <cell r="P617">
            <v>13</v>
          </cell>
        </row>
        <row r="618">
          <cell r="A618">
            <v>39593</v>
          </cell>
          <cell r="B618">
            <v>5</v>
          </cell>
          <cell r="C618" t="str">
            <v>S</v>
          </cell>
          <cell r="D618">
            <v>2</v>
          </cell>
          <cell r="E618">
            <v>2.8</v>
          </cell>
          <cell r="F618">
            <v>3.5</v>
          </cell>
          <cell r="G618">
            <v>4.2</v>
          </cell>
          <cell r="H618">
            <v>5</v>
          </cell>
          <cell r="I618">
            <v>5.8</v>
          </cell>
          <cell r="J618">
            <v>6.5</v>
          </cell>
          <cell r="K618">
            <v>7</v>
          </cell>
          <cell r="L618">
            <v>8</v>
          </cell>
          <cell r="M618">
            <v>9</v>
          </cell>
          <cell r="N618">
            <v>10</v>
          </cell>
          <cell r="O618">
            <v>11</v>
          </cell>
          <cell r="P618">
            <v>12</v>
          </cell>
        </row>
        <row r="619">
          <cell r="A619">
            <v>39594</v>
          </cell>
          <cell r="B619">
            <v>5</v>
          </cell>
          <cell r="C619" t="str">
            <v>S</v>
          </cell>
          <cell r="D619">
            <v>5</v>
          </cell>
          <cell r="E619">
            <v>5.8</v>
          </cell>
          <cell r="F619">
            <v>6.5</v>
          </cell>
          <cell r="G619">
            <v>7.2</v>
          </cell>
          <cell r="H619">
            <v>8</v>
          </cell>
          <cell r="I619">
            <v>9</v>
          </cell>
          <cell r="J619">
            <v>10</v>
          </cell>
          <cell r="K619">
            <v>11</v>
          </cell>
          <cell r="L619">
            <v>12</v>
          </cell>
          <cell r="M619">
            <v>13</v>
          </cell>
          <cell r="N619">
            <v>14</v>
          </cell>
          <cell r="O619">
            <v>15</v>
          </cell>
          <cell r="P619">
            <v>16</v>
          </cell>
        </row>
        <row r="620">
          <cell r="A620">
            <v>39595</v>
          </cell>
          <cell r="B620">
            <v>5</v>
          </cell>
          <cell r="C620" t="str">
            <v>S</v>
          </cell>
          <cell r="D620">
            <v>6.2</v>
          </cell>
          <cell r="E620">
            <v>7</v>
          </cell>
          <cell r="F620">
            <v>8</v>
          </cell>
          <cell r="G620">
            <v>9</v>
          </cell>
          <cell r="H620">
            <v>10</v>
          </cell>
          <cell r="I620">
            <v>11</v>
          </cell>
          <cell r="J620">
            <v>12</v>
          </cell>
          <cell r="K620">
            <v>13</v>
          </cell>
          <cell r="L620">
            <v>14</v>
          </cell>
          <cell r="M620">
            <v>15</v>
          </cell>
          <cell r="N620">
            <v>16</v>
          </cell>
          <cell r="O620">
            <v>17</v>
          </cell>
          <cell r="P620">
            <v>18</v>
          </cell>
        </row>
        <row r="621">
          <cell r="A621">
            <v>39596</v>
          </cell>
          <cell r="B621">
            <v>5</v>
          </cell>
          <cell r="C621" t="str">
            <v>S</v>
          </cell>
          <cell r="D621">
            <v>10</v>
          </cell>
          <cell r="E621">
            <v>11</v>
          </cell>
          <cell r="F621">
            <v>12</v>
          </cell>
          <cell r="G621">
            <v>13</v>
          </cell>
          <cell r="H621">
            <v>14</v>
          </cell>
          <cell r="I621">
            <v>15</v>
          </cell>
          <cell r="J621">
            <v>16</v>
          </cell>
          <cell r="K621">
            <v>17</v>
          </cell>
          <cell r="L621">
            <v>18</v>
          </cell>
          <cell r="M621">
            <v>19</v>
          </cell>
          <cell r="N621">
            <v>20</v>
          </cell>
          <cell r="O621">
            <v>21</v>
          </cell>
          <cell r="P621">
            <v>22</v>
          </cell>
        </row>
        <row r="622">
          <cell r="A622">
            <v>39597</v>
          </cell>
          <cell r="B622">
            <v>5</v>
          </cell>
          <cell r="C622" t="str">
            <v>S</v>
          </cell>
          <cell r="D622">
            <v>6.5</v>
          </cell>
          <cell r="E622">
            <v>7</v>
          </cell>
          <cell r="F622">
            <v>8</v>
          </cell>
          <cell r="G622">
            <v>9</v>
          </cell>
          <cell r="H622">
            <v>10</v>
          </cell>
          <cell r="I622">
            <v>11</v>
          </cell>
          <cell r="J622">
            <v>12</v>
          </cell>
          <cell r="K622">
            <v>13</v>
          </cell>
          <cell r="L622">
            <v>14</v>
          </cell>
          <cell r="M622">
            <v>15</v>
          </cell>
          <cell r="N622">
            <v>16</v>
          </cell>
          <cell r="O622">
            <v>17</v>
          </cell>
          <cell r="P622">
            <v>18</v>
          </cell>
        </row>
        <row r="623">
          <cell r="A623">
            <v>39598</v>
          </cell>
          <cell r="B623">
            <v>5</v>
          </cell>
          <cell r="C623" t="str">
            <v>S</v>
          </cell>
          <cell r="D623">
            <v>2.8</v>
          </cell>
          <cell r="E623">
            <v>3.5</v>
          </cell>
          <cell r="F623">
            <v>4.2</v>
          </cell>
          <cell r="G623">
            <v>5</v>
          </cell>
          <cell r="H623">
            <v>5.8</v>
          </cell>
          <cell r="I623">
            <v>6.5</v>
          </cell>
          <cell r="J623">
            <v>7.2</v>
          </cell>
          <cell r="K623">
            <v>8</v>
          </cell>
          <cell r="L623">
            <v>9</v>
          </cell>
          <cell r="M623">
            <v>10</v>
          </cell>
          <cell r="N623">
            <v>11</v>
          </cell>
          <cell r="O623">
            <v>12</v>
          </cell>
          <cell r="P623">
            <v>13</v>
          </cell>
        </row>
        <row r="624">
          <cell r="A624">
            <v>39599</v>
          </cell>
          <cell r="B624">
            <v>5</v>
          </cell>
          <cell r="C624" t="str">
            <v>S</v>
          </cell>
          <cell r="D624">
            <v>4.8</v>
          </cell>
          <cell r="E624">
            <v>5.5</v>
          </cell>
          <cell r="F624">
            <v>6.2</v>
          </cell>
          <cell r="G624">
            <v>7</v>
          </cell>
          <cell r="H624">
            <v>7.8</v>
          </cell>
          <cell r="I624">
            <v>8.5</v>
          </cell>
          <cell r="J624">
            <v>9.1999999999999993</v>
          </cell>
          <cell r="K624">
            <v>10</v>
          </cell>
          <cell r="L624">
            <v>10.8</v>
          </cell>
          <cell r="M624">
            <v>11.5</v>
          </cell>
          <cell r="N624">
            <v>12.2</v>
          </cell>
          <cell r="O624">
            <v>13</v>
          </cell>
          <cell r="P624">
            <v>13.8</v>
          </cell>
        </row>
        <row r="625">
          <cell r="A625">
            <v>39600</v>
          </cell>
          <cell r="B625">
            <v>6</v>
          </cell>
          <cell r="C625" t="str">
            <v>S</v>
          </cell>
          <cell r="D625">
            <v>1</v>
          </cell>
          <cell r="E625">
            <v>1.2</v>
          </cell>
          <cell r="F625">
            <v>1.5</v>
          </cell>
          <cell r="G625">
            <v>1.8</v>
          </cell>
          <cell r="H625">
            <v>2</v>
          </cell>
          <cell r="I625">
            <v>2.2000000000000002</v>
          </cell>
          <cell r="J625">
            <v>2.5</v>
          </cell>
          <cell r="K625">
            <v>2.8</v>
          </cell>
          <cell r="L625">
            <v>3.5</v>
          </cell>
          <cell r="M625">
            <v>4.2</v>
          </cell>
          <cell r="N625">
            <v>5</v>
          </cell>
          <cell r="O625">
            <v>5.8</v>
          </cell>
          <cell r="P625">
            <v>6.5</v>
          </cell>
        </row>
        <row r="626">
          <cell r="A626">
            <v>39601</v>
          </cell>
          <cell r="B626">
            <v>6</v>
          </cell>
          <cell r="C626" t="str">
            <v>S</v>
          </cell>
          <cell r="D626">
            <v>3.2</v>
          </cell>
          <cell r="E626">
            <v>3.5</v>
          </cell>
          <cell r="F626">
            <v>3.8</v>
          </cell>
          <cell r="G626">
            <v>4</v>
          </cell>
          <cell r="H626">
            <v>4.8</v>
          </cell>
          <cell r="I626">
            <v>5.5</v>
          </cell>
          <cell r="J626">
            <v>6.2</v>
          </cell>
          <cell r="K626">
            <v>7</v>
          </cell>
          <cell r="L626">
            <v>7.8</v>
          </cell>
          <cell r="M626">
            <v>8.5</v>
          </cell>
          <cell r="N626">
            <v>9.1999999999999993</v>
          </cell>
          <cell r="O626">
            <v>10</v>
          </cell>
          <cell r="P626">
            <v>10.8</v>
          </cell>
        </row>
        <row r="627">
          <cell r="A627">
            <v>39602</v>
          </cell>
          <cell r="B627">
            <v>6</v>
          </cell>
          <cell r="C627" t="str">
            <v>S</v>
          </cell>
          <cell r="D627">
            <v>1</v>
          </cell>
          <cell r="E627">
            <v>1.2</v>
          </cell>
          <cell r="F627">
            <v>1.5</v>
          </cell>
          <cell r="G627">
            <v>1.8</v>
          </cell>
          <cell r="H627">
            <v>2</v>
          </cell>
          <cell r="I627">
            <v>2.2000000000000002</v>
          </cell>
          <cell r="J627">
            <v>2.5</v>
          </cell>
          <cell r="K627">
            <v>2.8</v>
          </cell>
          <cell r="L627">
            <v>3</v>
          </cell>
          <cell r="M627">
            <v>3.8</v>
          </cell>
          <cell r="N627">
            <v>4.5</v>
          </cell>
          <cell r="O627">
            <v>5.2</v>
          </cell>
          <cell r="P627">
            <v>6</v>
          </cell>
        </row>
        <row r="628">
          <cell r="A628">
            <v>39603</v>
          </cell>
          <cell r="B628">
            <v>6</v>
          </cell>
          <cell r="C628" t="str">
            <v>S</v>
          </cell>
          <cell r="D628">
            <v>1.5</v>
          </cell>
          <cell r="E628">
            <v>1.8</v>
          </cell>
          <cell r="F628">
            <v>2</v>
          </cell>
          <cell r="G628">
            <v>2.2000000000000002</v>
          </cell>
          <cell r="H628">
            <v>3</v>
          </cell>
          <cell r="I628">
            <v>3.8</v>
          </cell>
          <cell r="J628">
            <v>4.5</v>
          </cell>
          <cell r="K628">
            <v>5.2</v>
          </cell>
          <cell r="L628">
            <v>6</v>
          </cell>
          <cell r="M628">
            <v>6.8</v>
          </cell>
          <cell r="N628">
            <v>7.5</v>
          </cell>
          <cell r="O628">
            <v>8</v>
          </cell>
          <cell r="P628">
            <v>9</v>
          </cell>
        </row>
        <row r="629">
          <cell r="A629">
            <v>39604</v>
          </cell>
          <cell r="B629">
            <v>6</v>
          </cell>
          <cell r="C629" t="str">
            <v>S</v>
          </cell>
          <cell r="D629">
            <v>1.5</v>
          </cell>
          <cell r="E629">
            <v>1.8</v>
          </cell>
          <cell r="F629">
            <v>2</v>
          </cell>
          <cell r="G629">
            <v>2.2000000000000002</v>
          </cell>
          <cell r="H629">
            <v>2.5</v>
          </cell>
          <cell r="I629">
            <v>3.2</v>
          </cell>
          <cell r="J629">
            <v>4</v>
          </cell>
          <cell r="K629">
            <v>4.8</v>
          </cell>
          <cell r="L629">
            <v>5.5</v>
          </cell>
          <cell r="M629">
            <v>6.2</v>
          </cell>
          <cell r="N629">
            <v>7</v>
          </cell>
          <cell r="O629">
            <v>7.8</v>
          </cell>
          <cell r="P629">
            <v>8.5</v>
          </cell>
        </row>
        <row r="630">
          <cell r="A630">
            <v>39605</v>
          </cell>
          <cell r="B630">
            <v>6</v>
          </cell>
          <cell r="C630" t="str">
            <v>S</v>
          </cell>
          <cell r="D630">
            <v>3</v>
          </cell>
          <cell r="E630">
            <v>3.2</v>
          </cell>
          <cell r="F630">
            <v>3.5</v>
          </cell>
          <cell r="G630">
            <v>4.2</v>
          </cell>
          <cell r="H630">
            <v>5</v>
          </cell>
          <cell r="I630">
            <v>5.8</v>
          </cell>
          <cell r="J630">
            <v>6.5</v>
          </cell>
          <cell r="K630">
            <v>7.2</v>
          </cell>
          <cell r="L630">
            <v>8</v>
          </cell>
          <cell r="M630">
            <v>8.8000000000000007</v>
          </cell>
          <cell r="N630">
            <v>9.5</v>
          </cell>
          <cell r="O630">
            <v>10.199999999999999</v>
          </cell>
          <cell r="P630">
            <v>11</v>
          </cell>
        </row>
        <row r="631">
          <cell r="A631">
            <v>39606</v>
          </cell>
          <cell r="B631">
            <v>6</v>
          </cell>
          <cell r="C631" t="str">
            <v>S</v>
          </cell>
          <cell r="D631">
            <v>2</v>
          </cell>
          <cell r="E631">
            <v>2.2000000000000002</v>
          </cell>
          <cell r="F631">
            <v>2.5</v>
          </cell>
          <cell r="G631">
            <v>2.8</v>
          </cell>
          <cell r="H631">
            <v>3</v>
          </cell>
          <cell r="I631">
            <v>3.2</v>
          </cell>
          <cell r="J631">
            <v>4</v>
          </cell>
          <cell r="K631">
            <v>4.8</v>
          </cell>
          <cell r="L631">
            <v>5.5</v>
          </cell>
          <cell r="M631">
            <v>6.2</v>
          </cell>
          <cell r="N631">
            <v>7</v>
          </cell>
          <cell r="O631">
            <v>7.8</v>
          </cell>
          <cell r="P631">
            <v>8.5</v>
          </cell>
        </row>
        <row r="632">
          <cell r="A632">
            <v>39607</v>
          </cell>
          <cell r="B632">
            <v>6</v>
          </cell>
          <cell r="C632" t="str">
            <v>S</v>
          </cell>
          <cell r="D632">
            <v>0.2</v>
          </cell>
          <cell r="E632">
            <v>0.5</v>
          </cell>
          <cell r="F632">
            <v>0.8</v>
          </cell>
          <cell r="G632">
            <v>1</v>
          </cell>
          <cell r="H632">
            <v>1.2</v>
          </cell>
          <cell r="I632">
            <v>1.5</v>
          </cell>
          <cell r="J632">
            <v>1.8</v>
          </cell>
          <cell r="K632">
            <v>2</v>
          </cell>
          <cell r="L632">
            <v>2.2000000000000002</v>
          </cell>
          <cell r="M632">
            <v>2.5</v>
          </cell>
          <cell r="N632">
            <v>3.2</v>
          </cell>
          <cell r="O632">
            <v>4</v>
          </cell>
          <cell r="P632">
            <v>4.8</v>
          </cell>
        </row>
        <row r="633">
          <cell r="A633">
            <v>39608</v>
          </cell>
          <cell r="B633">
            <v>6</v>
          </cell>
          <cell r="C633" t="str">
            <v>S</v>
          </cell>
          <cell r="D633">
            <v>1.5</v>
          </cell>
          <cell r="E633">
            <v>1.8</v>
          </cell>
          <cell r="F633">
            <v>2</v>
          </cell>
          <cell r="G633">
            <v>2.8</v>
          </cell>
          <cell r="H633">
            <v>3.5</v>
          </cell>
          <cell r="I633">
            <v>4.2</v>
          </cell>
          <cell r="J633">
            <v>5</v>
          </cell>
          <cell r="K633">
            <v>5.8</v>
          </cell>
          <cell r="L633">
            <v>6.5</v>
          </cell>
          <cell r="M633">
            <v>7</v>
          </cell>
          <cell r="N633">
            <v>8</v>
          </cell>
          <cell r="O633">
            <v>9</v>
          </cell>
          <cell r="P633">
            <v>10</v>
          </cell>
        </row>
        <row r="634">
          <cell r="A634">
            <v>39609</v>
          </cell>
          <cell r="B634">
            <v>6</v>
          </cell>
          <cell r="C634" t="str">
            <v>S</v>
          </cell>
          <cell r="D634">
            <v>0.8</v>
          </cell>
          <cell r="E634">
            <v>1</v>
          </cell>
          <cell r="F634">
            <v>1.2</v>
          </cell>
          <cell r="G634">
            <v>1.5</v>
          </cell>
          <cell r="H634">
            <v>1.8</v>
          </cell>
          <cell r="I634">
            <v>2</v>
          </cell>
          <cell r="J634">
            <v>2.8</v>
          </cell>
          <cell r="K634">
            <v>3.5</v>
          </cell>
          <cell r="L634">
            <v>4.2</v>
          </cell>
          <cell r="M634">
            <v>5</v>
          </cell>
          <cell r="N634">
            <v>5.8</v>
          </cell>
          <cell r="O634">
            <v>6.5</v>
          </cell>
          <cell r="P634">
            <v>7</v>
          </cell>
        </row>
        <row r="635">
          <cell r="A635">
            <v>39610</v>
          </cell>
          <cell r="B635">
            <v>6</v>
          </cell>
          <cell r="C635" t="str">
            <v>S</v>
          </cell>
          <cell r="D635">
            <v>1.2</v>
          </cell>
          <cell r="E635">
            <v>1.5</v>
          </cell>
          <cell r="F635">
            <v>1.8</v>
          </cell>
          <cell r="G635">
            <v>2</v>
          </cell>
          <cell r="H635">
            <v>2.2000000000000002</v>
          </cell>
          <cell r="I635">
            <v>3</v>
          </cell>
          <cell r="J635">
            <v>3.8</v>
          </cell>
          <cell r="K635">
            <v>4.5</v>
          </cell>
          <cell r="L635">
            <v>5.2</v>
          </cell>
          <cell r="M635">
            <v>6</v>
          </cell>
          <cell r="N635">
            <v>6.8</v>
          </cell>
          <cell r="O635">
            <v>7.5</v>
          </cell>
          <cell r="P635">
            <v>8.1999999999999993</v>
          </cell>
        </row>
        <row r="636">
          <cell r="A636">
            <v>39611</v>
          </cell>
          <cell r="B636">
            <v>6</v>
          </cell>
          <cell r="C636" t="str">
            <v>S</v>
          </cell>
          <cell r="D636">
            <v>1</v>
          </cell>
          <cell r="E636">
            <v>1.2</v>
          </cell>
          <cell r="F636">
            <v>1.5</v>
          </cell>
          <cell r="G636">
            <v>1.8</v>
          </cell>
          <cell r="H636">
            <v>2</v>
          </cell>
          <cell r="I636">
            <v>2.2000000000000002</v>
          </cell>
          <cell r="J636">
            <v>2.5</v>
          </cell>
          <cell r="K636">
            <v>3.2</v>
          </cell>
          <cell r="L636">
            <v>4</v>
          </cell>
          <cell r="M636">
            <v>4.8</v>
          </cell>
          <cell r="N636">
            <v>5.5</v>
          </cell>
          <cell r="O636">
            <v>6.2</v>
          </cell>
          <cell r="P636">
            <v>7</v>
          </cell>
        </row>
        <row r="637">
          <cell r="A637">
            <v>39612</v>
          </cell>
          <cell r="B637">
            <v>6</v>
          </cell>
          <cell r="C637" t="str">
            <v>S</v>
          </cell>
          <cell r="D637">
            <v>1.8</v>
          </cell>
          <cell r="E637">
            <v>2</v>
          </cell>
          <cell r="F637">
            <v>2.2000000000000002</v>
          </cell>
          <cell r="G637">
            <v>2.5</v>
          </cell>
          <cell r="H637">
            <v>2.8</v>
          </cell>
          <cell r="I637">
            <v>3</v>
          </cell>
          <cell r="J637">
            <v>3.2</v>
          </cell>
          <cell r="K637">
            <v>4</v>
          </cell>
          <cell r="L637">
            <v>4.8</v>
          </cell>
          <cell r="M637">
            <v>5.5</v>
          </cell>
          <cell r="N637">
            <v>6.2</v>
          </cell>
          <cell r="O637">
            <v>7</v>
          </cell>
          <cell r="P637">
            <v>7.8</v>
          </cell>
        </row>
        <row r="638">
          <cell r="A638">
            <v>39613</v>
          </cell>
          <cell r="B638">
            <v>6</v>
          </cell>
          <cell r="C638" t="str">
            <v>S</v>
          </cell>
          <cell r="D638">
            <v>0.2</v>
          </cell>
          <cell r="E638">
            <v>0.5</v>
          </cell>
          <cell r="F638">
            <v>0.8</v>
          </cell>
          <cell r="G638">
            <v>1</v>
          </cell>
          <cell r="H638">
            <v>1.2</v>
          </cell>
          <cell r="I638">
            <v>1.5</v>
          </cell>
          <cell r="J638">
            <v>1.8</v>
          </cell>
          <cell r="K638">
            <v>2</v>
          </cell>
          <cell r="L638">
            <v>2.2000000000000002</v>
          </cell>
          <cell r="M638">
            <v>2.5</v>
          </cell>
          <cell r="N638">
            <v>2.8</v>
          </cell>
          <cell r="O638">
            <v>3.5</v>
          </cell>
          <cell r="P638">
            <v>4.2</v>
          </cell>
        </row>
        <row r="639">
          <cell r="A639">
            <v>39614</v>
          </cell>
          <cell r="B639">
            <v>6</v>
          </cell>
          <cell r="C639" t="str">
            <v>S</v>
          </cell>
          <cell r="D639">
            <v>0.8</v>
          </cell>
          <cell r="E639">
            <v>1</v>
          </cell>
          <cell r="F639">
            <v>1.2</v>
          </cell>
          <cell r="G639">
            <v>1.5</v>
          </cell>
          <cell r="H639">
            <v>1.8</v>
          </cell>
          <cell r="I639">
            <v>2</v>
          </cell>
          <cell r="J639">
            <v>2.2000000000000002</v>
          </cell>
          <cell r="K639">
            <v>2.5</v>
          </cell>
          <cell r="L639">
            <v>2.8</v>
          </cell>
          <cell r="M639">
            <v>3</v>
          </cell>
          <cell r="N639">
            <v>3.8</v>
          </cell>
          <cell r="O639">
            <v>4.5</v>
          </cell>
          <cell r="P639">
            <v>5.2</v>
          </cell>
        </row>
        <row r="640">
          <cell r="A640">
            <v>39615</v>
          </cell>
          <cell r="B640">
            <v>6</v>
          </cell>
          <cell r="C640" t="str">
            <v>S</v>
          </cell>
          <cell r="D640">
            <v>0.2</v>
          </cell>
          <cell r="E640">
            <v>0.5</v>
          </cell>
          <cell r="F640">
            <v>0.8</v>
          </cell>
          <cell r="G640">
            <v>1</v>
          </cell>
          <cell r="H640">
            <v>1.2</v>
          </cell>
          <cell r="I640">
            <v>1.5</v>
          </cell>
          <cell r="J640">
            <v>2.2000000000000002</v>
          </cell>
          <cell r="K640">
            <v>3</v>
          </cell>
          <cell r="L640">
            <v>3.8</v>
          </cell>
          <cell r="M640">
            <v>4.5</v>
          </cell>
          <cell r="N640">
            <v>5.2</v>
          </cell>
          <cell r="O640">
            <v>6</v>
          </cell>
          <cell r="P640">
            <v>7</v>
          </cell>
        </row>
        <row r="641">
          <cell r="A641">
            <v>39616</v>
          </cell>
          <cell r="B641">
            <v>6</v>
          </cell>
          <cell r="C641" t="str">
            <v>S</v>
          </cell>
          <cell r="D641">
            <v>0.5</v>
          </cell>
          <cell r="E641">
            <v>0.8</v>
          </cell>
          <cell r="F641">
            <v>1</v>
          </cell>
          <cell r="G641">
            <v>1.2</v>
          </cell>
          <cell r="H641">
            <v>2</v>
          </cell>
          <cell r="I641">
            <v>2.8</v>
          </cell>
          <cell r="J641">
            <v>3.5</v>
          </cell>
          <cell r="K641">
            <v>4.2</v>
          </cell>
          <cell r="L641">
            <v>5</v>
          </cell>
          <cell r="M641">
            <v>6</v>
          </cell>
          <cell r="N641">
            <v>7</v>
          </cell>
          <cell r="O641">
            <v>8</v>
          </cell>
          <cell r="P641">
            <v>9</v>
          </cell>
        </row>
        <row r="642">
          <cell r="A642">
            <v>39617</v>
          </cell>
          <cell r="B642">
            <v>6</v>
          </cell>
          <cell r="C642" t="str">
            <v>S</v>
          </cell>
          <cell r="D642">
            <v>0</v>
          </cell>
          <cell r="E642">
            <v>0.2</v>
          </cell>
          <cell r="F642">
            <v>0.5</v>
          </cell>
          <cell r="G642">
            <v>0.8</v>
          </cell>
          <cell r="H642">
            <v>1</v>
          </cell>
          <cell r="I642">
            <v>1.2</v>
          </cell>
          <cell r="J642">
            <v>1.5</v>
          </cell>
          <cell r="K642">
            <v>1.8</v>
          </cell>
          <cell r="L642">
            <v>2</v>
          </cell>
          <cell r="M642">
            <v>2.2000000000000002</v>
          </cell>
          <cell r="N642">
            <v>3</v>
          </cell>
          <cell r="O642">
            <v>3.8</v>
          </cell>
          <cell r="P642">
            <v>4.5</v>
          </cell>
        </row>
        <row r="643">
          <cell r="A643">
            <v>39618</v>
          </cell>
          <cell r="B643">
            <v>6</v>
          </cell>
          <cell r="C643" t="str">
            <v>S</v>
          </cell>
          <cell r="D643">
            <v>0</v>
          </cell>
          <cell r="E643">
            <v>0.2</v>
          </cell>
          <cell r="F643">
            <v>0.5</v>
          </cell>
          <cell r="G643">
            <v>0.8</v>
          </cell>
          <cell r="H643">
            <v>1</v>
          </cell>
          <cell r="I643">
            <v>1.2</v>
          </cell>
          <cell r="J643">
            <v>1.5</v>
          </cell>
          <cell r="K643">
            <v>1.8</v>
          </cell>
          <cell r="L643">
            <v>2</v>
          </cell>
          <cell r="M643">
            <v>2.2000000000000002</v>
          </cell>
          <cell r="N643">
            <v>3</v>
          </cell>
          <cell r="O643">
            <v>3.8</v>
          </cell>
          <cell r="P643">
            <v>4.5</v>
          </cell>
        </row>
        <row r="644">
          <cell r="A644">
            <v>39619</v>
          </cell>
          <cell r="B644">
            <v>6</v>
          </cell>
          <cell r="C644" t="str">
            <v>S</v>
          </cell>
          <cell r="D644">
            <v>0</v>
          </cell>
          <cell r="E644">
            <v>0</v>
          </cell>
          <cell r="F644">
            <v>0.2</v>
          </cell>
          <cell r="G644">
            <v>0.5</v>
          </cell>
          <cell r="H644">
            <v>0.8</v>
          </cell>
          <cell r="I644">
            <v>1</v>
          </cell>
          <cell r="J644">
            <v>1.2</v>
          </cell>
          <cell r="K644">
            <v>1.5</v>
          </cell>
          <cell r="L644">
            <v>1.8</v>
          </cell>
          <cell r="M644">
            <v>2</v>
          </cell>
          <cell r="N644">
            <v>2.2000000000000002</v>
          </cell>
          <cell r="O644">
            <v>2.5</v>
          </cell>
          <cell r="P644">
            <v>2.8</v>
          </cell>
        </row>
        <row r="645">
          <cell r="A645">
            <v>39620</v>
          </cell>
          <cell r="B645">
            <v>6</v>
          </cell>
          <cell r="C645" t="str">
            <v>S</v>
          </cell>
          <cell r="D645">
            <v>0</v>
          </cell>
          <cell r="E645">
            <v>0</v>
          </cell>
          <cell r="F645">
            <v>0</v>
          </cell>
          <cell r="G645">
            <v>0</v>
          </cell>
          <cell r="H645">
            <v>0</v>
          </cell>
          <cell r="I645">
            <v>0</v>
          </cell>
          <cell r="J645">
            <v>0.2</v>
          </cell>
          <cell r="K645">
            <v>0.5</v>
          </cell>
          <cell r="L645">
            <v>0.8</v>
          </cell>
          <cell r="M645">
            <v>1</v>
          </cell>
          <cell r="N645">
            <v>1.2</v>
          </cell>
          <cell r="O645">
            <v>1.5</v>
          </cell>
          <cell r="P645">
            <v>1.8</v>
          </cell>
        </row>
        <row r="646">
          <cell r="A646">
            <v>39621</v>
          </cell>
          <cell r="B646">
            <v>6</v>
          </cell>
          <cell r="C646" t="str">
            <v>S</v>
          </cell>
          <cell r="D646">
            <v>0</v>
          </cell>
          <cell r="E646">
            <v>0</v>
          </cell>
          <cell r="F646">
            <v>0.2</v>
          </cell>
          <cell r="G646">
            <v>0.5</v>
          </cell>
          <cell r="H646">
            <v>0.8</v>
          </cell>
          <cell r="I646">
            <v>1</v>
          </cell>
          <cell r="J646">
            <v>1.2</v>
          </cell>
          <cell r="K646">
            <v>1.5</v>
          </cell>
          <cell r="L646">
            <v>1.8</v>
          </cell>
          <cell r="M646">
            <v>2</v>
          </cell>
          <cell r="N646">
            <v>2.2000000000000002</v>
          </cell>
          <cell r="O646">
            <v>2.5</v>
          </cell>
          <cell r="P646">
            <v>2.8</v>
          </cell>
        </row>
        <row r="647">
          <cell r="A647">
            <v>39622</v>
          </cell>
          <cell r="B647">
            <v>6</v>
          </cell>
          <cell r="C647" t="str">
            <v>S</v>
          </cell>
          <cell r="D647">
            <v>0</v>
          </cell>
          <cell r="E647">
            <v>0</v>
          </cell>
          <cell r="F647">
            <v>0.2</v>
          </cell>
          <cell r="G647">
            <v>0.5</v>
          </cell>
          <cell r="H647">
            <v>0.8</v>
          </cell>
          <cell r="I647">
            <v>1</v>
          </cell>
          <cell r="J647">
            <v>1.2</v>
          </cell>
          <cell r="K647">
            <v>1.5</v>
          </cell>
          <cell r="L647">
            <v>1.8</v>
          </cell>
          <cell r="M647">
            <v>2.5</v>
          </cell>
          <cell r="N647">
            <v>3.2</v>
          </cell>
          <cell r="O647">
            <v>4</v>
          </cell>
          <cell r="P647">
            <v>4.8</v>
          </cell>
        </row>
        <row r="648">
          <cell r="A648">
            <v>39623</v>
          </cell>
          <cell r="B648">
            <v>6</v>
          </cell>
          <cell r="C648" t="str">
            <v>S</v>
          </cell>
          <cell r="D648">
            <v>0.5</v>
          </cell>
          <cell r="E648">
            <v>0.8</v>
          </cell>
          <cell r="F648">
            <v>1</v>
          </cell>
          <cell r="G648">
            <v>1.2</v>
          </cell>
          <cell r="H648">
            <v>1.5</v>
          </cell>
          <cell r="I648">
            <v>2.2000000000000002</v>
          </cell>
          <cell r="J648">
            <v>3</v>
          </cell>
          <cell r="K648">
            <v>3.8</v>
          </cell>
          <cell r="L648">
            <v>4.5</v>
          </cell>
          <cell r="M648">
            <v>5.2</v>
          </cell>
          <cell r="N648">
            <v>6</v>
          </cell>
          <cell r="O648">
            <v>7</v>
          </cell>
          <cell r="P648">
            <v>8</v>
          </cell>
        </row>
        <row r="649">
          <cell r="A649">
            <v>39624</v>
          </cell>
          <cell r="B649">
            <v>6</v>
          </cell>
          <cell r="C649" t="str">
            <v>S</v>
          </cell>
          <cell r="D649">
            <v>1.5</v>
          </cell>
          <cell r="E649">
            <v>1.8</v>
          </cell>
          <cell r="F649">
            <v>2</v>
          </cell>
          <cell r="G649">
            <v>2.2000000000000002</v>
          </cell>
          <cell r="H649">
            <v>2.5</v>
          </cell>
          <cell r="I649">
            <v>2.8</v>
          </cell>
          <cell r="J649">
            <v>3</v>
          </cell>
          <cell r="K649">
            <v>3.8</v>
          </cell>
          <cell r="L649">
            <v>4.5</v>
          </cell>
          <cell r="M649">
            <v>5.2</v>
          </cell>
          <cell r="N649">
            <v>6</v>
          </cell>
          <cell r="O649">
            <v>6.8</v>
          </cell>
          <cell r="P649">
            <v>7.5</v>
          </cell>
        </row>
        <row r="650">
          <cell r="A650">
            <v>39625</v>
          </cell>
          <cell r="B650">
            <v>6</v>
          </cell>
          <cell r="C650" t="str">
            <v>S</v>
          </cell>
          <cell r="D650">
            <v>1.5</v>
          </cell>
          <cell r="E650">
            <v>1.8</v>
          </cell>
          <cell r="F650">
            <v>2</v>
          </cell>
          <cell r="G650">
            <v>2.2000000000000002</v>
          </cell>
          <cell r="H650">
            <v>2.5</v>
          </cell>
          <cell r="I650">
            <v>2.8</v>
          </cell>
          <cell r="J650">
            <v>3</v>
          </cell>
          <cell r="K650">
            <v>3.2</v>
          </cell>
          <cell r="L650">
            <v>3.5</v>
          </cell>
          <cell r="M650">
            <v>3.8</v>
          </cell>
          <cell r="N650">
            <v>4</v>
          </cell>
          <cell r="O650">
            <v>4.2</v>
          </cell>
          <cell r="P650">
            <v>5</v>
          </cell>
        </row>
        <row r="651">
          <cell r="A651">
            <v>39626</v>
          </cell>
          <cell r="B651">
            <v>6</v>
          </cell>
          <cell r="C651" t="str">
            <v>S</v>
          </cell>
          <cell r="D651">
            <v>0.5</v>
          </cell>
          <cell r="E651">
            <v>0.8</v>
          </cell>
          <cell r="F651">
            <v>1</v>
          </cell>
          <cell r="G651">
            <v>1.2</v>
          </cell>
          <cell r="H651">
            <v>1.5</v>
          </cell>
          <cell r="I651">
            <v>1.8</v>
          </cell>
          <cell r="J651">
            <v>2</v>
          </cell>
          <cell r="K651">
            <v>2.2000000000000002</v>
          </cell>
          <cell r="L651">
            <v>3</v>
          </cell>
          <cell r="M651">
            <v>3.8</v>
          </cell>
          <cell r="N651">
            <v>4.5</v>
          </cell>
          <cell r="O651">
            <v>5.2</v>
          </cell>
          <cell r="P651">
            <v>6</v>
          </cell>
        </row>
        <row r="652">
          <cell r="A652">
            <v>39627</v>
          </cell>
          <cell r="B652">
            <v>6</v>
          </cell>
          <cell r="C652" t="str">
            <v>S</v>
          </cell>
          <cell r="D652">
            <v>1.8</v>
          </cell>
          <cell r="E652">
            <v>2.5</v>
          </cell>
          <cell r="F652">
            <v>3</v>
          </cell>
          <cell r="G652">
            <v>4</v>
          </cell>
          <cell r="H652">
            <v>5</v>
          </cell>
          <cell r="I652">
            <v>6</v>
          </cell>
          <cell r="J652">
            <v>7</v>
          </cell>
          <cell r="K652">
            <v>8</v>
          </cell>
          <cell r="L652">
            <v>9</v>
          </cell>
          <cell r="M652">
            <v>10</v>
          </cell>
          <cell r="N652">
            <v>11</v>
          </cell>
          <cell r="O652">
            <v>12</v>
          </cell>
          <cell r="P652">
            <v>13</v>
          </cell>
        </row>
        <row r="653">
          <cell r="A653">
            <v>39628</v>
          </cell>
          <cell r="B653">
            <v>6</v>
          </cell>
          <cell r="C653" t="str">
            <v>S</v>
          </cell>
          <cell r="D653">
            <v>1.8</v>
          </cell>
          <cell r="E653">
            <v>2</v>
          </cell>
          <cell r="F653">
            <v>2.2000000000000002</v>
          </cell>
          <cell r="G653">
            <v>3</v>
          </cell>
          <cell r="H653">
            <v>3.8</v>
          </cell>
          <cell r="I653">
            <v>4.5</v>
          </cell>
          <cell r="J653">
            <v>5.2</v>
          </cell>
          <cell r="K653">
            <v>6</v>
          </cell>
          <cell r="L653">
            <v>6.8</v>
          </cell>
          <cell r="M653">
            <v>7.5</v>
          </cell>
          <cell r="N653">
            <v>8.1999999999999993</v>
          </cell>
          <cell r="O653">
            <v>9</v>
          </cell>
          <cell r="P653">
            <v>10</v>
          </cell>
        </row>
        <row r="654">
          <cell r="A654">
            <v>39629</v>
          </cell>
          <cell r="B654">
            <v>6</v>
          </cell>
          <cell r="C654" t="str">
            <v>S</v>
          </cell>
          <cell r="D654">
            <v>2</v>
          </cell>
          <cell r="E654">
            <v>2.2000000000000002</v>
          </cell>
          <cell r="F654">
            <v>2.5</v>
          </cell>
          <cell r="G654">
            <v>3.2</v>
          </cell>
          <cell r="H654">
            <v>4</v>
          </cell>
          <cell r="I654">
            <v>4.8</v>
          </cell>
          <cell r="J654">
            <v>5.5</v>
          </cell>
          <cell r="K654">
            <v>6.2</v>
          </cell>
          <cell r="L654">
            <v>7</v>
          </cell>
          <cell r="M654">
            <v>7.8</v>
          </cell>
          <cell r="N654">
            <v>8.5</v>
          </cell>
          <cell r="O654">
            <v>9</v>
          </cell>
          <cell r="P654">
            <v>10</v>
          </cell>
        </row>
        <row r="655">
          <cell r="A655">
            <v>39630</v>
          </cell>
          <cell r="B655">
            <v>7</v>
          </cell>
          <cell r="C655" t="str">
            <v>S</v>
          </cell>
          <cell r="D655">
            <v>1</v>
          </cell>
          <cell r="E655">
            <v>1.2</v>
          </cell>
          <cell r="F655">
            <v>1.5</v>
          </cell>
          <cell r="G655">
            <v>1.8</v>
          </cell>
          <cell r="H655">
            <v>2</v>
          </cell>
          <cell r="I655">
            <v>2.8</v>
          </cell>
          <cell r="J655">
            <v>3.5</v>
          </cell>
          <cell r="K655">
            <v>4.2</v>
          </cell>
          <cell r="L655">
            <v>5</v>
          </cell>
          <cell r="M655">
            <v>5.8</v>
          </cell>
          <cell r="N655">
            <v>6.5</v>
          </cell>
          <cell r="O655">
            <v>7</v>
          </cell>
          <cell r="P655">
            <v>8</v>
          </cell>
        </row>
        <row r="656">
          <cell r="A656">
            <v>39631</v>
          </cell>
          <cell r="B656">
            <v>7</v>
          </cell>
          <cell r="C656" t="str">
            <v>S</v>
          </cell>
          <cell r="D656">
            <v>2</v>
          </cell>
          <cell r="E656">
            <v>2.2000000000000002</v>
          </cell>
          <cell r="F656">
            <v>2.5</v>
          </cell>
          <cell r="G656">
            <v>2.8</v>
          </cell>
          <cell r="H656">
            <v>3</v>
          </cell>
          <cell r="I656">
            <v>3.2</v>
          </cell>
          <cell r="J656">
            <v>3.5</v>
          </cell>
          <cell r="K656">
            <v>3.8</v>
          </cell>
          <cell r="L656">
            <v>4.5</v>
          </cell>
          <cell r="M656">
            <v>5.2</v>
          </cell>
          <cell r="N656">
            <v>6</v>
          </cell>
          <cell r="O656">
            <v>6.8</v>
          </cell>
          <cell r="P656">
            <v>7.5</v>
          </cell>
        </row>
        <row r="657">
          <cell r="A657">
            <v>39632</v>
          </cell>
          <cell r="B657">
            <v>7</v>
          </cell>
          <cell r="C657" t="str">
            <v>S</v>
          </cell>
          <cell r="D657">
            <v>1</v>
          </cell>
          <cell r="E657">
            <v>1.2</v>
          </cell>
          <cell r="F657">
            <v>1.5</v>
          </cell>
          <cell r="G657">
            <v>1.8</v>
          </cell>
          <cell r="H657">
            <v>2</v>
          </cell>
          <cell r="I657">
            <v>2.2000000000000002</v>
          </cell>
          <cell r="J657">
            <v>2.5</v>
          </cell>
          <cell r="K657">
            <v>2.8</v>
          </cell>
          <cell r="L657">
            <v>3</v>
          </cell>
          <cell r="M657">
            <v>3.2</v>
          </cell>
          <cell r="N657">
            <v>3.5</v>
          </cell>
          <cell r="O657">
            <v>3.8</v>
          </cell>
          <cell r="P657">
            <v>4</v>
          </cell>
        </row>
        <row r="658">
          <cell r="A658">
            <v>39633</v>
          </cell>
          <cell r="B658">
            <v>7</v>
          </cell>
          <cell r="C658" t="str">
            <v>S</v>
          </cell>
          <cell r="D658">
            <v>0</v>
          </cell>
          <cell r="E658">
            <v>0</v>
          </cell>
          <cell r="F658">
            <v>0</v>
          </cell>
          <cell r="G658">
            <v>0</v>
          </cell>
          <cell r="H658">
            <v>0</v>
          </cell>
          <cell r="I658">
            <v>0</v>
          </cell>
          <cell r="J658">
            <v>0</v>
          </cell>
          <cell r="K658">
            <v>0</v>
          </cell>
          <cell r="L658">
            <v>0</v>
          </cell>
          <cell r="M658">
            <v>0</v>
          </cell>
          <cell r="N658">
            <v>0</v>
          </cell>
          <cell r="O658">
            <v>0.2</v>
          </cell>
          <cell r="P658">
            <v>0.5</v>
          </cell>
        </row>
        <row r="659">
          <cell r="A659">
            <v>39634</v>
          </cell>
          <cell r="B659">
            <v>7</v>
          </cell>
          <cell r="C659" t="str">
            <v>S</v>
          </cell>
          <cell r="D659">
            <v>0</v>
          </cell>
          <cell r="E659">
            <v>0</v>
          </cell>
          <cell r="F659">
            <v>0</v>
          </cell>
          <cell r="G659">
            <v>0</v>
          </cell>
          <cell r="H659">
            <v>0</v>
          </cell>
          <cell r="I659">
            <v>0</v>
          </cell>
          <cell r="J659">
            <v>0</v>
          </cell>
          <cell r="K659">
            <v>0</v>
          </cell>
          <cell r="L659">
            <v>0</v>
          </cell>
          <cell r="M659">
            <v>0</v>
          </cell>
          <cell r="N659">
            <v>0.2</v>
          </cell>
          <cell r="O659">
            <v>0.5</v>
          </cell>
          <cell r="P659">
            <v>0.8</v>
          </cell>
        </row>
        <row r="660">
          <cell r="A660">
            <v>39635</v>
          </cell>
          <cell r="B660">
            <v>7</v>
          </cell>
          <cell r="C660" t="str">
            <v>S</v>
          </cell>
          <cell r="D660">
            <v>0</v>
          </cell>
          <cell r="E660">
            <v>0</v>
          </cell>
          <cell r="F660">
            <v>0</v>
          </cell>
          <cell r="G660">
            <v>0</v>
          </cell>
          <cell r="H660">
            <v>0</v>
          </cell>
          <cell r="I660">
            <v>0</v>
          </cell>
          <cell r="J660">
            <v>0</v>
          </cell>
          <cell r="K660">
            <v>0</v>
          </cell>
          <cell r="L660">
            <v>0.2</v>
          </cell>
          <cell r="M660">
            <v>0.5</v>
          </cell>
          <cell r="N660">
            <v>0.8</v>
          </cell>
          <cell r="O660">
            <v>1</v>
          </cell>
          <cell r="P660">
            <v>1.2</v>
          </cell>
        </row>
        <row r="661">
          <cell r="A661">
            <v>39636</v>
          </cell>
          <cell r="B661">
            <v>7</v>
          </cell>
          <cell r="C661" t="str">
            <v>S</v>
          </cell>
          <cell r="D661">
            <v>0.2</v>
          </cell>
          <cell r="E661">
            <v>0.5</v>
          </cell>
          <cell r="F661">
            <v>0.8</v>
          </cell>
          <cell r="G661">
            <v>1</v>
          </cell>
          <cell r="H661">
            <v>1.2</v>
          </cell>
          <cell r="I661">
            <v>1.5</v>
          </cell>
          <cell r="J661">
            <v>1.8</v>
          </cell>
          <cell r="K661">
            <v>2</v>
          </cell>
          <cell r="L661">
            <v>2.2000000000000002</v>
          </cell>
          <cell r="M661">
            <v>2.5</v>
          </cell>
          <cell r="N661">
            <v>2.8</v>
          </cell>
          <cell r="O661">
            <v>3</v>
          </cell>
          <cell r="P661">
            <v>3.2</v>
          </cell>
        </row>
        <row r="662">
          <cell r="A662">
            <v>39637</v>
          </cell>
          <cell r="B662">
            <v>7</v>
          </cell>
          <cell r="C662" t="str">
            <v>S</v>
          </cell>
          <cell r="D662">
            <v>0</v>
          </cell>
          <cell r="E662">
            <v>0</v>
          </cell>
          <cell r="F662">
            <v>0</v>
          </cell>
          <cell r="G662">
            <v>0.2</v>
          </cell>
          <cell r="H662">
            <v>0.5</v>
          </cell>
          <cell r="I662">
            <v>0.8</v>
          </cell>
          <cell r="J662">
            <v>1</v>
          </cell>
          <cell r="K662">
            <v>1.2</v>
          </cell>
          <cell r="L662">
            <v>2</v>
          </cell>
          <cell r="M662">
            <v>2.8</v>
          </cell>
          <cell r="N662">
            <v>3.5</v>
          </cell>
          <cell r="O662">
            <v>4.2</v>
          </cell>
          <cell r="P662">
            <v>5</v>
          </cell>
        </row>
        <row r="663">
          <cell r="A663">
            <v>39638</v>
          </cell>
          <cell r="B663">
            <v>7</v>
          </cell>
          <cell r="C663" t="str">
            <v>S</v>
          </cell>
          <cell r="D663">
            <v>0</v>
          </cell>
          <cell r="E663">
            <v>0</v>
          </cell>
          <cell r="F663">
            <v>0</v>
          </cell>
          <cell r="G663">
            <v>0.2</v>
          </cell>
          <cell r="H663">
            <v>0.5</v>
          </cell>
          <cell r="I663">
            <v>0.8</v>
          </cell>
          <cell r="J663">
            <v>1</v>
          </cell>
          <cell r="K663">
            <v>1.2</v>
          </cell>
          <cell r="L663">
            <v>1.5</v>
          </cell>
          <cell r="M663">
            <v>1.8</v>
          </cell>
          <cell r="N663">
            <v>2</v>
          </cell>
          <cell r="O663">
            <v>2.2000000000000002</v>
          </cell>
          <cell r="P663">
            <v>2.5</v>
          </cell>
        </row>
        <row r="664">
          <cell r="A664">
            <v>39639</v>
          </cell>
          <cell r="B664">
            <v>7</v>
          </cell>
          <cell r="C664" t="str">
            <v>S</v>
          </cell>
          <cell r="D664">
            <v>0</v>
          </cell>
          <cell r="E664">
            <v>0</v>
          </cell>
          <cell r="F664">
            <v>0.2</v>
          </cell>
          <cell r="G664">
            <v>0.5</v>
          </cell>
          <cell r="H664">
            <v>0.8</v>
          </cell>
          <cell r="I664">
            <v>1</v>
          </cell>
          <cell r="J664">
            <v>1.2</v>
          </cell>
          <cell r="K664">
            <v>1.5</v>
          </cell>
          <cell r="L664">
            <v>1.8</v>
          </cell>
          <cell r="M664">
            <v>2</v>
          </cell>
          <cell r="N664">
            <v>2.2000000000000002</v>
          </cell>
          <cell r="O664">
            <v>2.5</v>
          </cell>
          <cell r="P664">
            <v>3.2</v>
          </cell>
        </row>
        <row r="665">
          <cell r="A665">
            <v>39640</v>
          </cell>
          <cell r="B665">
            <v>7</v>
          </cell>
          <cell r="C665" t="str">
            <v>S</v>
          </cell>
          <cell r="D665">
            <v>0</v>
          </cell>
          <cell r="E665">
            <v>0</v>
          </cell>
          <cell r="F665">
            <v>0</v>
          </cell>
          <cell r="G665">
            <v>0</v>
          </cell>
          <cell r="H665">
            <v>0</v>
          </cell>
          <cell r="I665">
            <v>0.2</v>
          </cell>
          <cell r="J665">
            <v>0.5</v>
          </cell>
          <cell r="K665">
            <v>0.8</v>
          </cell>
          <cell r="L665">
            <v>1</v>
          </cell>
          <cell r="M665">
            <v>1.2</v>
          </cell>
          <cell r="N665">
            <v>1.5</v>
          </cell>
          <cell r="O665">
            <v>1.8</v>
          </cell>
          <cell r="P665">
            <v>2.5</v>
          </cell>
        </row>
        <row r="666">
          <cell r="A666">
            <v>39641</v>
          </cell>
          <cell r="B666">
            <v>7</v>
          </cell>
          <cell r="C666" t="str">
            <v>S</v>
          </cell>
          <cell r="D666">
            <v>0</v>
          </cell>
          <cell r="E666">
            <v>0</v>
          </cell>
          <cell r="F666">
            <v>0</v>
          </cell>
          <cell r="G666">
            <v>0</v>
          </cell>
          <cell r="H666">
            <v>0</v>
          </cell>
          <cell r="I666">
            <v>0.2</v>
          </cell>
          <cell r="J666">
            <v>0.5</v>
          </cell>
          <cell r="K666">
            <v>0.8</v>
          </cell>
          <cell r="L666">
            <v>1</v>
          </cell>
          <cell r="M666">
            <v>1.2</v>
          </cell>
          <cell r="N666">
            <v>1.5</v>
          </cell>
          <cell r="O666">
            <v>1.8</v>
          </cell>
          <cell r="P666">
            <v>2</v>
          </cell>
        </row>
        <row r="667">
          <cell r="A667">
            <v>39642</v>
          </cell>
          <cell r="B667">
            <v>7</v>
          </cell>
          <cell r="C667" t="str">
            <v>S</v>
          </cell>
          <cell r="D667">
            <v>0</v>
          </cell>
          <cell r="E667">
            <v>0.2</v>
          </cell>
          <cell r="F667">
            <v>0.5</v>
          </cell>
          <cell r="G667">
            <v>0.8</v>
          </cell>
          <cell r="H667">
            <v>1</v>
          </cell>
          <cell r="I667">
            <v>1.2</v>
          </cell>
          <cell r="J667">
            <v>1.5</v>
          </cell>
          <cell r="K667">
            <v>2.2000000000000002</v>
          </cell>
          <cell r="L667">
            <v>3</v>
          </cell>
          <cell r="M667">
            <v>3.8</v>
          </cell>
          <cell r="N667">
            <v>4.5</v>
          </cell>
          <cell r="O667">
            <v>5.2</v>
          </cell>
          <cell r="P667">
            <v>6</v>
          </cell>
        </row>
        <row r="668">
          <cell r="A668">
            <v>39643</v>
          </cell>
          <cell r="B668">
            <v>7</v>
          </cell>
          <cell r="C668" t="str">
            <v>S</v>
          </cell>
          <cell r="D668">
            <v>1.2</v>
          </cell>
          <cell r="E668">
            <v>1.5</v>
          </cell>
          <cell r="F668">
            <v>1.8</v>
          </cell>
          <cell r="G668">
            <v>2</v>
          </cell>
          <cell r="H668">
            <v>2.2000000000000002</v>
          </cell>
          <cell r="I668">
            <v>3</v>
          </cell>
          <cell r="J668">
            <v>3.8</v>
          </cell>
          <cell r="K668">
            <v>4.5</v>
          </cell>
          <cell r="L668">
            <v>5.2</v>
          </cell>
          <cell r="M668">
            <v>6</v>
          </cell>
          <cell r="N668">
            <v>6.8</v>
          </cell>
          <cell r="O668">
            <v>7.5</v>
          </cell>
          <cell r="P668">
            <v>8.1999999999999993</v>
          </cell>
        </row>
        <row r="669">
          <cell r="A669">
            <v>39644</v>
          </cell>
          <cell r="B669">
            <v>7</v>
          </cell>
          <cell r="C669" t="str">
            <v>S</v>
          </cell>
          <cell r="D669">
            <v>2</v>
          </cell>
          <cell r="E669">
            <v>2.2000000000000002</v>
          </cell>
          <cell r="F669">
            <v>2.5</v>
          </cell>
          <cell r="G669">
            <v>2.8</v>
          </cell>
          <cell r="H669">
            <v>3</v>
          </cell>
          <cell r="I669">
            <v>3.2</v>
          </cell>
          <cell r="J669">
            <v>3.5</v>
          </cell>
          <cell r="K669">
            <v>4.2</v>
          </cell>
          <cell r="L669">
            <v>5</v>
          </cell>
          <cell r="M669">
            <v>5.8</v>
          </cell>
          <cell r="N669">
            <v>6.5</v>
          </cell>
          <cell r="O669">
            <v>7.2</v>
          </cell>
          <cell r="P669">
            <v>8</v>
          </cell>
        </row>
        <row r="670">
          <cell r="A670">
            <v>39645</v>
          </cell>
          <cell r="B670">
            <v>7</v>
          </cell>
          <cell r="C670" t="str">
            <v>S</v>
          </cell>
          <cell r="D670">
            <v>0</v>
          </cell>
          <cell r="E670">
            <v>0</v>
          </cell>
          <cell r="F670">
            <v>0.2</v>
          </cell>
          <cell r="G670">
            <v>0.5</v>
          </cell>
          <cell r="H670">
            <v>0.8</v>
          </cell>
          <cell r="I670">
            <v>1</v>
          </cell>
          <cell r="J670">
            <v>1.2</v>
          </cell>
          <cell r="K670">
            <v>1.5</v>
          </cell>
          <cell r="L670">
            <v>1.8</v>
          </cell>
          <cell r="M670">
            <v>2</v>
          </cell>
          <cell r="N670">
            <v>2.2000000000000002</v>
          </cell>
          <cell r="O670">
            <v>2.5</v>
          </cell>
          <cell r="P670">
            <v>2.8</v>
          </cell>
        </row>
        <row r="671">
          <cell r="A671">
            <v>39646</v>
          </cell>
          <cell r="B671">
            <v>7</v>
          </cell>
          <cell r="C671" t="str">
            <v>S</v>
          </cell>
          <cell r="D671">
            <v>0</v>
          </cell>
          <cell r="E671">
            <v>0.2</v>
          </cell>
          <cell r="F671">
            <v>0.5</v>
          </cell>
          <cell r="G671">
            <v>0.8</v>
          </cell>
          <cell r="H671">
            <v>1</v>
          </cell>
          <cell r="I671">
            <v>1.2</v>
          </cell>
          <cell r="J671">
            <v>1.5</v>
          </cell>
          <cell r="K671">
            <v>1.8</v>
          </cell>
          <cell r="L671">
            <v>2.5</v>
          </cell>
          <cell r="M671">
            <v>3.2</v>
          </cell>
          <cell r="N671">
            <v>4</v>
          </cell>
          <cell r="O671">
            <v>4.8</v>
          </cell>
          <cell r="P671">
            <v>5.5</v>
          </cell>
        </row>
        <row r="672">
          <cell r="A672">
            <v>39647</v>
          </cell>
          <cell r="B672">
            <v>7</v>
          </cell>
          <cell r="C672" t="str">
            <v>S</v>
          </cell>
          <cell r="D672">
            <v>1.2</v>
          </cell>
          <cell r="E672">
            <v>2</v>
          </cell>
          <cell r="F672">
            <v>2.8</v>
          </cell>
          <cell r="G672">
            <v>3.5</v>
          </cell>
          <cell r="H672">
            <v>4</v>
          </cell>
          <cell r="I672">
            <v>5</v>
          </cell>
          <cell r="J672">
            <v>6</v>
          </cell>
          <cell r="K672">
            <v>7</v>
          </cell>
          <cell r="L672">
            <v>8</v>
          </cell>
          <cell r="M672">
            <v>9</v>
          </cell>
          <cell r="N672">
            <v>10</v>
          </cell>
          <cell r="O672">
            <v>11</v>
          </cell>
          <cell r="P672">
            <v>12</v>
          </cell>
        </row>
        <row r="673">
          <cell r="A673">
            <v>39648</v>
          </cell>
          <cell r="B673">
            <v>7</v>
          </cell>
          <cell r="C673" t="str">
            <v>S</v>
          </cell>
          <cell r="D673">
            <v>1.5</v>
          </cell>
          <cell r="E673">
            <v>1.8</v>
          </cell>
          <cell r="F673">
            <v>2</v>
          </cell>
          <cell r="G673">
            <v>2.8</v>
          </cell>
          <cell r="H673">
            <v>3.5</v>
          </cell>
          <cell r="I673">
            <v>4.2</v>
          </cell>
          <cell r="J673">
            <v>5</v>
          </cell>
          <cell r="K673">
            <v>5.8</v>
          </cell>
          <cell r="L673">
            <v>6.5</v>
          </cell>
          <cell r="M673">
            <v>7</v>
          </cell>
          <cell r="N673">
            <v>8</v>
          </cell>
          <cell r="O673">
            <v>9</v>
          </cell>
          <cell r="P673">
            <v>10</v>
          </cell>
        </row>
        <row r="674">
          <cell r="A674">
            <v>39649</v>
          </cell>
          <cell r="B674">
            <v>7</v>
          </cell>
          <cell r="C674" t="str">
            <v>S</v>
          </cell>
          <cell r="D674">
            <v>0.5</v>
          </cell>
          <cell r="E674">
            <v>0.8</v>
          </cell>
          <cell r="F674">
            <v>1</v>
          </cell>
          <cell r="G674">
            <v>1.2</v>
          </cell>
          <cell r="H674">
            <v>1.5</v>
          </cell>
          <cell r="I674">
            <v>2.2000000000000002</v>
          </cell>
          <cell r="J674">
            <v>3</v>
          </cell>
          <cell r="K674">
            <v>3.8</v>
          </cell>
          <cell r="L674">
            <v>4.5</v>
          </cell>
          <cell r="M674">
            <v>5</v>
          </cell>
          <cell r="N674">
            <v>6</v>
          </cell>
          <cell r="O674">
            <v>7</v>
          </cell>
          <cell r="P674">
            <v>8</v>
          </cell>
        </row>
        <row r="675">
          <cell r="A675">
            <v>39650</v>
          </cell>
          <cell r="B675">
            <v>7</v>
          </cell>
          <cell r="C675" t="str">
            <v>S</v>
          </cell>
          <cell r="D675">
            <v>1.2</v>
          </cell>
          <cell r="E675">
            <v>1.5</v>
          </cell>
          <cell r="F675">
            <v>2.2000000000000002</v>
          </cell>
          <cell r="G675">
            <v>3</v>
          </cell>
          <cell r="H675">
            <v>3.8</v>
          </cell>
          <cell r="I675">
            <v>4.5</v>
          </cell>
          <cell r="J675">
            <v>5.2</v>
          </cell>
          <cell r="K675">
            <v>6</v>
          </cell>
          <cell r="L675">
            <v>7</v>
          </cell>
          <cell r="M675">
            <v>8</v>
          </cell>
          <cell r="N675">
            <v>9</v>
          </cell>
          <cell r="O675">
            <v>10</v>
          </cell>
          <cell r="P675">
            <v>11</v>
          </cell>
        </row>
        <row r="676">
          <cell r="A676">
            <v>39651</v>
          </cell>
          <cell r="B676">
            <v>7</v>
          </cell>
          <cell r="C676" t="str">
            <v>S</v>
          </cell>
          <cell r="D676">
            <v>3.5</v>
          </cell>
          <cell r="E676">
            <v>4.2</v>
          </cell>
          <cell r="F676">
            <v>5</v>
          </cell>
          <cell r="G676">
            <v>5.8</v>
          </cell>
          <cell r="H676">
            <v>6.5</v>
          </cell>
          <cell r="I676">
            <v>7.2</v>
          </cell>
          <cell r="J676">
            <v>8</v>
          </cell>
          <cell r="K676">
            <v>9</v>
          </cell>
          <cell r="L676">
            <v>10</v>
          </cell>
          <cell r="M676">
            <v>11</v>
          </cell>
          <cell r="N676">
            <v>12</v>
          </cell>
          <cell r="O676">
            <v>13</v>
          </cell>
          <cell r="P676">
            <v>14</v>
          </cell>
        </row>
        <row r="677">
          <cell r="A677">
            <v>39652</v>
          </cell>
          <cell r="B677">
            <v>7</v>
          </cell>
          <cell r="C677" t="str">
            <v>S</v>
          </cell>
          <cell r="D677">
            <v>2.8</v>
          </cell>
          <cell r="E677">
            <v>3.5</v>
          </cell>
          <cell r="F677">
            <v>4.2</v>
          </cell>
          <cell r="G677">
            <v>5</v>
          </cell>
          <cell r="H677">
            <v>5.8</v>
          </cell>
          <cell r="I677">
            <v>6.5</v>
          </cell>
          <cell r="J677">
            <v>7.2</v>
          </cell>
          <cell r="K677">
            <v>8</v>
          </cell>
          <cell r="L677">
            <v>9</v>
          </cell>
          <cell r="M677">
            <v>10</v>
          </cell>
          <cell r="N677">
            <v>11</v>
          </cell>
          <cell r="O677">
            <v>12</v>
          </cell>
          <cell r="P677">
            <v>13</v>
          </cell>
        </row>
        <row r="678">
          <cell r="A678">
            <v>39653</v>
          </cell>
          <cell r="B678">
            <v>7</v>
          </cell>
          <cell r="C678" t="str">
            <v>S</v>
          </cell>
          <cell r="D678">
            <v>2.5</v>
          </cell>
          <cell r="E678">
            <v>2.8</v>
          </cell>
          <cell r="F678">
            <v>3</v>
          </cell>
          <cell r="G678">
            <v>3.2</v>
          </cell>
          <cell r="H678">
            <v>3.5</v>
          </cell>
          <cell r="I678">
            <v>4.2</v>
          </cell>
          <cell r="J678">
            <v>5</v>
          </cell>
          <cell r="K678">
            <v>5.8</v>
          </cell>
          <cell r="L678">
            <v>6.5</v>
          </cell>
          <cell r="M678">
            <v>7.2</v>
          </cell>
          <cell r="N678">
            <v>8</v>
          </cell>
          <cell r="O678">
            <v>8.8000000000000007</v>
          </cell>
          <cell r="P678">
            <v>9.5</v>
          </cell>
        </row>
        <row r="679">
          <cell r="A679">
            <v>39654</v>
          </cell>
          <cell r="B679">
            <v>7</v>
          </cell>
          <cell r="C679" t="str">
            <v>S</v>
          </cell>
          <cell r="D679">
            <v>0.8</v>
          </cell>
          <cell r="E679">
            <v>1</v>
          </cell>
          <cell r="F679">
            <v>1.2</v>
          </cell>
          <cell r="G679">
            <v>1.5</v>
          </cell>
          <cell r="H679">
            <v>1.8</v>
          </cell>
          <cell r="I679">
            <v>2</v>
          </cell>
          <cell r="J679">
            <v>2.2000000000000002</v>
          </cell>
          <cell r="K679">
            <v>2.5</v>
          </cell>
          <cell r="L679">
            <v>2.8</v>
          </cell>
          <cell r="M679">
            <v>3.5</v>
          </cell>
          <cell r="N679">
            <v>4.2</v>
          </cell>
          <cell r="O679">
            <v>5</v>
          </cell>
          <cell r="P679">
            <v>5.8</v>
          </cell>
        </row>
        <row r="680">
          <cell r="A680">
            <v>39655</v>
          </cell>
          <cell r="B680">
            <v>7</v>
          </cell>
          <cell r="C680" t="str">
            <v>S</v>
          </cell>
          <cell r="D680">
            <v>0</v>
          </cell>
          <cell r="E680">
            <v>0</v>
          </cell>
          <cell r="F680">
            <v>0.2</v>
          </cell>
          <cell r="G680">
            <v>0.5</v>
          </cell>
          <cell r="H680">
            <v>0.8</v>
          </cell>
          <cell r="I680">
            <v>1</v>
          </cell>
          <cell r="J680">
            <v>1.2</v>
          </cell>
          <cell r="K680">
            <v>1.5</v>
          </cell>
          <cell r="L680">
            <v>1.8</v>
          </cell>
          <cell r="M680">
            <v>2.5</v>
          </cell>
          <cell r="N680">
            <v>3.2</v>
          </cell>
          <cell r="O680">
            <v>4</v>
          </cell>
          <cell r="P680">
            <v>4.8</v>
          </cell>
        </row>
        <row r="681">
          <cell r="A681">
            <v>39656</v>
          </cell>
          <cell r="B681">
            <v>7</v>
          </cell>
          <cell r="C681" t="str">
            <v>S</v>
          </cell>
          <cell r="D681">
            <v>0.5</v>
          </cell>
          <cell r="E681">
            <v>0.8</v>
          </cell>
          <cell r="F681">
            <v>1.5</v>
          </cell>
          <cell r="G681">
            <v>2.2000000000000002</v>
          </cell>
          <cell r="H681">
            <v>3</v>
          </cell>
          <cell r="I681">
            <v>4</v>
          </cell>
          <cell r="J681">
            <v>5</v>
          </cell>
          <cell r="K681">
            <v>6</v>
          </cell>
          <cell r="L681">
            <v>7</v>
          </cell>
          <cell r="M681">
            <v>8</v>
          </cell>
          <cell r="N681">
            <v>9</v>
          </cell>
          <cell r="O681">
            <v>10</v>
          </cell>
          <cell r="P681">
            <v>11</v>
          </cell>
        </row>
        <row r="682">
          <cell r="A682">
            <v>39657</v>
          </cell>
          <cell r="B682">
            <v>7</v>
          </cell>
          <cell r="C682" t="str">
            <v>S</v>
          </cell>
          <cell r="D682">
            <v>0.2</v>
          </cell>
          <cell r="E682">
            <v>0.5</v>
          </cell>
          <cell r="F682">
            <v>0.8</v>
          </cell>
          <cell r="G682">
            <v>1</v>
          </cell>
          <cell r="H682">
            <v>1.2</v>
          </cell>
          <cell r="I682">
            <v>1.5</v>
          </cell>
          <cell r="J682">
            <v>1.8</v>
          </cell>
          <cell r="K682">
            <v>2</v>
          </cell>
          <cell r="L682">
            <v>2.8</v>
          </cell>
          <cell r="M682">
            <v>3.5</v>
          </cell>
          <cell r="N682">
            <v>4.2</v>
          </cell>
          <cell r="O682">
            <v>5</v>
          </cell>
          <cell r="P682">
            <v>5.8</v>
          </cell>
        </row>
        <row r="683">
          <cell r="A683">
            <v>39658</v>
          </cell>
          <cell r="B683">
            <v>7</v>
          </cell>
          <cell r="C683" t="str">
            <v>S</v>
          </cell>
          <cell r="D683">
            <v>0.8</v>
          </cell>
          <cell r="E683">
            <v>1</v>
          </cell>
          <cell r="F683">
            <v>1.2</v>
          </cell>
          <cell r="G683">
            <v>1.5</v>
          </cell>
          <cell r="H683">
            <v>2.2000000000000002</v>
          </cell>
          <cell r="I683">
            <v>3</v>
          </cell>
          <cell r="J683">
            <v>3.8</v>
          </cell>
          <cell r="K683">
            <v>4.5</v>
          </cell>
          <cell r="L683">
            <v>5.2</v>
          </cell>
          <cell r="M683">
            <v>6</v>
          </cell>
          <cell r="N683">
            <v>7</v>
          </cell>
          <cell r="O683">
            <v>8</v>
          </cell>
          <cell r="P683">
            <v>9</v>
          </cell>
        </row>
        <row r="684">
          <cell r="A684">
            <v>39659</v>
          </cell>
          <cell r="B684">
            <v>7</v>
          </cell>
          <cell r="C684" t="str">
            <v>S</v>
          </cell>
          <cell r="D684">
            <v>1</v>
          </cell>
          <cell r="E684">
            <v>1.2</v>
          </cell>
          <cell r="F684">
            <v>2</v>
          </cell>
          <cell r="G684">
            <v>2.8</v>
          </cell>
          <cell r="H684">
            <v>3.5</v>
          </cell>
          <cell r="I684">
            <v>4</v>
          </cell>
          <cell r="J684">
            <v>5</v>
          </cell>
          <cell r="K684">
            <v>6</v>
          </cell>
          <cell r="L684">
            <v>7</v>
          </cell>
          <cell r="M684">
            <v>8</v>
          </cell>
          <cell r="N684">
            <v>9</v>
          </cell>
          <cell r="O684">
            <v>10</v>
          </cell>
          <cell r="P684">
            <v>11</v>
          </cell>
        </row>
        <row r="685">
          <cell r="A685">
            <v>39660</v>
          </cell>
          <cell r="B685">
            <v>7</v>
          </cell>
          <cell r="C685" t="str">
            <v>S</v>
          </cell>
          <cell r="D685">
            <v>4</v>
          </cell>
          <cell r="E685">
            <v>5</v>
          </cell>
          <cell r="F685">
            <v>6</v>
          </cell>
          <cell r="G685">
            <v>7</v>
          </cell>
          <cell r="H685">
            <v>8</v>
          </cell>
          <cell r="I685">
            <v>9</v>
          </cell>
          <cell r="J685">
            <v>10</v>
          </cell>
          <cell r="K685">
            <v>11</v>
          </cell>
          <cell r="L685">
            <v>12</v>
          </cell>
          <cell r="M685">
            <v>13</v>
          </cell>
          <cell r="N685">
            <v>14</v>
          </cell>
          <cell r="O685">
            <v>15</v>
          </cell>
          <cell r="P685">
            <v>16</v>
          </cell>
        </row>
        <row r="686">
          <cell r="A686">
            <v>39661</v>
          </cell>
          <cell r="B686">
            <v>8</v>
          </cell>
          <cell r="C686" t="str">
            <v>S</v>
          </cell>
          <cell r="D686">
            <v>1.5</v>
          </cell>
          <cell r="E686">
            <v>1.8</v>
          </cell>
          <cell r="F686">
            <v>2.5</v>
          </cell>
          <cell r="G686">
            <v>3.2</v>
          </cell>
          <cell r="H686">
            <v>4</v>
          </cell>
          <cell r="I686">
            <v>4.8</v>
          </cell>
          <cell r="J686">
            <v>5.5</v>
          </cell>
          <cell r="K686">
            <v>6.2</v>
          </cell>
          <cell r="L686">
            <v>7</v>
          </cell>
          <cell r="M686">
            <v>8</v>
          </cell>
          <cell r="N686">
            <v>9</v>
          </cell>
          <cell r="O686">
            <v>10</v>
          </cell>
          <cell r="P686">
            <v>11</v>
          </cell>
        </row>
        <row r="687">
          <cell r="A687">
            <v>39662</v>
          </cell>
          <cell r="B687">
            <v>8</v>
          </cell>
          <cell r="C687" t="str">
            <v>S</v>
          </cell>
          <cell r="D687">
            <v>1.5</v>
          </cell>
          <cell r="E687">
            <v>2.2000000000000002</v>
          </cell>
          <cell r="F687">
            <v>3</v>
          </cell>
          <cell r="G687">
            <v>3.8</v>
          </cell>
          <cell r="H687">
            <v>4.5</v>
          </cell>
          <cell r="I687">
            <v>5.2</v>
          </cell>
          <cell r="J687">
            <v>6</v>
          </cell>
          <cell r="K687">
            <v>7</v>
          </cell>
          <cell r="L687">
            <v>8</v>
          </cell>
          <cell r="M687">
            <v>9</v>
          </cell>
          <cell r="N687">
            <v>10</v>
          </cell>
          <cell r="O687">
            <v>11</v>
          </cell>
          <cell r="P687">
            <v>12</v>
          </cell>
        </row>
        <row r="688">
          <cell r="A688">
            <v>39663</v>
          </cell>
          <cell r="B688">
            <v>8</v>
          </cell>
          <cell r="C688" t="str">
            <v>S</v>
          </cell>
          <cell r="D688">
            <v>5.2</v>
          </cell>
          <cell r="E688">
            <v>6</v>
          </cell>
          <cell r="F688">
            <v>7</v>
          </cell>
          <cell r="G688">
            <v>8</v>
          </cell>
          <cell r="H688">
            <v>9</v>
          </cell>
          <cell r="I688">
            <v>10</v>
          </cell>
          <cell r="J688">
            <v>11</v>
          </cell>
          <cell r="K688">
            <v>12</v>
          </cell>
          <cell r="L688">
            <v>13</v>
          </cell>
          <cell r="M688">
            <v>14</v>
          </cell>
          <cell r="N688">
            <v>15</v>
          </cell>
          <cell r="O688">
            <v>16</v>
          </cell>
          <cell r="P688">
            <v>17</v>
          </cell>
        </row>
        <row r="689">
          <cell r="A689">
            <v>39664</v>
          </cell>
          <cell r="B689">
            <v>8</v>
          </cell>
          <cell r="C689" t="str">
            <v>S</v>
          </cell>
          <cell r="D689">
            <v>3.5</v>
          </cell>
          <cell r="E689">
            <v>4</v>
          </cell>
          <cell r="F689">
            <v>5</v>
          </cell>
          <cell r="G689">
            <v>6</v>
          </cell>
          <cell r="H689">
            <v>7</v>
          </cell>
          <cell r="I689">
            <v>8</v>
          </cell>
          <cell r="J689">
            <v>9</v>
          </cell>
          <cell r="K689">
            <v>10</v>
          </cell>
          <cell r="L689">
            <v>11</v>
          </cell>
          <cell r="M689">
            <v>12</v>
          </cell>
          <cell r="N689">
            <v>13</v>
          </cell>
          <cell r="O689">
            <v>14</v>
          </cell>
          <cell r="P689">
            <v>15</v>
          </cell>
        </row>
        <row r="690">
          <cell r="A690">
            <v>39665</v>
          </cell>
          <cell r="B690">
            <v>8</v>
          </cell>
          <cell r="C690" t="str">
            <v>S</v>
          </cell>
          <cell r="D690">
            <v>3.2</v>
          </cell>
          <cell r="E690">
            <v>4</v>
          </cell>
          <cell r="F690">
            <v>4.8</v>
          </cell>
          <cell r="G690">
            <v>5.5</v>
          </cell>
          <cell r="H690">
            <v>6</v>
          </cell>
          <cell r="I690">
            <v>7</v>
          </cell>
          <cell r="J690">
            <v>8</v>
          </cell>
          <cell r="K690">
            <v>9</v>
          </cell>
          <cell r="L690">
            <v>10</v>
          </cell>
          <cell r="M690">
            <v>11</v>
          </cell>
          <cell r="N690">
            <v>12</v>
          </cell>
          <cell r="O690">
            <v>13</v>
          </cell>
          <cell r="P690">
            <v>14</v>
          </cell>
        </row>
        <row r="691">
          <cell r="A691">
            <v>39666</v>
          </cell>
          <cell r="B691">
            <v>8</v>
          </cell>
          <cell r="C691" t="str">
            <v>S</v>
          </cell>
          <cell r="D691">
            <v>4</v>
          </cell>
          <cell r="E691">
            <v>4.8</v>
          </cell>
          <cell r="F691">
            <v>5.5</v>
          </cell>
          <cell r="G691">
            <v>6.2</v>
          </cell>
          <cell r="H691">
            <v>7</v>
          </cell>
          <cell r="I691">
            <v>8</v>
          </cell>
          <cell r="J691">
            <v>9</v>
          </cell>
          <cell r="K691">
            <v>10</v>
          </cell>
          <cell r="L691">
            <v>11</v>
          </cell>
          <cell r="M691">
            <v>12</v>
          </cell>
          <cell r="N691">
            <v>13</v>
          </cell>
          <cell r="O691">
            <v>14</v>
          </cell>
          <cell r="P691">
            <v>15</v>
          </cell>
        </row>
        <row r="692">
          <cell r="A692">
            <v>39667</v>
          </cell>
          <cell r="B692">
            <v>8</v>
          </cell>
          <cell r="C692" t="str">
            <v>S</v>
          </cell>
          <cell r="D692">
            <v>3.5</v>
          </cell>
          <cell r="E692">
            <v>4.2</v>
          </cell>
          <cell r="F692">
            <v>5</v>
          </cell>
          <cell r="G692">
            <v>6</v>
          </cell>
          <cell r="H692">
            <v>7</v>
          </cell>
          <cell r="I692">
            <v>8</v>
          </cell>
          <cell r="J692">
            <v>9</v>
          </cell>
          <cell r="K692">
            <v>10</v>
          </cell>
          <cell r="L692">
            <v>11</v>
          </cell>
          <cell r="M692">
            <v>12</v>
          </cell>
          <cell r="N692">
            <v>13</v>
          </cell>
          <cell r="O692">
            <v>14</v>
          </cell>
          <cell r="P692">
            <v>15</v>
          </cell>
        </row>
        <row r="693">
          <cell r="A693">
            <v>39668</v>
          </cell>
          <cell r="B693">
            <v>8</v>
          </cell>
          <cell r="C693" t="str">
            <v>S</v>
          </cell>
          <cell r="D693">
            <v>2.5</v>
          </cell>
          <cell r="E693">
            <v>3</v>
          </cell>
          <cell r="F693">
            <v>4</v>
          </cell>
          <cell r="G693">
            <v>5</v>
          </cell>
          <cell r="H693">
            <v>6</v>
          </cell>
          <cell r="I693">
            <v>7</v>
          </cell>
          <cell r="J693">
            <v>8</v>
          </cell>
          <cell r="K693">
            <v>9</v>
          </cell>
          <cell r="L693">
            <v>10</v>
          </cell>
          <cell r="M693">
            <v>11</v>
          </cell>
          <cell r="N693">
            <v>12</v>
          </cell>
          <cell r="O693">
            <v>13</v>
          </cell>
          <cell r="P693">
            <v>14</v>
          </cell>
        </row>
        <row r="694">
          <cell r="A694">
            <v>39669</v>
          </cell>
          <cell r="B694">
            <v>8</v>
          </cell>
          <cell r="C694" t="str">
            <v>S</v>
          </cell>
          <cell r="D694">
            <v>4.5</v>
          </cell>
          <cell r="E694">
            <v>5</v>
          </cell>
          <cell r="F694">
            <v>6</v>
          </cell>
          <cell r="G694">
            <v>7</v>
          </cell>
          <cell r="H694">
            <v>8</v>
          </cell>
          <cell r="I694">
            <v>9</v>
          </cell>
          <cell r="J694">
            <v>10</v>
          </cell>
          <cell r="K694">
            <v>11</v>
          </cell>
          <cell r="L694">
            <v>12</v>
          </cell>
          <cell r="M694">
            <v>13</v>
          </cell>
          <cell r="N694">
            <v>14</v>
          </cell>
          <cell r="O694">
            <v>15</v>
          </cell>
          <cell r="P694">
            <v>16</v>
          </cell>
        </row>
        <row r="695">
          <cell r="A695">
            <v>39670</v>
          </cell>
          <cell r="B695">
            <v>8</v>
          </cell>
          <cell r="C695" t="str">
            <v>S</v>
          </cell>
          <cell r="D695">
            <v>3.5</v>
          </cell>
          <cell r="E695">
            <v>4.2</v>
          </cell>
          <cell r="F695">
            <v>5</v>
          </cell>
          <cell r="G695">
            <v>6</v>
          </cell>
          <cell r="H695">
            <v>7</v>
          </cell>
          <cell r="I695">
            <v>8</v>
          </cell>
          <cell r="J695">
            <v>9</v>
          </cell>
          <cell r="K695">
            <v>10</v>
          </cell>
          <cell r="L695">
            <v>11</v>
          </cell>
          <cell r="M695">
            <v>12</v>
          </cell>
          <cell r="N695">
            <v>13</v>
          </cell>
          <cell r="O695">
            <v>14</v>
          </cell>
          <cell r="P695">
            <v>15</v>
          </cell>
        </row>
        <row r="696">
          <cell r="A696">
            <v>39671</v>
          </cell>
          <cell r="B696">
            <v>8</v>
          </cell>
          <cell r="C696" t="str">
            <v>S</v>
          </cell>
          <cell r="D696">
            <v>2.2000000000000002</v>
          </cell>
          <cell r="E696">
            <v>3</v>
          </cell>
          <cell r="F696">
            <v>3.8</v>
          </cell>
          <cell r="G696">
            <v>4.5</v>
          </cell>
          <cell r="H696">
            <v>5.2</v>
          </cell>
          <cell r="I696">
            <v>6</v>
          </cell>
          <cell r="J696">
            <v>6.8</v>
          </cell>
          <cell r="K696">
            <v>7.5</v>
          </cell>
          <cell r="L696">
            <v>8.1999999999999993</v>
          </cell>
          <cell r="M696">
            <v>9</v>
          </cell>
          <cell r="N696">
            <v>10</v>
          </cell>
          <cell r="O696">
            <v>11</v>
          </cell>
          <cell r="P696">
            <v>12</v>
          </cell>
        </row>
        <row r="697">
          <cell r="A697">
            <v>39672</v>
          </cell>
          <cell r="B697">
            <v>8</v>
          </cell>
          <cell r="C697" t="str">
            <v>S</v>
          </cell>
          <cell r="D697">
            <v>3.2</v>
          </cell>
          <cell r="E697">
            <v>3.5</v>
          </cell>
          <cell r="F697">
            <v>3.8</v>
          </cell>
          <cell r="G697">
            <v>4</v>
          </cell>
          <cell r="H697">
            <v>4.8</v>
          </cell>
          <cell r="I697">
            <v>5.5</v>
          </cell>
          <cell r="J697">
            <v>6.2</v>
          </cell>
          <cell r="K697">
            <v>7</v>
          </cell>
          <cell r="L697">
            <v>7.8</v>
          </cell>
          <cell r="M697">
            <v>8.5</v>
          </cell>
          <cell r="N697">
            <v>9.1999999999999993</v>
          </cell>
          <cell r="O697">
            <v>10</v>
          </cell>
          <cell r="P697">
            <v>10.8</v>
          </cell>
        </row>
        <row r="698">
          <cell r="A698">
            <v>39673</v>
          </cell>
          <cell r="B698">
            <v>8</v>
          </cell>
          <cell r="C698" t="str">
            <v>S</v>
          </cell>
          <cell r="D698">
            <v>0</v>
          </cell>
          <cell r="E698">
            <v>0</v>
          </cell>
          <cell r="F698">
            <v>0.2</v>
          </cell>
          <cell r="G698">
            <v>0.5</v>
          </cell>
          <cell r="H698">
            <v>0.8</v>
          </cell>
          <cell r="I698">
            <v>1</v>
          </cell>
          <cell r="J698">
            <v>1.2</v>
          </cell>
          <cell r="K698">
            <v>1.5</v>
          </cell>
          <cell r="L698">
            <v>1.8</v>
          </cell>
          <cell r="M698">
            <v>2</v>
          </cell>
          <cell r="N698">
            <v>2.2000000000000002</v>
          </cell>
          <cell r="O698">
            <v>3</v>
          </cell>
          <cell r="P698">
            <v>3.8</v>
          </cell>
        </row>
        <row r="699">
          <cell r="A699">
            <v>39674</v>
          </cell>
          <cell r="B699">
            <v>8</v>
          </cell>
          <cell r="C699" t="str">
            <v>S</v>
          </cell>
          <cell r="D699">
            <v>0.2</v>
          </cell>
          <cell r="E699">
            <v>0.5</v>
          </cell>
          <cell r="F699">
            <v>0.8</v>
          </cell>
          <cell r="G699">
            <v>1</v>
          </cell>
          <cell r="H699">
            <v>1.2</v>
          </cell>
          <cell r="I699">
            <v>1.5</v>
          </cell>
          <cell r="J699">
            <v>1.8</v>
          </cell>
          <cell r="K699">
            <v>2</v>
          </cell>
          <cell r="L699">
            <v>2.2000000000000002</v>
          </cell>
          <cell r="M699">
            <v>2.5</v>
          </cell>
          <cell r="N699">
            <v>2.8</v>
          </cell>
          <cell r="O699">
            <v>3</v>
          </cell>
          <cell r="P699">
            <v>3.8</v>
          </cell>
        </row>
        <row r="700">
          <cell r="A700">
            <v>39675</v>
          </cell>
          <cell r="B700">
            <v>8</v>
          </cell>
          <cell r="C700" t="str">
            <v>S</v>
          </cell>
          <cell r="D700">
            <v>0.2</v>
          </cell>
          <cell r="E700">
            <v>0.5</v>
          </cell>
          <cell r="F700">
            <v>0.8</v>
          </cell>
          <cell r="G700">
            <v>1</v>
          </cell>
          <cell r="H700">
            <v>1.2</v>
          </cell>
          <cell r="I700">
            <v>1.5</v>
          </cell>
          <cell r="J700">
            <v>1.8</v>
          </cell>
          <cell r="K700">
            <v>2</v>
          </cell>
          <cell r="L700">
            <v>2.2000000000000002</v>
          </cell>
          <cell r="M700">
            <v>2.5</v>
          </cell>
          <cell r="N700">
            <v>3.2</v>
          </cell>
          <cell r="O700">
            <v>4</v>
          </cell>
          <cell r="P700">
            <v>4.8</v>
          </cell>
        </row>
        <row r="701">
          <cell r="A701">
            <v>39676</v>
          </cell>
          <cell r="B701">
            <v>8</v>
          </cell>
          <cell r="C701" t="str">
            <v>S</v>
          </cell>
          <cell r="D701">
            <v>0.5</v>
          </cell>
          <cell r="E701">
            <v>0.8</v>
          </cell>
          <cell r="F701">
            <v>1</v>
          </cell>
          <cell r="G701">
            <v>1.2</v>
          </cell>
          <cell r="H701">
            <v>1.5</v>
          </cell>
          <cell r="I701">
            <v>1.8</v>
          </cell>
          <cell r="J701">
            <v>2</v>
          </cell>
          <cell r="K701">
            <v>2.2000000000000002</v>
          </cell>
          <cell r="L701">
            <v>3</v>
          </cell>
          <cell r="M701">
            <v>3.8</v>
          </cell>
          <cell r="N701">
            <v>4.5</v>
          </cell>
          <cell r="O701">
            <v>5.2</v>
          </cell>
          <cell r="P701">
            <v>6</v>
          </cell>
        </row>
        <row r="702">
          <cell r="A702">
            <v>39677</v>
          </cell>
          <cell r="B702">
            <v>8</v>
          </cell>
          <cell r="C702" t="str">
            <v>S</v>
          </cell>
          <cell r="D702">
            <v>1.5</v>
          </cell>
          <cell r="E702">
            <v>1.8</v>
          </cell>
          <cell r="F702">
            <v>2</v>
          </cell>
          <cell r="G702">
            <v>2.2000000000000002</v>
          </cell>
          <cell r="H702">
            <v>3</v>
          </cell>
          <cell r="I702">
            <v>3.8</v>
          </cell>
          <cell r="J702">
            <v>4.5</v>
          </cell>
          <cell r="K702">
            <v>5.2</v>
          </cell>
          <cell r="L702">
            <v>6</v>
          </cell>
          <cell r="M702">
            <v>6.8</v>
          </cell>
          <cell r="N702">
            <v>7.5</v>
          </cell>
          <cell r="O702">
            <v>8.1999999999999993</v>
          </cell>
          <cell r="P702">
            <v>9</v>
          </cell>
        </row>
        <row r="703">
          <cell r="A703">
            <v>39678</v>
          </cell>
          <cell r="B703">
            <v>8</v>
          </cell>
          <cell r="C703" t="str">
            <v>S</v>
          </cell>
          <cell r="D703">
            <v>0.8</v>
          </cell>
          <cell r="E703">
            <v>1</v>
          </cell>
          <cell r="F703">
            <v>1.2</v>
          </cell>
          <cell r="G703">
            <v>1.5</v>
          </cell>
          <cell r="H703">
            <v>1.8</v>
          </cell>
          <cell r="I703">
            <v>2</v>
          </cell>
          <cell r="J703">
            <v>2.8</v>
          </cell>
          <cell r="K703">
            <v>3.5</v>
          </cell>
          <cell r="L703">
            <v>4.2</v>
          </cell>
          <cell r="M703">
            <v>5</v>
          </cell>
          <cell r="N703">
            <v>5.8</v>
          </cell>
          <cell r="O703">
            <v>6.5</v>
          </cell>
          <cell r="P703">
            <v>7.2</v>
          </cell>
        </row>
        <row r="704">
          <cell r="A704">
            <v>39679</v>
          </cell>
          <cell r="B704">
            <v>8</v>
          </cell>
          <cell r="C704" t="str">
            <v>S</v>
          </cell>
          <cell r="D704">
            <v>1.8</v>
          </cell>
          <cell r="E704">
            <v>2</v>
          </cell>
          <cell r="F704">
            <v>2.2000000000000002</v>
          </cell>
          <cell r="G704">
            <v>2.5</v>
          </cell>
          <cell r="H704">
            <v>3.2</v>
          </cell>
          <cell r="I704">
            <v>4</v>
          </cell>
          <cell r="J704">
            <v>4.8</v>
          </cell>
          <cell r="K704">
            <v>5.5</v>
          </cell>
          <cell r="L704">
            <v>6.2</v>
          </cell>
          <cell r="M704">
            <v>7</v>
          </cell>
          <cell r="N704">
            <v>7.8</v>
          </cell>
          <cell r="O704">
            <v>8.5</v>
          </cell>
          <cell r="P704">
            <v>9.1999999999999993</v>
          </cell>
        </row>
        <row r="705">
          <cell r="A705">
            <v>39680</v>
          </cell>
          <cell r="B705">
            <v>8</v>
          </cell>
          <cell r="C705" t="str">
            <v>S</v>
          </cell>
          <cell r="D705">
            <v>2.5</v>
          </cell>
          <cell r="E705">
            <v>2.8</v>
          </cell>
          <cell r="F705">
            <v>3.5</v>
          </cell>
          <cell r="G705">
            <v>4.2</v>
          </cell>
          <cell r="H705">
            <v>5</v>
          </cell>
          <cell r="I705">
            <v>5.8</v>
          </cell>
          <cell r="J705">
            <v>6.5</v>
          </cell>
          <cell r="K705">
            <v>7.2</v>
          </cell>
          <cell r="L705">
            <v>8</v>
          </cell>
          <cell r="M705">
            <v>8.8000000000000007</v>
          </cell>
          <cell r="N705">
            <v>9.5</v>
          </cell>
          <cell r="O705">
            <v>10.199999999999999</v>
          </cell>
          <cell r="P705">
            <v>11</v>
          </cell>
        </row>
        <row r="706">
          <cell r="A706">
            <v>39681</v>
          </cell>
          <cell r="B706">
            <v>8</v>
          </cell>
          <cell r="C706" t="str">
            <v>S</v>
          </cell>
          <cell r="D706">
            <v>3</v>
          </cell>
          <cell r="E706">
            <v>3.2</v>
          </cell>
          <cell r="F706">
            <v>3.5</v>
          </cell>
          <cell r="G706">
            <v>4.2</v>
          </cell>
          <cell r="H706">
            <v>5</v>
          </cell>
          <cell r="I706">
            <v>5.8</v>
          </cell>
          <cell r="J706">
            <v>6.5</v>
          </cell>
          <cell r="K706">
            <v>7.2</v>
          </cell>
          <cell r="L706">
            <v>8</v>
          </cell>
          <cell r="M706">
            <v>8.8000000000000007</v>
          </cell>
          <cell r="N706">
            <v>9.5</v>
          </cell>
          <cell r="O706">
            <v>10.199999999999999</v>
          </cell>
          <cell r="P706">
            <v>11</v>
          </cell>
        </row>
        <row r="707">
          <cell r="A707">
            <v>39682</v>
          </cell>
          <cell r="B707">
            <v>8</v>
          </cell>
          <cell r="C707" t="str">
            <v>S</v>
          </cell>
          <cell r="D707">
            <v>1.5</v>
          </cell>
          <cell r="E707">
            <v>1.8</v>
          </cell>
          <cell r="F707">
            <v>2</v>
          </cell>
          <cell r="G707">
            <v>2.2000000000000002</v>
          </cell>
          <cell r="H707">
            <v>2.5</v>
          </cell>
          <cell r="I707">
            <v>2.8</v>
          </cell>
          <cell r="J707">
            <v>3.5</v>
          </cell>
          <cell r="K707">
            <v>4.2</v>
          </cell>
          <cell r="L707">
            <v>5</v>
          </cell>
          <cell r="M707">
            <v>5.8</v>
          </cell>
          <cell r="N707">
            <v>6.5</v>
          </cell>
          <cell r="O707">
            <v>7.2</v>
          </cell>
          <cell r="P707">
            <v>8</v>
          </cell>
        </row>
        <row r="708">
          <cell r="A708">
            <v>39683</v>
          </cell>
          <cell r="B708">
            <v>8</v>
          </cell>
          <cell r="C708" t="str">
            <v>S</v>
          </cell>
          <cell r="D708">
            <v>2.2000000000000002</v>
          </cell>
          <cell r="E708">
            <v>2.5</v>
          </cell>
          <cell r="F708">
            <v>2.8</v>
          </cell>
          <cell r="G708">
            <v>3</v>
          </cell>
          <cell r="H708">
            <v>3.2</v>
          </cell>
          <cell r="I708">
            <v>4</v>
          </cell>
          <cell r="J708">
            <v>4.8</v>
          </cell>
          <cell r="K708">
            <v>5.5</v>
          </cell>
          <cell r="L708">
            <v>6.2</v>
          </cell>
          <cell r="M708">
            <v>7</v>
          </cell>
          <cell r="N708">
            <v>7.8</v>
          </cell>
          <cell r="O708">
            <v>8.5</v>
          </cell>
          <cell r="P708">
            <v>9.1999999999999993</v>
          </cell>
        </row>
        <row r="709">
          <cell r="A709">
            <v>39684</v>
          </cell>
          <cell r="B709">
            <v>8</v>
          </cell>
          <cell r="C709" t="str">
            <v>S</v>
          </cell>
          <cell r="D709">
            <v>2</v>
          </cell>
          <cell r="E709">
            <v>2.2000000000000002</v>
          </cell>
          <cell r="F709">
            <v>2.5</v>
          </cell>
          <cell r="G709">
            <v>3.2</v>
          </cell>
          <cell r="H709">
            <v>4</v>
          </cell>
          <cell r="I709">
            <v>4.8</v>
          </cell>
          <cell r="J709">
            <v>5.5</v>
          </cell>
          <cell r="K709">
            <v>6.2</v>
          </cell>
          <cell r="L709">
            <v>7</v>
          </cell>
          <cell r="M709">
            <v>7.8</v>
          </cell>
          <cell r="N709">
            <v>8.5</v>
          </cell>
          <cell r="O709">
            <v>9.1999999999999993</v>
          </cell>
          <cell r="P709">
            <v>10</v>
          </cell>
        </row>
        <row r="710">
          <cell r="A710">
            <v>39685</v>
          </cell>
          <cell r="B710">
            <v>8</v>
          </cell>
          <cell r="C710" t="str">
            <v>S</v>
          </cell>
          <cell r="D710">
            <v>4.2</v>
          </cell>
          <cell r="E710">
            <v>5</v>
          </cell>
          <cell r="F710">
            <v>5.8</v>
          </cell>
          <cell r="G710">
            <v>6.5</v>
          </cell>
          <cell r="H710">
            <v>7.2</v>
          </cell>
          <cell r="I710">
            <v>8</v>
          </cell>
          <cell r="J710">
            <v>8.8000000000000007</v>
          </cell>
          <cell r="K710">
            <v>9.5</v>
          </cell>
          <cell r="L710">
            <v>10.199999999999999</v>
          </cell>
          <cell r="M710">
            <v>11</v>
          </cell>
          <cell r="N710">
            <v>12</v>
          </cell>
          <cell r="O710">
            <v>13</v>
          </cell>
          <cell r="P710">
            <v>14</v>
          </cell>
        </row>
        <row r="711">
          <cell r="A711">
            <v>39686</v>
          </cell>
          <cell r="B711">
            <v>8</v>
          </cell>
          <cell r="C711" t="str">
            <v>S</v>
          </cell>
          <cell r="D711">
            <v>5.2</v>
          </cell>
          <cell r="E711">
            <v>6</v>
          </cell>
          <cell r="F711">
            <v>6.8</v>
          </cell>
          <cell r="G711">
            <v>7.5</v>
          </cell>
          <cell r="H711">
            <v>8.1999999999999993</v>
          </cell>
          <cell r="I711">
            <v>9</v>
          </cell>
          <cell r="J711">
            <v>9.8000000000000007</v>
          </cell>
          <cell r="K711">
            <v>10.5</v>
          </cell>
          <cell r="L711">
            <v>11.2</v>
          </cell>
          <cell r="M711">
            <v>12</v>
          </cell>
          <cell r="N711">
            <v>12.8</v>
          </cell>
          <cell r="O711">
            <v>13.5</v>
          </cell>
          <cell r="P711">
            <v>14</v>
          </cell>
        </row>
        <row r="712">
          <cell r="A712">
            <v>39687</v>
          </cell>
          <cell r="B712">
            <v>8</v>
          </cell>
          <cell r="C712" t="str">
            <v>S</v>
          </cell>
          <cell r="D712">
            <v>3.2</v>
          </cell>
          <cell r="E712">
            <v>3.5</v>
          </cell>
          <cell r="F712">
            <v>4.2</v>
          </cell>
          <cell r="G712">
            <v>5</v>
          </cell>
          <cell r="H712">
            <v>5.8</v>
          </cell>
          <cell r="I712">
            <v>6.5</v>
          </cell>
          <cell r="J712">
            <v>7.2</v>
          </cell>
          <cell r="K712">
            <v>8</v>
          </cell>
          <cell r="L712">
            <v>8.8000000000000007</v>
          </cell>
          <cell r="M712">
            <v>9.5</v>
          </cell>
          <cell r="N712">
            <v>10.199999999999999</v>
          </cell>
          <cell r="O712">
            <v>11</v>
          </cell>
          <cell r="P712">
            <v>11.8</v>
          </cell>
        </row>
        <row r="713">
          <cell r="A713">
            <v>39688</v>
          </cell>
          <cell r="B713">
            <v>8</v>
          </cell>
          <cell r="C713" t="str">
            <v>S</v>
          </cell>
          <cell r="D713">
            <v>2.2000000000000002</v>
          </cell>
          <cell r="E713">
            <v>2.5</v>
          </cell>
          <cell r="F713">
            <v>2.8</v>
          </cell>
          <cell r="G713">
            <v>3.5</v>
          </cell>
          <cell r="H713">
            <v>4.2</v>
          </cell>
          <cell r="I713">
            <v>5</v>
          </cell>
          <cell r="J713">
            <v>5.8</v>
          </cell>
          <cell r="K713">
            <v>6.5</v>
          </cell>
          <cell r="L713">
            <v>7.2</v>
          </cell>
          <cell r="M713">
            <v>8</v>
          </cell>
          <cell r="N713">
            <v>8.8000000000000007</v>
          </cell>
          <cell r="O713">
            <v>9.5</v>
          </cell>
          <cell r="P713">
            <v>10.199999999999999</v>
          </cell>
        </row>
        <row r="714">
          <cell r="A714">
            <v>39689</v>
          </cell>
          <cell r="B714">
            <v>8</v>
          </cell>
          <cell r="C714" t="str">
            <v>S</v>
          </cell>
          <cell r="D714">
            <v>4.8</v>
          </cell>
          <cell r="E714">
            <v>5.5</v>
          </cell>
          <cell r="F714">
            <v>6.2</v>
          </cell>
          <cell r="G714">
            <v>7</v>
          </cell>
          <cell r="H714">
            <v>7.8</v>
          </cell>
          <cell r="I714">
            <v>8.5</v>
          </cell>
          <cell r="J714">
            <v>9.1999999999999993</v>
          </cell>
          <cell r="K714">
            <v>10</v>
          </cell>
          <cell r="L714">
            <v>10.8</v>
          </cell>
          <cell r="M714">
            <v>11.5</v>
          </cell>
          <cell r="N714">
            <v>12</v>
          </cell>
          <cell r="O714">
            <v>13</v>
          </cell>
          <cell r="P714">
            <v>14</v>
          </cell>
        </row>
        <row r="715">
          <cell r="A715">
            <v>39690</v>
          </cell>
          <cell r="B715">
            <v>8</v>
          </cell>
          <cell r="C715" t="str">
            <v>S</v>
          </cell>
          <cell r="D715">
            <v>3.5</v>
          </cell>
          <cell r="E715">
            <v>4.2</v>
          </cell>
          <cell r="F715">
            <v>5</v>
          </cell>
          <cell r="G715">
            <v>5.8</v>
          </cell>
          <cell r="H715">
            <v>6.5</v>
          </cell>
          <cell r="I715">
            <v>7.2</v>
          </cell>
          <cell r="J715">
            <v>8</v>
          </cell>
          <cell r="K715">
            <v>8.8000000000000007</v>
          </cell>
          <cell r="L715">
            <v>9.5</v>
          </cell>
          <cell r="M715">
            <v>10</v>
          </cell>
          <cell r="N715">
            <v>11</v>
          </cell>
          <cell r="O715">
            <v>12</v>
          </cell>
          <cell r="P715">
            <v>13</v>
          </cell>
        </row>
        <row r="716">
          <cell r="A716">
            <v>39691</v>
          </cell>
          <cell r="B716">
            <v>8</v>
          </cell>
          <cell r="C716" t="str">
            <v>S</v>
          </cell>
          <cell r="D716">
            <v>4.8</v>
          </cell>
          <cell r="E716">
            <v>5.5</v>
          </cell>
          <cell r="F716">
            <v>6.2</v>
          </cell>
          <cell r="G716">
            <v>7</v>
          </cell>
          <cell r="H716">
            <v>7.8</v>
          </cell>
          <cell r="I716">
            <v>8.5</v>
          </cell>
          <cell r="J716">
            <v>9.1999999999999993</v>
          </cell>
          <cell r="K716">
            <v>10</v>
          </cell>
          <cell r="L716">
            <v>10.8</v>
          </cell>
          <cell r="M716">
            <v>11.5</v>
          </cell>
          <cell r="N716">
            <v>12.2</v>
          </cell>
          <cell r="O716">
            <v>13</v>
          </cell>
          <cell r="P716">
            <v>13.8</v>
          </cell>
        </row>
        <row r="717">
          <cell r="A717">
            <v>39692</v>
          </cell>
          <cell r="B717">
            <v>9</v>
          </cell>
          <cell r="C717" t="str">
            <v>S</v>
          </cell>
          <cell r="D717">
            <v>3.5</v>
          </cell>
          <cell r="E717">
            <v>3.8</v>
          </cell>
          <cell r="F717">
            <v>4.5</v>
          </cell>
          <cell r="G717">
            <v>5.2</v>
          </cell>
          <cell r="H717">
            <v>6</v>
          </cell>
          <cell r="I717">
            <v>6.8</v>
          </cell>
          <cell r="J717">
            <v>7.5</v>
          </cell>
          <cell r="K717">
            <v>8.1999999999999993</v>
          </cell>
          <cell r="L717">
            <v>9</v>
          </cell>
          <cell r="M717">
            <v>9.8000000000000007</v>
          </cell>
          <cell r="N717">
            <v>10.5</v>
          </cell>
          <cell r="O717">
            <v>11.2</v>
          </cell>
          <cell r="P717">
            <v>12</v>
          </cell>
        </row>
        <row r="718">
          <cell r="A718">
            <v>39693</v>
          </cell>
          <cell r="B718">
            <v>9</v>
          </cell>
          <cell r="C718" t="str">
            <v>S</v>
          </cell>
          <cell r="D718">
            <v>4</v>
          </cell>
          <cell r="E718">
            <v>4.2</v>
          </cell>
          <cell r="F718">
            <v>5</v>
          </cell>
          <cell r="G718">
            <v>5.8</v>
          </cell>
          <cell r="H718">
            <v>6.5</v>
          </cell>
          <cell r="I718">
            <v>7.2</v>
          </cell>
          <cell r="J718">
            <v>8</v>
          </cell>
          <cell r="K718">
            <v>8.8000000000000007</v>
          </cell>
          <cell r="L718">
            <v>9.5</v>
          </cell>
          <cell r="M718">
            <v>10.199999999999999</v>
          </cell>
          <cell r="N718">
            <v>11</v>
          </cell>
          <cell r="O718">
            <v>11.8</v>
          </cell>
          <cell r="P718">
            <v>12.5</v>
          </cell>
        </row>
        <row r="719">
          <cell r="A719">
            <v>39694</v>
          </cell>
          <cell r="B719">
            <v>9</v>
          </cell>
          <cell r="C719" t="str">
            <v>S</v>
          </cell>
          <cell r="D719">
            <v>3.5</v>
          </cell>
          <cell r="E719">
            <v>4.2</v>
          </cell>
          <cell r="F719">
            <v>5</v>
          </cell>
          <cell r="G719">
            <v>5.8</v>
          </cell>
          <cell r="H719">
            <v>6.5</v>
          </cell>
          <cell r="I719">
            <v>7.2</v>
          </cell>
          <cell r="J719">
            <v>8</v>
          </cell>
          <cell r="K719">
            <v>8.8000000000000007</v>
          </cell>
          <cell r="L719">
            <v>9.5</v>
          </cell>
          <cell r="M719">
            <v>10.199999999999999</v>
          </cell>
          <cell r="N719">
            <v>11</v>
          </cell>
          <cell r="O719">
            <v>11.8</v>
          </cell>
          <cell r="P719">
            <v>12.5</v>
          </cell>
        </row>
        <row r="720">
          <cell r="A720">
            <v>39695</v>
          </cell>
          <cell r="B720">
            <v>9</v>
          </cell>
          <cell r="C720" t="str">
            <v>S</v>
          </cell>
          <cell r="D720">
            <v>2.5</v>
          </cell>
          <cell r="E720">
            <v>2.8</v>
          </cell>
          <cell r="F720">
            <v>3</v>
          </cell>
          <cell r="G720">
            <v>3.8</v>
          </cell>
          <cell r="H720">
            <v>4.5</v>
          </cell>
          <cell r="I720">
            <v>5.2</v>
          </cell>
          <cell r="J720">
            <v>6</v>
          </cell>
          <cell r="K720">
            <v>6.8</v>
          </cell>
          <cell r="L720">
            <v>7.5</v>
          </cell>
          <cell r="M720">
            <v>8.1999999999999993</v>
          </cell>
          <cell r="N720">
            <v>9</v>
          </cell>
          <cell r="O720">
            <v>9.8000000000000007</v>
          </cell>
          <cell r="P720">
            <v>10.5</v>
          </cell>
        </row>
        <row r="721">
          <cell r="A721">
            <v>39696</v>
          </cell>
          <cell r="B721">
            <v>9</v>
          </cell>
          <cell r="C721" t="str">
            <v>S</v>
          </cell>
          <cell r="D721">
            <v>2.5</v>
          </cell>
          <cell r="E721">
            <v>2.8</v>
          </cell>
          <cell r="F721">
            <v>3</v>
          </cell>
          <cell r="G721">
            <v>3.8</v>
          </cell>
          <cell r="H721">
            <v>4.5</v>
          </cell>
          <cell r="I721">
            <v>5.2</v>
          </cell>
          <cell r="J721">
            <v>6</v>
          </cell>
          <cell r="K721">
            <v>6.8</v>
          </cell>
          <cell r="L721">
            <v>7.5</v>
          </cell>
          <cell r="M721">
            <v>8.1999999999999993</v>
          </cell>
          <cell r="N721">
            <v>9</v>
          </cell>
          <cell r="O721">
            <v>9.8000000000000007</v>
          </cell>
          <cell r="P721">
            <v>10.5</v>
          </cell>
        </row>
        <row r="722">
          <cell r="A722">
            <v>39697</v>
          </cell>
          <cell r="B722">
            <v>9</v>
          </cell>
          <cell r="C722" t="str">
            <v>S</v>
          </cell>
          <cell r="D722">
            <v>2.5</v>
          </cell>
          <cell r="E722">
            <v>2.8</v>
          </cell>
          <cell r="F722">
            <v>3.5</v>
          </cell>
          <cell r="G722">
            <v>4.2</v>
          </cell>
          <cell r="H722">
            <v>5</v>
          </cell>
          <cell r="I722">
            <v>5.8</v>
          </cell>
          <cell r="J722">
            <v>6.5</v>
          </cell>
          <cell r="K722">
            <v>7.2</v>
          </cell>
          <cell r="L722">
            <v>8</v>
          </cell>
          <cell r="M722">
            <v>8.8000000000000007</v>
          </cell>
          <cell r="N722">
            <v>9.5</v>
          </cell>
          <cell r="O722">
            <v>10.199999999999999</v>
          </cell>
          <cell r="P722">
            <v>11</v>
          </cell>
        </row>
        <row r="723">
          <cell r="A723">
            <v>39698</v>
          </cell>
          <cell r="B723">
            <v>9</v>
          </cell>
          <cell r="C723" t="str">
            <v>S</v>
          </cell>
          <cell r="D723">
            <v>2</v>
          </cell>
          <cell r="E723">
            <v>2.2000000000000002</v>
          </cell>
          <cell r="F723">
            <v>2.5</v>
          </cell>
          <cell r="G723">
            <v>2.8</v>
          </cell>
          <cell r="H723">
            <v>3</v>
          </cell>
          <cell r="I723">
            <v>3.2</v>
          </cell>
          <cell r="J723">
            <v>4</v>
          </cell>
          <cell r="K723">
            <v>4.8</v>
          </cell>
          <cell r="L723">
            <v>5.5</v>
          </cell>
          <cell r="M723">
            <v>6.2</v>
          </cell>
          <cell r="N723">
            <v>7</v>
          </cell>
          <cell r="O723">
            <v>7.8</v>
          </cell>
          <cell r="P723">
            <v>8.5</v>
          </cell>
        </row>
        <row r="724">
          <cell r="A724">
            <v>39699</v>
          </cell>
          <cell r="B724">
            <v>9</v>
          </cell>
          <cell r="C724" t="str">
            <v>S</v>
          </cell>
          <cell r="D724">
            <v>4.2</v>
          </cell>
          <cell r="E724">
            <v>5</v>
          </cell>
          <cell r="F724">
            <v>5.8</v>
          </cell>
          <cell r="G724">
            <v>6.5</v>
          </cell>
          <cell r="H724">
            <v>7</v>
          </cell>
          <cell r="I724">
            <v>8</v>
          </cell>
          <cell r="J724">
            <v>9</v>
          </cell>
          <cell r="K724">
            <v>10</v>
          </cell>
          <cell r="L724">
            <v>11</v>
          </cell>
          <cell r="M724">
            <v>12</v>
          </cell>
          <cell r="N724">
            <v>13</v>
          </cell>
          <cell r="O724">
            <v>14</v>
          </cell>
          <cell r="P724">
            <v>15</v>
          </cell>
        </row>
        <row r="725">
          <cell r="A725">
            <v>39700</v>
          </cell>
          <cell r="B725">
            <v>9</v>
          </cell>
          <cell r="C725" t="str">
            <v>S</v>
          </cell>
          <cell r="D725">
            <v>4.8</v>
          </cell>
          <cell r="E725">
            <v>5.5</v>
          </cell>
          <cell r="F725">
            <v>6.2</v>
          </cell>
          <cell r="G725">
            <v>7</v>
          </cell>
          <cell r="H725">
            <v>7.8</v>
          </cell>
          <cell r="I725">
            <v>8.5</v>
          </cell>
          <cell r="J725">
            <v>9.1999999999999993</v>
          </cell>
          <cell r="K725">
            <v>10</v>
          </cell>
          <cell r="L725">
            <v>11</v>
          </cell>
          <cell r="M725">
            <v>12</v>
          </cell>
          <cell r="N725">
            <v>13</v>
          </cell>
          <cell r="O725">
            <v>14</v>
          </cell>
          <cell r="P725">
            <v>15</v>
          </cell>
        </row>
        <row r="726">
          <cell r="A726">
            <v>39701</v>
          </cell>
          <cell r="B726">
            <v>9</v>
          </cell>
          <cell r="C726" t="str">
            <v>S</v>
          </cell>
          <cell r="D726">
            <v>2.8</v>
          </cell>
          <cell r="E726">
            <v>3.5</v>
          </cell>
          <cell r="F726">
            <v>4.2</v>
          </cell>
          <cell r="G726">
            <v>5</v>
          </cell>
          <cell r="H726">
            <v>5.8</v>
          </cell>
          <cell r="I726">
            <v>6.5</v>
          </cell>
          <cell r="J726">
            <v>7.2</v>
          </cell>
          <cell r="K726">
            <v>8</v>
          </cell>
          <cell r="L726">
            <v>9</v>
          </cell>
          <cell r="M726">
            <v>10</v>
          </cell>
          <cell r="N726">
            <v>11</v>
          </cell>
          <cell r="O726">
            <v>12</v>
          </cell>
          <cell r="P726">
            <v>13</v>
          </cell>
        </row>
        <row r="727">
          <cell r="A727">
            <v>39702</v>
          </cell>
          <cell r="B727">
            <v>9</v>
          </cell>
          <cell r="C727" t="str">
            <v>S</v>
          </cell>
          <cell r="D727">
            <v>3.8</v>
          </cell>
          <cell r="E727">
            <v>4.5</v>
          </cell>
          <cell r="F727">
            <v>5.2</v>
          </cell>
          <cell r="G727">
            <v>6</v>
          </cell>
          <cell r="H727">
            <v>7</v>
          </cell>
          <cell r="I727">
            <v>8</v>
          </cell>
          <cell r="J727">
            <v>9</v>
          </cell>
          <cell r="K727">
            <v>10</v>
          </cell>
          <cell r="L727">
            <v>11</v>
          </cell>
          <cell r="M727">
            <v>12</v>
          </cell>
          <cell r="N727">
            <v>13</v>
          </cell>
          <cell r="O727">
            <v>14</v>
          </cell>
          <cell r="P727">
            <v>15</v>
          </cell>
        </row>
        <row r="728">
          <cell r="A728">
            <v>39703</v>
          </cell>
          <cell r="B728">
            <v>9</v>
          </cell>
          <cell r="C728" t="str">
            <v>S</v>
          </cell>
          <cell r="D728">
            <v>4</v>
          </cell>
          <cell r="E728">
            <v>5</v>
          </cell>
          <cell r="F728">
            <v>6</v>
          </cell>
          <cell r="G728">
            <v>7</v>
          </cell>
          <cell r="H728">
            <v>8</v>
          </cell>
          <cell r="I728">
            <v>9</v>
          </cell>
          <cell r="J728">
            <v>10</v>
          </cell>
          <cell r="K728">
            <v>11</v>
          </cell>
          <cell r="L728">
            <v>12</v>
          </cell>
          <cell r="M728">
            <v>13</v>
          </cell>
          <cell r="N728">
            <v>14</v>
          </cell>
          <cell r="O728">
            <v>15</v>
          </cell>
          <cell r="P728">
            <v>16</v>
          </cell>
        </row>
        <row r="729">
          <cell r="A729">
            <v>39704</v>
          </cell>
          <cell r="B729">
            <v>9</v>
          </cell>
          <cell r="C729" t="str">
            <v>S</v>
          </cell>
          <cell r="D729">
            <v>3.8</v>
          </cell>
          <cell r="E729">
            <v>4.5</v>
          </cell>
          <cell r="F729">
            <v>5</v>
          </cell>
          <cell r="G729">
            <v>6</v>
          </cell>
          <cell r="H729">
            <v>7</v>
          </cell>
          <cell r="I729">
            <v>8</v>
          </cell>
          <cell r="J729">
            <v>9</v>
          </cell>
          <cell r="K729">
            <v>10</v>
          </cell>
          <cell r="L729">
            <v>11</v>
          </cell>
          <cell r="M729">
            <v>12</v>
          </cell>
          <cell r="N729">
            <v>13</v>
          </cell>
          <cell r="O729">
            <v>14</v>
          </cell>
          <cell r="P729">
            <v>15</v>
          </cell>
        </row>
        <row r="730">
          <cell r="A730">
            <v>39705</v>
          </cell>
          <cell r="B730">
            <v>9</v>
          </cell>
          <cell r="C730" t="str">
            <v>S</v>
          </cell>
          <cell r="D730">
            <v>4</v>
          </cell>
          <cell r="E730">
            <v>4.8</v>
          </cell>
          <cell r="F730">
            <v>5.5</v>
          </cell>
          <cell r="G730">
            <v>6.2</v>
          </cell>
          <cell r="H730">
            <v>7</v>
          </cell>
          <cell r="I730">
            <v>8</v>
          </cell>
          <cell r="J730">
            <v>9</v>
          </cell>
          <cell r="K730">
            <v>10</v>
          </cell>
          <cell r="L730">
            <v>11</v>
          </cell>
          <cell r="M730">
            <v>12</v>
          </cell>
          <cell r="N730">
            <v>13</v>
          </cell>
          <cell r="O730">
            <v>14</v>
          </cell>
          <cell r="P730">
            <v>15</v>
          </cell>
        </row>
        <row r="731">
          <cell r="A731">
            <v>39706</v>
          </cell>
          <cell r="B731">
            <v>9</v>
          </cell>
          <cell r="C731" t="str">
            <v>S</v>
          </cell>
          <cell r="D731">
            <v>8</v>
          </cell>
          <cell r="E731">
            <v>9</v>
          </cell>
          <cell r="F731">
            <v>10</v>
          </cell>
          <cell r="G731">
            <v>11</v>
          </cell>
          <cell r="H731">
            <v>12</v>
          </cell>
          <cell r="I731">
            <v>13</v>
          </cell>
          <cell r="J731">
            <v>14</v>
          </cell>
          <cell r="K731">
            <v>15</v>
          </cell>
          <cell r="L731">
            <v>16</v>
          </cell>
          <cell r="M731">
            <v>17</v>
          </cell>
          <cell r="N731">
            <v>18</v>
          </cell>
          <cell r="O731">
            <v>19</v>
          </cell>
          <cell r="P731">
            <v>20</v>
          </cell>
        </row>
        <row r="732">
          <cell r="A732">
            <v>39707</v>
          </cell>
          <cell r="B732">
            <v>9</v>
          </cell>
          <cell r="C732" t="str">
            <v>S</v>
          </cell>
          <cell r="D732">
            <v>7.5</v>
          </cell>
          <cell r="E732">
            <v>8</v>
          </cell>
          <cell r="F732">
            <v>9</v>
          </cell>
          <cell r="G732">
            <v>10</v>
          </cell>
          <cell r="H732">
            <v>11</v>
          </cell>
          <cell r="I732">
            <v>12</v>
          </cell>
          <cell r="J732">
            <v>13</v>
          </cell>
          <cell r="K732">
            <v>14</v>
          </cell>
          <cell r="L732">
            <v>15</v>
          </cell>
          <cell r="M732">
            <v>16</v>
          </cell>
          <cell r="N732">
            <v>17</v>
          </cell>
          <cell r="O732">
            <v>18</v>
          </cell>
          <cell r="P732">
            <v>19</v>
          </cell>
        </row>
        <row r="733">
          <cell r="A733">
            <v>39708</v>
          </cell>
          <cell r="B733">
            <v>9</v>
          </cell>
          <cell r="C733" t="str">
            <v>S</v>
          </cell>
          <cell r="D733">
            <v>10</v>
          </cell>
          <cell r="E733">
            <v>11</v>
          </cell>
          <cell r="F733">
            <v>12</v>
          </cell>
          <cell r="G733">
            <v>13</v>
          </cell>
          <cell r="H733">
            <v>14</v>
          </cell>
          <cell r="I733">
            <v>15</v>
          </cell>
          <cell r="J733">
            <v>16</v>
          </cell>
          <cell r="K733">
            <v>17</v>
          </cell>
          <cell r="L733">
            <v>18</v>
          </cell>
          <cell r="M733">
            <v>19</v>
          </cell>
          <cell r="N733">
            <v>20</v>
          </cell>
          <cell r="O733">
            <v>21</v>
          </cell>
          <cell r="P733">
            <v>22</v>
          </cell>
        </row>
        <row r="734">
          <cell r="A734">
            <v>39709</v>
          </cell>
          <cell r="B734">
            <v>9</v>
          </cell>
          <cell r="C734" t="str">
            <v>S</v>
          </cell>
          <cell r="D734">
            <v>7</v>
          </cell>
          <cell r="E734">
            <v>8</v>
          </cell>
          <cell r="F734">
            <v>9</v>
          </cell>
          <cell r="G734">
            <v>10</v>
          </cell>
          <cell r="H734">
            <v>11</v>
          </cell>
          <cell r="I734">
            <v>12</v>
          </cell>
          <cell r="J734">
            <v>13</v>
          </cell>
          <cell r="K734">
            <v>14</v>
          </cell>
          <cell r="L734">
            <v>15</v>
          </cell>
          <cell r="M734">
            <v>16</v>
          </cell>
          <cell r="N734">
            <v>17</v>
          </cell>
          <cell r="O734">
            <v>18</v>
          </cell>
          <cell r="P734">
            <v>19</v>
          </cell>
        </row>
        <row r="735">
          <cell r="A735">
            <v>39710</v>
          </cell>
          <cell r="B735">
            <v>9</v>
          </cell>
          <cell r="C735" t="str">
            <v>S</v>
          </cell>
          <cell r="D735">
            <v>7.5</v>
          </cell>
          <cell r="E735">
            <v>8.1999999999999993</v>
          </cell>
          <cell r="F735">
            <v>9</v>
          </cell>
          <cell r="G735">
            <v>9.8000000000000007</v>
          </cell>
          <cell r="H735">
            <v>10.5</v>
          </cell>
          <cell r="I735">
            <v>11.2</v>
          </cell>
          <cell r="J735">
            <v>12</v>
          </cell>
          <cell r="K735">
            <v>13</v>
          </cell>
          <cell r="L735">
            <v>14</v>
          </cell>
          <cell r="M735">
            <v>15</v>
          </cell>
          <cell r="N735">
            <v>16</v>
          </cell>
          <cell r="O735">
            <v>17</v>
          </cell>
          <cell r="P735">
            <v>18</v>
          </cell>
        </row>
        <row r="736">
          <cell r="A736">
            <v>39711</v>
          </cell>
          <cell r="B736">
            <v>9</v>
          </cell>
          <cell r="C736" t="str">
            <v>S</v>
          </cell>
          <cell r="D736">
            <v>7</v>
          </cell>
          <cell r="E736">
            <v>8</v>
          </cell>
          <cell r="F736">
            <v>9</v>
          </cell>
          <cell r="G736">
            <v>10</v>
          </cell>
          <cell r="H736">
            <v>11</v>
          </cell>
          <cell r="I736">
            <v>12</v>
          </cell>
          <cell r="J736">
            <v>13</v>
          </cell>
          <cell r="K736">
            <v>14</v>
          </cell>
          <cell r="L736">
            <v>15</v>
          </cell>
          <cell r="M736">
            <v>16</v>
          </cell>
          <cell r="N736">
            <v>17</v>
          </cell>
          <cell r="O736">
            <v>18</v>
          </cell>
          <cell r="P736">
            <v>19</v>
          </cell>
        </row>
        <row r="737">
          <cell r="A737">
            <v>39712</v>
          </cell>
          <cell r="B737">
            <v>9</v>
          </cell>
          <cell r="C737" t="str">
            <v>S</v>
          </cell>
          <cell r="D737">
            <v>15</v>
          </cell>
          <cell r="E737">
            <v>16</v>
          </cell>
          <cell r="F737">
            <v>17</v>
          </cell>
          <cell r="G737">
            <v>18</v>
          </cell>
          <cell r="H737">
            <v>19</v>
          </cell>
          <cell r="I737">
            <v>20</v>
          </cell>
          <cell r="J737">
            <v>21</v>
          </cell>
          <cell r="K737">
            <v>22</v>
          </cell>
          <cell r="L737">
            <v>23</v>
          </cell>
          <cell r="M737">
            <v>24</v>
          </cell>
          <cell r="N737">
            <v>25</v>
          </cell>
          <cell r="O737">
            <v>26</v>
          </cell>
          <cell r="P737">
            <v>27</v>
          </cell>
        </row>
        <row r="738">
          <cell r="A738">
            <v>39713</v>
          </cell>
          <cell r="B738">
            <v>9</v>
          </cell>
          <cell r="C738" t="str">
            <v>S</v>
          </cell>
          <cell r="D738">
            <v>13</v>
          </cell>
          <cell r="E738">
            <v>14</v>
          </cell>
          <cell r="F738">
            <v>15</v>
          </cell>
          <cell r="G738">
            <v>16</v>
          </cell>
          <cell r="H738">
            <v>17</v>
          </cell>
          <cell r="I738">
            <v>18</v>
          </cell>
          <cell r="J738">
            <v>19</v>
          </cell>
          <cell r="K738">
            <v>20</v>
          </cell>
          <cell r="L738">
            <v>21</v>
          </cell>
          <cell r="M738">
            <v>22</v>
          </cell>
          <cell r="N738">
            <v>23</v>
          </cell>
          <cell r="O738">
            <v>24</v>
          </cell>
          <cell r="P738">
            <v>25</v>
          </cell>
        </row>
        <row r="739">
          <cell r="A739">
            <v>39714</v>
          </cell>
          <cell r="B739">
            <v>9</v>
          </cell>
          <cell r="C739" t="str">
            <v>S</v>
          </cell>
          <cell r="D739">
            <v>14</v>
          </cell>
          <cell r="E739">
            <v>15</v>
          </cell>
          <cell r="F739">
            <v>16</v>
          </cell>
          <cell r="G739">
            <v>17</v>
          </cell>
          <cell r="H739">
            <v>18</v>
          </cell>
          <cell r="I739">
            <v>19</v>
          </cell>
          <cell r="J739">
            <v>20</v>
          </cell>
          <cell r="K739">
            <v>21</v>
          </cell>
          <cell r="L739">
            <v>22</v>
          </cell>
          <cell r="M739">
            <v>23</v>
          </cell>
          <cell r="N739">
            <v>24</v>
          </cell>
          <cell r="O739">
            <v>25</v>
          </cell>
          <cell r="P739">
            <v>26</v>
          </cell>
        </row>
        <row r="740">
          <cell r="A740">
            <v>39715</v>
          </cell>
          <cell r="B740">
            <v>9</v>
          </cell>
          <cell r="C740" t="str">
            <v>S</v>
          </cell>
          <cell r="D740">
            <v>12</v>
          </cell>
          <cell r="E740">
            <v>13</v>
          </cell>
          <cell r="F740">
            <v>14</v>
          </cell>
          <cell r="G740">
            <v>15</v>
          </cell>
          <cell r="H740">
            <v>16</v>
          </cell>
          <cell r="I740">
            <v>17</v>
          </cell>
          <cell r="J740">
            <v>18</v>
          </cell>
          <cell r="K740">
            <v>19</v>
          </cell>
          <cell r="L740">
            <v>20</v>
          </cell>
          <cell r="M740">
            <v>21</v>
          </cell>
          <cell r="N740">
            <v>22</v>
          </cell>
          <cell r="O740">
            <v>23</v>
          </cell>
          <cell r="P740">
            <v>24</v>
          </cell>
        </row>
        <row r="741">
          <cell r="A741">
            <v>39716</v>
          </cell>
          <cell r="B741">
            <v>9</v>
          </cell>
          <cell r="C741" t="str">
            <v>S</v>
          </cell>
          <cell r="D741">
            <v>6.5</v>
          </cell>
          <cell r="E741">
            <v>7</v>
          </cell>
          <cell r="F741">
            <v>8</v>
          </cell>
          <cell r="G741">
            <v>9</v>
          </cell>
          <cell r="H741">
            <v>10</v>
          </cell>
          <cell r="I741">
            <v>11</v>
          </cell>
          <cell r="J741">
            <v>12</v>
          </cell>
          <cell r="K741">
            <v>13</v>
          </cell>
          <cell r="L741">
            <v>14</v>
          </cell>
          <cell r="M741">
            <v>15</v>
          </cell>
          <cell r="N741">
            <v>16</v>
          </cell>
          <cell r="O741">
            <v>17</v>
          </cell>
          <cell r="P741">
            <v>18</v>
          </cell>
        </row>
        <row r="742">
          <cell r="A742">
            <v>39717</v>
          </cell>
          <cell r="B742">
            <v>9</v>
          </cell>
          <cell r="C742" t="str">
            <v>S</v>
          </cell>
          <cell r="D742">
            <v>15</v>
          </cell>
          <cell r="E742">
            <v>16</v>
          </cell>
          <cell r="F742">
            <v>17</v>
          </cell>
          <cell r="G742">
            <v>18</v>
          </cell>
          <cell r="H742">
            <v>19</v>
          </cell>
          <cell r="I742">
            <v>20</v>
          </cell>
          <cell r="J742">
            <v>21</v>
          </cell>
          <cell r="K742">
            <v>22</v>
          </cell>
          <cell r="L742">
            <v>23</v>
          </cell>
          <cell r="M742">
            <v>24</v>
          </cell>
          <cell r="N742">
            <v>25</v>
          </cell>
          <cell r="O742">
            <v>26</v>
          </cell>
          <cell r="P742">
            <v>27</v>
          </cell>
        </row>
        <row r="743">
          <cell r="A743">
            <v>39718</v>
          </cell>
          <cell r="B743">
            <v>9</v>
          </cell>
          <cell r="C743" t="str">
            <v>S</v>
          </cell>
          <cell r="D743">
            <v>19</v>
          </cell>
          <cell r="E743">
            <v>20</v>
          </cell>
          <cell r="F743">
            <v>21</v>
          </cell>
          <cell r="G743">
            <v>22</v>
          </cell>
          <cell r="H743">
            <v>23</v>
          </cell>
          <cell r="I743">
            <v>24</v>
          </cell>
          <cell r="J743">
            <v>25</v>
          </cell>
          <cell r="K743">
            <v>26</v>
          </cell>
          <cell r="L743">
            <v>27</v>
          </cell>
          <cell r="M743">
            <v>28</v>
          </cell>
          <cell r="N743">
            <v>29</v>
          </cell>
          <cell r="O743">
            <v>30</v>
          </cell>
          <cell r="P743">
            <v>31</v>
          </cell>
        </row>
        <row r="744">
          <cell r="A744">
            <v>39719</v>
          </cell>
          <cell r="B744">
            <v>9</v>
          </cell>
          <cell r="C744" t="str">
            <v>S</v>
          </cell>
          <cell r="D744">
            <v>21</v>
          </cell>
          <cell r="E744">
            <v>22</v>
          </cell>
          <cell r="F744">
            <v>23</v>
          </cell>
          <cell r="G744">
            <v>24</v>
          </cell>
          <cell r="H744">
            <v>25</v>
          </cell>
          <cell r="I744">
            <v>26</v>
          </cell>
          <cell r="J744">
            <v>27</v>
          </cell>
          <cell r="K744">
            <v>28</v>
          </cell>
          <cell r="L744">
            <v>29</v>
          </cell>
          <cell r="M744">
            <v>30</v>
          </cell>
          <cell r="N744">
            <v>31</v>
          </cell>
          <cell r="O744">
            <v>32</v>
          </cell>
          <cell r="P744">
            <v>33</v>
          </cell>
        </row>
        <row r="745">
          <cell r="A745">
            <v>39720</v>
          </cell>
          <cell r="B745">
            <v>9</v>
          </cell>
          <cell r="C745" t="str">
            <v>S</v>
          </cell>
          <cell r="D745">
            <v>23</v>
          </cell>
          <cell r="E745">
            <v>24</v>
          </cell>
          <cell r="F745">
            <v>25</v>
          </cell>
          <cell r="G745">
            <v>26</v>
          </cell>
          <cell r="H745">
            <v>27</v>
          </cell>
          <cell r="I745">
            <v>28</v>
          </cell>
          <cell r="J745">
            <v>29</v>
          </cell>
          <cell r="K745">
            <v>30</v>
          </cell>
          <cell r="L745">
            <v>31</v>
          </cell>
          <cell r="M745">
            <v>32</v>
          </cell>
          <cell r="N745">
            <v>33</v>
          </cell>
          <cell r="O745">
            <v>34</v>
          </cell>
          <cell r="P745">
            <v>35</v>
          </cell>
        </row>
        <row r="746">
          <cell r="A746">
            <v>39721</v>
          </cell>
          <cell r="B746">
            <v>9</v>
          </cell>
          <cell r="C746" t="str">
            <v>S</v>
          </cell>
          <cell r="D746">
            <v>22</v>
          </cell>
          <cell r="E746">
            <v>23</v>
          </cell>
          <cell r="F746">
            <v>24</v>
          </cell>
          <cell r="G746">
            <v>25</v>
          </cell>
          <cell r="H746">
            <v>26</v>
          </cell>
          <cell r="I746">
            <v>27</v>
          </cell>
          <cell r="J746">
            <v>28</v>
          </cell>
          <cell r="K746">
            <v>29</v>
          </cell>
          <cell r="L746">
            <v>30</v>
          </cell>
          <cell r="M746">
            <v>31</v>
          </cell>
          <cell r="N746">
            <v>32</v>
          </cell>
          <cell r="O746">
            <v>33</v>
          </cell>
          <cell r="P746">
            <v>34</v>
          </cell>
        </row>
        <row r="747">
          <cell r="A747">
            <v>39722</v>
          </cell>
          <cell r="B747">
            <v>10</v>
          </cell>
          <cell r="C747" t="str">
            <v>W</v>
          </cell>
          <cell r="D747">
            <v>26</v>
          </cell>
          <cell r="E747">
            <v>27</v>
          </cell>
          <cell r="F747">
            <v>28</v>
          </cell>
          <cell r="G747">
            <v>29</v>
          </cell>
          <cell r="H747">
            <v>30</v>
          </cell>
          <cell r="I747">
            <v>31</v>
          </cell>
          <cell r="J747">
            <v>32</v>
          </cell>
          <cell r="K747">
            <v>33</v>
          </cell>
          <cell r="L747">
            <v>34</v>
          </cell>
          <cell r="M747">
            <v>35</v>
          </cell>
          <cell r="N747">
            <v>36</v>
          </cell>
          <cell r="O747">
            <v>37</v>
          </cell>
          <cell r="P747">
            <v>38</v>
          </cell>
        </row>
        <row r="748">
          <cell r="A748">
            <v>39723</v>
          </cell>
          <cell r="B748">
            <v>10</v>
          </cell>
          <cell r="C748" t="str">
            <v>W</v>
          </cell>
          <cell r="D748">
            <v>23</v>
          </cell>
          <cell r="E748">
            <v>24</v>
          </cell>
          <cell r="F748">
            <v>25</v>
          </cell>
          <cell r="G748">
            <v>26</v>
          </cell>
          <cell r="H748">
            <v>27</v>
          </cell>
          <cell r="I748">
            <v>28</v>
          </cell>
          <cell r="J748">
            <v>29</v>
          </cell>
          <cell r="K748">
            <v>30</v>
          </cell>
          <cell r="L748">
            <v>31</v>
          </cell>
          <cell r="M748">
            <v>32</v>
          </cell>
          <cell r="N748">
            <v>33</v>
          </cell>
          <cell r="O748">
            <v>34</v>
          </cell>
          <cell r="P748">
            <v>35</v>
          </cell>
        </row>
        <row r="749">
          <cell r="A749">
            <v>39724</v>
          </cell>
          <cell r="B749">
            <v>10</v>
          </cell>
          <cell r="C749" t="str">
            <v>W</v>
          </cell>
          <cell r="D749">
            <v>26</v>
          </cell>
          <cell r="E749">
            <v>27</v>
          </cell>
          <cell r="F749">
            <v>28</v>
          </cell>
          <cell r="G749">
            <v>29</v>
          </cell>
          <cell r="H749">
            <v>30</v>
          </cell>
          <cell r="I749">
            <v>31</v>
          </cell>
          <cell r="J749">
            <v>32</v>
          </cell>
          <cell r="K749">
            <v>33</v>
          </cell>
          <cell r="L749">
            <v>34</v>
          </cell>
          <cell r="M749">
            <v>35</v>
          </cell>
          <cell r="N749">
            <v>36</v>
          </cell>
          <cell r="O749">
            <v>37</v>
          </cell>
          <cell r="P749">
            <v>38</v>
          </cell>
        </row>
        <row r="750">
          <cell r="A750">
            <v>39725</v>
          </cell>
          <cell r="B750">
            <v>10</v>
          </cell>
          <cell r="C750" t="str">
            <v>W</v>
          </cell>
          <cell r="D750">
            <v>30</v>
          </cell>
          <cell r="E750">
            <v>31</v>
          </cell>
          <cell r="F750">
            <v>32</v>
          </cell>
          <cell r="G750">
            <v>33</v>
          </cell>
          <cell r="H750">
            <v>34</v>
          </cell>
          <cell r="I750">
            <v>35</v>
          </cell>
          <cell r="J750">
            <v>36</v>
          </cell>
          <cell r="K750">
            <v>37</v>
          </cell>
          <cell r="L750">
            <v>38</v>
          </cell>
          <cell r="M750">
            <v>39</v>
          </cell>
          <cell r="N750">
            <v>40</v>
          </cell>
          <cell r="O750">
            <v>41</v>
          </cell>
          <cell r="P750">
            <v>42</v>
          </cell>
        </row>
        <row r="751">
          <cell r="A751">
            <v>39726</v>
          </cell>
          <cell r="B751">
            <v>10</v>
          </cell>
          <cell r="C751" t="str">
            <v>W</v>
          </cell>
          <cell r="D751">
            <v>28</v>
          </cell>
          <cell r="E751">
            <v>29</v>
          </cell>
          <cell r="F751">
            <v>30</v>
          </cell>
          <cell r="G751">
            <v>31</v>
          </cell>
          <cell r="H751">
            <v>32</v>
          </cell>
          <cell r="I751">
            <v>33</v>
          </cell>
          <cell r="J751">
            <v>34</v>
          </cell>
          <cell r="K751">
            <v>35</v>
          </cell>
          <cell r="L751">
            <v>36</v>
          </cell>
          <cell r="M751">
            <v>37</v>
          </cell>
          <cell r="N751">
            <v>38</v>
          </cell>
          <cell r="O751">
            <v>39</v>
          </cell>
          <cell r="P751">
            <v>40</v>
          </cell>
        </row>
        <row r="752">
          <cell r="A752">
            <v>39727</v>
          </cell>
          <cell r="B752">
            <v>10</v>
          </cell>
          <cell r="C752" t="str">
            <v>W</v>
          </cell>
          <cell r="D752">
            <v>24</v>
          </cell>
          <cell r="E752">
            <v>25</v>
          </cell>
          <cell r="F752">
            <v>26</v>
          </cell>
          <cell r="G752">
            <v>27</v>
          </cell>
          <cell r="H752">
            <v>28</v>
          </cell>
          <cell r="I752">
            <v>29</v>
          </cell>
          <cell r="J752">
            <v>30</v>
          </cell>
          <cell r="K752">
            <v>31</v>
          </cell>
          <cell r="L752">
            <v>32</v>
          </cell>
          <cell r="M752">
            <v>33</v>
          </cell>
          <cell r="N752">
            <v>34</v>
          </cell>
          <cell r="O752">
            <v>35</v>
          </cell>
          <cell r="P752">
            <v>36</v>
          </cell>
        </row>
        <row r="753">
          <cell r="A753">
            <v>39728</v>
          </cell>
          <cell r="B753">
            <v>10</v>
          </cell>
          <cell r="C753" t="str">
            <v>W</v>
          </cell>
          <cell r="D753">
            <v>26</v>
          </cell>
          <cell r="E753">
            <v>27</v>
          </cell>
          <cell r="F753">
            <v>28</v>
          </cell>
          <cell r="G753">
            <v>29</v>
          </cell>
          <cell r="H753">
            <v>30</v>
          </cell>
          <cell r="I753">
            <v>31</v>
          </cell>
          <cell r="J753">
            <v>32</v>
          </cell>
          <cell r="K753">
            <v>33</v>
          </cell>
          <cell r="L753">
            <v>34</v>
          </cell>
          <cell r="M753">
            <v>35</v>
          </cell>
          <cell r="N753">
            <v>36</v>
          </cell>
          <cell r="O753">
            <v>37</v>
          </cell>
          <cell r="P753">
            <v>38</v>
          </cell>
        </row>
        <row r="754">
          <cell r="A754">
            <v>39729</v>
          </cell>
          <cell r="B754">
            <v>10</v>
          </cell>
          <cell r="C754" t="str">
            <v>W</v>
          </cell>
          <cell r="D754">
            <v>29</v>
          </cell>
          <cell r="E754">
            <v>30</v>
          </cell>
          <cell r="F754">
            <v>31</v>
          </cell>
          <cell r="G754">
            <v>32</v>
          </cell>
          <cell r="H754">
            <v>33</v>
          </cell>
          <cell r="I754">
            <v>34</v>
          </cell>
          <cell r="J754">
            <v>35</v>
          </cell>
          <cell r="K754">
            <v>36</v>
          </cell>
          <cell r="L754">
            <v>37</v>
          </cell>
          <cell r="M754">
            <v>38</v>
          </cell>
          <cell r="N754">
            <v>39</v>
          </cell>
          <cell r="O754">
            <v>40</v>
          </cell>
          <cell r="P754">
            <v>41</v>
          </cell>
        </row>
        <row r="755">
          <cell r="A755">
            <v>39730</v>
          </cell>
          <cell r="B755">
            <v>10</v>
          </cell>
          <cell r="C755" t="str">
            <v>W</v>
          </cell>
          <cell r="D755">
            <v>30</v>
          </cell>
          <cell r="E755">
            <v>31</v>
          </cell>
          <cell r="F755">
            <v>32</v>
          </cell>
          <cell r="G755">
            <v>33</v>
          </cell>
          <cell r="H755">
            <v>34</v>
          </cell>
          <cell r="I755">
            <v>35</v>
          </cell>
          <cell r="J755">
            <v>36</v>
          </cell>
          <cell r="K755">
            <v>37</v>
          </cell>
          <cell r="L755">
            <v>38</v>
          </cell>
          <cell r="M755">
            <v>39</v>
          </cell>
          <cell r="N755">
            <v>40</v>
          </cell>
          <cell r="O755">
            <v>41</v>
          </cell>
          <cell r="P755">
            <v>42</v>
          </cell>
        </row>
        <row r="756">
          <cell r="A756">
            <v>39731</v>
          </cell>
          <cell r="B756">
            <v>10</v>
          </cell>
          <cell r="C756" t="str">
            <v>W</v>
          </cell>
          <cell r="D756">
            <v>13</v>
          </cell>
          <cell r="E756">
            <v>14</v>
          </cell>
          <cell r="F756">
            <v>15</v>
          </cell>
          <cell r="G756">
            <v>16</v>
          </cell>
          <cell r="H756">
            <v>17</v>
          </cell>
          <cell r="I756">
            <v>18</v>
          </cell>
          <cell r="J756">
            <v>19</v>
          </cell>
          <cell r="K756">
            <v>20</v>
          </cell>
          <cell r="L756">
            <v>21</v>
          </cell>
          <cell r="M756">
            <v>22</v>
          </cell>
          <cell r="N756">
            <v>23</v>
          </cell>
          <cell r="O756">
            <v>24</v>
          </cell>
          <cell r="P756">
            <v>25</v>
          </cell>
        </row>
        <row r="757">
          <cell r="A757">
            <v>39732</v>
          </cell>
          <cell r="B757">
            <v>10</v>
          </cell>
          <cell r="C757" t="str">
            <v>W</v>
          </cell>
          <cell r="D757">
            <v>18</v>
          </cell>
          <cell r="E757">
            <v>19</v>
          </cell>
          <cell r="F757">
            <v>20</v>
          </cell>
          <cell r="G757">
            <v>21</v>
          </cell>
          <cell r="H757">
            <v>22</v>
          </cell>
          <cell r="I757">
            <v>23</v>
          </cell>
          <cell r="J757">
            <v>24</v>
          </cell>
          <cell r="K757">
            <v>25</v>
          </cell>
          <cell r="L757">
            <v>26</v>
          </cell>
          <cell r="M757">
            <v>27</v>
          </cell>
          <cell r="N757">
            <v>28</v>
          </cell>
          <cell r="O757">
            <v>29</v>
          </cell>
          <cell r="P757">
            <v>30</v>
          </cell>
        </row>
        <row r="758">
          <cell r="A758">
            <v>39733</v>
          </cell>
          <cell r="B758">
            <v>10</v>
          </cell>
          <cell r="C758" t="str">
            <v>W</v>
          </cell>
          <cell r="D758">
            <v>28</v>
          </cell>
          <cell r="E758">
            <v>29</v>
          </cell>
          <cell r="F758">
            <v>30</v>
          </cell>
          <cell r="G758">
            <v>31</v>
          </cell>
          <cell r="H758">
            <v>32</v>
          </cell>
          <cell r="I758">
            <v>33</v>
          </cell>
          <cell r="J758">
            <v>34</v>
          </cell>
          <cell r="K758">
            <v>35</v>
          </cell>
          <cell r="L758">
            <v>36</v>
          </cell>
          <cell r="M758">
            <v>37</v>
          </cell>
          <cell r="N758">
            <v>38</v>
          </cell>
          <cell r="O758">
            <v>39</v>
          </cell>
          <cell r="P758">
            <v>40</v>
          </cell>
        </row>
        <row r="759">
          <cell r="A759">
            <v>39734</v>
          </cell>
          <cell r="B759">
            <v>10</v>
          </cell>
          <cell r="C759" t="str">
            <v>W</v>
          </cell>
          <cell r="D759">
            <v>39</v>
          </cell>
          <cell r="E759">
            <v>40</v>
          </cell>
          <cell r="F759">
            <v>41</v>
          </cell>
          <cell r="G759">
            <v>42</v>
          </cell>
          <cell r="H759">
            <v>43</v>
          </cell>
          <cell r="I759">
            <v>44</v>
          </cell>
          <cell r="J759">
            <v>45</v>
          </cell>
          <cell r="K759">
            <v>46</v>
          </cell>
          <cell r="L759">
            <v>47</v>
          </cell>
          <cell r="M759">
            <v>48</v>
          </cell>
          <cell r="N759">
            <v>49</v>
          </cell>
          <cell r="O759">
            <v>50</v>
          </cell>
          <cell r="P759">
            <v>51</v>
          </cell>
        </row>
        <row r="760">
          <cell r="A760">
            <v>39735</v>
          </cell>
          <cell r="B760">
            <v>10</v>
          </cell>
          <cell r="C760" t="str">
            <v>W</v>
          </cell>
          <cell r="D760">
            <v>45</v>
          </cell>
          <cell r="E760">
            <v>46</v>
          </cell>
          <cell r="F760">
            <v>47</v>
          </cell>
          <cell r="G760">
            <v>48</v>
          </cell>
          <cell r="H760">
            <v>49</v>
          </cell>
          <cell r="I760">
            <v>50</v>
          </cell>
          <cell r="J760">
            <v>51</v>
          </cell>
          <cell r="K760">
            <v>52</v>
          </cell>
          <cell r="L760">
            <v>53</v>
          </cell>
          <cell r="M760">
            <v>54</v>
          </cell>
          <cell r="N760">
            <v>55</v>
          </cell>
          <cell r="O760">
            <v>56</v>
          </cell>
          <cell r="P760">
            <v>57</v>
          </cell>
        </row>
        <row r="761">
          <cell r="A761">
            <v>39736</v>
          </cell>
          <cell r="B761">
            <v>10</v>
          </cell>
          <cell r="C761" t="str">
            <v>W</v>
          </cell>
          <cell r="D761">
            <v>37</v>
          </cell>
          <cell r="E761">
            <v>38</v>
          </cell>
          <cell r="F761">
            <v>39</v>
          </cell>
          <cell r="G761">
            <v>40</v>
          </cell>
          <cell r="H761">
            <v>41</v>
          </cell>
          <cell r="I761">
            <v>42</v>
          </cell>
          <cell r="J761">
            <v>43</v>
          </cell>
          <cell r="K761">
            <v>44</v>
          </cell>
          <cell r="L761">
            <v>45</v>
          </cell>
          <cell r="M761">
            <v>46</v>
          </cell>
          <cell r="N761">
            <v>47</v>
          </cell>
          <cell r="O761">
            <v>48</v>
          </cell>
          <cell r="P761">
            <v>49</v>
          </cell>
        </row>
        <row r="762">
          <cell r="A762">
            <v>39737</v>
          </cell>
          <cell r="B762">
            <v>10</v>
          </cell>
          <cell r="C762" t="str">
            <v>W</v>
          </cell>
          <cell r="D762">
            <v>44</v>
          </cell>
          <cell r="E762">
            <v>45</v>
          </cell>
          <cell r="F762">
            <v>46</v>
          </cell>
          <cell r="G762">
            <v>47</v>
          </cell>
          <cell r="H762">
            <v>48</v>
          </cell>
          <cell r="I762">
            <v>49</v>
          </cell>
          <cell r="J762">
            <v>50</v>
          </cell>
          <cell r="K762">
            <v>51</v>
          </cell>
          <cell r="L762">
            <v>52</v>
          </cell>
          <cell r="M762">
            <v>53</v>
          </cell>
          <cell r="N762">
            <v>54</v>
          </cell>
          <cell r="O762">
            <v>55</v>
          </cell>
          <cell r="P762">
            <v>56</v>
          </cell>
        </row>
        <row r="763">
          <cell r="A763">
            <v>39738</v>
          </cell>
          <cell r="B763">
            <v>10</v>
          </cell>
          <cell r="C763" t="str">
            <v>W</v>
          </cell>
          <cell r="D763">
            <v>46</v>
          </cell>
          <cell r="E763">
            <v>47</v>
          </cell>
          <cell r="F763">
            <v>48</v>
          </cell>
          <cell r="G763">
            <v>49</v>
          </cell>
          <cell r="H763">
            <v>50</v>
          </cell>
          <cell r="I763">
            <v>51</v>
          </cell>
          <cell r="J763">
            <v>52</v>
          </cell>
          <cell r="K763">
            <v>53</v>
          </cell>
          <cell r="L763">
            <v>54</v>
          </cell>
          <cell r="M763">
            <v>55</v>
          </cell>
          <cell r="N763">
            <v>56</v>
          </cell>
          <cell r="O763">
            <v>57</v>
          </cell>
          <cell r="P763">
            <v>58</v>
          </cell>
        </row>
        <row r="764">
          <cell r="A764">
            <v>39739</v>
          </cell>
          <cell r="B764">
            <v>10</v>
          </cell>
          <cell r="C764" t="str">
            <v>W</v>
          </cell>
          <cell r="D764">
            <v>38</v>
          </cell>
          <cell r="E764">
            <v>39</v>
          </cell>
          <cell r="F764">
            <v>40</v>
          </cell>
          <cell r="G764">
            <v>41</v>
          </cell>
          <cell r="H764">
            <v>42</v>
          </cell>
          <cell r="I764">
            <v>43</v>
          </cell>
          <cell r="J764">
            <v>44</v>
          </cell>
          <cell r="K764">
            <v>45</v>
          </cell>
          <cell r="L764">
            <v>46</v>
          </cell>
          <cell r="M764">
            <v>47</v>
          </cell>
          <cell r="N764">
            <v>48</v>
          </cell>
          <cell r="O764">
            <v>49</v>
          </cell>
          <cell r="P764">
            <v>50</v>
          </cell>
        </row>
        <row r="765">
          <cell r="A765">
            <v>39740</v>
          </cell>
          <cell r="B765">
            <v>10</v>
          </cell>
          <cell r="C765" t="str">
            <v>W</v>
          </cell>
          <cell r="D765">
            <v>44</v>
          </cell>
          <cell r="E765">
            <v>45</v>
          </cell>
          <cell r="F765">
            <v>46</v>
          </cell>
          <cell r="G765">
            <v>47</v>
          </cell>
          <cell r="H765">
            <v>48</v>
          </cell>
          <cell r="I765">
            <v>49</v>
          </cell>
          <cell r="J765">
            <v>50</v>
          </cell>
          <cell r="K765">
            <v>51</v>
          </cell>
          <cell r="L765">
            <v>52</v>
          </cell>
          <cell r="M765">
            <v>53</v>
          </cell>
          <cell r="N765">
            <v>54</v>
          </cell>
          <cell r="O765">
            <v>55</v>
          </cell>
          <cell r="P765">
            <v>56</v>
          </cell>
        </row>
        <row r="766">
          <cell r="A766">
            <v>39741</v>
          </cell>
          <cell r="B766">
            <v>10</v>
          </cell>
          <cell r="C766" t="str">
            <v>W</v>
          </cell>
          <cell r="D766">
            <v>46</v>
          </cell>
          <cell r="E766">
            <v>47</v>
          </cell>
          <cell r="F766">
            <v>48</v>
          </cell>
          <cell r="G766">
            <v>49</v>
          </cell>
          <cell r="H766">
            <v>50</v>
          </cell>
          <cell r="I766">
            <v>51</v>
          </cell>
          <cell r="J766">
            <v>52</v>
          </cell>
          <cell r="K766">
            <v>53</v>
          </cell>
          <cell r="L766">
            <v>54</v>
          </cell>
          <cell r="M766">
            <v>55</v>
          </cell>
          <cell r="N766">
            <v>56</v>
          </cell>
          <cell r="O766">
            <v>57</v>
          </cell>
          <cell r="P766">
            <v>58</v>
          </cell>
        </row>
        <row r="767">
          <cell r="A767">
            <v>39742</v>
          </cell>
          <cell r="B767">
            <v>10</v>
          </cell>
          <cell r="C767" t="str">
            <v>W</v>
          </cell>
          <cell r="D767">
            <v>37</v>
          </cell>
          <cell r="E767">
            <v>38</v>
          </cell>
          <cell r="F767">
            <v>39</v>
          </cell>
          <cell r="G767">
            <v>40</v>
          </cell>
          <cell r="H767">
            <v>41</v>
          </cell>
          <cell r="I767">
            <v>42</v>
          </cell>
          <cell r="J767">
            <v>43</v>
          </cell>
          <cell r="K767">
            <v>44</v>
          </cell>
          <cell r="L767">
            <v>45</v>
          </cell>
          <cell r="M767">
            <v>46</v>
          </cell>
          <cell r="N767">
            <v>47</v>
          </cell>
          <cell r="O767">
            <v>48</v>
          </cell>
          <cell r="P767">
            <v>49</v>
          </cell>
        </row>
        <row r="768">
          <cell r="A768">
            <v>39743</v>
          </cell>
          <cell r="B768">
            <v>10</v>
          </cell>
          <cell r="C768" t="str">
            <v>W</v>
          </cell>
          <cell r="D768">
            <v>41</v>
          </cell>
          <cell r="E768">
            <v>42</v>
          </cell>
          <cell r="F768">
            <v>43</v>
          </cell>
          <cell r="G768">
            <v>44</v>
          </cell>
          <cell r="H768">
            <v>45</v>
          </cell>
          <cell r="I768">
            <v>46</v>
          </cell>
          <cell r="J768">
            <v>47</v>
          </cell>
          <cell r="K768">
            <v>48</v>
          </cell>
          <cell r="L768">
            <v>49</v>
          </cell>
          <cell r="M768">
            <v>50</v>
          </cell>
          <cell r="N768">
            <v>51</v>
          </cell>
          <cell r="O768">
            <v>52</v>
          </cell>
          <cell r="P768">
            <v>53</v>
          </cell>
        </row>
        <row r="769">
          <cell r="A769">
            <v>39744</v>
          </cell>
          <cell r="B769">
            <v>10</v>
          </cell>
          <cell r="C769" t="str">
            <v>W</v>
          </cell>
          <cell r="D769">
            <v>48</v>
          </cell>
          <cell r="E769">
            <v>49</v>
          </cell>
          <cell r="F769">
            <v>50</v>
          </cell>
          <cell r="G769">
            <v>51</v>
          </cell>
          <cell r="H769">
            <v>52</v>
          </cell>
          <cell r="I769">
            <v>53</v>
          </cell>
          <cell r="J769">
            <v>54</v>
          </cell>
          <cell r="K769">
            <v>55</v>
          </cell>
          <cell r="L769">
            <v>56</v>
          </cell>
          <cell r="M769">
            <v>57</v>
          </cell>
          <cell r="N769">
            <v>58</v>
          </cell>
          <cell r="O769">
            <v>59</v>
          </cell>
          <cell r="P769">
            <v>60</v>
          </cell>
        </row>
        <row r="770">
          <cell r="A770">
            <v>39745</v>
          </cell>
          <cell r="B770">
            <v>10</v>
          </cell>
          <cell r="C770" t="str">
            <v>W</v>
          </cell>
          <cell r="D770">
            <v>51</v>
          </cell>
          <cell r="E770">
            <v>52</v>
          </cell>
          <cell r="F770">
            <v>53</v>
          </cell>
          <cell r="G770">
            <v>54</v>
          </cell>
          <cell r="H770">
            <v>55</v>
          </cell>
          <cell r="I770">
            <v>56</v>
          </cell>
          <cell r="J770">
            <v>57</v>
          </cell>
          <cell r="K770">
            <v>58</v>
          </cell>
          <cell r="L770">
            <v>59</v>
          </cell>
          <cell r="M770">
            <v>60</v>
          </cell>
          <cell r="N770">
            <v>61</v>
          </cell>
          <cell r="O770">
            <v>62</v>
          </cell>
          <cell r="P770">
            <v>63</v>
          </cell>
        </row>
        <row r="771">
          <cell r="A771">
            <v>39746</v>
          </cell>
          <cell r="B771">
            <v>10</v>
          </cell>
          <cell r="C771" t="str">
            <v>W</v>
          </cell>
          <cell r="D771">
            <v>53</v>
          </cell>
          <cell r="E771">
            <v>54</v>
          </cell>
          <cell r="F771">
            <v>55</v>
          </cell>
          <cell r="G771">
            <v>56</v>
          </cell>
          <cell r="H771">
            <v>57</v>
          </cell>
          <cell r="I771">
            <v>58</v>
          </cell>
          <cell r="J771">
            <v>59</v>
          </cell>
          <cell r="K771">
            <v>60</v>
          </cell>
          <cell r="L771">
            <v>61</v>
          </cell>
          <cell r="M771">
            <v>62</v>
          </cell>
          <cell r="N771">
            <v>63</v>
          </cell>
          <cell r="O771">
            <v>64</v>
          </cell>
          <cell r="P771">
            <v>65</v>
          </cell>
        </row>
        <row r="772">
          <cell r="A772">
            <v>39747</v>
          </cell>
          <cell r="B772">
            <v>10</v>
          </cell>
          <cell r="C772" t="str">
            <v>W</v>
          </cell>
          <cell r="D772">
            <v>52</v>
          </cell>
          <cell r="E772">
            <v>53</v>
          </cell>
          <cell r="F772">
            <v>54</v>
          </cell>
          <cell r="G772">
            <v>55</v>
          </cell>
          <cell r="H772">
            <v>56</v>
          </cell>
          <cell r="I772">
            <v>57</v>
          </cell>
          <cell r="J772">
            <v>58</v>
          </cell>
          <cell r="K772">
            <v>59</v>
          </cell>
          <cell r="L772">
            <v>60</v>
          </cell>
          <cell r="M772">
            <v>61</v>
          </cell>
          <cell r="N772">
            <v>62</v>
          </cell>
          <cell r="O772">
            <v>63</v>
          </cell>
          <cell r="P772">
            <v>64</v>
          </cell>
        </row>
        <row r="773">
          <cell r="A773">
            <v>39748</v>
          </cell>
          <cell r="B773">
            <v>10</v>
          </cell>
          <cell r="C773" t="str">
            <v>W</v>
          </cell>
          <cell r="D773">
            <v>57</v>
          </cell>
          <cell r="E773">
            <v>58</v>
          </cell>
          <cell r="F773">
            <v>59</v>
          </cell>
          <cell r="G773">
            <v>60</v>
          </cell>
          <cell r="H773">
            <v>61</v>
          </cell>
          <cell r="I773">
            <v>62</v>
          </cell>
          <cell r="J773">
            <v>63</v>
          </cell>
          <cell r="K773">
            <v>64</v>
          </cell>
          <cell r="L773">
            <v>65</v>
          </cell>
          <cell r="M773">
            <v>66</v>
          </cell>
          <cell r="N773">
            <v>67</v>
          </cell>
          <cell r="O773">
            <v>68</v>
          </cell>
          <cell r="P773">
            <v>69</v>
          </cell>
        </row>
        <row r="774">
          <cell r="A774">
            <v>39749</v>
          </cell>
          <cell r="B774">
            <v>10</v>
          </cell>
          <cell r="C774" t="str">
            <v>W</v>
          </cell>
          <cell r="D774">
            <v>57</v>
          </cell>
          <cell r="E774">
            <v>58</v>
          </cell>
          <cell r="F774">
            <v>59</v>
          </cell>
          <cell r="G774">
            <v>60</v>
          </cell>
          <cell r="H774">
            <v>61</v>
          </cell>
          <cell r="I774">
            <v>62</v>
          </cell>
          <cell r="J774">
            <v>63</v>
          </cell>
          <cell r="K774">
            <v>64</v>
          </cell>
          <cell r="L774">
            <v>65</v>
          </cell>
          <cell r="M774">
            <v>66</v>
          </cell>
          <cell r="N774">
            <v>67</v>
          </cell>
          <cell r="O774">
            <v>68</v>
          </cell>
          <cell r="P774">
            <v>69</v>
          </cell>
        </row>
        <row r="775">
          <cell r="A775">
            <v>39750</v>
          </cell>
          <cell r="B775">
            <v>10</v>
          </cell>
          <cell r="C775" t="str">
            <v>W</v>
          </cell>
          <cell r="D775">
            <v>55</v>
          </cell>
          <cell r="E775">
            <v>56</v>
          </cell>
          <cell r="F775">
            <v>57</v>
          </cell>
          <cell r="G775">
            <v>58</v>
          </cell>
          <cell r="H775">
            <v>59</v>
          </cell>
          <cell r="I775">
            <v>60</v>
          </cell>
          <cell r="J775">
            <v>61</v>
          </cell>
          <cell r="K775">
            <v>62</v>
          </cell>
          <cell r="L775">
            <v>63</v>
          </cell>
          <cell r="M775">
            <v>64</v>
          </cell>
          <cell r="N775">
            <v>65</v>
          </cell>
          <cell r="O775">
            <v>66</v>
          </cell>
          <cell r="P775">
            <v>67</v>
          </cell>
        </row>
        <row r="776">
          <cell r="A776">
            <v>39751</v>
          </cell>
          <cell r="B776">
            <v>10</v>
          </cell>
          <cell r="C776" t="str">
            <v>W</v>
          </cell>
          <cell r="D776">
            <v>52</v>
          </cell>
          <cell r="E776">
            <v>53</v>
          </cell>
          <cell r="F776">
            <v>54</v>
          </cell>
          <cell r="G776">
            <v>55</v>
          </cell>
          <cell r="H776">
            <v>56</v>
          </cell>
          <cell r="I776">
            <v>57</v>
          </cell>
          <cell r="J776">
            <v>58</v>
          </cell>
          <cell r="K776">
            <v>59</v>
          </cell>
          <cell r="L776">
            <v>60</v>
          </cell>
          <cell r="M776">
            <v>61</v>
          </cell>
          <cell r="N776">
            <v>62</v>
          </cell>
          <cell r="O776">
            <v>63</v>
          </cell>
          <cell r="P776">
            <v>64</v>
          </cell>
        </row>
        <row r="777">
          <cell r="A777">
            <v>39752</v>
          </cell>
          <cell r="B777">
            <v>10</v>
          </cell>
          <cell r="C777" t="str">
            <v>W</v>
          </cell>
          <cell r="D777">
            <v>54</v>
          </cell>
          <cell r="E777">
            <v>55</v>
          </cell>
          <cell r="F777">
            <v>56</v>
          </cell>
          <cell r="G777">
            <v>57</v>
          </cell>
          <cell r="H777">
            <v>58</v>
          </cell>
          <cell r="I777">
            <v>59</v>
          </cell>
          <cell r="J777">
            <v>60</v>
          </cell>
          <cell r="K777">
            <v>61</v>
          </cell>
          <cell r="L777">
            <v>62</v>
          </cell>
          <cell r="M777">
            <v>63</v>
          </cell>
          <cell r="N777">
            <v>64</v>
          </cell>
          <cell r="O777">
            <v>65</v>
          </cell>
          <cell r="P777">
            <v>66</v>
          </cell>
        </row>
        <row r="778">
          <cell r="A778">
            <v>39753</v>
          </cell>
          <cell r="B778">
            <v>11</v>
          </cell>
          <cell r="C778" t="str">
            <v>W</v>
          </cell>
          <cell r="D778">
            <v>58</v>
          </cell>
          <cell r="E778">
            <v>59</v>
          </cell>
          <cell r="F778">
            <v>60</v>
          </cell>
          <cell r="G778">
            <v>61</v>
          </cell>
          <cell r="H778">
            <v>62</v>
          </cell>
          <cell r="I778">
            <v>63</v>
          </cell>
          <cell r="J778">
            <v>64</v>
          </cell>
          <cell r="K778">
            <v>65</v>
          </cell>
          <cell r="L778">
            <v>66</v>
          </cell>
          <cell r="M778">
            <v>67</v>
          </cell>
          <cell r="N778">
            <v>68</v>
          </cell>
          <cell r="O778">
            <v>69</v>
          </cell>
          <cell r="P778">
            <v>70</v>
          </cell>
        </row>
        <row r="779">
          <cell r="A779">
            <v>39754</v>
          </cell>
          <cell r="B779">
            <v>11</v>
          </cell>
          <cell r="C779" t="str">
            <v>W</v>
          </cell>
          <cell r="D779">
            <v>53</v>
          </cell>
          <cell r="E779">
            <v>54</v>
          </cell>
          <cell r="F779">
            <v>55</v>
          </cell>
          <cell r="G779">
            <v>56</v>
          </cell>
          <cell r="H779">
            <v>57</v>
          </cell>
          <cell r="I779">
            <v>58</v>
          </cell>
          <cell r="J779">
            <v>59</v>
          </cell>
          <cell r="K779">
            <v>60</v>
          </cell>
          <cell r="L779">
            <v>61</v>
          </cell>
          <cell r="M779">
            <v>62</v>
          </cell>
          <cell r="N779">
            <v>63</v>
          </cell>
          <cell r="O779">
            <v>64</v>
          </cell>
          <cell r="P779">
            <v>65</v>
          </cell>
        </row>
        <row r="780">
          <cell r="A780">
            <v>39755</v>
          </cell>
          <cell r="B780">
            <v>11</v>
          </cell>
          <cell r="C780" t="str">
            <v>W</v>
          </cell>
          <cell r="D780">
            <v>47</v>
          </cell>
          <cell r="E780">
            <v>48</v>
          </cell>
          <cell r="F780">
            <v>49</v>
          </cell>
          <cell r="G780">
            <v>50</v>
          </cell>
          <cell r="H780">
            <v>51</v>
          </cell>
          <cell r="I780">
            <v>52</v>
          </cell>
          <cell r="J780">
            <v>53</v>
          </cell>
          <cell r="K780">
            <v>54</v>
          </cell>
          <cell r="L780">
            <v>55</v>
          </cell>
          <cell r="M780">
            <v>56</v>
          </cell>
          <cell r="N780">
            <v>57</v>
          </cell>
          <cell r="O780">
            <v>58</v>
          </cell>
          <cell r="P780">
            <v>59</v>
          </cell>
        </row>
        <row r="781">
          <cell r="A781">
            <v>39756</v>
          </cell>
          <cell r="B781">
            <v>11</v>
          </cell>
          <cell r="C781" t="str">
            <v>W</v>
          </cell>
          <cell r="D781">
            <v>48</v>
          </cell>
          <cell r="E781">
            <v>49</v>
          </cell>
          <cell r="F781">
            <v>50</v>
          </cell>
          <cell r="G781">
            <v>51</v>
          </cell>
          <cell r="H781">
            <v>52</v>
          </cell>
          <cell r="I781">
            <v>53</v>
          </cell>
          <cell r="J781">
            <v>54</v>
          </cell>
          <cell r="K781">
            <v>55</v>
          </cell>
          <cell r="L781">
            <v>56</v>
          </cell>
          <cell r="M781">
            <v>57</v>
          </cell>
          <cell r="N781">
            <v>58</v>
          </cell>
          <cell r="O781">
            <v>59</v>
          </cell>
          <cell r="P781">
            <v>60</v>
          </cell>
        </row>
        <row r="782">
          <cell r="A782">
            <v>39757</v>
          </cell>
          <cell r="B782">
            <v>11</v>
          </cell>
          <cell r="C782" t="str">
            <v>W</v>
          </cell>
          <cell r="D782">
            <v>55</v>
          </cell>
          <cell r="E782">
            <v>56</v>
          </cell>
          <cell r="F782">
            <v>57</v>
          </cell>
          <cell r="G782">
            <v>58</v>
          </cell>
          <cell r="H782">
            <v>59</v>
          </cell>
          <cell r="I782">
            <v>60</v>
          </cell>
          <cell r="J782">
            <v>61</v>
          </cell>
          <cell r="K782">
            <v>62</v>
          </cell>
          <cell r="L782">
            <v>63</v>
          </cell>
          <cell r="M782">
            <v>64</v>
          </cell>
          <cell r="N782">
            <v>65</v>
          </cell>
          <cell r="O782">
            <v>66</v>
          </cell>
          <cell r="P782">
            <v>67</v>
          </cell>
        </row>
        <row r="783">
          <cell r="A783">
            <v>39758</v>
          </cell>
          <cell r="B783">
            <v>11</v>
          </cell>
          <cell r="C783" t="str">
            <v>W</v>
          </cell>
          <cell r="D783">
            <v>55</v>
          </cell>
          <cell r="E783">
            <v>56</v>
          </cell>
          <cell r="F783">
            <v>57</v>
          </cell>
          <cell r="G783">
            <v>58</v>
          </cell>
          <cell r="H783">
            <v>59</v>
          </cell>
          <cell r="I783">
            <v>60</v>
          </cell>
          <cell r="J783">
            <v>61</v>
          </cell>
          <cell r="K783">
            <v>62</v>
          </cell>
          <cell r="L783">
            <v>63</v>
          </cell>
          <cell r="M783">
            <v>64</v>
          </cell>
          <cell r="N783">
            <v>65</v>
          </cell>
          <cell r="O783">
            <v>66</v>
          </cell>
          <cell r="P783">
            <v>67</v>
          </cell>
        </row>
        <row r="784">
          <cell r="A784">
            <v>39759</v>
          </cell>
          <cell r="B784">
            <v>11</v>
          </cell>
          <cell r="C784" t="str">
            <v>W</v>
          </cell>
          <cell r="D784">
            <v>62</v>
          </cell>
          <cell r="E784">
            <v>63</v>
          </cell>
          <cell r="F784">
            <v>64</v>
          </cell>
          <cell r="G784">
            <v>65</v>
          </cell>
          <cell r="H784">
            <v>66</v>
          </cell>
          <cell r="I784">
            <v>67</v>
          </cell>
          <cell r="J784">
            <v>68</v>
          </cell>
          <cell r="K784">
            <v>69</v>
          </cell>
          <cell r="L784">
            <v>70</v>
          </cell>
          <cell r="M784">
            <v>71</v>
          </cell>
          <cell r="N784">
            <v>72</v>
          </cell>
          <cell r="O784">
            <v>73</v>
          </cell>
          <cell r="P784">
            <v>74</v>
          </cell>
        </row>
        <row r="785">
          <cell r="A785">
            <v>39760</v>
          </cell>
          <cell r="B785">
            <v>11</v>
          </cell>
          <cell r="C785" t="str">
            <v>W</v>
          </cell>
          <cell r="D785">
            <v>59</v>
          </cell>
          <cell r="E785">
            <v>60</v>
          </cell>
          <cell r="F785">
            <v>61</v>
          </cell>
          <cell r="G785">
            <v>62</v>
          </cell>
          <cell r="H785">
            <v>63</v>
          </cell>
          <cell r="I785">
            <v>64</v>
          </cell>
          <cell r="J785">
            <v>65</v>
          </cell>
          <cell r="K785">
            <v>66</v>
          </cell>
          <cell r="L785">
            <v>67</v>
          </cell>
          <cell r="M785">
            <v>68</v>
          </cell>
          <cell r="N785">
            <v>69</v>
          </cell>
          <cell r="O785">
            <v>70</v>
          </cell>
          <cell r="P785">
            <v>71</v>
          </cell>
        </row>
        <row r="786">
          <cell r="A786">
            <v>39761</v>
          </cell>
          <cell r="B786">
            <v>11</v>
          </cell>
          <cell r="C786" t="str">
            <v>W</v>
          </cell>
          <cell r="D786">
            <v>61</v>
          </cell>
          <cell r="E786">
            <v>62</v>
          </cell>
          <cell r="F786">
            <v>63</v>
          </cell>
          <cell r="G786">
            <v>64</v>
          </cell>
          <cell r="H786">
            <v>65</v>
          </cell>
          <cell r="I786">
            <v>66</v>
          </cell>
          <cell r="J786">
            <v>67</v>
          </cell>
          <cell r="K786">
            <v>68</v>
          </cell>
          <cell r="L786">
            <v>69</v>
          </cell>
          <cell r="M786">
            <v>70</v>
          </cell>
          <cell r="N786">
            <v>71</v>
          </cell>
          <cell r="O786">
            <v>72</v>
          </cell>
          <cell r="P786">
            <v>73</v>
          </cell>
        </row>
        <row r="787">
          <cell r="A787">
            <v>39762</v>
          </cell>
          <cell r="B787">
            <v>11</v>
          </cell>
          <cell r="C787" t="str">
            <v>W</v>
          </cell>
          <cell r="D787">
            <v>48</v>
          </cell>
          <cell r="E787">
            <v>49</v>
          </cell>
          <cell r="F787">
            <v>50</v>
          </cell>
          <cell r="G787">
            <v>51</v>
          </cell>
          <cell r="H787">
            <v>52</v>
          </cell>
          <cell r="I787">
            <v>53</v>
          </cell>
          <cell r="J787">
            <v>54</v>
          </cell>
          <cell r="K787">
            <v>55</v>
          </cell>
          <cell r="L787">
            <v>56</v>
          </cell>
          <cell r="M787">
            <v>57</v>
          </cell>
          <cell r="N787">
            <v>58</v>
          </cell>
          <cell r="O787">
            <v>59</v>
          </cell>
          <cell r="P787">
            <v>60</v>
          </cell>
        </row>
        <row r="788">
          <cell r="A788">
            <v>39763</v>
          </cell>
          <cell r="B788">
            <v>11</v>
          </cell>
          <cell r="C788" t="str">
            <v>W</v>
          </cell>
          <cell r="D788">
            <v>46</v>
          </cell>
          <cell r="E788">
            <v>47</v>
          </cell>
          <cell r="F788">
            <v>48</v>
          </cell>
          <cell r="G788">
            <v>49</v>
          </cell>
          <cell r="H788">
            <v>50</v>
          </cell>
          <cell r="I788">
            <v>51</v>
          </cell>
          <cell r="J788">
            <v>52</v>
          </cell>
          <cell r="K788">
            <v>53</v>
          </cell>
          <cell r="L788">
            <v>54</v>
          </cell>
          <cell r="M788">
            <v>55</v>
          </cell>
          <cell r="N788">
            <v>56</v>
          </cell>
          <cell r="O788">
            <v>57</v>
          </cell>
          <cell r="P788">
            <v>58</v>
          </cell>
        </row>
        <row r="789">
          <cell r="A789">
            <v>39764</v>
          </cell>
          <cell r="B789">
            <v>11</v>
          </cell>
          <cell r="C789" t="str">
            <v>W</v>
          </cell>
          <cell r="D789">
            <v>45</v>
          </cell>
          <cell r="E789">
            <v>46</v>
          </cell>
          <cell r="F789">
            <v>47</v>
          </cell>
          <cell r="G789">
            <v>48</v>
          </cell>
          <cell r="H789">
            <v>49</v>
          </cell>
          <cell r="I789">
            <v>50</v>
          </cell>
          <cell r="J789">
            <v>51</v>
          </cell>
          <cell r="K789">
            <v>52</v>
          </cell>
          <cell r="L789">
            <v>53</v>
          </cell>
          <cell r="M789">
            <v>54</v>
          </cell>
          <cell r="N789">
            <v>55</v>
          </cell>
          <cell r="O789">
            <v>56</v>
          </cell>
          <cell r="P789">
            <v>57</v>
          </cell>
        </row>
        <row r="790">
          <cell r="A790">
            <v>39765</v>
          </cell>
          <cell r="B790">
            <v>11</v>
          </cell>
          <cell r="C790" t="str">
            <v>W</v>
          </cell>
          <cell r="D790">
            <v>51</v>
          </cell>
          <cell r="E790">
            <v>52</v>
          </cell>
          <cell r="F790">
            <v>53</v>
          </cell>
          <cell r="G790">
            <v>54</v>
          </cell>
          <cell r="H790">
            <v>55</v>
          </cell>
          <cell r="I790">
            <v>56</v>
          </cell>
          <cell r="J790">
            <v>57</v>
          </cell>
          <cell r="K790">
            <v>58</v>
          </cell>
          <cell r="L790">
            <v>59</v>
          </cell>
          <cell r="M790">
            <v>60</v>
          </cell>
          <cell r="N790">
            <v>61</v>
          </cell>
          <cell r="O790">
            <v>62</v>
          </cell>
          <cell r="P790">
            <v>63</v>
          </cell>
        </row>
        <row r="791">
          <cell r="A791">
            <v>39766</v>
          </cell>
          <cell r="B791">
            <v>11</v>
          </cell>
          <cell r="C791" t="str">
            <v>W</v>
          </cell>
          <cell r="D791">
            <v>58</v>
          </cell>
          <cell r="E791">
            <v>59</v>
          </cell>
          <cell r="F791">
            <v>60</v>
          </cell>
          <cell r="G791">
            <v>61</v>
          </cell>
          <cell r="H791">
            <v>62</v>
          </cell>
          <cell r="I791">
            <v>63</v>
          </cell>
          <cell r="J791">
            <v>64</v>
          </cell>
          <cell r="K791">
            <v>65</v>
          </cell>
          <cell r="L791">
            <v>66</v>
          </cell>
          <cell r="M791">
            <v>67</v>
          </cell>
          <cell r="N791">
            <v>68</v>
          </cell>
          <cell r="O791">
            <v>69</v>
          </cell>
          <cell r="P791">
            <v>70</v>
          </cell>
        </row>
        <row r="792">
          <cell r="A792">
            <v>39767</v>
          </cell>
          <cell r="B792">
            <v>11</v>
          </cell>
          <cell r="C792" t="str">
            <v>W</v>
          </cell>
          <cell r="D792">
            <v>48</v>
          </cell>
          <cell r="E792">
            <v>49</v>
          </cell>
          <cell r="F792">
            <v>50</v>
          </cell>
          <cell r="G792">
            <v>51</v>
          </cell>
          <cell r="H792">
            <v>52</v>
          </cell>
          <cell r="I792">
            <v>53</v>
          </cell>
          <cell r="J792">
            <v>54</v>
          </cell>
          <cell r="K792">
            <v>55</v>
          </cell>
          <cell r="L792">
            <v>56</v>
          </cell>
          <cell r="M792">
            <v>57</v>
          </cell>
          <cell r="N792">
            <v>58</v>
          </cell>
          <cell r="O792">
            <v>59</v>
          </cell>
          <cell r="P792">
            <v>60</v>
          </cell>
        </row>
        <row r="793">
          <cell r="A793">
            <v>39768</v>
          </cell>
          <cell r="B793">
            <v>11</v>
          </cell>
          <cell r="C793" t="str">
            <v>W</v>
          </cell>
          <cell r="D793">
            <v>56</v>
          </cell>
          <cell r="E793">
            <v>57</v>
          </cell>
          <cell r="F793">
            <v>58</v>
          </cell>
          <cell r="G793">
            <v>59</v>
          </cell>
          <cell r="H793">
            <v>60</v>
          </cell>
          <cell r="I793">
            <v>61</v>
          </cell>
          <cell r="J793">
            <v>62</v>
          </cell>
          <cell r="K793">
            <v>63</v>
          </cell>
          <cell r="L793">
            <v>64</v>
          </cell>
          <cell r="M793">
            <v>65</v>
          </cell>
          <cell r="N793">
            <v>66</v>
          </cell>
          <cell r="O793">
            <v>67</v>
          </cell>
          <cell r="P793">
            <v>68</v>
          </cell>
        </row>
        <row r="794">
          <cell r="A794">
            <v>39769</v>
          </cell>
          <cell r="B794">
            <v>11</v>
          </cell>
          <cell r="C794" t="str">
            <v>W</v>
          </cell>
          <cell r="D794">
            <v>44</v>
          </cell>
          <cell r="E794">
            <v>45</v>
          </cell>
          <cell r="F794">
            <v>46</v>
          </cell>
          <cell r="G794">
            <v>47</v>
          </cell>
          <cell r="H794">
            <v>48</v>
          </cell>
          <cell r="I794">
            <v>49</v>
          </cell>
          <cell r="J794">
            <v>50</v>
          </cell>
          <cell r="K794">
            <v>51</v>
          </cell>
          <cell r="L794">
            <v>52</v>
          </cell>
          <cell r="M794">
            <v>53</v>
          </cell>
          <cell r="N794">
            <v>54</v>
          </cell>
          <cell r="O794">
            <v>55</v>
          </cell>
          <cell r="P794">
            <v>56</v>
          </cell>
        </row>
        <row r="795">
          <cell r="A795">
            <v>39770</v>
          </cell>
          <cell r="B795">
            <v>11</v>
          </cell>
          <cell r="C795" t="str">
            <v>W</v>
          </cell>
          <cell r="D795">
            <v>56</v>
          </cell>
          <cell r="E795">
            <v>57</v>
          </cell>
          <cell r="F795">
            <v>58</v>
          </cell>
          <cell r="G795">
            <v>59</v>
          </cell>
          <cell r="H795">
            <v>60</v>
          </cell>
          <cell r="I795">
            <v>61</v>
          </cell>
          <cell r="J795">
            <v>62</v>
          </cell>
          <cell r="K795">
            <v>63</v>
          </cell>
          <cell r="L795">
            <v>64</v>
          </cell>
          <cell r="M795">
            <v>65</v>
          </cell>
          <cell r="N795">
            <v>66</v>
          </cell>
          <cell r="O795">
            <v>67</v>
          </cell>
          <cell r="P795">
            <v>68</v>
          </cell>
        </row>
        <row r="796">
          <cell r="A796">
            <v>39771</v>
          </cell>
          <cell r="B796">
            <v>11</v>
          </cell>
          <cell r="C796" t="str">
            <v>W</v>
          </cell>
          <cell r="D796">
            <v>70</v>
          </cell>
          <cell r="E796">
            <v>71</v>
          </cell>
          <cell r="F796">
            <v>72</v>
          </cell>
          <cell r="G796">
            <v>73</v>
          </cell>
          <cell r="H796">
            <v>74</v>
          </cell>
          <cell r="I796">
            <v>75</v>
          </cell>
          <cell r="J796">
            <v>76</v>
          </cell>
          <cell r="K796">
            <v>77</v>
          </cell>
          <cell r="L796">
            <v>78</v>
          </cell>
          <cell r="M796">
            <v>79</v>
          </cell>
          <cell r="N796">
            <v>80</v>
          </cell>
          <cell r="O796">
            <v>81</v>
          </cell>
          <cell r="P796">
            <v>82</v>
          </cell>
        </row>
        <row r="797">
          <cell r="A797">
            <v>39772</v>
          </cell>
          <cell r="B797">
            <v>11</v>
          </cell>
          <cell r="C797" t="str">
            <v>W</v>
          </cell>
          <cell r="D797">
            <v>71</v>
          </cell>
          <cell r="E797">
            <v>72</v>
          </cell>
          <cell r="F797">
            <v>73</v>
          </cell>
          <cell r="G797">
            <v>74</v>
          </cell>
          <cell r="H797">
            <v>75</v>
          </cell>
          <cell r="I797">
            <v>76</v>
          </cell>
          <cell r="J797">
            <v>77</v>
          </cell>
          <cell r="K797">
            <v>78</v>
          </cell>
          <cell r="L797">
            <v>79</v>
          </cell>
          <cell r="M797">
            <v>80</v>
          </cell>
          <cell r="N797">
            <v>81</v>
          </cell>
          <cell r="O797">
            <v>82</v>
          </cell>
          <cell r="P797">
            <v>83</v>
          </cell>
        </row>
        <row r="798">
          <cell r="A798">
            <v>39773</v>
          </cell>
          <cell r="B798">
            <v>11</v>
          </cell>
          <cell r="C798" t="str">
            <v>W</v>
          </cell>
          <cell r="D798">
            <v>70</v>
          </cell>
          <cell r="E798">
            <v>71</v>
          </cell>
          <cell r="F798">
            <v>72</v>
          </cell>
          <cell r="G798">
            <v>73</v>
          </cell>
          <cell r="H798">
            <v>74</v>
          </cell>
          <cell r="I798">
            <v>75</v>
          </cell>
          <cell r="J798">
            <v>76</v>
          </cell>
          <cell r="K798">
            <v>77</v>
          </cell>
          <cell r="L798">
            <v>78</v>
          </cell>
          <cell r="M798">
            <v>79</v>
          </cell>
          <cell r="N798">
            <v>80</v>
          </cell>
          <cell r="O798">
            <v>81</v>
          </cell>
          <cell r="P798">
            <v>82</v>
          </cell>
        </row>
        <row r="799">
          <cell r="A799">
            <v>39774</v>
          </cell>
          <cell r="B799">
            <v>11</v>
          </cell>
          <cell r="C799" t="str">
            <v>W</v>
          </cell>
          <cell r="D799">
            <v>68</v>
          </cell>
          <cell r="E799">
            <v>69</v>
          </cell>
          <cell r="F799">
            <v>70</v>
          </cell>
          <cell r="G799">
            <v>71</v>
          </cell>
          <cell r="H799">
            <v>72</v>
          </cell>
          <cell r="I799">
            <v>73</v>
          </cell>
          <cell r="J799">
            <v>74</v>
          </cell>
          <cell r="K799">
            <v>75</v>
          </cell>
          <cell r="L799">
            <v>76</v>
          </cell>
          <cell r="M799">
            <v>77</v>
          </cell>
          <cell r="N799">
            <v>78</v>
          </cell>
          <cell r="O799">
            <v>79</v>
          </cell>
          <cell r="P799">
            <v>80</v>
          </cell>
        </row>
        <row r="800">
          <cell r="A800">
            <v>39775</v>
          </cell>
          <cell r="B800">
            <v>11</v>
          </cell>
          <cell r="C800" t="str">
            <v>W</v>
          </cell>
          <cell r="D800">
            <v>62</v>
          </cell>
          <cell r="E800">
            <v>63</v>
          </cell>
          <cell r="F800">
            <v>64</v>
          </cell>
          <cell r="G800">
            <v>65</v>
          </cell>
          <cell r="H800">
            <v>66</v>
          </cell>
          <cell r="I800">
            <v>67</v>
          </cell>
          <cell r="J800">
            <v>68</v>
          </cell>
          <cell r="K800">
            <v>69</v>
          </cell>
          <cell r="L800">
            <v>70</v>
          </cell>
          <cell r="M800">
            <v>71</v>
          </cell>
          <cell r="N800">
            <v>72</v>
          </cell>
          <cell r="O800">
            <v>73</v>
          </cell>
          <cell r="P800">
            <v>74</v>
          </cell>
        </row>
        <row r="801">
          <cell r="A801">
            <v>39776</v>
          </cell>
          <cell r="B801">
            <v>11</v>
          </cell>
          <cell r="C801" t="str">
            <v>W</v>
          </cell>
          <cell r="D801">
            <v>51</v>
          </cell>
          <cell r="E801">
            <v>52</v>
          </cell>
          <cell r="F801">
            <v>53</v>
          </cell>
          <cell r="G801">
            <v>54</v>
          </cell>
          <cell r="H801">
            <v>55</v>
          </cell>
          <cell r="I801">
            <v>56</v>
          </cell>
          <cell r="J801">
            <v>57</v>
          </cell>
          <cell r="K801">
            <v>58</v>
          </cell>
          <cell r="L801">
            <v>59</v>
          </cell>
          <cell r="M801">
            <v>60</v>
          </cell>
          <cell r="N801">
            <v>61</v>
          </cell>
          <cell r="O801">
            <v>62</v>
          </cell>
          <cell r="P801">
            <v>63</v>
          </cell>
        </row>
        <row r="802">
          <cell r="A802">
            <v>39777</v>
          </cell>
          <cell r="B802">
            <v>11</v>
          </cell>
          <cell r="C802" t="str">
            <v>W</v>
          </cell>
          <cell r="D802">
            <v>50</v>
          </cell>
          <cell r="E802">
            <v>51</v>
          </cell>
          <cell r="F802">
            <v>52</v>
          </cell>
          <cell r="G802">
            <v>53</v>
          </cell>
          <cell r="H802">
            <v>54</v>
          </cell>
          <cell r="I802">
            <v>55</v>
          </cell>
          <cell r="J802">
            <v>56</v>
          </cell>
          <cell r="K802">
            <v>57</v>
          </cell>
          <cell r="L802">
            <v>58</v>
          </cell>
          <cell r="M802">
            <v>59</v>
          </cell>
          <cell r="N802">
            <v>60</v>
          </cell>
          <cell r="O802">
            <v>61</v>
          </cell>
          <cell r="P802">
            <v>62</v>
          </cell>
        </row>
        <row r="803">
          <cell r="A803">
            <v>39778</v>
          </cell>
          <cell r="B803">
            <v>11</v>
          </cell>
          <cell r="C803" t="str">
            <v>W</v>
          </cell>
          <cell r="D803">
            <v>57</v>
          </cell>
          <cell r="E803">
            <v>58</v>
          </cell>
          <cell r="F803">
            <v>59</v>
          </cell>
          <cell r="G803">
            <v>60</v>
          </cell>
          <cell r="H803">
            <v>61</v>
          </cell>
          <cell r="I803">
            <v>62</v>
          </cell>
          <cell r="J803">
            <v>63</v>
          </cell>
          <cell r="K803">
            <v>64</v>
          </cell>
          <cell r="L803">
            <v>65</v>
          </cell>
          <cell r="M803">
            <v>66</v>
          </cell>
          <cell r="N803">
            <v>67</v>
          </cell>
          <cell r="O803">
            <v>68</v>
          </cell>
          <cell r="P803">
            <v>69</v>
          </cell>
        </row>
        <row r="804">
          <cell r="A804">
            <v>39779</v>
          </cell>
          <cell r="B804">
            <v>11</v>
          </cell>
          <cell r="C804" t="str">
            <v>W</v>
          </cell>
          <cell r="D804">
            <v>58</v>
          </cell>
          <cell r="E804">
            <v>59</v>
          </cell>
          <cell r="F804">
            <v>60</v>
          </cell>
          <cell r="G804">
            <v>61</v>
          </cell>
          <cell r="H804">
            <v>62</v>
          </cell>
          <cell r="I804">
            <v>63</v>
          </cell>
          <cell r="J804">
            <v>64</v>
          </cell>
          <cell r="K804">
            <v>65</v>
          </cell>
          <cell r="L804">
            <v>66</v>
          </cell>
          <cell r="M804">
            <v>67</v>
          </cell>
          <cell r="N804">
            <v>68</v>
          </cell>
          <cell r="O804">
            <v>69</v>
          </cell>
          <cell r="P804">
            <v>70</v>
          </cell>
        </row>
        <row r="805">
          <cell r="A805">
            <v>39780</v>
          </cell>
          <cell r="B805">
            <v>11</v>
          </cell>
          <cell r="C805" t="str">
            <v>W</v>
          </cell>
          <cell r="D805">
            <v>49</v>
          </cell>
          <cell r="E805">
            <v>50</v>
          </cell>
          <cell r="F805">
            <v>51</v>
          </cell>
          <cell r="G805">
            <v>52</v>
          </cell>
          <cell r="H805">
            <v>53</v>
          </cell>
          <cell r="I805">
            <v>54</v>
          </cell>
          <cell r="J805">
            <v>55</v>
          </cell>
          <cell r="K805">
            <v>56</v>
          </cell>
          <cell r="L805">
            <v>57</v>
          </cell>
          <cell r="M805">
            <v>58</v>
          </cell>
          <cell r="N805">
            <v>59</v>
          </cell>
          <cell r="O805">
            <v>60</v>
          </cell>
          <cell r="P805">
            <v>61</v>
          </cell>
        </row>
        <row r="806">
          <cell r="A806">
            <v>39781</v>
          </cell>
          <cell r="B806">
            <v>11</v>
          </cell>
          <cell r="C806" t="str">
            <v>W</v>
          </cell>
          <cell r="D806">
            <v>51</v>
          </cell>
          <cell r="E806">
            <v>52</v>
          </cell>
          <cell r="F806">
            <v>53</v>
          </cell>
          <cell r="G806">
            <v>54</v>
          </cell>
          <cell r="H806">
            <v>55</v>
          </cell>
          <cell r="I806">
            <v>56</v>
          </cell>
          <cell r="J806">
            <v>57</v>
          </cell>
          <cell r="K806">
            <v>58</v>
          </cell>
          <cell r="L806">
            <v>59</v>
          </cell>
          <cell r="M806">
            <v>60</v>
          </cell>
          <cell r="N806">
            <v>61</v>
          </cell>
          <cell r="O806">
            <v>62</v>
          </cell>
          <cell r="P806">
            <v>63</v>
          </cell>
        </row>
        <row r="807">
          <cell r="A807">
            <v>39782</v>
          </cell>
          <cell r="B807">
            <v>11</v>
          </cell>
          <cell r="C807" t="str">
            <v>W</v>
          </cell>
          <cell r="D807">
            <v>49</v>
          </cell>
          <cell r="E807">
            <v>50</v>
          </cell>
          <cell r="F807">
            <v>51</v>
          </cell>
          <cell r="G807">
            <v>52</v>
          </cell>
          <cell r="H807">
            <v>53</v>
          </cell>
          <cell r="I807">
            <v>54</v>
          </cell>
          <cell r="J807">
            <v>55</v>
          </cell>
          <cell r="K807">
            <v>56</v>
          </cell>
          <cell r="L807">
            <v>57</v>
          </cell>
          <cell r="M807">
            <v>58</v>
          </cell>
          <cell r="N807">
            <v>59</v>
          </cell>
          <cell r="O807">
            <v>60</v>
          </cell>
          <cell r="P807">
            <v>61</v>
          </cell>
        </row>
        <row r="808">
          <cell r="A808">
            <v>39783</v>
          </cell>
          <cell r="B808">
            <v>12</v>
          </cell>
          <cell r="C808" t="str">
            <v>W</v>
          </cell>
          <cell r="D808">
            <v>65</v>
          </cell>
          <cell r="E808">
            <v>66</v>
          </cell>
          <cell r="F808">
            <v>67</v>
          </cell>
          <cell r="G808">
            <v>68</v>
          </cell>
          <cell r="H808">
            <v>69</v>
          </cell>
          <cell r="I808">
            <v>70</v>
          </cell>
          <cell r="J808">
            <v>71</v>
          </cell>
          <cell r="K808">
            <v>72</v>
          </cell>
          <cell r="L808">
            <v>73</v>
          </cell>
          <cell r="M808">
            <v>74</v>
          </cell>
          <cell r="N808">
            <v>75</v>
          </cell>
          <cell r="O808">
            <v>76</v>
          </cell>
          <cell r="P808">
            <v>77</v>
          </cell>
        </row>
        <row r="809">
          <cell r="A809">
            <v>39784</v>
          </cell>
          <cell r="B809">
            <v>12</v>
          </cell>
          <cell r="C809" t="str">
            <v>W</v>
          </cell>
          <cell r="D809">
            <v>73</v>
          </cell>
          <cell r="E809">
            <v>74</v>
          </cell>
          <cell r="F809">
            <v>75</v>
          </cell>
          <cell r="G809">
            <v>76</v>
          </cell>
          <cell r="H809">
            <v>77</v>
          </cell>
          <cell r="I809">
            <v>78</v>
          </cell>
          <cell r="J809">
            <v>79</v>
          </cell>
          <cell r="K809">
            <v>80</v>
          </cell>
          <cell r="L809">
            <v>81</v>
          </cell>
          <cell r="M809">
            <v>82</v>
          </cell>
          <cell r="N809">
            <v>83</v>
          </cell>
          <cell r="O809">
            <v>84</v>
          </cell>
          <cell r="P809">
            <v>85</v>
          </cell>
        </row>
        <row r="810">
          <cell r="A810">
            <v>39785</v>
          </cell>
          <cell r="B810">
            <v>12</v>
          </cell>
          <cell r="C810" t="str">
            <v>W</v>
          </cell>
          <cell r="D810">
            <v>51</v>
          </cell>
          <cell r="E810">
            <v>52</v>
          </cell>
          <cell r="F810">
            <v>53</v>
          </cell>
          <cell r="G810">
            <v>54</v>
          </cell>
          <cell r="H810">
            <v>55</v>
          </cell>
          <cell r="I810">
            <v>56</v>
          </cell>
          <cell r="J810">
            <v>57</v>
          </cell>
          <cell r="K810">
            <v>58</v>
          </cell>
          <cell r="L810">
            <v>59</v>
          </cell>
          <cell r="M810">
            <v>60</v>
          </cell>
          <cell r="N810">
            <v>61</v>
          </cell>
          <cell r="O810">
            <v>62</v>
          </cell>
          <cell r="P810">
            <v>63</v>
          </cell>
        </row>
        <row r="811">
          <cell r="A811">
            <v>39786</v>
          </cell>
          <cell r="B811">
            <v>12</v>
          </cell>
          <cell r="C811" t="str">
            <v>W</v>
          </cell>
          <cell r="D811">
            <v>41</v>
          </cell>
          <cell r="E811">
            <v>42</v>
          </cell>
          <cell r="F811">
            <v>43</v>
          </cell>
          <cell r="G811">
            <v>44</v>
          </cell>
          <cell r="H811">
            <v>45</v>
          </cell>
          <cell r="I811">
            <v>46</v>
          </cell>
          <cell r="J811">
            <v>47</v>
          </cell>
          <cell r="K811">
            <v>48</v>
          </cell>
          <cell r="L811">
            <v>49</v>
          </cell>
          <cell r="M811">
            <v>50</v>
          </cell>
          <cell r="N811">
            <v>51</v>
          </cell>
          <cell r="O811">
            <v>52</v>
          </cell>
          <cell r="P811">
            <v>53</v>
          </cell>
        </row>
        <row r="812">
          <cell r="A812">
            <v>39787</v>
          </cell>
          <cell r="B812">
            <v>12</v>
          </cell>
          <cell r="C812" t="str">
            <v>W</v>
          </cell>
          <cell r="D812">
            <v>44</v>
          </cell>
          <cell r="E812">
            <v>45</v>
          </cell>
          <cell r="F812">
            <v>46</v>
          </cell>
          <cell r="G812">
            <v>47</v>
          </cell>
          <cell r="H812">
            <v>48</v>
          </cell>
          <cell r="I812">
            <v>49</v>
          </cell>
          <cell r="J812">
            <v>50</v>
          </cell>
          <cell r="K812">
            <v>51</v>
          </cell>
          <cell r="L812">
            <v>52</v>
          </cell>
          <cell r="M812">
            <v>53</v>
          </cell>
          <cell r="N812">
            <v>54</v>
          </cell>
          <cell r="O812">
            <v>55</v>
          </cell>
          <cell r="P812">
            <v>56</v>
          </cell>
        </row>
        <row r="813">
          <cell r="A813">
            <v>39788</v>
          </cell>
          <cell r="B813">
            <v>12</v>
          </cell>
          <cell r="C813" t="str">
            <v>W</v>
          </cell>
          <cell r="D813">
            <v>39</v>
          </cell>
          <cell r="E813">
            <v>40</v>
          </cell>
          <cell r="F813">
            <v>41</v>
          </cell>
          <cell r="G813">
            <v>42</v>
          </cell>
          <cell r="H813">
            <v>43</v>
          </cell>
          <cell r="I813">
            <v>44</v>
          </cell>
          <cell r="J813">
            <v>45</v>
          </cell>
          <cell r="K813">
            <v>46</v>
          </cell>
          <cell r="L813">
            <v>47</v>
          </cell>
          <cell r="M813">
            <v>48</v>
          </cell>
          <cell r="N813">
            <v>49</v>
          </cell>
          <cell r="O813">
            <v>50</v>
          </cell>
          <cell r="P813">
            <v>51</v>
          </cell>
        </row>
        <row r="814">
          <cell r="A814">
            <v>39789</v>
          </cell>
          <cell r="B814">
            <v>12</v>
          </cell>
          <cell r="C814" t="str">
            <v>W</v>
          </cell>
          <cell r="D814">
            <v>59</v>
          </cell>
          <cell r="E814">
            <v>60</v>
          </cell>
          <cell r="F814">
            <v>61</v>
          </cell>
          <cell r="G814">
            <v>62</v>
          </cell>
          <cell r="H814">
            <v>63</v>
          </cell>
          <cell r="I814">
            <v>64</v>
          </cell>
          <cell r="J814">
            <v>65</v>
          </cell>
          <cell r="K814">
            <v>66</v>
          </cell>
          <cell r="L814">
            <v>67</v>
          </cell>
          <cell r="M814">
            <v>68</v>
          </cell>
          <cell r="N814">
            <v>69</v>
          </cell>
          <cell r="O814">
            <v>70</v>
          </cell>
          <cell r="P814">
            <v>71</v>
          </cell>
        </row>
        <row r="815">
          <cell r="A815">
            <v>39790</v>
          </cell>
          <cell r="B815">
            <v>12</v>
          </cell>
          <cell r="C815" t="str">
            <v>W</v>
          </cell>
          <cell r="D815">
            <v>65</v>
          </cell>
          <cell r="E815">
            <v>66</v>
          </cell>
          <cell r="F815">
            <v>67</v>
          </cell>
          <cell r="G815">
            <v>68</v>
          </cell>
          <cell r="H815">
            <v>69</v>
          </cell>
          <cell r="I815">
            <v>70</v>
          </cell>
          <cell r="J815">
            <v>71</v>
          </cell>
          <cell r="K815">
            <v>72</v>
          </cell>
          <cell r="L815">
            <v>73</v>
          </cell>
          <cell r="M815">
            <v>74</v>
          </cell>
          <cell r="N815">
            <v>75</v>
          </cell>
          <cell r="O815">
            <v>76</v>
          </cell>
          <cell r="P815">
            <v>77</v>
          </cell>
        </row>
        <row r="816">
          <cell r="A816">
            <v>39791</v>
          </cell>
          <cell r="B816">
            <v>12</v>
          </cell>
          <cell r="C816" t="str">
            <v>W</v>
          </cell>
          <cell r="D816">
            <v>51</v>
          </cell>
          <cell r="E816">
            <v>52</v>
          </cell>
          <cell r="F816">
            <v>53</v>
          </cell>
          <cell r="G816">
            <v>54</v>
          </cell>
          <cell r="H816">
            <v>55</v>
          </cell>
          <cell r="I816">
            <v>56</v>
          </cell>
          <cell r="J816">
            <v>57</v>
          </cell>
          <cell r="K816">
            <v>58</v>
          </cell>
          <cell r="L816">
            <v>59</v>
          </cell>
          <cell r="M816">
            <v>60</v>
          </cell>
          <cell r="N816">
            <v>61</v>
          </cell>
          <cell r="O816">
            <v>62</v>
          </cell>
          <cell r="P816">
            <v>63</v>
          </cell>
        </row>
        <row r="817">
          <cell r="A817">
            <v>39792</v>
          </cell>
          <cell r="B817">
            <v>12</v>
          </cell>
          <cell r="C817" t="str">
            <v>W</v>
          </cell>
          <cell r="D817">
            <v>50</v>
          </cell>
          <cell r="E817">
            <v>51</v>
          </cell>
          <cell r="F817">
            <v>52</v>
          </cell>
          <cell r="G817">
            <v>53</v>
          </cell>
          <cell r="H817">
            <v>54</v>
          </cell>
          <cell r="I817">
            <v>55</v>
          </cell>
          <cell r="J817">
            <v>56</v>
          </cell>
          <cell r="K817">
            <v>57</v>
          </cell>
          <cell r="L817">
            <v>58</v>
          </cell>
          <cell r="M817">
            <v>59</v>
          </cell>
          <cell r="N817">
            <v>60</v>
          </cell>
          <cell r="O817">
            <v>61</v>
          </cell>
          <cell r="P817">
            <v>62</v>
          </cell>
        </row>
        <row r="818">
          <cell r="A818">
            <v>39793</v>
          </cell>
          <cell r="B818">
            <v>12</v>
          </cell>
          <cell r="C818" t="str">
            <v>W</v>
          </cell>
          <cell r="D818">
            <v>58</v>
          </cell>
          <cell r="E818">
            <v>59</v>
          </cell>
          <cell r="F818">
            <v>60</v>
          </cell>
          <cell r="G818">
            <v>61</v>
          </cell>
          <cell r="H818">
            <v>62</v>
          </cell>
          <cell r="I818">
            <v>63</v>
          </cell>
          <cell r="J818">
            <v>64</v>
          </cell>
          <cell r="K818">
            <v>65</v>
          </cell>
          <cell r="L818">
            <v>66</v>
          </cell>
          <cell r="M818">
            <v>67</v>
          </cell>
          <cell r="N818">
            <v>68</v>
          </cell>
          <cell r="O818">
            <v>69</v>
          </cell>
          <cell r="P818">
            <v>70</v>
          </cell>
        </row>
        <row r="819">
          <cell r="A819">
            <v>39794</v>
          </cell>
          <cell r="B819">
            <v>12</v>
          </cell>
          <cell r="C819" t="str">
            <v>W</v>
          </cell>
          <cell r="D819">
            <v>63</v>
          </cell>
          <cell r="E819">
            <v>64</v>
          </cell>
          <cell r="F819">
            <v>65</v>
          </cell>
          <cell r="G819">
            <v>66</v>
          </cell>
          <cell r="H819">
            <v>67</v>
          </cell>
          <cell r="I819">
            <v>68</v>
          </cell>
          <cell r="J819">
            <v>69</v>
          </cell>
          <cell r="K819">
            <v>70</v>
          </cell>
          <cell r="L819">
            <v>71</v>
          </cell>
          <cell r="M819">
            <v>72</v>
          </cell>
          <cell r="N819">
            <v>73</v>
          </cell>
          <cell r="O819">
            <v>74</v>
          </cell>
          <cell r="P819">
            <v>75</v>
          </cell>
        </row>
        <row r="820">
          <cell r="A820">
            <v>39795</v>
          </cell>
          <cell r="B820">
            <v>12</v>
          </cell>
          <cell r="C820" t="str">
            <v>W</v>
          </cell>
          <cell r="D820">
            <v>60</v>
          </cell>
          <cell r="E820">
            <v>61</v>
          </cell>
          <cell r="F820">
            <v>62</v>
          </cell>
          <cell r="G820">
            <v>63</v>
          </cell>
          <cell r="H820">
            <v>64</v>
          </cell>
          <cell r="I820">
            <v>65</v>
          </cell>
          <cell r="J820">
            <v>66</v>
          </cell>
          <cell r="K820">
            <v>67</v>
          </cell>
          <cell r="L820">
            <v>68</v>
          </cell>
          <cell r="M820">
            <v>69</v>
          </cell>
          <cell r="N820">
            <v>70</v>
          </cell>
          <cell r="O820">
            <v>71</v>
          </cell>
          <cell r="P820">
            <v>72</v>
          </cell>
        </row>
        <row r="821">
          <cell r="A821">
            <v>39796</v>
          </cell>
          <cell r="B821">
            <v>12</v>
          </cell>
          <cell r="C821" t="str">
            <v>W</v>
          </cell>
          <cell r="D821">
            <v>60</v>
          </cell>
          <cell r="E821">
            <v>61</v>
          </cell>
          <cell r="F821">
            <v>62</v>
          </cell>
          <cell r="G821">
            <v>63</v>
          </cell>
          <cell r="H821">
            <v>64</v>
          </cell>
          <cell r="I821">
            <v>65</v>
          </cell>
          <cell r="J821">
            <v>66</v>
          </cell>
          <cell r="K821">
            <v>67</v>
          </cell>
          <cell r="L821">
            <v>68</v>
          </cell>
          <cell r="M821">
            <v>69</v>
          </cell>
          <cell r="N821">
            <v>70</v>
          </cell>
          <cell r="O821">
            <v>71</v>
          </cell>
          <cell r="P821">
            <v>72</v>
          </cell>
        </row>
        <row r="822">
          <cell r="A822">
            <v>39797</v>
          </cell>
          <cell r="B822">
            <v>12</v>
          </cell>
          <cell r="C822" t="str">
            <v>W</v>
          </cell>
          <cell r="D822">
            <v>49</v>
          </cell>
          <cell r="E822">
            <v>50</v>
          </cell>
          <cell r="F822">
            <v>51</v>
          </cell>
          <cell r="G822">
            <v>52</v>
          </cell>
          <cell r="H822">
            <v>53</v>
          </cell>
          <cell r="I822">
            <v>54</v>
          </cell>
          <cell r="J822">
            <v>55</v>
          </cell>
          <cell r="K822">
            <v>56</v>
          </cell>
          <cell r="L822">
            <v>57</v>
          </cell>
          <cell r="M822">
            <v>58</v>
          </cell>
          <cell r="N822">
            <v>59</v>
          </cell>
          <cell r="O822">
            <v>60</v>
          </cell>
          <cell r="P822">
            <v>61</v>
          </cell>
        </row>
        <row r="823">
          <cell r="A823">
            <v>39798</v>
          </cell>
          <cell r="B823">
            <v>12</v>
          </cell>
          <cell r="C823" t="str">
            <v>W</v>
          </cell>
          <cell r="D823">
            <v>52</v>
          </cell>
          <cell r="E823">
            <v>53</v>
          </cell>
          <cell r="F823">
            <v>54</v>
          </cell>
          <cell r="G823">
            <v>55</v>
          </cell>
          <cell r="H823">
            <v>56</v>
          </cell>
          <cell r="I823">
            <v>57</v>
          </cell>
          <cell r="J823">
            <v>58</v>
          </cell>
          <cell r="K823">
            <v>59</v>
          </cell>
          <cell r="L823">
            <v>60</v>
          </cell>
          <cell r="M823">
            <v>61</v>
          </cell>
          <cell r="N823">
            <v>62</v>
          </cell>
          <cell r="O823">
            <v>63</v>
          </cell>
          <cell r="P823">
            <v>64</v>
          </cell>
        </row>
        <row r="824">
          <cell r="A824">
            <v>39799</v>
          </cell>
          <cell r="B824">
            <v>12</v>
          </cell>
          <cell r="C824" t="str">
            <v>W</v>
          </cell>
          <cell r="D824">
            <v>64</v>
          </cell>
          <cell r="E824">
            <v>65</v>
          </cell>
          <cell r="F824">
            <v>66</v>
          </cell>
          <cell r="G824">
            <v>67</v>
          </cell>
          <cell r="H824">
            <v>68</v>
          </cell>
          <cell r="I824">
            <v>69</v>
          </cell>
          <cell r="J824">
            <v>70</v>
          </cell>
          <cell r="K824">
            <v>71</v>
          </cell>
          <cell r="L824">
            <v>72</v>
          </cell>
          <cell r="M824">
            <v>73</v>
          </cell>
          <cell r="N824">
            <v>74</v>
          </cell>
          <cell r="O824">
            <v>75</v>
          </cell>
          <cell r="P824">
            <v>76</v>
          </cell>
        </row>
        <row r="825">
          <cell r="A825">
            <v>39800</v>
          </cell>
          <cell r="B825">
            <v>12</v>
          </cell>
          <cell r="C825" t="str">
            <v>W</v>
          </cell>
          <cell r="D825">
            <v>57</v>
          </cell>
          <cell r="E825">
            <v>58</v>
          </cell>
          <cell r="F825">
            <v>59</v>
          </cell>
          <cell r="G825">
            <v>60</v>
          </cell>
          <cell r="H825">
            <v>61</v>
          </cell>
          <cell r="I825">
            <v>62</v>
          </cell>
          <cell r="J825">
            <v>63</v>
          </cell>
          <cell r="K825">
            <v>64</v>
          </cell>
          <cell r="L825">
            <v>65</v>
          </cell>
          <cell r="M825">
            <v>66</v>
          </cell>
          <cell r="N825">
            <v>67</v>
          </cell>
          <cell r="O825">
            <v>68</v>
          </cell>
          <cell r="P825">
            <v>69</v>
          </cell>
        </row>
        <row r="826">
          <cell r="A826">
            <v>39801</v>
          </cell>
          <cell r="B826">
            <v>12</v>
          </cell>
          <cell r="C826" t="str">
            <v>W</v>
          </cell>
          <cell r="D826">
            <v>52</v>
          </cell>
          <cell r="E826">
            <v>53</v>
          </cell>
          <cell r="F826">
            <v>54</v>
          </cell>
          <cell r="G826">
            <v>55</v>
          </cell>
          <cell r="H826">
            <v>56</v>
          </cell>
          <cell r="I826">
            <v>57</v>
          </cell>
          <cell r="J826">
            <v>58</v>
          </cell>
          <cell r="K826">
            <v>59</v>
          </cell>
          <cell r="L826">
            <v>60</v>
          </cell>
          <cell r="M826">
            <v>61</v>
          </cell>
          <cell r="N826">
            <v>62</v>
          </cell>
          <cell r="O826">
            <v>63</v>
          </cell>
          <cell r="P826">
            <v>64</v>
          </cell>
        </row>
        <row r="827">
          <cell r="A827">
            <v>39802</v>
          </cell>
          <cell r="B827">
            <v>12</v>
          </cell>
          <cell r="C827" t="str">
            <v>W</v>
          </cell>
          <cell r="D827">
            <v>53</v>
          </cell>
          <cell r="E827">
            <v>54</v>
          </cell>
          <cell r="F827">
            <v>55</v>
          </cell>
          <cell r="G827">
            <v>56</v>
          </cell>
          <cell r="H827">
            <v>57</v>
          </cell>
          <cell r="I827">
            <v>58</v>
          </cell>
          <cell r="J827">
            <v>59</v>
          </cell>
          <cell r="K827">
            <v>60</v>
          </cell>
          <cell r="L827">
            <v>61</v>
          </cell>
          <cell r="M827">
            <v>62</v>
          </cell>
          <cell r="N827">
            <v>63</v>
          </cell>
          <cell r="O827">
            <v>64</v>
          </cell>
          <cell r="P827">
            <v>65</v>
          </cell>
        </row>
        <row r="828">
          <cell r="A828">
            <v>39803</v>
          </cell>
          <cell r="B828">
            <v>12</v>
          </cell>
          <cell r="C828" t="str">
            <v>W</v>
          </cell>
          <cell r="D828">
            <v>67</v>
          </cell>
          <cell r="E828">
            <v>68</v>
          </cell>
          <cell r="F828">
            <v>69</v>
          </cell>
          <cell r="G828">
            <v>70</v>
          </cell>
          <cell r="H828">
            <v>71</v>
          </cell>
          <cell r="I828">
            <v>72</v>
          </cell>
          <cell r="J828">
            <v>73</v>
          </cell>
          <cell r="K828">
            <v>74</v>
          </cell>
          <cell r="L828">
            <v>75</v>
          </cell>
          <cell r="M828">
            <v>76</v>
          </cell>
          <cell r="N828">
            <v>77</v>
          </cell>
          <cell r="O828">
            <v>78</v>
          </cell>
          <cell r="P828">
            <v>79</v>
          </cell>
        </row>
        <row r="829">
          <cell r="A829">
            <v>39804</v>
          </cell>
          <cell r="B829">
            <v>12</v>
          </cell>
          <cell r="C829" t="str">
            <v>W</v>
          </cell>
          <cell r="D829">
            <v>57</v>
          </cell>
          <cell r="E829">
            <v>58</v>
          </cell>
          <cell r="F829">
            <v>59</v>
          </cell>
          <cell r="G829">
            <v>60</v>
          </cell>
          <cell r="H829">
            <v>61</v>
          </cell>
          <cell r="I829">
            <v>62</v>
          </cell>
          <cell r="J829">
            <v>63</v>
          </cell>
          <cell r="K829">
            <v>64</v>
          </cell>
          <cell r="L829">
            <v>65</v>
          </cell>
          <cell r="M829">
            <v>66</v>
          </cell>
          <cell r="N829">
            <v>67</v>
          </cell>
          <cell r="O829">
            <v>68</v>
          </cell>
          <cell r="P829">
            <v>69</v>
          </cell>
        </row>
        <row r="830">
          <cell r="A830">
            <v>39805</v>
          </cell>
          <cell r="B830">
            <v>12</v>
          </cell>
          <cell r="C830" t="str">
            <v>W</v>
          </cell>
          <cell r="D830">
            <v>60</v>
          </cell>
          <cell r="E830">
            <v>61</v>
          </cell>
          <cell r="F830">
            <v>62</v>
          </cell>
          <cell r="G830">
            <v>63</v>
          </cell>
          <cell r="H830">
            <v>64</v>
          </cell>
          <cell r="I830">
            <v>65</v>
          </cell>
          <cell r="J830">
            <v>66</v>
          </cell>
          <cell r="K830">
            <v>67</v>
          </cell>
          <cell r="L830">
            <v>68</v>
          </cell>
          <cell r="M830">
            <v>69</v>
          </cell>
          <cell r="N830">
            <v>70</v>
          </cell>
          <cell r="O830">
            <v>71</v>
          </cell>
          <cell r="P830">
            <v>72</v>
          </cell>
        </row>
        <row r="831">
          <cell r="A831">
            <v>39806</v>
          </cell>
          <cell r="B831">
            <v>12</v>
          </cell>
          <cell r="C831" t="str">
            <v>W</v>
          </cell>
          <cell r="D831">
            <v>53</v>
          </cell>
          <cell r="E831">
            <v>54</v>
          </cell>
          <cell r="F831">
            <v>55</v>
          </cell>
          <cell r="G831">
            <v>56</v>
          </cell>
          <cell r="H831">
            <v>57</v>
          </cell>
          <cell r="I831">
            <v>58</v>
          </cell>
          <cell r="J831">
            <v>59</v>
          </cell>
          <cell r="K831">
            <v>60</v>
          </cell>
          <cell r="L831">
            <v>61</v>
          </cell>
          <cell r="M831">
            <v>62</v>
          </cell>
          <cell r="N831">
            <v>63</v>
          </cell>
          <cell r="O831">
            <v>64</v>
          </cell>
          <cell r="P831">
            <v>65</v>
          </cell>
        </row>
        <row r="832">
          <cell r="A832">
            <v>39807</v>
          </cell>
          <cell r="B832">
            <v>12</v>
          </cell>
          <cell r="C832" t="str">
            <v>W</v>
          </cell>
          <cell r="D832">
            <v>52</v>
          </cell>
          <cell r="E832">
            <v>53</v>
          </cell>
          <cell r="F832">
            <v>54</v>
          </cell>
          <cell r="G832">
            <v>55</v>
          </cell>
          <cell r="H832">
            <v>56</v>
          </cell>
          <cell r="I832">
            <v>57</v>
          </cell>
          <cell r="J832">
            <v>58</v>
          </cell>
          <cell r="K832">
            <v>59</v>
          </cell>
          <cell r="L832">
            <v>60</v>
          </cell>
          <cell r="M832">
            <v>61</v>
          </cell>
          <cell r="N832">
            <v>62</v>
          </cell>
          <cell r="O832">
            <v>63</v>
          </cell>
          <cell r="P832">
            <v>64</v>
          </cell>
        </row>
        <row r="833">
          <cell r="A833">
            <v>39808</v>
          </cell>
          <cell r="B833">
            <v>12</v>
          </cell>
          <cell r="C833" t="str">
            <v>W</v>
          </cell>
          <cell r="D833">
            <v>62</v>
          </cell>
          <cell r="E833">
            <v>63</v>
          </cell>
          <cell r="F833">
            <v>64</v>
          </cell>
          <cell r="G833">
            <v>65</v>
          </cell>
          <cell r="H833">
            <v>66</v>
          </cell>
          <cell r="I833">
            <v>67</v>
          </cell>
          <cell r="J833">
            <v>68</v>
          </cell>
          <cell r="K833">
            <v>69</v>
          </cell>
          <cell r="L833">
            <v>70</v>
          </cell>
          <cell r="M833">
            <v>71</v>
          </cell>
          <cell r="N833">
            <v>72</v>
          </cell>
          <cell r="O833">
            <v>73</v>
          </cell>
          <cell r="P833">
            <v>74</v>
          </cell>
        </row>
        <row r="834">
          <cell r="A834">
            <v>39809</v>
          </cell>
          <cell r="B834">
            <v>12</v>
          </cell>
          <cell r="C834" t="str">
            <v>W</v>
          </cell>
          <cell r="D834">
            <v>84</v>
          </cell>
          <cell r="E834">
            <v>85</v>
          </cell>
          <cell r="F834">
            <v>86</v>
          </cell>
          <cell r="G834">
            <v>87</v>
          </cell>
          <cell r="H834">
            <v>88</v>
          </cell>
          <cell r="I834">
            <v>89</v>
          </cell>
          <cell r="J834">
            <v>90</v>
          </cell>
          <cell r="K834">
            <v>91</v>
          </cell>
          <cell r="L834">
            <v>92</v>
          </cell>
          <cell r="M834">
            <v>93</v>
          </cell>
          <cell r="N834">
            <v>94</v>
          </cell>
          <cell r="O834">
            <v>95</v>
          </cell>
          <cell r="P834">
            <v>96</v>
          </cell>
        </row>
        <row r="835">
          <cell r="A835">
            <v>39810</v>
          </cell>
          <cell r="B835">
            <v>12</v>
          </cell>
          <cell r="C835" t="str">
            <v>W</v>
          </cell>
          <cell r="D835">
            <v>89</v>
          </cell>
          <cell r="E835">
            <v>90</v>
          </cell>
          <cell r="F835">
            <v>91</v>
          </cell>
          <cell r="G835">
            <v>92</v>
          </cell>
          <cell r="H835">
            <v>93</v>
          </cell>
          <cell r="I835">
            <v>94</v>
          </cell>
          <cell r="J835">
            <v>95</v>
          </cell>
          <cell r="K835">
            <v>96</v>
          </cell>
          <cell r="L835">
            <v>97</v>
          </cell>
          <cell r="M835">
            <v>98</v>
          </cell>
          <cell r="N835">
            <v>99</v>
          </cell>
          <cell r="O835">
            <v>100</v>
          </cell>
          <cell r="P835">
            <v>101</v>
          </cell>
        </row>
        <row r="836">
          <cell r="A836">
            <v>39811</v>
          </cell>
          <cell r="B836">
            <v>12</v>
          </cell>
          <cell r="C836" t="str">
            <v>W</v>
          </cell>
          <cell r="D836">
            <v>89</v>
          </cell>
          <cell r="E836">
            <v>90</v>
          </cell>
          <cell r="F836">
            <v>91</v>
          </cell>
          <cell r="G836">
            <v>92</v>
          </cell>
          <cell r="H836">
            <v>93</v>
          </cell>
          <cell r="I836">
            <v>94</v>
          </cell>
          <cell r="J836">
            <v>95</v>
          </cell>
          <cell r="K836">
            <v>96</v>
          </cell>
          <cell r="L836">
            <v>97</v>
          </cell>
          <cell r="M836">
            <v>98</v>
          </cell>
          <cell r="N836">
            <v>99</v>
          </cell>
          <cell r="O836">
            <v>100</v>
          </cell>
          <cell r="P836">
            <v>101</v>
          </cell>
        </row>
        <row r="837">
          <cell r="A837">
            <v>39812</v>
          </cell>
          <cell r="B837">
            <v>12</v>
          </cell>
          <cell r="C837" t="str">
            <v>W</v>
          </cell>
          <cell r="D837">
            <v>92</v>
          </cell>
          <cell r="E837">
            <v>93</v>
          </cell>
          <cell r="F837">
            <v>94</v>
          </cell>
          <cell r="G837">
            <v>95</v>
          </cell>
          <cell r="H837">
            <v>96</v>
          </cell>
          <cell r="I837">
            <v>97</v>
          </cell>
          <cell r="J837">
            <v>98</v>
          </cell>
          <cell r="K837">
            <v>99</v>
          </cell>
          <cell r="L837">
            <v>100</v>
          </cell>
          <cell r="M837">
            <v>101</v>
          </cell>
          <cell r="N837">
            <v>102</v>
          </cell>
          <cell r="O837">
            <v>103</v>
          </cell>
          <cell r="P837">
            <v>104</v>
          </cell>
        </row>
        <row r="838">
          <cell r="A838">
            <v>39813</v>
          </cell>
          <cell r="B838">
            <v>12</v>
          </cell>
          <cell r="C838" t="str">
            <v>W</v>
          </cell>
          <cell r="D838">
            <v>94</v>
          </cell>
          <cell r="E838">
            <v>95</v>
          </cell>
          <cell r="F838">
            <v>96</v>
          </cell>
          <cell r="G838">
            <v>97</v>
          </cell>
          <cell r="H838">
            <v>98</v>
          </cell>
          <cell r="I838">
            <v>99</v>
          </cell>
          <cell r="J838">
            <v>100</v>
          </cell>
          <cell r="K838">
            <v>101</v>
          </cell>
          <cell r="L838">
            <v>102</v>
          </cell>
          <cell r="M838">
            <v>103</v>
          </cell>
          <cell r="N838">
            <v>104</v>
          </cell>
          <cell r="O838">
            <v>105</v>
          </cell>
          <cell r="P838">
            <v>106</v>
          </cell>
        </row>
        <row r="839">
          <cell r="A839">
            <v>39814</v>
          </cell>
          <cell r="B839">
            <v>1</v>
          </cell>
          <cell r="C839" t="str">
            <v>W</v>
          </cell>
          <cell r="D839">
            <v>84</v>
          </cell>
          <cell r="E839">
            <v>85</v>
          </cell>
          <cell r="F839">
            <v>86</v>
          </cell>
          <cell r="G839">
            <v>87</v>
          </cell>
          <cell r="H839">
            <v>88</v>
          </cell>
          <cell r="I839">
            <v>89</v>
          </cell>
          <cell r="J839">
            <v>90</v>
          </cell>
          <cell r="K839">
            <v>91</v>
          </cell>
          <cell r="L839">
            <v>92</v>
          </cell>
          <cell r="M839">
            <v>93</v>
          </cell>
          <cell r="N839">
            <v>94</v>
          </cell>
          <cell r="O839">
            <v>95</v>
          </cell>
          <cell r="P839">
            <v>96</v>
          </cell>
        </row>
        <row r="840">
          <cell r="A840">
            <v>39815</v>
          </cell>
          <cell r="B840">
            <v>1</v>
          </cell>
          <cell r="C840" t="str">
            <v>W</v>
          </cell>
          <cell r="D840">
            <v>88</v>
          </cell>
          <cell r="E840">
            <v>89</v>
          </cell>
          <cell r="F840">
            <v>90</v>
          </cell>
          <cell r="G840">
            <v>91</v>
          </cell>
          <cell r="H840">
            <v>92</v>
          </cell>
          <cell r="I840">
            <v>93</v>
          </cell>
          <cell r="J840">
            <v>94</v>
          </cell>
          <cell r="K840">
            <v>95</v>
          </cell>
          <cell r="L840">
            <v>96</v>
          </cell>
          <cell r="M840">
            <v>97</v>
          </cell>
          <cell r="N840">
            <v>98</v>
          </cell>
          <cell r="O840">
            <v>99</v>
          </cell>
          <cell r="P840">
            <v>100</v>
          </cell>
        </row>
        <row r="841">
          <cell r="A841">
            <v>39816</v>
          </cell>
          <cell r="B841">
            <v>1</v>
          </cell>
          <cell r="C841" t="str">
            <v>W</v>
          </cell>
          <cell r="D841">
            <v>93</v>
          </cell>
          <cell r="E841">
            <v>94</v>
          </cell>
          <cell r="F841">
            <v>95</v>
          </cell>
          <cell r="G841">
            <v>96</v>
          </cell>
          <cell r="H841">
            <v>97</v>
          </cell>
          <cell r="I841">
            <v>98</v>
          </cell>
          <cell r="J841">
            <v>99</v>
          </cell>
          <cell r="K841">
            <v>100</v>
          </cell>
          <cell r="L841">
            <v>101</v>
          </cell>
          <cell r="M841">
            <v>102</v>
          </cell>
          <cell r="N841">
            <v>103</v>
          </cell>
          <cell r="O841">
            <v>104</v>
          </cell>
          <cell r="P841">
            <v>105</v>
          </cell>
        </row>
        <row r="842">
          <cell r="A842">
            <v>39817</v>
          </cell>
          <cell r="B842">
            <v>1</v>
          </cell>
          <cell r="C842" t="str">
            <v>W</v>
          </cell>
          <cell r="D842">
            <v>95</v>
          </cell>
          <cell r="E842">
            <v>96</v>
          </cell>
          <cell r="F842">
            <v>97</v>
          </cell>
          <cell r="G842">
            <v>98</v>
          </cell>
          <cell r="H842">
            <v>99</v>
          </cell>
          <cell r="I842">
            <v>100</v>
          </cell>
          <cell r="J842">
            <v>101</v>
          </cell>
          <cell r="K842">
            <v>102</v>
          </cell>
          <cell r="L842">
            <v>103</v>
          </cell>
          <cell r="M842">
            <v>104</v>
          </cell>
          <cell r="N842">
            <v>105</v>
          </cell>
          <cell r="O842">
            <v>106</v>
          </cell>
          <cell r="P842">
            <v>107</v>
          </cell>
        </row>
        <row r="843">
          <cell r="A843">
            <v>39818</v>
          </cell>
          <cell r="B843">
            <v>1</v>
          </cell>
          <cell r="C843" t="str">
            <v>W</v>
          </cell>
          <cell r="D843">
            <v>96</v>
          </cell>
          <cell r="E843">
            <v>97</v>
          </cell>
          <cell r="F843">
            <v>98</v>
          </cell>
          <cell r="G843">
            <v>99</v>
          </cell>
          <cell r="H843">
            <v>100</v>
          </cell>
          <cell r="I843">
            <v>101</v>
          </cell>
          <cell r="J843">
            <v>102</v>
          </cell>
          <cell r="K843">
            <v>103</v>
          </cell>
          <cell r="L843">
            <v>104</v>
          </cell>
          <cell r="M843">
            <v>105</v>
          </cell>
          <cell r="N843">
            <v>106</v>
          </cell>
          <cell r="O843">
            <v>107</v>
          </cell>
          <cell r="P843">
            <v>108</v>
          </cell>
        </row>
        <row r="844">
          <cell r="A844">
            <v>39819</v>
          </cell>
          <cell r="B844">
            <v>1</v>
          </cell>
          <cell r="C844" t="str">
            <v>W</v>
          </cell>
          <cell r="D844">
            <v>98</v>
          </cell>
          <cell r="E844">
            <v>99</v>
          </cell>
          <cell r="F844">
            <v>100</v>
          </cell>
          <cell r="G844">
            <v>101</v>
          </cell>
          <cell r="H844">
            <v>102</v>
          </cell>
          <cell r="I844">
            <v>103</v>
          </cell>
          <cell r="J844">
            <v>104</v>
          </cell>
          <cell r="K844">
            <v>105</v>
          </cell>
          <cell r="L844">
            <v>106</v>
          </cell>
          <cell r="M844">
            <v>107</v>
          </cell>
          <cell r="N844">
            <v>108</v>
          </cell>
          <cell r="O844">
            <v>109</v>
          </cell>
          <cell r="P844">
            <v>110</v>
          </cell>
        </row>
        <row r="845">
          <cell r="A845">
            <v>39820</v>
          </cell>
          <cell r="B845">
            <v>1</v>
          </cell>
          <cell r="C845" t="str">
            <v>W</v>
          </cell>
          <cell r="D845">
            <v>95</v>
          </cell>
          <cell r="E845">
            <v>96</v>
          </cell>
          <cell r="F845">
            <v>97</v>
          </cell>
          <cell r="G845">
            <v>98</v>
          </cell>
          <cell r="H845">
            <v>99</v>
          </cell>
          <cell r="I845">
            <v>100</v>
          </cell>
          <cell r="J845">
            <v>101</v>
          </cell>
          <cell r="K845">
            <v>102</v>
          </cell>
          <cell r="L845">
            <v>103</v>
          </cell>
          <cell r="M845">
            <v>104</v>
          </cell>
          <cell r="N845">
            <v>105</v>
          </cell>
          <cell r="O845">
            <v>106</v>
          </cell>
          <cell r="P845">
            <v>107</v>
          </cell>
        </row>
        <row r="846">
          <cell r="A846">
            <v>39821</v>
          </cell>
          <cell r="B846">
            <v>1</v>
          </cell>
          <cell r="C846" t="str">
            <v>W</v>
          </cell>
          <cell r="D846">
            <v>96</v>
          </cell>
          <cell r="E846">
            <v>97</v>
          </cell>
          <cell r="F846">
            <v>98</v>
          </cell>
          <cell r="G846">
            <v>99</v>
          </cell>
          <cell r="H846">
            <v>100</v>
          </cell>
          <cell r="I846">
            <v>101</v>
          </cell>
          <cell r="J846">
            <v>102</v>
          </cell>
          <cell r="K846">
            <v>103</v>
          </cell>
          <cell r="L846">
            <v>104</v>
          </cell>
          <cell r="M846">
            <v>105</v>
          </cell>
          <cell r="N846">
            <v>106</v>
          </cell>
          <cell r="O846">
            <v>107</v>
          </cell>
          <cell r="P846">
            <v>108</v>
          </cell>
        </row>
        <row r="847">
          <cell r="A847">
            <v>39822</v>
          </cell>
          <cell r="B847">
            <v>1</v>
          </cell>
          <cell r="C847" t="str">
            <v>W</v>
          </cell>
          <cell r="D847">
            <v>96</v>
          </cell>
          <cell r="E847">
            <v>97</v>
          </cell>
          <cell r="F847">
            <v>98</v>
          </cell>
          <cell r="G847">
            <v>99</v>
          </cell>
          <cell r="H847">
            <v>100</v>
          </cell>
          <cell r="I847">
            <v>101</v>
          </cell>
          <cell r="J847">
            <v>102</v>
          </cell>
          <cell r="K847">
            <v>103</v>
          </cell>
          <cell r="L847">
            <v>104</v>
          </cell>
          <cell r="M847">
            <v>105</v>
          </cell>
          <cell r="N847">
            <v>106</v>
          </cell>
          <cell r="O847">
            <v>107</v>
          </cell>
          <cell r="P847">
            <v>108</v>
          </cell>
        </row>
        <row r="848">
          <cell r="A848">
            <v>39823</v>
          </cell>
          <cell r="B848">
            <v>1</v>
          </cell>
          <cell r="C848" t="str">
            <v>W</v>
          </cell>
          <cell r="D848">
            <v>95</v>
          </cell>
          <cell r="E848">
            <v>96</v>
          </cell>
          <cell r="F848">
            <v>97</v>
          </cell>
          <cell r="G848">
            <v>98</v>
          </cell>
          <cell r="H848">
            <v>99</v>
          </cell>
          <cell r="I848">
            <v>100</v>
          </cell>
          <cell r="J848">
            <v>101</v>
          </cell>
          <cell r="K848">
            <v>102</v>
          </cell>
          <cell r="L848">
            <v>103</v>
          </cell>
          <cell r="M848">
            <v>104</v>
          </cell>
          <cell r="N848">
            <v>105</v>
          </cell>
          <cell r="O848">
            <v>106</v>
          </cell>
          <cell r="P848">
            <v>107</v>
          </cell>
        </row>
        <row r="849">
          <cell r="A849">
            <v>39824</v>
          </cell>
          <cell r="B849">
            <v>1</v>
          </cell>
          <cell r="C849" t="str">
            <v>W</v>
          </cell>
          <cell r="D849">
            <v>93</v>
          </cell>
          <cell r="E849">
            <v>94</v>
          </cell>
          <cell r="F849">
            <v>95</v>
          </cell>
          <cell r="G849">
            <v>96</v>
          </cell>
          <cell r="H849">
            <v>97</v>
          </cell>
          <cell r="I849">
            <v>98</v>
          </cell>
          <cell r="J849">
            <v>99</v>
          </cell>
          <cell r="K849">
            <v>100</v>
          </cell>
          <cell r="L849">
            <v>101</v>
          </cell>
          <cell r="M849">
            <v>102</v>
          </cell>
          <cell r="N849">
            <v>103</v>
          </cell>
          <cell r="O849">
            <v>104</v>
          </cell>
          <cell r="P849">
            <v>105</v>
          </cell>
        </row>
        <row r="850">
          <cell r="A850">
            <v>39825</v>
          </cell>
          <cell r="B850">
            <v>1</v>
          </cell>
          <cell r="C850" t="str">
            <v>W</v>
          </cell>
          <cell r="D850">
            <v>71</v>
          </cell>
          <cell r="E850">
            <v>72</v>
          </cell>
          <cell r="F850">
            <v>73</v>
          </cell>
          <cell r="G850">
            <v>74</v>
          </cell>
          <cell r="H850">
            <v>75</v>
          </cell>
          <cell r="I850">
            <v>76</v>
          </cell>
          <cell r="J850">
            <v>77</v>
          </cell>
          <cell r="K850">
            <v>78</v>
          </cell>
          <cell r="L850">
            <v>79</v>
          </cell>
          <cell r="M850">
            <v>80</v>
          </cell>
          <cell r="N850">
            <v>81</v>
          </cell>
          <cell r="O850">
            <v>82</v>
          </cell>
          <cell r="P850">
            <v>83</v>
          </cell>
        </row>
        <row r="851">
          <cell r="A851">
            <v>39826</v>
          </cell>
          <cell r="B851">
            <v>1</v>
          </cell>
          <cell r="C851" t="str">
            <v>W</v>
          </cell>
          <cell r="D851">
            <v>57</v>
          </cell>
          <cell r="E851">
            <v>58</v>
          </cell>
          <cell r="F851">
            <v>59</v>
          </cell>
          <cell r="G851">
            <v>60</v>
          </cell>
          <cell r="H851">
            <v>61</v>
          </cell>
          <cell r="I851">
            <v>62</v>
          </cell>
          <cell r="J851">
            <v>63</v>
          </cell>
          <cell r="K851">
            <v>64</v>
          </cell>
          <cell r="L851">
            <v>65</v>
          </cell>
          <cell r="M851">
            <v>66</v>
          </cell>
          <cell r="N851">
            <v>67</v>
          </cell>
          <cell r="O851">
            <v>68</v>
          </cell>
          <cell r="P851">
            <v>69</v>
          </cell>
        </row>
        <row r="852">
          <cell r="A852">
            <v>39827</v>
          </cell>
          <cell r="B852">
            <v>1</v>
          </cell>
          <cell r="C852" t="str">
            <v>W</v>
          </cell>
          <cell r="D852">
            <v>27</v>
          </cell>
          <cell r="E852">
            <v>28</v>
          </cell>
          <cell r="F852">
            <v>29</v>
          </cell>
          <cell r="G852">
            <v>30</v>
          </cell>
          <cell r="H852">
            <v>31</v>
          </cell>
          <cell r="I852">
            <v>32</v>
          </cell>
          <cell r="J852">
            <v>33</v>
          </cell>
          <cell r="K852">
            <v>34</v>
          </cell>
          <cell r="L852">
            <v>35</v>
          </cell>
          <cell r="M852">
            <v>36</v>
          </cell>
          <cell r="N852">
            <v>37</v>
          </cell>
          <cell r="O852">
            <v>38</v>
          </cell>
          <cell r="P852">
            <v>39</v>
          </cell>
        </row>
        <row r="853">
          <cell r="A853">
            <v>39828</v>
          </cell>
          <cell r="B853">
            <v>1</v>
          </cell>
          <cell r="C853" t="str">
            <v>W</v>
          </cell>
          <cell r="D853">
            <v>21</v>
          </cell>
          <cell r="E853">
            <v>22</v>
          </cell>
          <cell r="F853">
            <v>23</v>
          </cell>
          <cell r="G853">
            <v>24</v>
          </cell>
          <cell r="H853">
            <v>25</v>
          </cell>
          <cell r="I853">
            <v>26</v>
          </cell>
          <cell r="J853">
            <v>27</v>
          </cell>
          <cell r="K853">
            <v>28</v>
          </cell>
          <cell r="L853">
            <v>29</v>
          </cell>
          <cell r="M853">
            <v>30</v>
          </cell>
          <cell r="N853">
            <v>31</v>
          </cell>
          <cell r="O853">
            <v>32</v>
          </cell>
          <cell r="P853">
            <v>33</v>
          </cell>
        </row>
        <row r="854">
          <cell r="A854">
            <v>39829</v>
          </cell>
          <cell r="B854">
            <v>1</v>
          </cell>
          <cell r="C854" t="str">
            <v>W</v>
          </cell>
          <cell r="D854">
            <v>14</v>
          </cell>
          <cell r="E854">
            <v>15</v>
          </cell>
          <cell r="F854">
            <v>16</v>
          </cell>
          <cell r="G854">
            <v>17</v>
          </cell>
          <cell r="H854">
            <v>18</v>
          </cell>
          <cell r="I854">
            <v>19</v>
          </cell>
          <cell r="J854">
            <v>20</v>
          </cell>
          <cell r="K854">
            <v>21</v>
          </cell>
          <cell r="L854">
            <v>22</v>
          </cell>
          <cell r="M854">
            <v>23</v>
          </cell>
          <cell r="N854">
            <v>24</v>
          </cell>
          <cell r="O854">
            <v>25</v>
          </cell>
          <cell r="P854">
            <v>26</v>
          </cell>
        </row>
        <row r="855">
          <cell r="A855">
            <v>39830</v>
          </cell>
          <cell r="B855">
            <v>1</v>
          </cell>
          <cell r="C855" t="str">
            <v>W</v>
          </cell>
          <cell r="D855">
            <v>24</v>
          </cell>
          <cell r="E855">
            <v>25</v>
          </cell>
          <cell r="F855">
            <v>26</v>
          </cell>
          <cell r="G855">
            <v>27</v>
          </cell>
          <cell r="H855">
            <v>28</v>
          </cell>
          <cell r="I855">
            <v>29</v>
          </cell>
          <cell r="J855">
            <v>30</v>
          </cell>
          <cell r="K855">
            <v>31</v>
          </cell>
          <cell r="L855">
            <v>32</v>
          </cell>
          <cell r="M855">
            <v>33</v>
          </cell>
          <cell r="N855">
            <v>34</v>
          </cell>
          <cell r="O855">
            <v>35</v>
          </cell>
          <cell r="P855">
            <v>36</v>
          </cell>
        </row>
        <row r="856">
          <cell r="A856">
            <v>39831</v>
          </cell>
          <cell r="B856">
            <v>1</v>
          </cell>
          <cell r="C856" t="str">
            <v>W</v>
          </cell>
          <cell r="D856">
            <v>35</v>
          </cell>
          <cell r="E856">
            <v>36</v>
          </cell>
          <cell r="F856">
            <v>37</v>
          </cell>
          <cell r="G856">
            <v>38</v>
          </cell>
          <cell r="H856">
            <v>39</v>
          </cell>
          <cell r="I856">
            <v>40</v>
          </cell>
          <cell r="J856">
            <v>41</v>
          </cell>
          <cell r="K856">
            <v>42</v>
          </cell>
          <cell r="L856">
            <v>43</v>
          </cell>
          <cell r="M856">
            <v>44</v>
          </cell>
          <cell r="N856">
            <v>45</v>
          </cell>
          <cell r="O856">
            <v>46</v>
          </cell>
          <cell r="P856">
            <v>47</v>
          </cell>
        </row>
        <row r="857">
          <cell r="A857">
            <v>39832</v>
          </cell>
          <cell r="B857">
            <v>1</v>
          </cell>
          <cell r="C857" t="str">
            <v>W</v>
          </cell>
          <cell r="D857">
            <v>31</v>
          </cell>
          <cell r="E857">
            <v>32</v>
          </cell>
          <cell r="F857">
            <v>33</v>
          </cell>
          <cell r="G857">
            <v>34</v>
          </cell>
          <cell r="H857">
            <v>35</v>
          </cell>
          <cell r="I857">
            <v>36</v>
          </cell>
          <cell r="J857">
            <v>37</v>
          </cell>
          <cell r="K857">
            <v>38</v>
          </cell>
          <cell r="L857">
            <v>39</v>
          </cell>
          <cell r="M857">
            <v>40</v>
          </cell>
          <cell r="N857">
            <v>41</v>
          </cell>
          <cell r="O857">
            <v>42</v>
          </cell>
          <cell r="P857">
            <v>43</v>
          </cell>
        </row>
        <row r="858">
          <cell r="A858">
            <v>39833</v>
          </cell>
          <cell r="B858">
            <v>1</v>
          </cell>
          <cell r="C858" t="str">
            <v>W</v>
          </cell>
          <cell r="D858">
            <v>44</v>
          </cell>
          <cell r="E858">
            <v>45</v>
          </cell>
          <cell r="F858">
            <v>46</v>
          </cell>
          <cell r="G858">
            <v>47</v>
          </cell>
          <cell r="H858">
            <v>48</v>
          </cell>
          <cell r="I858">
            <v>49</v>
          </cell>
          <cell r="J858">
            <v>50</v>
          </cell>
          <cell r="K858">
            <v>51</v>
          </cell>
          <cell r="L858">
            <v>52</v>
          </cell>
          <cell r="M858">
            <v>53</v>
          </cell>
          <cell r="N858">
            <v>54</v>
          </cell>
          <cell r="O858">
            <v>55</v>
          </cell>
          <cell r="P858">
            <v>56</v>
          </cell>
        </row>
        <row r="859">
          <cell r="A859">
            <v>39834</v>
          </cell>
          <cell r="B859">
            <v>1</v>
          </cell>
          <cell r="C859" t="str">
            <v>W</v>
          </cell>
          <cell r="D859">
            <v>58</v>
          </cell>
          <cell r="E859">
            <v>59</v>
          </cell>
          <cell r="F859">
            <v>60</v>
          </cell>
          <cell r="G859">
            <v>61</v>
          </cell>
          <cell r="H859">
            <v>62</v>
          </cell>
          <cell r="I859">
            <v>63</v>
          </cell>
          <cell r="J859">
            <v>64</v>
          </cell>
          <cell r="K859">
            <v>65</v>
          </cell>
          <cell r="L859">
            <v>66</v>
          </cell>
          <cell r="M859">
            <v>67</v>
          </cell>
          <cell r="N859">
            <v>68</v>
          </cell>
          <cell r="O859">
            <v>69</v>
          </cell>
          <cell r="P859">
            <v>70</v>
          </cell>
        </row>
        <row r="860">
          <cell r="A860">
            <v>39835</v>
          </cell>
          <cell r="B860">
            <v>1</v>
          </cell>
          <cell r="C860" t="str">
            <v>W</v>
          </cell>
          <cell r="D860">
            <v>57</v>
          </cell>
          <cell r="E860">
            <v>58</v>
          </cell>
          <cell r="F860">
            <v>59</v>
          </cell>
          <cell r="G860">
            <v>60</v>
          </cell>
          <cell r="H860">
            <v>61</v>
          </cell>
          <cell r="I860">
            <v>62</v>
          </cell>
          <cell r="J860">
            <v>63</v>
          </cell>
          <cell r="K860">
            <v>64</v>
          </cell>
          <cell r="L860">
            <v>65</v>
          </cell>
          <cell r="M860">
            <v>66</v>
          </cell>
          <cell r="N860">
            <v>67</v>
          </cell>
          <cell r="O860">
            <v>68</v>
          </cell>
          <cell r="P860">
            <v>69</v>
          </cell>
        </row>
        <row r="861">
          <cell r="A861">
            <v>39836</v>
          </cell>
          <cell r="B861">
            <v>1</v>
          </cell>
          <cell r="C861" t="str">
            <v>W</v>
          </cell>
          <cell r="D861">
            <v>57</v>
          </cell>
          <cell r="E861">
            <v>58</v>
          </cell>
          <cell r="F861">
            <v>59</v>
          </cell>
          <cell r="G861">
            <v>60</v>
          </cell>
          <cell r="H861">
            <v>61</v>
          </cell>
          <cell r="I861">
            <v>62</v>
          </cell>
          <cell r="J861">
            <v>63</v>
          </cell>
          <cell r="K861">
            <v>64</v>
          </cell>
          <cell r="L861">
            <v>65</v>
          </cell>
          <cell r="M861">
            <v>66</v>
          </cell>
          <cell r="N861">
            <v>67</v>
          </cell>
          <cell r="O861">
            <v>68</v>
          </cell>
          <cell r="P861">
            <v>69</v>
          </cell>
        </row>
        <row r="862">
          <cell r="A862">
            <v>39837</v>
          </cell>
          <cell r="B862">
            <v>1</v>
          </cell>
          <cell r="C862" t="str">
            <v>W</v>
          </cell>
          <cell r="D862">
            <v>54</v>
          </cell>
          <cell r="E862">
            <v>55</v>
          </cell>
          <cell r="F862">
            <v>56</v>
          </cell>
          <cell r="G862">
            <v>57</v>
          </cell>
          <cell r="H862">
            <v>58</v>
          </cell>
          <cell r="I862">
            <v>59</v>
          </cell>
          <cell r="J862">
            <v>60</v>
          </cell>
          <cell r="K862">
            <v>61</v>
          </cell>
          <cell r="L862">
            <v>62</v>
          </cell>
          <cell r="M862">
            <v>63</v>
          </cell>
          <cell r="N862">
            <v>64</v>
          </cell>
          <cell r="O862">
            <v>65</v>
          </cell>
          <cell r="P862">
            <v>66</v>
          </cell>
        </row>
        <row r="863">
          <cell r="A863">
            <v>39838</v>
          </cell>
          <cell r="B863">
            <v>1</v>
          </cell>
          <cell r="C863" t="str">
            <v>W</v>
          </cell>
          <cell r="D863">
            <v>53</v>
          </cell>
          <cell r="E863">
            <v>54</v>
          </cell>
          <cell r="F863">
            <v>55</v>
          </cell>
          <cell r="G863">
            <v>56</v>
          </cell>
          <cell r="H863">
            <v>57</v>
          </cell>
          <cell r="I863">
            <v>58</v>
          </cell>
          <cell r="J863">
            <v>59</v>
          </cell>
          <cell r="K863">
            <v>60</v>
          </cell>
          <cell r="L863">
            <v>61</v>
          </cell>
          <cell r="M863">
            <v>62</v>
          </cell>
          <cell r="N863">
            <v>63</v>
          </cell>
          <cell r="O863">
            <v>64</v>
          </cell>
          <cell r="P863">
            <v>65</v>
          </cell>
        </row>
        <row r="864">
          <cell r="A864">
            <v>39839</v>
          </cell>
          <cell r="B864">
            <v>1</v>
          </cell>
          <cell r="C864" t="str">
            <v>W</v>
          </cell>
          <cell r="D864">
            <v>48</v>
          </cell>
          <cell r="E864">
            <v>49</v>
          </cell>
          <cell r="F864">
            <v>50</v>
          </cell>
          <cell r="G864">
            <v>51</v>
          </cell>
          <cell r="H864">
            <v>52</v>
          </cell>
          <cell r="I864">
            <v>53</v>
          </cell>
          <cell r="J864">
            <v>54</v>
          </cell>
          <cell r="K864">
            <v>55</v>
          </cell>
          <cell r="L864">
            <v>56</v>
          </cell>
          <cell r="M864">
            <v>57</v>
          </cell>
          <cell r="N864">
            <v>58</v>
          </cell>
          <cell r="O864">
            <v>59</v>
          </cell>
          <cell r="P864">
            <v>60</v>
          </cell>
        </row>
        <row r="865">
          <cell r="A865">
            <v>39840</v>
          </cell>
          <cell r="B865">
            <v>1</v>
          </cell>
          <cell r="C865" t="str">
            <v>W</v>
          </cell>
          <cell r="D865">
            <v>61</v>
          </cell>
          <cell r="E865">
            <v>62</v>
          </cell>
          <cell r="F865">
            <v>63</v>
          </cell>
          <cell r="G865">
            <v>64</v>
          </cell>
          <cell r="H865">
            <v>65</v>
          </cell>
          <cell r="I865">
            <v>66</v>
          </cell>
          <cell r="J865">
            <v>67</v>
          </cell>
          <cell r="K865">
            <v>68</v>
          </cell>
          <cell r="L865">
            <v>69</v>
          </cell>
          <cell r="M865">
            <v>70</v>
          </cell>
          <cell r="N865">
            <v>71</v>
          </cell>
          <cell r="O865">
            <v>72</v>
          </cell>
          <cell r="P865">
            <v>73</v>
          </cell>
        </row>
        <row r="866">
          <cell r="A866">
            <v>39841</v>
          </cell>
          <cell r="B866">
            <v>1</v>
          </cell>
          <cell r="C866" t="str">
            <v>W</v>
          </cell>
          <cell r="D866">
            <v>79</v>
          </cell>
          <cell r="E866">
            <v>80</v>
          </cell>
          <cell r="F866">
            <v>81</v>
          </cell>
          <cell r="G866">
            <v>82</v>
          </cell>
          <cell r="H866">
            <v>83</v>
          </cell>
          <cell r="I866">
            <v>84</v>
          </cell>
          <cell r="J866">
            <v>85</v>
          </cell>
          <cell r="K866">
            <v>86</v>
          </cell>
          <cell r="L866">
            <v>87</v>
          </cell>
          <cell r="M866">
            <v>88</v>
          </cell>
          <cell r="N866">
            <v>89</v>
          </cell>
          <cell r="O866">
            <v>90</v>
          </cell>
          <cell r="P866">
            <v>91</v>
          </cell>
        </row>
        <row r="867">
          <cell r="A867">
            <v>39842</v>
          </cell>
          <cell r="B867">
            <v>1</v>
          </cell>
          <cell r="C867" t="str">
            <v>W</v>
          </cell>
          <cell r="D867">
            <v>69</v>
          </cell>
          <cell r="E867">
            <v>70</v>
          </cell>
          <cell r="F867">
            <v>71</v>
          </cell>
          <cell r="G867">
            <v>72</v>
          </cell>
          <cell r="H867">
            <v>73</v>
          </cell>
          <cell r="I867">
            <v>74</v>
          </cell>
          <cell r="J867">
            <v>75</v>
          </cell>
          <cell r="K867">
            <v>76</v>
          </cell>
          <cell r="L867">
            <v>77</v>
          </cell>
          <cell r="M867">
            <v>78</v>
          </cell>
          <cell r="N867">
            <v>79</v>
          </cell>
          <cell r="O867">
            <v>80</v>
          </cell>
          <cell r="P867">
            <v>81</v>
          </cell>
        </row>
        <row r="868">
          <cell r="A868">
            <v>39843</v>
          </cell>
          <cell r="B868">
            <v>1</v>
          </cell>
          <cell r="C868" t="str">
            <v>W</v>
          </cell>
          <cell r="D868">
            <v>66</v>
          </cell>
          <cell r="E868">
            <v>67</v>
          </cell>
          <cell r="F868">
            <v>68</v>
          </cell>
          <cell r="G868">
            <v>69</v>
          </cell>
          <cell r="H868">
            <v>70</v>
          </cell>
          <cell r="I868">
            <v>71</v>
          </cell>
          <cell r="J868">
            <v>72</v>
          </cell>
          <cell r="K868">
            <v>73</v>
          </cell>
          <cell r="L868">
            <v>74</v>
          </cell>
          <cell r="M868">
            <v>75</v>
          </cell>
          <cell r="N868">
            <v>76</v>
          </cell>
          <cell r="O868">
            <v>77</v>
          </cell>
          <cell r="P868">
            <v>78</v>
          </cell>
        </row>
        <row r="869">
          <cell r="A869">
            <v>39844</v>
          </cell>
          <cell r="B869">
            <v>1</v>
          </cell>
          <cell r="C869" t="str">
            <v>W</v>
          </cell>
          <cell r="D869">
            <v>73</v>
          </cell>
          <cell r="E869">
            <v>74</v>
          </cell>
          <cell r="F869">
            <v>75</v>
          </cell>
          <cell r="G869">
            <v>76</v>
          </cell>
          <cell r="H869">
            <v>77</v>
          </cell>
          <cell r="I869">
            <v>78</v>
          </cell>
          <cell r="J869">
            <v>79</v>
          </cell>
          <cell r="K869">
            <v>80</v>
          </cell>
          <cell r="L869">
            <v>81</v>
          </cell>
          <cell r="M869">
            <v>82</v>
          </cell>
          <cell r="N869">
            <v>83</v>
          </cell>
          <cell r="O869">
            <v>84</v>
          </cell>
          <cell r="P869">
            <v>85</v>
          </cell>
        </row>
        <row r="870">
          <cell r="A870">
            <v>39845</v>
          </cell>
          <cell r="B870">
            <v>2</v>
          </cell>
          <cell r="C870" t="str">
            <v>W</v>
          </cell>
          <cell r="D870">
            <v>82</v>
          </cell>
          <cell r="E870">
            <v>83</v>
          </cell>
          <cell r="F870">
            <v>84</v>
          </cell>
          <cell r="G870">
            <v>85</v>
          </cell>
          <cell r="H870">
            <v>86</v>
          </cell>
          <cell r="I870">
            <v>87</v>
          </cell>
          <cell r="J870">
            <v>88</v>
          </cell>
          <cell r="K870">
            <v>89</v>
          </cell>
          <cell r="L870">
            <v>90</v>
          </cell>
          <cell r="M870">
            <v>91</v>
          </cell>
          <cell r="N870">
            <v>92</v>
          </cell>
          <cell r="O870">
            <v>93</v>
          </cell>
          <cell r="P870">
            <v>94</v>
          </cell>
        </row>
        <row r="871">
          <cell r="A871">
            <v>39846</v>
          </cell>
          <cell r="B871">
            <v>2</v>
          </cell>
          <cell r="C871" t="str">
            <v>W</v>
          </cell>
          <cell r="D871">
            <v>81</v>
          </cell>
          <cell r="E871">
            <v>82</v>
          </cell>
          <cell r="F871">
            <v>83</v>
          </cell>
          <cell r="G871">
            <v>84</v>
          </cell>
          <cell r="H871">
            <v>85</v>
          </cell>
          <cell r="I871">
            <v>86</v>
          </cell>
          <cell r="J871">
            <v>87</v>
          </cell>
          <cell r="K871">
            <v>88</v>
          </cell>
          <cell r="L871">
            <v>89</v>
          </cell>
          <cell r="M871">
            <v>90</v>
          </cell>
          <cell r="N871">
            <v>91</v>
          </cell>
          <cell r="O871">
            <v>92</v>
          </cell>
          <cell r="P871">
            <v>93</v>
          </cell>
        </row>
        <row r="872">
          <cell r="A872">
            <v>39847</v>
          </cell>
          <cell r="B872">
            <v>2</v>
          </cell>
          <cell r="C872" t="str">
            <v>W</v>
          </cell>
          <cell r="D872">
            <v>88</v>
          </cell>
          <cell r="E872">
            <v>89</v>
          </cell>
          <cell r="F872">
            <v>90</v>
          </cell>
          <cell r="G872">
            <v>91</v>
          </cell>
          <cell r="H872">
            <v>92</v>
          </cell>
          <cell r="I872">
            <v>93</v>
          </cell>
          <cell r="J872">
            <v>94</v>
          </cell>
          <cell r="K872">
            <v>95</v>
          </cell>
          <cell r="L872">
            <v>96</v>
          </cell>
          <cell r="M872">
            <v>97</v>
          </cell>
          <cell r="N872">
            <v>98</v>
          </cell>
          <cell r="O872">
            <v>99</v>
          </cell>
          <cell r="P872">
            <v>100</v>
          </cell>
        </row>
        <row r="873">
          <cell r="A873">
            <v>39848</v>
          </cell>
          <cell r="B873">
            <v>2</v>
          </cell>
          <cell r="C873" t="str">
            <v>W</v>
          </cell>
          <cell r="D873">
            <v>79</v>
          </cell>
          <cell r="E873">
            <v>80</v>
          </cell>
          <cell r="F873">
            <v>81</v>
          </cell>
          <cell r="G873">
            <v>82</v>
          </cell>
          <cell r="H873">
            <v>83</v>
          </cell>
          <cell r="I873">
            <v>84</v>
          </cell>
          <cell r="J873">
            <v>85</v>
          </cell>
          <cell r="K873">
            <v>86</v>
          </cell>
          <cell r="L873">
            <v>87</v>
          </cell>
          <cell r="M873">
            <v>88</v>
          </cell>
          <cell r="N873">
            <v>89</v>
          </cell>
          <cell r="O873">
            <v>90</v>
          </cell>
          <cell r="P873">
            <v>91</v>
          </cell>
        </row>
        <row r="874">
          <cell r="A874">
            <v>39849</v>
          </cell>
          <cell r="B874">
            <v>2</v>
          </cell>
          <cell r="C874" t="str">
            <v>W</v>
          </cell>
          <cell r="D874">
            <v>61</v>
          </cell>
          <cell r="E874">
            <v>62</v>
          </cell>
          <cell r="F874">
            <v>63</v>
          </cell>
          <cell r="G874">
            <v>64</v>
          </cell>
          <cell r="H874">
            <v>65</v>
          </cell>
          <cell r="I874">
            <v>66</v>
          </cell>
          <cell r="J874">
            <v>67</v>
          </cell>
          <cell r="K874">
            <v>68</v>
          </cell>
          <cell r="L874">
            <v>69</v>
          </cell>
          <cell r="M874">
            <v>70</v>
          </cell>
          <cell r="N874">
            <v>71</v>
          </cell>
          <cell r="O874">
            <v>72</v>
          </cell>
          <cell r="P874">
            <v>73</v>
          </cell>
        </row>
        <row r="875">
          <cell r="A875">
            <v>39850</v>
          </cell>
          <cell r="B875">
            <v>2</v>
          </cell>
          <cell r="C875" t="str">
            <v>W</v>
          </cell>
          <cell r="D875">
            <v>52</v>
          </cell>
          <cell r="E875">
            <v>53</v>
          </cell>
          <cell r="F875">
            <v>54</v>
          </cell>
          <cell r="G875">
            <v>55</v>
          </cell>
          <cell r="H875">
            <v>56</v>
          </cell>
          <cell r="I875">
            <v>57</v>
          </cell>
          <cell r="J875">
            <v>58</v>
          </cell>
          <cell r="K875">
            <v>59</v>
          </cell>
          <cell r="L875">
            <v>60</v>
          </cell>
          <cell r="M875">
            <v>61</v>
          </cell>
          <cell r="N875">
            <v>62</v>
          </cell>
          <cell r="O875">
            <v>63</v>
          </cell>
          <cell r="P875">
            <v>64</v>
          </cell>
        </row>
        <row r="876">
          <cell r="A876">
            <v>39851</v>
          </cell>
          <cell r="B876">
            <v>2</v>
          </cell>
          <cell r="C876" t="str">
            <v>W</v>
          </cell>
          <cell r="D876">
            <v>63</v>
          </cell>
          <cell r="E876">
            <v>64</v>
          </cell>
          <cell r="F876">
            <v>65</v>
          </cell>
          <cell r="G876">
            <v>66</v>
          </cell>
          <cell r="H876">
            <v>67</v>
          </cell>
          <cell r="I876">
            <v>68</v>
          </cell>
          <cell r="J876">
            <v>69</v>
          </cell>
          <cell r="K876">
            <v>70</v>
          </cell>
          <cell r="L876">
            <v>71</v>
          </cell>
          <cell r="M876">
            <v>72</v>
          </cell>
          <cell r="N876">
            <v>73</v>
          </cell>
          <cell r="O876">
            <v>74</v>
          </cell>
          <cell r="P876">
            <v>75</v>
          </cell>
        </row>
        <row r="877">
          <cell r="A877">
            <v>39852</v>
          </cell>
          <cell r="B877">
            <v>2</v>
          </cell>
          <cell r="C877" t="str">
            <v>W</v>
          </cell>
          <cell r="D877">
            <v>63</v>
          </cell>
          <cell r="E877">
            <v>64</v>
          </cell>
          <cell r="F877">
            <v>65</v>
          </cell>
          <cell r="G877">
            <v>66</v>
          </cell>
          <cell r="H877">
            <v>67</v>
          </cell>
          <cell r="I877">
            <v>68</v>
          </cell>
          <cell r="J877">
            <v>69</v>
          </cell>
          <cell r="K877">
            <v>70</v>
          </cell>
          <cell r="L877">
            <v>71</v>
          </cell>
          <cell r="M877">
            <v>72</v>
          </cell>
          <cell r="N877">
            <v>73</v>
          </cell>
          <cell r="O877">
            <v>74</v>
          </cell>
          <cell r="P877">
            <v>75</v>
          </cell>
        </row>
        <row r="878">
          <cell r="A878">
            <v>39853</v>
          </cell>
          <cell r="B878">
            <v>2</v>
          </cell>
          <cell r="C878" t="str">
            <v>W</v>
          </cell>
          <cell r="D878">
            <v>61</v>
          </cell>
          <cell r="E878">
            <v>62</v>
          </cell>
          <cell r="F878">
            <v>63</v>
          </cell>
          <cell r="G878">
            <v>64</v>
          </cell>
          <cell r="H878">
            <v>65</v>
          </cell>
          <cell r="I878">
            <v>66</v>
          </cell>
          <cell r="J878">
            <v>67</v>
          </cell>
          <cell r="K878">
            <v>68</v>
          </cell>
          <cell r="L878">
            <v>69</v>
          </cell>
          <cell r="M878">
            <v>70</v>
          </cell>
          <cell r="N878">
            <v>71</v>
          </cell>
          <cell r="O878">
            <v>72</v>
          </cell>
          <cell r="P878">
            <v>73</v>
          </cell>
        </row>
        <row r="879">
          <cell r="A879">
            <v>39854</v>
          </cell>
          <cell r="B879">
            <v>2</v>
          </cell>
          <cell r="C879" t="str">
            <v>W</v>
          </cell>
          <cell r="D879">
            <v>73</v>
          </cell>
          <cell r="E879">
            <v>74</v>
          </cell>
          <cell r="F879">
            <v>75</v>
          </cell>
          <cell r="G879">
            <v>76</v>
          </cell>
          <cell r="H879">
            <v>77</v>
          </cell>
          <cell r="I879">
            <v>78</v>
          </cell>
          <cell r="J879">
            <v>79</v>
          </cell>
          <cell r="K879">
            <v>80</v>
          </cell>
          <cell r="L879">
            <v>81</v>
          </cell>
          <cell r="M879">
            <v>82</v>
          </cell>
          <cell r="N879">
            <v>83</v>
          </cell>
          <cell r="O879">
            <v>84</v>
          </cell>
          <cell r="P879">
            <v>85</v>
          </cell>
        </row>
        <row r="880">
          <cell r="A880">
            <v>39855</v>
          </cell>
          <cell r="B880">
            <v>2</v>
          </cell>
          <cell r="C880" t="str">
            <v>W</v>
          </cell>
          <cell r="D880">
            <v>61</v>
          </cell>
          <cell r="E880">
            <v>62</v>
          </cell>
          <cell r="F880">
            <v>63</v>
          </cell>
          <cell r="G880">
            <v>64</v>
          </cell>
          <cell r="H880">
            <v>65</v>
          </cell>
          <cell r="I880">
            <v>66</v>
          </cell>
          <cell r="J880">
            <v>67</v>
          </cell>
          <cell r="K880">
            <v>68</v>
          </cell>
          <cell r="L880">
            <v>69</v>
          </cell>
          <cell r="M880">
            <v>70</v>
          </cell>
          <cell r="N880">
            <v>71</v>
          </cell>
          <cell r="O880">
            <v>72</v>
          </cell>
          <cell r="P880">
            <v>73</v>
          </cell>
        </row>
        <row r="881">
          <cell r="A881">
            <v>39856</v>
          </cell>
          <cell r="B881">
            <v>2</v>
          </cell>
          <cell r="C881" t="str">
            <v>W</v>
          </cell>
          <cell r="D881">
            <v>53</v>
          </cell>
          <cell r="E881">
            <v>54</v>
          </cell>
          <cell r="F881">
            <v>55</v>
          </cell>
          <cell r="G881">
            <v>56</v>
          </cell>
          <cell r="H881">
            <v>57</v>
          </cell>
          <cell r="I881">
            <v>58</v>
          </cell>
          <cell r="J881">
            <v>59</v>
          </cell>
          <cell r="K881">
            <v>60</v>
          </cell>
          <cell r="L881">
            <v>61</v>
          </cell>
          <cell r="M881">
            <v>62</v>
          </cell>
          <cell r="N881">
            <v>63</v>
          </cell>
          <cell r="O881">
            <v>64</v>
          </cell>
          <cell r="P881">
            <v>65</v>
          </cell>
        </row>
        <row r="882">
          <cell r="A882">
            <v>39857</v>
          </cell>
          <cell r="B882">
            <v>2</v>
          </cell>
          <cell r="C882" t="str">
            <v>W</v>
          </cell>
          <cell r="D882">
            <v>50</v>
          </cell>
          <cell r="E882">
            <v>51</v>
          </cell>
          <cell r="F882">
            <v>52</v>
          </cell>
          <cell r="G882">
            <v>53</v>
          </cell>
          <cell r="H882">
            <v>54</v>
          </cell>
          <cell r="I882">
            <v>55</v>
          </cell>
          <cell r="J882">
            <v>56</v>
          </cell>
          <cell r="K882">
            <v>57</v>
          </cell>
          <cell r="L882">
            <v>58</v>
          </cell>
          <cell r="M882">
            <v>59</v>
          </cell>
          <cell r="N882">
            <v>60</v>
          </cell>
          <cell r="O882">
            <v>61</v>
          </cell>
          <cell r="P882">
            <v>62</v>
          </cell>
        </row>
        <row r="883">
          <cell r="A883">
            <v>39858</v>
          </cell>
          <cell r="B883">
            <v>2</v>
          </cell>
          <cell r="C883" t="str">
            <v>W</v>
          </cell>
          <cell r="D883">
            <v>42</v>
          </cell>
          <cell r="E883">
            <v>43</v>
          </cell>
          <cell r="F883">
            <v>44</v>
          </cell>
          <cell r="G883">
            <v>45</v>
          </cell>
          <cell r="H883">
            <v>46</v>
          </cell>
          <cell r="I883">
            <v>47</v>
          </cell>
          <cell r="J883">
            <v>48</v>
          </cell>
          <cell r="K883">
            <v>49</v>
          </cell>
          <cell r="L883">
            <v>50</v>
          </cell>
          <cell r="M883">
            <v>51</v>
          </cell>
          <cell r="N883">
            <v>52</v>
          </cell>
          <cell r="O883">
            <v>53</v>
          </cell>
          <cell r="P883">
            <v>54</v>
          </cell>
        </row>
        <row r="884">
          <cell r="A884">
            <v>39859</v>
          </cell>
          <cell r="B884">
            <v>2</v>
          </cell>
          <cell r="C884" t="str">
            <v>W</v>
          </cell>
          <cell r="D884">
            <v>50</v>
          </cell>
          <cell r="E884">
            <v>51</v>
          </cell>
          <cell r="F884">
            <v>52</v>
          </cell>
          <cell r="G884">
            <v>53</v>
          </cell>
          <cell r="H884">
            <v>54</v>
          </cell>
          <cell r="I884">
            <v>55</v>
          </cell>
          <cell r="J884">
            <v>56</v>
          </cell>
          <cell r="K884">
            <v>57</v>
          </cell>
          <cell r="L884">
            <v>58</v>
          </cell>
          <cell r="M884">
            <v>59</v>
          </cell>
          <cell r="N884">
            <v>60</v>
          </cell>
          <cell r="O884">
            <v>61</v>
          </cell>
          <cell r="P884">
            <v>62</v>
          </cell>
        </row>
        <row r="885">
          <cell r="A885">
            <v>39860</v>
          </cell>
          <cell r="B885">
            <v>2</v>
          </cell>
          <cell r="C885" t="str">
            <v>W</v>
          </cell>
          <cell r="D885">
            <v>44</v>
          </cell>
          <cell r="E885">
            <v>45</v>
          </cell>
          <cell r="F885">
            <v>46</v>
          </cell>
          <cell r="G885">
            <v>47</v>
          </cell>
          <cell r="H885">
            <v>48</v>
          </cell>
          <cell r="I885">
            <v>49</v>
          </cell>
          <cell r="J885">
            <v>50</v>
          </cell>
          <cell r="K885">
            <v>51</v>
          </cell>
          <cell r="L885">
            <v>52</v>
          </cell>
          <cell r="M885">
            <v>53</v>
          </cell>
          <cell r="N885">
            <v>54</v>
          </cell>
          <cell r="O885">
            <v>55</v>
          </cell>
          <cell r="P885">
            <v>56</v>
          </cell>
        </row>
        <row r="886">
          <cell r="A886">
            <v>39861</v>
          </cell>
          <cell r="B886">
            <v>2</v>
          </cell>
          <cell r="C886" t="str">
            <v>W</v>
          </cell>
          <cell r="D886">
            <v>59</v>
          </cell>
          <cell r="E886">
            <v>60</v>
          </cell>
          <cell r="F886">
            <v>61</v>
          </cell>
          <cell r="G886">
            <v>62</v>
          </cell>
          <cell r="H886">
            <v>63</v>
          </cell>
          <cell r="I886">
            <v>64</v>
          </cell>
          <cell r="J886">
            <v>65</v>
          </cell>
          <cell r="K886">
            <v>66</v>
          </cell>
          <cell r="L886">
            <v>67</v>
          </cell>
          <cell r="M886">
            <v>68</v>
          </cell>
          <cell r="N886">
            <v>69</v>
          </cell>
          <cell r="O886">
            <v>70</v>
          </cell>
          <cell r="P886">
            <v>71</v>
          </cell>
        </row>
        <row r="887">
          <cell r="A887">
            <v>39862</v>
          </cell>
          <cell r="B887">
            <v>2</v>
          </cell>
          <cell r="C887" t="str">
            <v>W</v>
          </cell>
          <cell r="D887">
            <v>61</v>
          </cell>
          <cell r="E887">
            <v>62</v>
          </cell>
          <cell r="F887">
            <v>63</v>
          </cell>
          <cell r="G887">
            <v>64</v>
          </cell>
          <cell r="H887">
            <v>65</v>
          </cell>
          <cell r="I887">
            <v>66</v>
          </cell>
          <cell r="J887">
            <v>67</v>
          </cell>
          <cell r="K887">
            <v>68</v>
          </cell>
          <cell r="L887">
            <v>69</v>
          </cell>
          <cell r="M887">
            <v>70</v>
          </cell>
          <cell r="N887">
            <v>71</v>
          </cell>
          <cell r="O887">
            <v>72</v>
          </cell>
          <cell r="P887">
            <v>73</v>
          </cell>
        </row>
        <row r="888">
          <cell r="A888">
            <v>39863</v>
          </cell>
          <cell r="B888">
            <v>2</v>
          </cell>
          <cell r="C888" t="str">
            <v>W</v>
          </cell>
          <cell r="D888">
            <v>28</v>
          </cell>
          <cell r="E888">
            <v>29</v>
          </cell>
          <cell r="F888">
            <v>30</v>
          </cell>
          <cell r="G888">
            <v>31</v>
          </cell>
          <cell r="H888">
            <v>32</v>
          </cell>
          <cell r="I888">
            <v>33</v>
          </cell>
          <cell r="J888">
            <v>34</v>
          </cell>
          <cell r="K888">
            <v>35</v>
          </cell>
          <cell r="L888">
            <v>36</v>
          </cell>
          <cell r="M888">
            <v>37</v>
          </cell>
          <cell r="N888">
            <v>38</v>
          </cell>
          <cell r="O888">
            <v>39</v>
          </cell>
          <cell r="P888">
            <v>40</v>
          </cell>
        </row>
        <row r="889">
          <cell r="A889">
            <v>39864</v>
          </cell>
          <cell r="B889">
            <v>2</v>
          </cell>
          <cell r="C889" t="str">
            <v>W</v>
          </cell>
          <cell r="D889">
            <v>32</v>
          </cell>
          <cell r="E889">
            <v>33</v>
          </cell>
          <cell r="F889">
            <v>34</v>
          </cell>
          <cell r="G889">
            <v>35</v>
          </cell>
          <cell r="H889">
            <v>36</v>
          </cell>
          <cell r="I889">
            <v>37</v>
          </cell>
          <cell r="J889">
            <v>38</v>
          </cell>
          <cell r="K889">
            <v>39</v>
          </cell>
          <cell r="L889">
            <v>40</v>
          </cell>
          <cell r="M889">
            <v>41</v>
          </cell>
          <cell r="N889">
            <v>42</v>
          </cell>
          <cell r="O889">
            <v>43</v>
          </cell>
          <cell r="P889">
            <v>44</v>
          </cell>
        </row>
        <row r="890">
          <cell r="A890">
            <v>39865</v>
          </cell>
          <cell r="B890">
            <v>2</v>
          </cell>
          <cell r="C890" t="str">
            <v>W</v>
          </cell>
          <cell r="D890">
            <v>53</v>
          </cell>
          <cell r="E890">
            <v>54</v>
          </cell>
          <cell r="F890">
            <v>55</v>
          </cell>
          <cell r="G890">
            <v>56</v>
          </cell>
          <cell r="H890">
            <v>57</v>
          </cell>
          <cell r="I890">
            <v>58</v>
          </cell>
          <cell r="J890">
            <v>59</v>
          </cell>
          <cell r="K890">
            <v>60</v>
          </cell>
          <cell r="L890">
            <v>61</v>
          </cell>
          <cell r="M890">
            <v>62</v>
          </cell>
          <cell r="N890">
            <v>63</v>
          </cell>
          <cell r="O890">
            <v>64</v>
          </cell>
          <cell r="P890">
            <v>65</v>
          </cell>
        </row>
        <row r="891">
          <cell r="A891">
            <v>39866</v>
          </cell>
          <cell r="B891">
            <v>2</v>
          </cell>
          <cell r="C891" t="str">
            <v>W</v>
          </cell>
          <cell r="D891">
            <v>50</v>
          </cell>
          <cell r="E891">
            <v>51</v>
          </cell>
          <cell r="F891">
            <v>52</v>
          </cell>
          <cell r="G891">
            <v>53</v>
          </cell>
          <cell r="H891">
            <v>54</v>
          </cell>
          <cell r="I891">
            <v>55</v>
          </cell>
          <cell r="J891">
            <v>56</v>
          </cell>
          <cell r="K891">
            <v>57</v>
          </cell>
          <cell r="L891">
            <v>58</v>
          </cell>
          <cell r="M891">
            <v>59</v>
          </cell>
          <cell r="N891">
            <v>60</v>
          </cell>
          <cell r="O891">
            <v>61</v>
          </cell>
          <cell r="P891">
            <v>62</v>
          </cell>
        </row>
        <row r="892">
          <cell r="A892">
            <v>39867</v>
          </cell>
          <cell r="B892">
            <v>2</v>
          </cell>
          <cell r="C892" t="str">
            <v>W</v>
          </cell>
          <cell r="D892">
            <v>46</v>
          </cell>
          <cell r="E892">
            <v>47</v>
          </cell>
          <cell r="F892">
            <v>48</v>
          </cell>
          <cell r="G892">
            <v>49</v>
          </cell>
          <cell r="H892">
            <v>50</v>
          </cell>
          <cell r="I892">
            <v>51</v>
          </cell>
          <cell r="J892">
            <v>52</v>
          </cell>
          <cell r="K892">
            <v>53</v>
          </cell>
          <cell r="L892">
            <v>54</v>
          </cell>
          <cell r="M892">
            <v>55</v>
          </cell>
          <cell r="N892">
            <v>56</v>
          </cell>
          <cell r="O892">
            <v>57</v>
          </cell>
          <cell r="P892">
            <v>58</v>
          </cell>
        </row>
        <row r="893">
          <cell r="A893">
            <v>39868</v>
          </cell>
          <cell r="B893">
            <v>2</v>
          </cell>
          <cell r="C893" t="str">
            <v>W</v>
          </cell>
          <cell r="D893">
            <v>50</v>
          </cell>
          <cell r="E893">
            <v>51</v>
          </cell>
          <cell r="F893">
            <v>52</v>
          </cell>
          <cell r="G893">
            <v>53</v>
          </cell>
          <cell r="H893">
            <v>54</v>
          </cell>
          <cell r="I893">
            <v>55</v>
          </cell>
          <cell r="J893">
            <v>56</v>
          </cell>
          <cell r="K893">
            <v>57</v>
          </cell>
          <cell r="L893">
            <v>58</v>
          </cell>
          <cell r="M893">
            <v>59</v>
          </cell>
          <cell r="N893">
            <v>60</v>
          </cell>
          <cell r="O893">
            <v>61</v>
          </cell>
          <cell r="P893">
            <v>62</v>
          </cell>
        </row>
        <row r="894">
          <cell r="A894">
            <v>39869</v>
          </cell>
          <cell r="B894">
            <v>2</v>
          </cell>
          <cell r="C894" t="str">
            <v>W</v>
          </cell>
          <cell r="D894">
            <v>39</v>
          </cell>
          <cell r="E894">
            <v>40</v>
          </cell>
          <cell r="F894">
            <v>41</v>
          </cell>
          <cell r="G894">
            <v>42</v>
          </cell>
          <cell r="H894">
            <v>43</v>
          </cell>
          <cell r="I894">
            <v>44</v>
          </cell>
          <cell r="J894">
            <v>45</v>
          </cell>
          <cell r="K894">
            <v>46</v>
          </cell>
          <cell r="L894">
            <v>47</v>
          </cell>
          <cell r="M894">
            <v>48</v>
          </cell>
          <cell r="N894">
            <v>49</v>
          </cell>
          <cell r="O894">
            <v>50</v>
          </cell>
          <cell r="P894">
            <v>51</v>
          </cell>
        </row>
        <row r="895">
          <cell r="A895">
            <v>39870</v>
          </cell>
          <cell r="B895">
            <v>2</v>
          </cell>
          <cell r="C895" t="str">
            <v>W</v>
          </cell>
          <cell r="D895">
            <v>37</v>
          </cell>
          <cell r="E895">
            <v>38</v>
          </cell>
          <cell r="F895">
            <v>39</v>
          </cell>
          <cell r="G895">
            <v>40</v>
          </cell>
          <cell r="H895">
            <v>41</v>
          </cell>
          <cell r="I895">
            <v>42</v>
          </cell>
          <cell r="J895">
            <v>43</v>
          </cell>
          <cell r="K895">
            <v>44</v>
          </cell>
          <cell r="L895">
            <v>45</v>
          </cell>
          <cell r="M895">
            <v>46</v>
          </cell>
          <cell r="N895">
            <v>47</v>
          </cell>
          <cell r="O895">
            <v>48</v>
          </cell>
          <cell r="P895">
            <v>49</v>
          </cell>
        </row>
        <row r="896">
          <cell r="A896">
            <v>39871</v>
          </cell>
          <cell r="B896">
            <v>2</v>
          </cell>
          <cell r="C896" t="str">
            <v>W</v>
          </cell>
          <cell r="D896">
            <v>51</v>
          </cell>
          <cell r="E896">
            <v>52</v>
          </cell>
          <cell r="F896">
            <v>53</v>
          </cell>
          <cell r="G896">
            <v>54</v>
          </cell>
          <cell r="H896">
            <v>55</v>
          </cell>
          <cell r="I896">
            <v>56</v>
          </cell>
          <cell r="J896">
            <v>57</v>
          </cell>
          <cell r="K896">
            <v>58</v>
          </cell>
          <cell r="L896">
            <v>59</v>
          </cell>
          <cell r="M896">
            <v>60</v>
          </cell>
          <cell r="N896">
            <v>61</v>
          </cell>
          <cell r="O896">
            <v>62</v>
          </cell>
          <cell r="P896">
            <v>63</v>
          </cell>
        </row>
        <row r="897">
          <cell r="A897">
            <v>39872</v>
          </cell>
          <cell r="B897">
            <v>2</v>
          </cell>
          <cell r="C897" t="str">
            <v>W</v>
          </cell>
          <cell r="D897">
            <v>39</v>
          </cell>
          <cell r="E897">
            <v>40</v>
          </cell>
          <cell r="F897">
            <v>41</v>
          </cell>
          <cell r="G897">
            <v>42</v>
          </cell>
          <cell r="H897">
            <v>43</v>
          </cell>
          <cell r="I897">
            <v>44</v>
          </cell>
          <cell r="J897">
            <v>45</v>
          </cell>
          <cell r="K897">
            <v>46</v>
          </cell>
          <cell r="L897">
            <v>47</v>
          </cell>
          <cell r="M897">
            <v>48</v>
          </cell>
          <cell r="N897">
            <v>49</v>
          </cell>
          <cell r="O897">
            <v>50</v>
          </cell>
          <cell r="P897">
            <v>51</v>
          </cell>
        </row>
        <row r="898">
          <cell r="A898">
            <v>39873</v>
          </cell>
          <cell r="B898">
            <v>3</v>
          </cell>
          <cell r="C898" t="str">
            <v>W</v>
          </cell>
          <cell r="D898">
            <v>57</v>
          </cell>
          <cell r="E898">
            <v>58</v>
          </cell>
          <cell r="F898">
            <v>59</v>
          </cell>
          <cell r="G898">
            <v>60</v>
          </cell>
          <cell r="H898">
            <v>61</v>
          </cell>
          <cell r="I898">
            <v>62</v>
          </cell>
          <cell r="J898">
            <v>63</v>
          </cell>
          <cell r="K898">
            <v>64</v>
          </cell>
          <cell r="L898">
            <v>65</v>
          </cell>
          <cell r="M898">
            <v>66</v>
          </cell>
          <cell r="N898">
            <v>67</v>
          </cell>
          <cell r="O898">
            <v>68</v>
          </cell>
          <cell r="P898">
            <v>69</v>
          </cell>
        </row>
        <row r="899">
          <cell r="A899">
            <v>39874</v>
          </cell>
          <cell r="B899">
            <v>3</v>
          </cell>
          <cell r="C899" t="str">
            <v>W</v>
          </cell>
          <cell r="D899">
            <v>61</v>
          </cell>
          <cell r="E899">
            <v>62</v>
          </cell>
          <cell r="F899">
            <v>63</v>
          </cell>
          <cell r="G899">
            <v>64</v>
          </cell>
          <cell r="H899">
            <v>65</v>
          </cell>
          <cell r="I899">
            <v>66</v>
          </cell>
          <cell r="J899">
            <v>67</v>
          </cell>
          <cell r="K899">
            <v>68</v>
          </cell>
          <cell r="L899">
            <v>69</v>
          </cell>
          <cell r="M899">
            <v>70</v>
          </cell>
          <cell r="N899">
            <v>71</v>
          </cell>
          <cell r="O899">
            <v>72</v>
          </cell>
          <cell r="P899">
            <v>73</v>
          </cell>
        </row>
        <row r="900">
          <cell r="A900">
            <v>39875</v>
          </cell>
          <cell r="B900">
            <v>3</v>
          </cell>
          <cell r="C900" t="str">
            <v>W</v>
          </cell>
          <cell r="D900">
            <v>59</v>
          </cell>
          <cell r="E900">
            <v>60</v>
          </cell>
          <cell r="F900">
            <v>61</v>
          </cell>
          <cell r="G900">
            <v>62</v>
          </cell>
          <cell r="H900">
            <v>63</v>
          </cell>
          <cell r="I900">
            <v>64</v>
          </cell>
          <cell r="J900">
            <v>65</v>
          </cell>
          <cell r="K900">
            <v>66</v>
          </cell>
          <cell r="L900">
            <v>67</v>
          </cell>
          <cell r="M900">
            <v>68</v>
          </cell>
          <cell r="N900">
            <v>69</v>
          </cell>
          <cell r="O900">
            <v>70</v>
          </cell>
          <cell r="P900">
            <v>71</v>
          </cell>
        </row>
        <row r="901">
          <cell r="A901">
            <v>39876</v>
          </cell>
          <cell r="B901">
            <v>3</v>
          </cell>
          <cell r="C901" t="str">
            <v>W</v>
          </cell>
          <cell r="D901">
            <v>45</v>
          </cell>
          <cell r="E901">
            <v>46</v>
          </cell>
          <cell r="F901">
            <v>47</v>
          </cell>
          <cell r="G901">
            <v>48</v>
          </cell>
          <cell r="H901">
            <v>49</v>
          </cell>
          <cell r="I901">
            <v>50</v>
          </cell>
          <cell r="J901">
            <v>51</v>
          </cell>
          <cell r="K901">
            <v>52</v>
          </cell>
          <cell r="L901">
            <v>53</v>
          </cell>
          <cell r="M901">
            <v>54</v>
          </cell>
          <cell r="N901">
            <v>55</v>
          </cell>
          <cell r="O901">
            <v>56</v>
          </cell>
          <cell r="P901">
            <v>57</v>
          </cell>
        </row>
        <row r="902">
          <cell r="A902">
            <v>39877</v>
          </cell>
          <cell r="B902">
            <v>3</v>
          </cell>
          <cell r="C902" t="str">
            <v>W</v>
          </cell>
          <cell r="D902">
            <v>32</v>
          </cell>
          <cell r="E902">
            <v>33</v>
          </cell>
          <cell r="F902">
            <v>34</v>
          </cell>
          <cell r="G902">
            <v>35</v>
          </cell>
          <cell r="H902">
            <v>36</v>
          </cell>
          <cell r="I902">
            <v>37</v>
          </cell>
          <cell r="J902">
            <v>38</v>
          </cell>
          <cell r="K902">
            <v>39</v>
          </cell>
          <cell r="L902">
            <v>40</v>
          </cell>
          <cell r="M902">
            <v>41</v>
          </cell>
          <cell r="N902">
            <v>42</v>
          </cell>
          <cell r="O902">
            <v>43</v>
          </cell>
          <cell r="P902">
            <v>44</v>
          </cell>
        </row>
        <row r="903">
          <cell r="A903">
            <v>39878</v>
          </cell>
          <cell r="B903">
            <v>3</v>
          </cell>
          <cell r="C903" t="str">
            <v>W</v>
          </cell>
          <cell r="D903">
            <v>35</v>
          </cell>
          <cell r="E903">
            <v>36</v>
          </cell>
          <cell r="F903">
            <v>37</v>
          </cell>
          <cell r="G903">
            <v>38</v>
          </cell>
          <cell r="H903">
            <v>39</v>
          </cell>
          <cell r="I903">
            <v>40</v>
          </cell>
          <cell r="J903">
            <v>41</v>
          </cell>
          <cell r="K903">
            <v>42</v>
          </cell>
          <cell r="L903">
            <v>43</v>
          </cell>
          <cell r="M903">
            <v>44</v>
          </cell>
          <cell r="N903">
            <v>45</v>
          </cell>
          <cell r="O903">
            <v>46</v>
          </cell>
          <cell r="P903">
            <v>47</v>
          </cell>
        </row>
        <row r="904">
          <cell r="A904">
            <v>39879</v>
          </cell>
          <cell r="B904">
            <v>3</v>
          </cell>
          <cell r="C904" t="str">
            <v>W</v>
          </cell>
          <cell r="D904">
            <v>55</v>
          </cell>
          <cell r="E904">
            <v>56</v>
          </cell>
          <cell r="F904">
            <v>57</v>
          </cell>
          <cell r="G904">
            <v>58</v>
          </cell>
          <cell r="H904">
            <v>59</v>
          </cell>
          <cell r="I904">
            <v>60</v>
          </cell>
          <cell r="J904">
            <v>61</v>
          </cell>
          <cell r="K904">
            <v>62</v>
          </cell>
          <cell r="L904">
            <v>63</v>
          </cell>
          <cell r="M904">
            <v>64</v>
          </cell>
          <cell r="N904">
            <v>65</v>
          </cell>
          <cell r="O904">
            <v>66</v>
          </cell>
          <cell r="P904">
            <v>67</v>
          </cell>
        </row>
        <row r="905">
          <cell r="A905">
            <v>39880</v>
          </cell>
          <cell r="B905">
            <v>3</v>
          </cell>
          <cell r="C905" t="str">
            <v>W</v>
          </cell>
          <cell r="D905">
            <v>53</v>
          </cell>
          <cell r="E905">
            <v>54</v>
          </cell>
          <cell r="F905">
            <v>55</v>
          </cell>
          <cell r="G905">
            <v>56</v>
          </cell>
          <cell r="H905">
            <v>57</v>
          </cell>
          <cell r="I905">
            <v>58</v>
          </cell>
          <cell r="J905">
            <v>59</v>
          </cell>
          <cell r="K905">
            <v>60</v>
          </cell>
          <cell r="L905">
            <v>61</v>
          </cell>
          <cell r="M905">
            <v>62</v>
          </cell>
          <cell r="N905">
            <v>63</v>
          </cell>
          <cell r="O905">
            <v>64</v>
          </cell>
          <cell r="P905">
            <v>65</v>
          </cell>
        </row>
        <row r="906">
          <cell r="A906">
            <v>39881</v>
          </cell>
          <cell r="B906">
            <v>3</v>
          </cell>
          <cell r="C906" t="str">
            <v>W</v>
          </cell>
          <cell r="D906">
            <v>46</v>
          </cell>
          <cell r="E906">
            <v>47</v>
          </cell>
          <cell r="F906">
            <v>48</v>
          </cell>
          <cell r="G906">
            <v>49</v>
          </cell>
          <cell r="H906">
            <v>50</v>
          </cell>
          <cell r="I906">
            <v>51</v>
          </cell>
          <cell r="J906">
            <v>52</v>
          </cell>
          <cell r="K906">
            <v>53</v>
          </cell>
          <cell r="L906">
            <v>54</v>
          </cell>
          <cell r="M906">
            <v>55</v>
          </cell>
          <cell r="N906">
            <v>56</v>
          </cell>
          <cell r="O906">
            <v>57</v>
          </cell>
          <cell r="P906">
            <v>58</v>
          </cell>
        </row>
        <row r="907">
          <cell r="A907">
            <v>39882</v>
          </cell>
          <cell r="B907">
            <v>3</v>
          </cell>
          <cell r="C907" t="str">
            <v>W</v>
          </cell>
          <cell r="D907">
            <v>45</v>
          </cell>
          <cell r="E907">
            <v>46</v>
          </cell>
          <cell r="F907">
            <v>47</v>
          </cell>
          <cell r="G907">
            <v>48</v>
          </cell>
          <cell r="H907">
            <v>49</v>
          </cell>
          <cell r="I907">
            <v>50</v>
          </cell>
          <cell r="J907">
            <v>51</v>
          </cell>
          <cell r="K907">
            <v>52</v>
          </cell>
          <cell r="L907">
            <v>53</v>
          </cell>
          <cell r="M907">
            <v>54</v>
          </cell>
          <cell r="N907">
            <v>55</v>
          </cell>
          <cell r="O907">
            <v>56</v>
          </cell>
          <cell r="P907">
            <v>57</v>
          </cell>
        </row>
        <row r="908">
          <cell r="A908">
            <v>39883</v>
          </cell>
          <cell r="B908">
            <v>3</v>
          </cell>
          <cell r="C908" t="str">
            <v>W</v>
          </cell>
          <cell r="D908">
            <v>37</v>
          </cell>
          <cell r="E908">
            <v>38</v>
          </cell>
          <cell r="F908">
            <v>39</v>
          </cell>
          <cell r="G908">
            <v>40</v>
          </cell>
          <cell r="H908">
            <v>41</v>
          </cell>
          <cell r="I908">
            <v>42</v>
          </cell>
          <cell r="J908">
            <v>43</v>
          </cell>
          <cell r="K908">
            <v>44</v>
          </cell>
          <cell r="L908">
            <v>45</v>
          </cell>
          <cell r="M908">
            <v>46</v>
          </cell>
          <cell r="N908">
            <v>47</v>
          </cell>
          <cell r="O908">
            <v>48</v>
          </cell>
          <cell r="P908">
            <v>49</v>
          </cell>
        </row>
        <row r="909">
          <cell r="A909">
            <v>39884</v>
          </cell>
          <cell r="B909">
            <v>3</v>
          </cell>
          <cell r="C909" t="str">
            <v>W</v>
          </cell>
          <cell r="D909">
            <v>40</v>
          </cell>
          <cell r="E909">
            <v>41</v>
          </cell>
          <cell r="F909">
            <v>42</v>
          </cell>
          <cell r="G909">
            <v>43</v>
          </cell>
          <cell r="H909">
            <v>44</v>
          </cell>
          <cell r="I909">
            <v>45</v>
          </cell>
          <cell r="J909">
            <v>46</v>
          </cell>
          <cell r="K909">
            <v>47</v>
          </cell>
          <cell r="L909">
            <v>48</v>
          </cell>
          <cell r="M909">
            <v>49</v>
          </cell>
          <cell r="N909">
            <v>50</v>
          </cell>
          <cell r="O909">
            <v>51</v>
          </cell>
          <cell r="P909">
            <v>52</v>
          </cell>
        </row>
        <row r="910">
          <cell r="A910">
            <v>39885</v>
          </cell>
          <cell r="B910">
            <v>3</v>
          </cell>
          <cell r="C910" t="str">
            <v>W</v>
          </cell>
          <cell r="D910">
            <v>48</v>
          </cell>
          <cell r="E910">
            <v>49</v>
          </cell>
          <cell r="F910">
            <v>50</v>
          </cell>
          <cell r="G910">
            <v>51</v>
          </cell>
          <cell r="H910">
            <v>52</v>
          </cell>
          <cell r="I910">
            <v>53</v>
          </cell>
          <cell r="J910">
            <v>54</v>
          </cell>
          <cell r="K910">
            <v>55</v>
          </cell>
          <cell r="L910">
            <v>56</v>
          </cell>
          <cell r="M910">
            <v>57</v>
          </cell>
          <cell r="N910">
            <v>58</v>
          </cell>
          <cell r="O910">
            <v>59</v>
          </cell>
          <cell r="P910">
            <v>60</v>
          </cell>
        </row>
        <row r="911">
          <cell r="A911">
            <v>39886</v>
          </cell>
          <cell r="B911">
            <v>3</v>
          </cell>
          <cell r="C911" t="str">
            <v>W</v>
          </cell>
          <cell r="D911">
            <v>64</v>
          </cell>
          <cell r="E911">
            <v>65</v>
          </cell>
          <cell r="F911">
            <v>66</v>
          </cell>
          <cell r="G911">
            <v>67</v>
          </cell>
          <cell r="H911">
            <v>68</v>
          </cell>
          <cell r="I911">
            <v>69</v>
          </cell>
          <cell r="J911">
            <v>70</v>
          </cell>
          <cell r="K911">
            <v>71</v>
          </cell>
          <cell r="L911">
            <v>72</v>
          </cell>
          <cell r="M911">
            <v>73</v>
          </cell>
          <cell r="N911">
            <v>74</v>
          </cell>
          <cell r="O911">
            <v>75</v>
          </cell>
          <cell r="P911">
            <v>76</v>
          </cell>
        </row>
        <row r="912">
          <cell r="A912">
            <v>39887</v>
          </cell>
          <cell r="B912">
            <v>3</v>
          </cell>
          <cell r="C912" t="str">
            <v>W</v>
          </cell>
          <cell r="D912">
            <v>67</v>
          </cell>
          <cell r="E912">
            <v>68</v>
          </cell>
          <cell r="F912">
            <v>69</v>
          </cell>
          <cell r="G912">
            <v>70</v>
          </cell>
          <cell r="H912">
            <v>71</v>
          </cell>
          <cell r="I912">
            <v>72</v>
          </cell>
          <cell r="J912">
            <v>73</v>
          </cell>
          <cell r="K912">
            <v>74</v>
          </cell>
          <cell r="L912">
            <v>75</v>
          </cell>
          <cell r="M912">
            <v>76</v>
          </cell>
          <cell r="N912">
            <v>77</v>
          </cell>
          <cell r="O912">
            <v>78</v>
          </cell>
          <cell r="P912">
            <v>79</v>
          </cell>
        </row>
        <row r="913">
          <cell r="A913">
            <v>39888</v>
          </cell>
          <cell r="B913">
            <v>3</v>
          </cell>
          <cell r="C913" t="str">
            <v>W</v>
          </cell>
          <cell r="D913">
            <v>61</v>
          </cell>
          <cell r="E913">
            <v>62</v>
          </cell>
          <cell r="F913">
            <v>63</v>
          </cell>
          <cell r="G913">
            <v>64</v>
          </cell>
          <cell r="H913">
            <v>65</v>
          </cell>
          <cell r="I913">
            <v>66</v>
          </cell>
          <cell r="J913">
            <v>67</v>
          </cell>
          <cell r="K913">
            <v>68</v>
          </cell>
          <cell r="L913">
            <v>69</v>
          </cell>
          <cell r="M913">
            <v>70</v>
          </cell>
          <cell r="N913">
            <v>71</v>
          </cell>
          <cell r="O913">
            <v>72</v>
          </cell>
          <cell r="P913">
            <v>73</v>
          </cell>
        </row>
        <row r="914">
          <cell r="A914">
            <v>39889</v>
          </cell>
          <cell r="B914">
            <v>3</v>
          </cell>
          <cell r="C914" t="str">
            <v>W</v>
          </cell>
          <cell r="D914">
            <v>62</v>
          </cell>
          <cell r="E914">
            <v>63</v>
          </cell>
          <cell r="F914">
            <v>64</v>
          </cell>
          <cell r="G914">
            <v>65</v>
          </cell>
          <cell r="H914">
            <v>66</v>
          </cell>
          <cell r="I914">
            <v>67</v>
          </cell>
          <cell r="J914">
            <v>68</v>
          </cell>
          <cell r="K914">
            <v>69</v>
          </cell>
          <cell r="L914">
            <v>70</v>
          </cell>
          <cell r="M914">
            <v>71</v>
          </cell>
          <cell r="N914">
            <v>72</v>
          </cell>
          <cell r="O914">
            <v>73</v>
          </cell>
          <cell r="P914">
            <v>74</v>
          </cell>
        </row>
        <row r="915">
          <cell r="A915">
            <v>39890</v>
          </cell>
          <cell r="B915">
            <v>3</v>
          </cell>
          <cell r="C915" t="str">
            <v>W</v>
          </cell>
          <cell r="D915">
            <v>62</v>
          </cell>
          <cell r="E915">
            <v>63</v>
          </cell>
          <cell r="F915">
            <v>64</v>
          </cell>
          <cell r="G915">
            <v>65</v>
          </cell>
          <cell r="H915">
            <v>66</v>
          </cell>
          <cell r="I915">
            <v>67</v>
          </cell>
          <cell r="J915">
            <v>68</v>
          </cell>
          <cell r="K915">
            <v>69</v>
          </cell>
          <cell r="L915">
            <v>70</v>
          </cell>
          <cell r="M915">
            <v>71</v>
          </cell>
          <cell r="N915">
            <v>72</v>
          </cell>
          <cell r="O915">
            <v>73</v>
          </cell>
          <cell r="P915">
            <v>74</v>
          </cell>
        </row>
        <row r="916">
          <cell r="A916">
            <v>39891</v>
          </cell>
          <cell r="B916">
            <v>3</v>
          </cell>
          <cell r="C916" t="str">
            <v>W</v>
          </cell>
          <cell r="D916">
            <v>59</v>
          </cell>
          <cell r="E916">
            <v>60</v>
          </cell>
          <cell r="F916">
            <v>61</v>
          </cell>
          <cell r="G916">
            <v>62</v>
          </cell>
          <cell r="H916">
            <v>63</v>
          </cell>
          <cell r="I916">
            <v>64</v>
          </cell>
          <cell r="J916">
            <v>65</v>
          </cell>
          <cell r="K916">
            <v>66</v>
          </cell>
          <cell r="L916">
            <v>67</v>
          </cell>
          <cell r="M916">
            <v>68</v>
          </cell>
          <cell r="N916">
            <v>69</v>
          </cell>
          <cell r="O916">
            <v>70</v>
          </cell>
          <cell r="P916">
            <v>71</v>
          </cell>
        </row>
        <row r="917">
          <cell r="A917">
            <v>39892</v>
          </cell>
          <cell r="B917">
            <v>3</v>
          </cell>
          <cell r="C917" t="str">
            <v>W</v>
          </cell>
          <cell r="D917">
            <v>53</v>
          </cell>
          <cell r="E917">
            <v>54</v>
          </cell>
          <cell r="F917">
            <v>55</v>
          </cell>
          <cell r="G917">
            <v>56</v>
          </cell>
          <cell r="H917">
            <v>57</v>
          </cell>
          <cell r="I917">
            <v>58</v>
          </cell>
          <cell r="J917">
            <v>59</v>
          </cell>
          <cell r="K917">
            <v>60</v>
          </cell>
          <cell r="L917">
            <v>61</v>
          </cell>
          <cell r="M917">
            <v>62</v>
          </cell>
          <cell r="N917">
            <v>63</v>
          </cell>
          <cell r="O917">
            <v>64</v>
          </cell>
          <cell r="P917">
            <v>65</v>
          </cell>
        </row>
        <row r="918">
          <cell r="A918">
            <v>39893</v>
          </cell>
          <cell r="B918">
            <v>3</v>
          </cell>
          <cell r="C918" t="str">
            <v>W</v>
          </cell>
          <cell r="D918">
            <v>54</v>
          </cell>
          <cell r="E918">
            <v>55</v>
          </cell>
          <cell r="F918">
            <v>56</v>
          </cell>
          <cell r="G918">
            <v>57</v>
          </cell>
          <cell r="H918">
            <v>58</v>
          </cell>
          <cell r="I918">
            <v>59</v>
          </cell>
          <cell r="J918">
            <v>60</v>
          </cell>
          <cell r="K918">
            <v>61</v>
          </cell>
          <cell r="L918">
            <v>62</v>
          </cell>
          <cell r="M918">
            <v>63</v>
          </cell>
          <cell r="N918">
            <v>64</v>
          </cell>
          <cell r="O918">
            <v>65</v>
          </cell>
          <cell r="P918">
            <v>66</v>
          </cell>
        </row>
        <row r="919">
          <cell r="A919">
            <v>39894</v>
          </cell>
          <cell r="B919">
            <v>3</v>
          </cell>
          <cell r="C919" t="str">
            <v>W</v>
          </cell>
          <cell r="D919">
            <v>44</v>
          </cell>
          <cell r="E919">
            <v>45</v>
          </cell>
          <cell r="F919">
            <v>46</v>
          </cell>
          <cell r="G919">
            <v>47</v>
          </cell>
          <cell r="H919">
            <v>48</v>
          </cell>
          <cell r="I919">
            <v>49</v>
          </cell>
          <cell r="J919">
            <v>50</v>
          </cell>
          <cell r="K919">
            <v>51</v>
          </cell>
          <cell r="L919">
            <v>52</v>
          </cell>
          <cell r="M919">
            <v>53</v>
          </cell>
          <cell r="N919">
            <v>54</v>
          </cell>
          <cell r="O919">
            <v>55</v>
          </cell>
          <cell r="P919">
            <v>56</v>
          </cell>
        </row>
        <row r="920">
          <cell r="A920">
            <v>39895</v>
          </cell>
          <cell r="B920">
            <v>3</v>
          </cell>
          <cell r="C920" t="str">
            <v>W</v>
          </cell>
          <cell r="D920">
            <v>46</v>
          </cell>
          <cell r="E920">
            <v>47</v>
          </cell>
          <cell r="F920">
            <v>48</v>
          </cell>
          <cell r="G920">
            <v>49</v>
          </cell>
          <cell r="H920">
            <v>50</v>
          </cell>
          <cell r="I920">
            <v>51</v>
          </cell>
          <cell r="J920">
            <v>52</v>
          </cell>
          <cell r="K920">
            <v>53</v>
          </cell>
          <cell r="L920">
            <v>54</v>
          </cell>
          <cell r="M920">
            <v>55</v>
          </cell>
          <cell r="N920">
            <v>56</v>
          </cell>
          <cell r="O920">
            <v>57</v>
          </cell>
          <cell r="P920">
            <v>58</v>
          </cell>
        </row>
        <row r="921">
          <cell r="A921">
            <v>39896</v>
          </cell>
          <cell r="B921">
            <v>3</v>
          </cell>
          <cell r="C921" t="str">
            <v>W</v>
          </cell>
          <cell r="D921">
            <v>45</v>
          </cell>
          <cell r="E921">
            <v>46</v>
          </cell>
          <cell r="F921">
            <v>47</v>
          </cell>
          <cell r="G921">
            <v>48</v>
          </cell>
          <cell r="H921">
            <v>49</v>
          </cell>
          <cell r="I921">
            <v>50</v>
          </cell>
          <cell r="J921">
            <v>51</v>
          </cell>
          <cell r="K921">
            <v>52</v>
          </cell>
          <cell r="L921">
            <v>53</v>
          </cell>
          <cell r="M921">
            <v>54</v>
          </cell>
          <cell r="N921">
            <v>55</v>
          </cell>
          <cell r="O921">
            <v>56</v>
          </cell>
          <cell r="P921">
            <v>57</v>
          </cell>
        </row>
        <row r="922">
          <cell r="A922">
            <v>39897</v>
          </cell>
          <cell r="B922">
            <v>3</v>
          </cell>
          <cell r="C922" t="str">
            <v>W</v>
          </cell>
          <cell r="D922">
            <v>34</v>
          </cell>
          <cell r="E922">
            <v>35</v>
          </cell>
          <cell r="F922">
            <v>36</v>
          </cell>
          <cell r="G922">
            <v>37</v>
          </cell>
          <cell r="H922">
            <v>38</v>
          </cell>
          <cell r="I922">
            <v>39</v>
          </cell>
          <cell r="J922">
            <v>40</v>
          </cell>
          <cell r="K922">
            <v>41</v>
          </cell>
          <cell r="L922">
            <v>42</v>
          </cell>
          <cell r="M922">
            <v>43</v>
          </cell>
          <cell r="N922">
            <v>44</v>
          </cell>
          <cell r="O922">
            <v>45</v>
          </cell>
          <cell r="P922">
            <v>46</v>
          </cell>
        </row>
        <row r="923">
          <cell r="A923">
            <v>39898</v>
          </cell>
          <cell r="B923">
            <v>3</v>
          </cell>
          <cell r="C923" t="str">
            <v>W</v>
          </cell>
          <cell r="D923">
            <v>35</v>
          </cell>
          <cell r="E923">
            <v>36</v>
          </cell>
          <cell r="F923">
            <v>37</v>
          </cell>
          <cell r="G923">
            <v>38</v>
          </cell>
          <cell r="H923">
            <v>39</v>
          </cell>
          <cell r="I923">
            <v>40</v>
          </cell>
          <cell r="J923">
            <v>41</v>
          </cell>
          <cell r="K923">
            <v>42</v>
          </cell>
          <cell r="L923">
            <v>43</v>
          </cell>
          <cell r="M923">
            <v>44</v>
          </cell>
          <cell r="N923">
            <v>45</v>
          </cell>
          <cell r="O923">
            <v>46</v>
          </cell>
          <cell r="P923">
            <v>47</v>
          </cell>
        </row>
        <row r="924">
          <cell r="A924">
            <v>39899</v>
          </cell>
          <cell r="B924">
            <v>3</v>
          </cell>
          <cell r="C924" t="str">
            <v>W</v>
          </cell>
          <cell r="D924">
            <v>36</v>
          </cell>
          <cell r="E924">
            <v>37</v>
          </cell>
          <cell r="F924">
            <v>38</v>
          </cell>
          <cell r="G924">
            <v>39</v>
          </cell>
          <cell r="H924">
            <v>40</v>
          </cell>
          <cell r="I924">
            <v>41</v>
          </cell>
          <cell r="J924">
            <v>42</v>
          </cell>
          <cell r="K924">
            <v>43</v>
          </cell>
          <cell r="L924">
            <v>44</v>
          </cell>
          <cell r="M924">
            <v>45</v>
          </cell>
          <cell r="N924">
            <v>46</v>
          </cell>
          <cell r="O924">
            <v>47</v>
          </cell>
          <cell r="P924">
            <v>48</v>
          </cell>
        </row>
        <row r="925">
          <cell r="A925">
            <v>39900</v>
          </cell>
          <cell r="B925">
            <v>3</v>
          </cell>
          <cell r="C925" t="str">
            <v>W</v>
          </cell>
          <cell r="D925">
            <v>44</v>
          </cell>
          <cell r="E925">
            <v>45</v>
          </cell>
          <cell r="F925">
            <v>46</v>
          </cell>
          <cell r="G925">
            <v>47</v>
          </cell>
          <cell r="H925">
            <v>48</v>
          </cell>
          <cell r="I925">
            <v>49</v>
          </cell>
          <cell r="J925">
            <v>50</v>
          </cell>
          <cell r="K925">
            <v>51</v>
          </cell>
          <cell r="L925">
            <v>52</v>
          </cell>
          <cell r="M925">
            <v>53</v>
          </cell>
          <cell r="N925">
            <v>54</v>
          </cell>
          <cell r="O925">
            <v>55</v>
          </cell>
          <cell r="P925">
            <v>56</v>
          </cell>
        </row>
        <row r="926">
          <cell r="A926">
            <v>39901</v>
          </cell>
          <cell r="B926">
            <v>3</v>
          </cell>
          <cell r="C926" t="str">
            <v>W</v>
          </cell>
          <cell r="D926">
            <v>35</v>
          </cell>
          <cell r="E926">
            <v>36</v>
          </cell>
          <cell r="F926">
            <v>37</v>
          </cell>
          <cell r="G926">
            <v>38</v>
          </cell>
          <cell r="H926">
            <v>39</v>
          </cell>
          <cell r="I926">
            <v>40</v>
          </cell>
          <cell r="J926">
            <v>41</v>
          </cell>
          <cell r="K926">
            <v>42</v>
          </cell>
          <cell r="L926">
            <v>43</v>
          </cell>
          <cell r="M926">
            <v>44</v>
          </cell>
          <cell r="N926">
            <v>45</v>
          </cell>
          <cell r="O926">
            <v>46</v>
          </cell>
          <cell r="P926">
            <v>47</v>
          </cell>
        </row>
        <row r="927">
          <cell r="A927">
            <v>39902</v>
          </cell>
          <cell r="B927">
            <v>3</v>
          </cell>
          <cell r="C927" t="str">
            <v>W</v>
          </cell>
          <cell r="D927">
            <v>37</v>
          </cell>
          <cell r="E927">
            <v>38</v>
          </cell>
          <cell r="F927">
            <v>39</v>
          </cell>
          <cell r="G927">
            <v>40</v>
          </cell>
          <cell r="H927">
            <v>41</v>
          </cell>
          <cell r="I927">
            <v>42</v>
          </cell>
          <cell r="J927">
            <v>43</v>
          </cell>
          <cell r="K927">
            <v>44</v>
          </cell>
          <cell r="L927">
            <v>45</v>
          </cell>
          <cell r="M927">
            <v>46</v>
          </cell>
          <cell r="N927">
            <v>47</v>
          </cell>
          <cell r="O927">
            <v>48</v>
          </cell>
          <cell r="P927">
            <v>49</v>
          </cell>
        </row>
        <row r="928">
          <cell r="A928">
            <v>39903</v>
          </cell>
          <cell r="B928">
            <v>3</v>
          </cell>
          <cell r="C928" t="str">
            <v>W</v>
          </cell>
          <cell r="D928">
            <v>40</v>
          </cell>
          <cell r="E928">
            <v>41</v>
          </cell>
          <cell r="F928">
            <v>42</v>
          </cell>
          <cell r="G928">
            <v>43</v>
          </cell>
          <cell r="H928">
            <v>44</v>
          </cell>
          <cell r="I928">
            <v>45</v>
          </cell>
          <cell r="J928">
            <v>46</v>
          </cell>
          <cell r="K928">
            <v>47</v>
          </cell>
          <cell r="L928">
            <v>48</v>
          </cell>
          <cell r="M928">
            <v>49</v>
          </cell>
          <cell r="N928">
            <v>50</v>
          </cell>
          <cell r="O928">
            <v>51</v>
          </cell>
          <cell r="P928">
            <v>52</v>
          </cell>
        </row>
        <row r="929">
          <cell r="A929">
            <v>39904</v>
          </cell>
          <cell r="B929">
            <v>4</v>
          </cell>
          <cell r="C929" t="str">
            <v>S</v>
          </cell>
          <cell r="D929">
            <v>44</v>
          </cell>
          <cell r="E929">
            <v>45</v>
          </cell>
          <cell r="F929">
            <v>46</v>
          </cell>
          <cell r="G929">
            <v>47</v>
          </cell>
          <cell r="H929">
            <v>48</v>
          </cell>
          <cell r="I929">
            <v>49</v>
          </cell>
          <cell r="J929">
            <v>50</v>
          </cell>
          <cell r="K929">
            <v>51</v>
          </cell>
          <cell r="L929">
            <v>52</v>
          </cell>
          <cell r="M929">
            <v>53</v>
          </cell>
          <cell r="N929">
            <v>54</v>
          </cell>
          <cell r="O929">
            <v>55</v>
          </cell>
          <cell r="P929">
            <v>56</v>
          </cell>
        </row>
        <row r="930">
          <cell r="A930">
            <v>39905</v>
          </cell>
          <cell r="B930">
            <v>4</v>
          </cell>
          <cell r="C930" t="str">
            <v>S</v>
          </cell>
          <cell r="D930">
            <v>50</v>
          </cell>
          <cell r="E930">
            <v>51</v>
          </cell>
          <cell r="F930">
            <v>52</v>
          </cell>
          <cell r="G930">
            <v>53</v>
          </cell>
          <cell r="H930">
            <v>54</v>
          </cell>
          <cell r="I930">
            <v>55</v>
          </cell>
          <cell r="J930">
            <v>56</v>
          </cell>
          <cell r="K930">
            <v>57</v>
          </cell>
          <cell r="L930">
            <v>58</v>
          </cell>
          <cell r="M930">
            <v>59</v>
          </cell>
          <cell r="N930">
            <v>60</v>
          </cell>
          <cell r="O930">
            <v>61</v>
          </cell>
          <cell r="P930">
            <v>62</v>
          </cell>
        </row>
        <row r="931">
          <cell r="A931">
            <v>39906</v>
          </cell>
          <cell r="B931">
            <v>4</v>
          </cell>
          <cell r="C931" t="str">
            <v>S</v>
          </cell>
          <cell r="D931">
            <v>42</v>
          </cell>
          <cell r="E931">
            <v>43</v>
          </cell>
          <cell r="F931">
            <v>44</v>
          </cell>
          <cell r="G931">
            <v>45</v>
          </cell>
          <cell r="H931">
            <v>46</v>
          </cell>
          <cell r="I931">
            <v>47</v>
          </cell>
          <cell r="J931">
            <v>48</v>
          </cell>
          <cell r="K931">
            <v>49</v>
          </cell>
          <cell r="L931">
            <v>50</v>
          </cell>
          <cell r="M931">
            <v>51</v>
          </cell>
          <cell r="N931">
            <v>52</v>
          </cell>
          <cell r="O931">
            <v>53</v>
          </cell>
          <cell r="P931">
            <v>54</v>
          </cell>
        </row>
        <row r="932">
          <cell r="A932">
            <v>39907</v>
          </cell>
          <cell r="B932">
            <v>4</v>
          </cell>
          <cell r="C932" t="str">
            <v>S</v>
          </cell>
          <cell r="D932">
            <v>44</v>
          </cell>
          <cell r="E932">
            <v>45</v>
          </cell>
          <cell r="F932">
            <v>46</v>
          </cell>
          <cell r="G932">
            <v>47</v>
          </cell>
          <cell r="H932">
            <v>48</v>
          </cell>
          <cell r="I932">
            <v>49</v>
          </cell>
          <cell r="J932">
            <v>50</v>
          </cell>
          <cell r="K932">
            <v>51</v>
          </cell>
          <cell r="L932">
            <v>52</v>
          </cell>
          <cell r="M932">
            <v>53</v>
          </cell>
          <cell r="N932">
            <v>54</v>
          </cell>
          <cell r="O932">
            <v>55</v>
          </cell>
          <cell r="P932">
            <v>56</v>
          </cell>
        </row>
        <row r="933">
          <cell r="A933">
            <v>39908</v>
          </cell>
          <cell r="B933">
            <v>4</v>
          </cell>
          <cell r="C933" t="str">
            <v>S</v>
          </cell>
          <cell r="D933">
            <v>42</v>
          </cell>
          <cell r="E933">
            <v>43</v>
          </cell>
          <cell r="F933">
            <v>44</v>
          </cell>
          <cell r="G933">
            <v>45</v>
          </cell>
          <cell r="H933">
            <v>46</v>
          </cell>
          <cell r="I933">
            <v>47</v>
          </cell>
          <cell r="J933">
            <v>48</v>
          </cell>
          <cell r="K933">
            <v>49</v>
          </cell>
          <cell r="L933">
            <v>50</v>
          </cell>
          <cell r="M933">
            <v>51</v>
          </cell>
          <cell r="N933">
            <v>52</v>
          </cell>
          <cell r="O933">
            <v>53</v>
          </cell>
          <cell r="P933">
            <v>54</v>
          </cell>
        </row>
        <row r="934">
          <cell r="A934">
            <v>39909</v>
          </cell>
          <cell r="B934">
            <v>4</v>
          </cell>
          <cell r="C934" t="str">
            <v>S</v>
          </cell>
          <cell r="D934">
            <v>34</v>
          </cell>
          <cell r="E934">
            <v>35</v>
          </cell>
          <cell r="F934">
            <v>36</v>
          </cell>
          <cell r="G934">
            <v>37</v>
          </cell>
          <cell r="H934">
            <v>38</v>
          </cell>
          <cell r="I934">
            <v>39</v>
          </cell>
          <cell r="J934">
            <v>40</v>
          </cell>
          <cell r="K934">
            <v>41</v>
          </cell>
          <cell r="L934">
            <v>42</v>
          </cell>
          <cell r="M934">
            <v>43</v>
          </cell>
          <cell r="N934">
            <v>44</v>
          </cell>
          <cell r="O934">
            <v>45</v>
          </cell>
          <cell r="P934">
            <v>46</v>
          </cell>
        </row>
        <row r="935">
          <cell r="A935">
            <v>39910</v>
          </cell>
          <cell r="B935">
            <v>4</v>
          </cell>
          <cell r="C935" t="str">
            <v>S</v>
          </cell>
          <cell r="D935">
            <v>32</v>
          </cell>
          <cell r="E935">
            <v>33</v>
          </cell>
          <cell r="F935">
            <v>34</v>
          </cell>
          <cell r="G935">
            <v>35</v>
          </cell>
          <cell r="H935">
            <v>36</v>
          </cell>
          <cell r="I935">
            <v>37</v>
          </cell>
          <cell r="J935">
            <v>38</v>
          </cell>
          <cell r="K935">
            <v>39</v>
          </cell>
          <cell r="L935">
            <v>40</v>
          </cell>
          <cell r="M935">
            <v>41</v>
          </cell>
          <cell r="N935">
            <v>42</v>
          </cell>
          <cell r="O935">
            <v>43</v>
          </cell>
          <cell r="P935">
            <v>44</v>
          </cell>
        </row>
        <row r="936">
          <cell r="A936">
            <v>39911</v>
          </cell>
          <cell r="B936">
            <v>4</v>
          </cell>
          <cell r="C936" t="str">
            <v>S</v>
          </cell>
          <cell r="D936">
            <v>32</v>
          </cell>
          <cell r="E936">
            <v>33</v>
          </cell>
          <cell r="F936">
            <v>34</v>
          </cell>
          <cell r="G936">
            <v>35</v>
          </cell>
          <cell r="H936">
            <v>36</v>
          </cell>
          <cell r="I936">
            <v>37</v>
          </cell>
          <cell r="J936">
            <v>38</v>
          </cell>
          <cell r="K936">
            <v>39</v>
          </cell>
          <cell r="L936">
            <v>40</v>
          </cell>
          <cell r="M936">
            <v>41</v>
          </cell>
          <cell r="N936">
            <v>42</v>
          </cell>
          <cell r="O936">
            <v>43</v>
          </cell>
          <cell r="P936">
            <v>44</v>
          </cell>
        </row>
        <row r="937">
          <cell r="A937">
            <v>39912</v>
          </cell>
          <cell r="B937">
            <v>4</v>
          </cell>
          <cell r="C937" t="str">
            <v>S</v>
          </cell>
          <cell r="D937">
            <v>26</v>
          </cell>
          <cell r="E937">
            <v>27</v>
          </cell>
          <cell r="F937">
            <v>28</v>
          </cell>
          <cell r="G937">
            <v>29</v>
          </cell>
          <cell r="H937">
            <v>30</v>
          </cell>
          <cell r="I937">
            <v>31</v>
          </cell>
          <cell r="J937">
            <v>32</v>
          </cell>
          <cell r="K937">
            <v>33</v>
          </cell>
          <cell r="L937">
            <v>34</v>
          </cell>
          <cell r="M937">
            <v>35</v>
          </cell>
          <cell r="N937">
            <v>36</v>
          </cell>
          <cell r="O937">
            <v>37</v>
          </cell>
          <cell r="P937">
            <v>38</v>
          </cell>
        </row>
        <row r="938">
          <cell r="A938">
            <v>39913</v>
          </cell>
          <cell r="B938">
            <v>4</v>
          </cell>
          <cell r="C938" t="str">
            <v>S</v>
          </cell>
          <cell r="D938">
            <v>26</v>
          </cell>
          <cell r="E938">
            <v>27</v>
          </cell>
          <cell r="F938">
            <v>28</v>
          </cell>
          <cell r="G938">
            <v>29</v>
          </cell>
          <cell r="H938">
            <v>30</v>
          </cell>
          <cell r="I938">
            <v>31</v>
          </cell>
          <cell r="J938">
            <v>32</v>
          </cell>
          <cell r="K938">
            <v>33</v>
          </cell>
          <cell r="L938">
            <v>34</v>
          </cell>
          <cell r="M938">
            <v>35</v>
          </cell>
          <cell r="N938">
            <v>36</v>
          </cell>
          <cell r="O938">
            <v>37</v>
          </cell>
          <cell r="P938">
            <v>38</v>
          </cell>
        </row>
        <row r="939">
          <cell r="A939">
            <v>39914</v>
          </cell>
          <cell r="B939">
            <v>4</v>
          </cell>
          <cell r="C939" t="str">
            <v>S</v>
          </cell>
          <cell r="D939">
            <v>18</v>
          </cell>
          <cell r="E939">
            <v>19</v>
          </cell>
          <cell r="F939">
            <v>20</v>
          </cell>
          <cell r="G939">
            <v>21</v>
          </cell>
          <cell r="H939">
            <v>22</v>
          </cell>
          <cell r="I939">
            <v>23</v>
          </cell>
          <cell r="J939">
            <v>24</v>
          </cell>
          <cell r="K939">
            <v>25</v>
          </cell>
          <cell r="L939">
            <v>26</v>
          </cell>
          <cell r="M939">
            <v>27</v>
          </cell>
          <cell r="N939">
            <v>28</v>
          </cell>
          <cell r="O939">
            <v>29</v>
          </cell>
          <cell r="P939">
            <v>30</v>
          </cell>
        </row>
        <row r="940">
          <cell r="A940">
            <v>39915</v>
          </cell>
          <cell r="B940">
            <v>4</v>
          </cell>
          <cell r="C940" t="str">
            <v>S</v>
          </cell>
          <cell r="D940">
            <v>20</v>
          </cell>
          <cell r="E940">
            <v>21</v>
          </cell>
          <cell r="F940">
            <v>22</v>
          </cell>
          <cell r="G940">
            <v>23</v>
          </cell>
          <cell r="H940">
            <v>24</v>
          </cell>
          <cell r="I940">
            <v>25</v>
          </cell>
          <cell r="J940">
            <v>26</v>
          </cell>
          <cell r="K940">
            <v>27</v>
          </cell>
          <cell r="L940">
            <v>28</v>
          </cell>
          <cell r="M940">
            <v>29</v>
          </cell>
          <cell r="N940">
            <v>30</v>
          </cell>
          <cell r="O940">
            <v>31</v>
          </cell>
          <cell r="P940">
            <v>32</v>
          </cell>
        </row>
        <row r="941">
          <cell r="A941">
            <v>39916</v>
          </cell>
          <cell r="B941">
            <v>4</v>
          </cell>
          <cell r="C941" t="str">
            <v>S</v>
          </cell>
          <cell r="D941">
            <v>20</v>
          </cell>
          <cell r="E941">
            <v>21</v>
          </cell>
          <cell r="F941">
            <v>22</v>
          </cell>
          <cell r="G941">
            <v>23</v>
          </cell>
          <cell r="H941">
            <v>24</v>
          </cell>
          <cell r="I941">
            <v>25</v>
          </cell>
          <cell r="J941">
            <v>26</v>
          </cell>
          <cell r="K941">
            <v>27</v>
          </cell>
          <cell r="L941">
            <v>28</v>
          </cell>
          <cell r="M941">
            <v>29</v>
          </cell>
          <cell r="N941">
            <v>30</v>
          </cell>
          <cell r="O941">
            <v>31</v>
          </cell>
          <cell r="P941">
            <v>32</v>
          </cell>
        </row>
        <row r="942">
          <cell r="A942">
            <v>39917</v>
          </cell>
          <cell r="B942">
            <v>4</v>
          </cell>
          <cell r="C942" t="str">
            <v>S</v>
          </cell>
          <cell r="D942">
            <v>24</v>
          </cell>
          <cell r="E942">
            <v>25</v>
          </cell>
          <cell r="F942">
            <v>26</v>
          </cell>
          <cell r="G942">
            <v>27</v>
          </cell>
          <cell r="H942">
            <v>28</v>
          </cell>
          <cell r="I942">
            <v>29</v>
          </cell>
          <cell r="J942">
            <v>30</v>
          </cell>
          <cell r="K942">
            <v>31</v>
          </cell>
          <cell r="L942">
            <v>32</v>
          </cell>
          <cell r="M942">
            <v>33</v>
          </cell>
          <cell r="N942">
            <v>34</v>
          </cell>
          <cell r="O942">
            <v>35</v>
          </cell>
          <cell r="P942">
            <v>36</v>
          </cell>
        </row>
        <row r="943">
          <cell r="A943">
            <v>39918</v>
          </cell>
          <cell r="B943">
            <v>4</v>
          </cell>
          <cell r="C943" t="str">
            <v>S</v>
          </cell>
          <cell r="D943">
            <v>20</v>
          </cell>
          <cell r="E943">
            <v>21</v>
          </cell>
          <cell r="F943">
            <v>22</v>
          </cell>
          <cell r="G943">
            <v>23</v>
          </cell>
          <cell r="H943">
            <v>24</v>
          </cell>
          <cell r="I943">
            <v>25</v>
          </cell>
          <cell r="J943">
            <v>26</v>
          </cell>
          <cell r="K943">
            <v>27</v>
          </cell>
          <cell r="L943">
            <v>28</v>
          </cell>
          <cell r="M943">
            <v>29</v>
          </cell>
          <cell r="N943">
            <v>30</v>
          </cell>
          <cell r="O943">
            <v>31</v>
          </cell>
          <cell r="P943">
            <v>32</v>
          </cell>
        </row>
        <row r="944">
          <cell r="A944">
            <v>39919</v>
          </cell>
          <cell r="B944">
            <v>4</v>
          </cell>
          <cell r="C944" t="str">
            <v>S</v>
          </cell>
          <cell r="D944">
            <v>18</v>
          </cell>
          <cell r="E944">
            <v>19</v>
          </cell>
          <cell r="F944">
            <v>20</v>
          </cell>
          <cell r="G944">
            <v>21</v>
          </cell>
          <cell r="H944">
            <v>22</v>
          </cell>
          <cell r="I944">
            <v>23</v>
          </cell>
          <cell r="J944">
            <v>24</v>
          </cell>
          <cell r="K944">
            <v>25</v>
          </cell>
          <cell r="L944">
            <v>26</v>
          </cell>
          <cell r="M944">
            <v>27</v>
          </cell>
          <cell r="N944">
            <v>28</v>
          </cell>
          <cell r="O944">
            <v>29</v>
          </cell>
          <cell r="P944">
            <v>30</v>
          </cell>
        </row>
        <row r="945">
          <cell r="A945">
            <v>39920</v>
          </cell>
          <cell r="B945">
            <v>4</v>
          </cell>
          <cell r="C945" t="str">
            <v>S</v>
          </cell>
          <cell r="D945">
            <v>22</v>
          </cell>
          <cell r="E945">
            <v>23</v>
          </cell>
          <cell r="F945">
            <v>24</v>
          </cell>
          <cell r="G945">
            <v>25</v>
          </cell>
          <cell r="H945">
            <v>26</v>
          </cell>
          <cell r="I945">
            <v>27</v>
          </cell>
          <cell r="J945">
            <v>28</v>
          </cell>
          <cell r="K945">
            <v>29</v>
          </cell>
          <cell r="L945">
            <v>30</v>
          </cell>
          <cell r="M945">
            <v>31</v>
          </cell>
          <cell r="N945">
            <v>32</v>
          </cell>
          <cell r="O945">
            <v>33</v>
          </cell>
          <cell r="P945">
            <v>34</v>
          </cell>
        </row>
        <row r="946">
          <cell r="A946">
            <v>39921</v>
          </cell>
          <cell r="B946">
            <v>4</v>
          </cell>
          <cell r="C946" t="str">
            <v>S</v>
          </cell>
          <cell r="D946">
            <v>21</v>
          </cell>
          <cell r="E946">
            <v>22</v>
          </cell>
          <cell r="F946">
            <v>23</v>
          </cell>
          <cell r="G946">
            <v>24</v>
          </cell>
          <cell r="H946">
            <v>25</v>
          </cell>
          <cell r="I946">
            <v>26</v>
          </cell>
          <cell r="J946">
            <v>27</v>
          </cell>
          <cell r="K946">
            <v>28</v>
          </cell>
          <cell r="L946">
            <v>29</v>
          </cell>
          <cell r="M946">
            <v>30</v>
          </cell>
          <cell r="N946">
            <v>31</v>
          </cell>
          <cell r="O946">
            <v>32</v>
          </cell>
          <cell r="P946">
            <v>33</v>
          </cell>
        </row>
        <row r="947">
          <cell r="A947">
            <v>39922</v>
          </cell>
          <cell r="B947">
            <v>4</v>
          </cell>
          <cell r="C947" t="str">
            <v>S</v>
          </cell>
          <cell r="D947">
            <v>19</v>
          </cell>
          <cell r="E947">
            <v>20</v>
          </cell>
          <cell r="F947">
            <v>21</v>
          </cell>
          <cell r="G947">
            <v>22</v>
          </cell>
          <cell r="H947">
            <v>23</v>
          </cell>
          <cell r="I947">
            <v>24</v>
          </cell>
          <cell r="J947">
            <v>25</v>
          </cell>
          <cell r="K947">
            <v>26</v>
          </cell>
          <cell r="L947">
            <v>27</v>
          </cell>
          <cell r="M947">
            <v>28</v>
          </cell>
          <cell r="N947">
            <v>29</v>
          </cell>
          <cell r="O947">
            <v>30</v>
          </cell>
          <cell r="P947">
            <v>31</v>
          </cell>
        </row>
        <row r="948">
          <cell r="A948">
            <v>39923</v>
          </cell>
          <cell r="B948">
            <v>4</v>
          </cell>
          <cell r="C948" t="str">
            <v>S</v>
          </cell>
          <cell r="D948">
            <v>19</v>
          </cell>
          <cell r="E948">
            <v>20</v>
          </cell>
          <cell r="F948">
            <v>21</v>
          </cell>
          <cell r="G948">
            <v>22</v>
          </cell>
          <cell r="H948">
            <v>23</v>
          </cell>
          <cell r="I948">
            <v>24</v>
          </cell>
          <cell r="J948">
            <v>25</v>
          </cell>
          <cell r="K948">
            <v>26</v>
          </cell>
          <cell r="L948">
            <v>27</v>
          </cell>
          <cell r="M948">
            <v>28</v>
          </cell>
          <cell r="N948">
            <v>29</v>
          </cell>
          <cell r="O948">
            <v>30</v>
          </cell>
          <cell r="P948">
            <v>31</v>
          </cell>
        </row>
        <row r="949">
          <cell r="A949">
            <v>39924</v>
          </cell>
          <cell r="B949">
            <v>4</v>
          </cell>
          <cell r="C949" t="str">
            <v>S</v>
          </cell>
          <cell r="D949">
            <v>20</v>
          </cell>
          <cell r="E949">
            <v>21</v>
          </cell>
          <cell r="F949">
            <v>22</v>
          </cell>
          <cell r="G949">
            <v>23</v>
          </cell>
          <cell r="H949">
            <v>24</v>
          </cell>
          <cell r="I949">
            <v>25</v>
          </cell>
          <cell r="J949">
            <v>26</v>
          </cell>
          <cell r="K949">
            <v>27</v>
          </cell>
          <cell r="L949">
            <v>28</v>
          </cell>
          <cell r="M949">
            <v>29</v>
          </cell>
          <cell r="N949">
            <v>30</v>
          </cell>
          <cell r="O949">
            <v>31</v>
          </cell>
          <cell r="P949">
            <v>32</v>
          </cell>
        </row>
        <row r="950">
          <cell r="A950">
            <v>39925</v>
          </cell>
          <cell r="B950">
            <v>4</v>
          </cell>
          <cell r="C950" t="str">
            <v>S</v>
          </cell>
          <cell r="D950">
            <v>19</v>
          </cell>
          <cell r="E950">
            <v>20</v>
          </cell>
          <cell r="F950">
            <v>21</v>
          </cell>
          <cell r="G950">
            <v>22</v>
          </cell>
          <cell r="H950">
            <v>23</v>
          </cell>
          <cell r="I950">
            <v>24</v>
          </cell>
          <cell r="J950">
            <v>25</v>
          </cell>
          <cell r="K950">
            <v>26</v>
          </cell>
          <cell r="L950">
            <v>27</v>
          </cell>
          <cell r="M950">
            <v>28</v>
          </cell>
          <cell r="N950">
            <v>29</v>
          </cell>
          <cell r="O950">
            <v>30</v>
          </cell>
          <cell r="P950">
            <v>31</v>
          </cell>
        </row>
        <row r="951">
          <cell r="A951">
            <v>39926</v>
          </cell>
          <cell r="B951">
            <v>4</v>
          </cell>
          <cell r="C951" t="str">
            <v>S</v>
          </cell>
          <cell r="D951">
            <v>15</v>
          </cell>
          <cell r="E951">
            <v>16</v>
          </cell>
          <cell r="F951">
            <v>17</v>
          </cell>
          <cell r="G951">
            <v>18</v>
          </cell>
          <cell r="H951">
            <v>19</v>
          </cell>
          <cell r="I951">
            <v>20</v>
          </cell>
          <cell r="J951">
            <v>21</v>
          </cell>
          <cell r="K951">
            <v>22</v>
          </cell>
          <cell r="L951">
            <v>23</v>
          </cell>
          <cell r="M951">
            <v>24</v>
          </cell>
          <cell r="N951">
            <v>25</v>
          </cell>
          <cell r="O951">
            <v>26</v>
          </cell>
          <cell r="P951">
            <v>27</v>
          </cell>
        </row>
        <row r="952">
          <cell r="A952">
            <v>39927</v>
          </cell>
          <cell r="B952">
            <v>4</v>
          </cell>
          <cell r="C952" t="str">
            <v>S</v>
          </cell>
          <cell r="D952">
            <v>17</v>
          </cell>
          <cell r="E952">
            <v>18</v>
          </cell>
          <cell r="F952">
            <v>19</v>
          </cell>
          <cell r="G952">
            <v>20</v>
          </cell>
          <cell r="H952">
            <v>21</v>
          </cell>
          <cell r="I952">
            <v>22</v>
          </cell>
          <cell r="J952">
            <v>23</v>
          </cell>
          <cell r="K952">
            <v>24</v>
          </cell>
          <cell r="L952">
            <v>25</v>
          </cell>
          <cell r="M952">
            <v>26</v>
          </cell>
          <cell r="N952">
            <v>27</v>
          </cell>
          <cell r="O952">
            <v>28</v>
          </cell>
          <cell r="P952">
            <v>29</v>
          </cell>
        </row>
        <row r="953">
          <cell r="A953">
            <v>39928</v>
          </cell>
          <cell r="B953">
            <v>4</v>
          </cell>
          <cell r="C953" t="str">
            <v>S</v>
          </cell>
          <cell r="D953">
            <v>15</v>
          </cell>
          <cell r="E953">
            <v>16</v>
          </cell>
          <cell r="F953">
            <v>17</v>
          </cell>
          <cell r="G953">
            <v>18</v>
          </cell>
          <cell r="H953">
            <v>19</v>
          </cell>
          <cell r="I953">
            <v>20</v>
          </cell>
          <cell r="J953">
            <v>21</v>
          </cell>
          <cell r="K953">
            <v>22</v>
          </cell>
          <cell r="L953">
            <v>23</v>
          </cell>
          <cell r="M953">
            <v>24</v>
          </cell>
          <cell r="N953">
            <v>25</v>
          </cell>
          <cell r="O953">
            <v>26</v>
          </cell>
          <cell r="P953">
            <v>27</v>
          </cell>
        </row>
        <row r="954">
          <cell r="A954">
            <v>39929</v>
          </cell>
          <cell r="B954">
            <v>4</v>
          </cell>
          <cell r="C954" t="str">
            <v>S</v>
          </cell>
          <cell r="D954">
            <v>9.8000000000000007</v>
          </cell>
          <cell r="E954">
            <v>10.5</v>
          </cell>
          <cell r="F954">
            <v>11.2</v>
          </cell>
          <cell r="G954">
            <v>12</v>
          </cell>
          <cell r="H954">
            <v>12.8</v>
          </cell>
          <cell r="I954">
            <v>13.5</v>
          </cell>
          <cell r="J954">
            <v>14.2</v>
          </cell>
          <cell r="K954">
            <v>15</v>
          </cell>
          <cell r="L954">
            <v>16</v>
          </cell>
          <cell r="M954">
            <v>17</v>
          </cell>
          <cell r="N954">
            <v>18</v>
          </cell>
          <cell r="O954">
            <v>19</v>
          </cell>
          <cell r="P954">
            <v>20</v>
          </cell>
        </row>
        <row r="955">
          <cell r="A955">
            <v>39930</v>
          </cell>
          <cell r="B955">
            <v>4</v>
          </cell>
          <cell r="C955" t="str">
            <v>S</v>
          </cell>
          <cell r="D955">
            <v>9</v>
          </cell>
          <cell r="E955">
            <v>9.8000000000000007</v>
          </cell>
          <cell r="F955">
            <v>10.5</v>
          </cell>
          <cell r="G955">
            <v>11.2</v>
          </cell>
          <cell r="H955">
            <v>12</v>
          </cell>
          <cell r="I955">
            <v>12.8</v>
          </cell>
          <cell r="J955">
            <v>13.5</v>
          </cell>
          <cell r="K955">
            <v>14</v>
          </cell>
          <cell r="L955">
            <v>15</v>
          </cell>
          <cell r="M955">
            <v>16</v>
          </cell>
          <cell r="N955">
            <v>17</v>
          </cell>
          <cell r="O955">
            <v>18</v>
          </cell>
          <cell r="P955">
            <v>19</v>
          </cell>
        </row>
        <row r="956">
          <cell r="A956">
            <v>39931</v>
          </cell>
          <cell r="B956">
            <v>4</v>
          </cell>
          <cell r="C956" t="str">
            <v>S</v>
          </cell>
          <cell r="D956">
            <v>8.5</v>
          </cell>
          <cell r="E956">
            <v>9.1999999999999993</v>
          </cell>
          <cell r="F956">
            <v>10</v>
          </cell>
          <cell r="G956">
            <v>10.8</v>
          </cell>
          <cell r="H956">
            <v>11.5</v>
          </cell>
          <cell r="I956">
            <v>12.2</v>
          </cell>
          <cell r="J956">
            <v>13</v>
          </cell>
          <cell r="K956">
            <v>13.8</v>
          </cell>
          <cell r="L956">
            <v>14.5</v>
          </cell>
          <cell r="M956">
            <v>15</v>
          </cell>
          <cell r="N956">
            <v>16</v>
          </cell>
          <cell r="O956">
            <v>17</v>
          </cell>
          <cell r="P956">
            <v>18</v>
          </cell>
        </row>
        <row r="957">
          <cell r="A957">
            <v>39932</v>
          </cell>
          <cell r="B957">
            <v>4</v>
          </cell>
          <cell r="C957" t="str">
            <v>S</v>
          </cell>
          <cell r="D957">
            <v>5</v>
          </cell>
          <cell r="E957">
            <v>5.8</v>
          </cell>
          <cell r="F957">
            <v>6.5</v>
          </cell>
          <cell r="G957">
            <v>7.2</v>
          </cell>
          <cell r="H957">
            <v>8</v>
          </cell>
          <cell r="I957">
            <v>8.8000000000000007</v>
          </cell>
          <cell r="J957">
            <v>9.5</v>
          </cell>
          <cell r="K957">
            <v>10.199999999999999</v>
          </cell>
          <cell r="L957">
            <v>11</v>
          </cell>
          <cell r="M957">
            <v>11.8</v>
          </cell>
          <cell r="N957">
            <v>12.5</v>
          </cell>
          <cell r="O957">
            <v>13.2</v>
          </cell>
          <cell r="P957">
            <v>14</v>
          </cell>
        </row>
        <row r="958">
          <cell r="A958">
            <v>39933</v>
          </cell>
          <cell r="B958">
            <v>4</v>
          </cell>
          <cell r="C958" t="str">
            <v>S</v>
          </cell>
          <cell r="D958">
            <v>4.8</v>
          </cell>
          <cell r="E958">
            <v>5</v>
          </cell>
          <cell r="F958">
            <v>5.2</v>
          </cell>
          <cell r="G958">
            <v>6</v>
          </cell>
          <cell r="H958">
            <v>6.8</v>
          </cell>
          <cell r="I958">
            <v>7.5</v>
          </cell>
          <cell r="J958">
            <v>8.1999999999999993</v>
          </cell>
          <cell r="K958">
            <v>9</v>
          </cell>
          <cell r="L958">
            <v>9.8000000000000007</v>
          </cell>
          <cell r="M958">
            <v>10.5</v>
          </cell>
          <cell r="N958">
            <v>11.2</v>
          </cell>
          <cell r="O958">
            <v>12</v>
          </cell>
          <cell r="P958">
            <v>12.8</v>
          </cell>
        </row>
        <row r="959">
          <cell r="A959">
            <v>39934</v>
          </cell>
          <cell r="B959">
            <v>5</v>
          </cell>
          <cell r="C959" t="str">
            <v>S</v>
          </cell>
          <cell r="D959">
            <v>4.2</v>
          </cell>
          <cell r="E959">
            <v>4.5</v>
          </cell>
          <cell r="F959">
            <v>4.8</v>
          </cell>
          <cell r="G959">
            <v>5</v>
          </cell>
          <cell r="H959">
            <v>5.8</v>
          </cell>
          <cell r="I959">
            <v>6.5</v>
          </cell>
          <cell r="J959">
            <v>7.2</v>
          </cell>
          <cell r="K959">
            <v>8</v>
          </cell>
          <cell r="L959">
            <v>8.8000000000000007</v>
          </cell>
          <cell r="M959">
            <v>9.5</v>
          </cell>
          <cell r="N959">
            <v>10.199999999999999</v>
          </cell>
          <cell r="O959">
            <v>11</v>
          </cell>
          <cell r="P959">
            <v>11.8</v>
          </cell>
        </row>
        <row r="960">
          <cell r="A960">
            <v>39935</v>
          </cell>
          <cell r="B960">
            <v>5</v>
          </cell>
          <cell r="C960" t="str">
            <v>S</v>
          </cell>
          <cell r="D960">
            <v>3.5</v>
          </cell>
          <cell r="E960">
            <v>3.8</v>
          </cell>
          <cell r="F960">
            <v>4</v>
          </cell>
          <cell r="G960">
            <v>4.2</v>
          </cell>
          <cell r="H960">
            <v>4.5</v>
          </cell>
          <cell r="I960">
            <v>5.2</v>
          </cell>
          <cell r="J960">
            <v>6</v>
          </cell>
          <cell r="K960">
            <v>6.8</v>
          </cell>
          <cell r="L960">
            <v>7.5</v>
          </cell>
          <cell r="M960">
            <v>8.1999999999999993</v>
          </cell>
          <cell r="N960">
            <v>9</v>
          </cell>
          <cell r="O960">
            <v>9.8000000000000007</v>
          </cell>
          <cell r="P960">
            <v>10.5</v>
          </cell>
        </row>
        <row r="961">
          <cell r="A961">
            <v>39936</v>
          </cell>
          <cell r="B961">
            <v>5</v>
          </cell>
          <cell r="C961" t="str">
            <v>S</v>
          </cell>
          <cell r="D961">
            <v>2</v>
          </cell>
          <cell r="E961">
            <v>2.2000000000000002</v>
          </cell>
          <cell r="F961">
            <v>2.5</v>
          </cell>
          <cell r="G961">
            <v>3.2</v>
          </cell>
          <cell r="H961">
            <v>4</v>
          </cell>
          <cell r="I961">
            <v>4.8</v>
          </cell>
          <cell r="J961">
            <v>5.5</v>
          </cell>
          <cell r="K961">
            <v>6.2</v>
          </cell>
          <cell r="L961">
            <v>7</v>
          </cell>
          <cell r="M961">
            <v>7.8</v>
          </cell>
          <cell r="N961">
            <v>8.5</v>
          </cell>
          <cell r="O961">
            <v>9</v>
          </cell>
          <cell r="P961">
            <v>10</v>
          </cell>
        </row>
        <row r="962">
          <cell r="A962">
            <v>39937</v>
          </cell>
          <cell r="B962">
            <v>5</v>
          </cell>
          <cell r="C962" t="str">
            <v>S</v>
          </cell>
          <cell r="D962">
            <v>6.2</v>
          </cell>
          <cell r="E962">
            <v>7</v>
          </cell>
          <cell r="F962">
            <v>7.8</v>
          </cell>
          <cell r="G962">
            <v>8.5</v>
          </cell>
          <cell r="H962">
            <v>9.1999999999999993</v>
          </cell>
          <cell r="I962">
            <v>10</v>
          </cell>
          <cell r="J962">
            <v>11</v>
          </cell>
          <cell r="K962">
            <v>12</v>
          </cell>
          <cell r="L962">
            <v>13</v>
          </cell>
          <cell r="M962">
            <v>14</v>
          </cell>
          <cell r="N962">
            <v>15</v>
          </cell>
          <cell r="O962">
            <v>16</v>
          </cell>
          <cell r="P962">
            <v>17</v>
          </cell>
        </row>
        <row r="963">
          <cell r="A963">
            <v>39938</v>
          </cell>
          <cell r="B963">
            <v>5</v>
          </cell>
          <cell r="C963" t="str">
            <v>S</v>
          </cell>
          <cell r="D963">
            <v>11</v>
          </cell>
          <cell r="E963">
            <v>12</v>
          </cell>
          <cell r="F963">
            <v>13</v>
          </cell>
          <cell r="G963">
            <v>14</v>
          </cell>
          <cell r="H963">
            <v>15</v>
          </cell>
          <cell r="I963">
            <v>16</v>
          </cell>
          <cell r="J963">
            <v>17</v>
          </cell>
          <cell r="K963">
            <v>18</v>
          </cell>
          <cell r="L963">
            <v>19</v>
          </cell>
          <cell r="M963">
            <v>20</v>
          </cell>
          <cell r="N963">
            <v>21</v>
          </cell>
          <cell r="O963">
            <v>22</v>
          </cell>
          <cell r="P963">
            <v>23</v>
          </cell>
        </row>
        <row r="964">
          <cell r="A964">
            <v>39939</v>
          </cell>
          <cell r="B964">
            <v>5</v>
          </cell>
          <cell r="C964" t="str">
            <v>S</v>
          </cell>
          <cell r="D964">
            <v>14</v>
          </cell>
          <cell r="E964">
            <v>15</v>
          </cell>
          <cell r="F964">
            <v>16</v>
          </cell>
          <cell r="G964">
            <v>17</v>
          </cell>
          <cell r="H964">
            <v>18</v>
          </cell>
          <cell r="I964">
            <v>19</v>
          </cell>
          <cell r="J964">
            <v>20</v>
          </cell>
          <cell r="K964">
            <v>21</v>
          </cell>
          <cell r="L964">
            <v>22</v>
          </cell>
          <cell r="M964">
            <v>23</v>
          </cell>
          <cell r="N964">
            <v>24</v>
          </cell>
          <cell r="O964">
            <v>25</v>
          </cell>
          <cell r="P964">
            <v>26</v>
          </cell>
        </row>
        <row r="965">
          <cell r="A965">
            <v>39940</v>
          </cell>
          <cell r="B965">
            <v>5</v>
          </cell>
          <cell r="C965" t="str">
            <v>S</v>
          </cell>
          <cell r="D965">
            <v>10</v>
          </cell>
          <cell r="E965">
            <v>11</v>
          </cell>
          <cell r="F965">
            <v>12</v>
          </cell>
          <cell r="G965">
            <v>13</v>
          </cell>
          <cell r="H965">
            <v>14</v>
          </cell>
          <cell r="I965">
            <v>15</v>
          </cell>
          <cell r="J965">
            <v>16</v>
          </cell>
          <cell r="K965">
            <v>17</v>
          </cell>
          <cell r="L965">
            <v>18</v>
          </cell>
          <cell r="M965">
            <v>19</v>
          </cell>
          <cell r="N965">
            <v>20</v>
          </cell>
          <cell r="O965">
            <v>21</v>
          </cell>
          <cell r="P965">
            <v>22</v>
          </cell>
        </row>
        <row r="966">
          <cell r="A966">
            <v>39941</v>
          </cell>
          <cell r="B966">
            <v>5</v>
          </cell>
          <cell r="C966" t="str">
            <v>S</v>
          </cell>
          <cell r="D966">
            <v>8.1999999999999993</v>
          </cell>
          <cell r="E966">
            <v>9</v>
          </cell>
          <cell r="F966">
            <v>9.8000000000000007</v>
          </cell>
          <cell r="G966">
            <v>10.5</v>
          </cell>
          <cell r="H966">
            <v>11.2</v>
          </cell>
          <cell r="I966">
            <v>12</v>
          </cell>
          <cell r="J966">
            <v>13</v>
          </cell>
          <cell r="K966">
            <v>14</v>
          </cell>
          <cell r="L966">
            <v>15</v>
          </cell>
          <cell r="M966">
            <v>16</v>
          </cell>
          <cell r="N966">
            <v>17</v>
          </cell>
          <cell r="O966">
            <v>18</v>
          </cell>
          <cell r="P966">
            <v>19</v>
          </cell>
        </row>
        <row r="967">
          <cell r="A967">
            <v>39942</v>
          </cell>
          <cell r="B967">
            <v>5</v>
          </cell>
          <cell r="C967" t="str">
            <v>S</v>
          </cell>
          <cell r="D967">
            <v>11</v>
          </cell>
          <cell r="E967">
            <v>12</v>
          </cell>
          <cell r="F967">
            <v>13</v>
          </cell>
          <cell r="G967">
            <v>14</v>
          </cell>
          <cell r="H967">
            <v>15</v>
          </cell>
          <cell r="I967">
            <v>16</v>
          </cell>
          <cell r="J967">
            <v>17</v>
          </cell>
          <cell r="K967">
            <v>18</v>
          </cell>
          <cell r="L967">
            <v>19</v>
          </cell>
          <cell r="M967">
            <v>20</v>
          </cell>
          <cell r="N967">
            <v>21</v>
          </cell>
          <cell r="O967">
            <v>22</v>
          </cell>
          <cell r="P967">
            <v>23</v>
          </cell>
        </row>
        <row r="968">
          <cell r="A968">
            <v>39943</v>
          </cell>
          <cell r="B968">
            <v>5</v>
          </cell>
          <cell r="C968" t="str">
            <v>S</v>
          </cell>
          <cell r="D968">
            <v>12</v>
          </cell>
          <cell r="E968">
            <v>13</v>
          </cell>
          <cell r="F968">
            <v>14</v>
          </cell>
          <cell r="G968">
            <v>15</v>
          </cell>
          <cell r="H968">
            <v>16</v>
          </cell>
          <cell r="I968">
            <v>17</v>
          </cell>
          <cell r="J968">
            <v>18</v>
          </cell>
          <cell r="K968">
            <v>19</v>
          </cell>
          <cell r="L968">
            <v>20</v>
          </cell>
          <cell r="M968">
            <v>21</v>
          </cell>
          <cell r="N968">
            <v>22</v>
          </cell>
          <cell r="O968">
            <v>23</v>
          </cell>
          <cell r="P968">
            <v>24</v>
          </cell>
        </row>
        <row r="969">
          <cell r="A969">
            <v>39944</v>
          </cell>
          <cell r="B969">
            <v>5</v>
          </cell>
          <cell r="C969" t="str">
            <v>S</v>
          </cell>
          <cell r="D969">
            <v>12</v>
          </cell>
          <cell r="E969">
            <v>13</v>
          </cell>
          <cell r="F969">
            <v>14</v>
          </cell>
          <cell r="G969">
            <v>15</v>
          </cell>
          <cell r="H969">
            <v>16</v>
          </cell>
          <cell r="I969">
            <v>17</v>
          </cell>
          <cell r="J969">
            <v>18</v>
          </cell>
          <cell r="K969">
            <v>19</v>
          </cell>
          <cell r="L969">
            <v>20</v>
          </cell>
          <cell r="M969">
            <v>21</v>
          </cell>
          <cell r="N969">
            <v>22</v>
          </cell>
          <cell r="O969">
            <v>23</v>
          </cell>
          <cell r="P969">
            <v>24</v>
          </cell>
        </row>
        <row r="970">
          <cell r="A970">
            <v>39945</v>
          </cell>
          <cell r="B970">
            <v>5</v>
          </cell>
          <cell r="C970" t="str">
            <v>S</v>
          </cell>
          <cell r="D970">
            <v>12</v>
          </cell>
          <cell r="E970">
            <v>13</v>
          </cell>
          <cell r="F970">
            <v>14</v>
          </cell>
          <cell r="G970">
            <v>15</v>
          </cell>
          <cell r="H970">
            <v>16</v>
          </cell>
          <cell r="I970">
            <v>17</v>
          </cell>
          <cell r="J970">
            <v>18</v>
          </cell>
          <cell r="K970">
            <v>19</v>
          </cell>
          <cell r="L970">
            <v>20</v>
          </cell>
          <cell r="M970">
            <v>21</v>
          </cell>
          <cell r="N970">
            <v>22</v>
          </cell>
          <cell r="O970">
            <v>23</v>
          </cell>
          <cell r="P970">
            <v>24</v>
          </cell>
        </row>
        <row r="971">
          <cell r="A971">
            <v>39946</v>
          </cell>
          <cell r="B971">
            <v>5</v>
          </cell>
          <cell r="C971" t="str">
            <v>S</v>
          </cell>
          <cell r="D971">
            <v>6.8</v>
          </cell>
          <cell r="E971">
            <v>7.5</v>
          </cell>
          <cell r="F971">
            <v>8</v>
          </cell>
          <cell r="G971">
            <v>9</v>
          </cell>
          <cell r="H971">
            <v>10</v>
          </cell>
          <cell r="I971">
            <v>11</v>
          </cell>
          <cell r="J971">
            <v>12</v>
          </cell>
          <cell r="K971">
            <v>13</v>
          </cell>
          <cell r="L971">
            <v>14</v>
          </cell>
          <cell r="M971">
            <v>15</v>
          </cell>
          <cell r="N971">
            <v>16</v>
          </cell>
          <cell r="O971">
            <v>17</v>
          </cell>
          <cell r="P971">
            <v>18</v>
          </cell>
        </row>
        <row r="972">
          <cell r="A972">
            <v>39947</v>
          </cell>
          <cell r="B972">
            <v>5</v>
          </cell>
          <cell r="C972" t="str">
            <v>S</v>
          </cell>
          <cell r="D972">
            <v>8.5</v>
          </cell>
          <cell r="E972">
            <v>9.1999999999999993</v>
          </cell>
          <cell r="F972">
            <v>10</v>
          </cell>
          <cell r="G972">
            <v>11</v>
          </cell>
          <cell r="H972">
            <v>12</v>
          </cell>
          <cell r="I972">
            <v>13</v>
          </cell>
          <cell r="J972">
            <v>14</v>
          </cell>
          <cell r="K972">
            <v>15</v>
          </cell>
          <cell r="L972">
            <v>16</v>
          </cell>
          <cell r="M972">
            <v>17</v>
          </cell>
          <cell r="N972">
            <v>18</v>
          </cell>
          <cell r="O972">
            <v>19</v>
          </cell>
          <cell r="P972">
            <v>20</v>
          </cell>
        </row>
        <row r="973">
          <cell r="A973">
            <v>39948</v>
          </cell>
          <cell r="B973">
            <v>5</v>
          </cell>
          <cell r="C973" t="str">
            <v>S</v>
          </cell>
          <cell r="D973">
            <v>11</v>
          </cell>
          <cell r="E973">
            <v>12</v>
          </cell>
          <cell r="F973">
            <v>13</v>
          </cell>
          <cell r="G973">
            <v>14</v>
          </cell>
          <cell r="H973">
            <v>15</v>
          </cell>
          <cell r="I973">
            <v>16</v>
          </cell>
          <cell r="J973">
            <v>17</v>
          </cell>
          <cell r="K973">
            <v>18</v>
          </cell>
          <cell r="L973">
            <v>19</v>
          </cell>
          <cell r="M973">
            <v>20</v>
          </cell>
          <cell r="N973">
            <v>21</v>
          </cell>
          <cell r="O973">
            <v>22</v>
          </cell>
          <cell r="P973">
            <v>23</v>
          </cell>
        </row>
        <row r="974">
          <cell r="A974">
            <v>39949</v>
          </cell>
          <cell r="B974">
            <v>5</v>
          </cell>
          <cell r="C974" t="str">
            <v>S</v>
          </cell>
          <cell r="D974">
            <v>7.2</v>
          </cell>
          <cell r="E974">
            <v>8</v>
          </cell>
          <cell r="F974">
            <v>8.8000000000000007</v>
          </cell>
          <cell r="G974">
            <v>9.5</v>
          </cell>
          <cell r="H974">
            <v>10.199999999999999</v>
          </cell>
          <cell r="I974">
            <v>11</v>
          </cell>
          <cell r="J974">
            <v>12</v>
          </cell>
          <cell r="K974">
            <v>13</v>
          </cell>
          <cell r="L974">
            <v>14</v>
          </cell>
          <cell r="M974">
            <v>15</v>
          </cell>
          <cell r="N974">
            <v>16</v>
          </cell>
          <cell r="O974">
            <v>17</v>
          </cell>
          <cell r="P974">
            <v>18</v>
          </cell>
        </row>
        <row r="975">
          <cell r="A975">
            <v>39950</v>
          </cell>
          <cell r="B975">
            <v>5</v>
          </cell>
          <cell r="C975" t="str">
            <v>S</v>
          </cell>
          <cell r="D975">
            <v>6</v>
          </cell>
          <cell r="E975">
            <v>6.8</v>
          </cell>
          <cell r="F975">
            <v>7.5</v>
          </cell>
          <cell r="G975">
            <v>8.1999999999999993</v>
          </cell>
          <cell r="H975">
            <v>9</v>
          </cell>
          <cell r="I975">
            <v>9.8000000000000007</v>
          </cell>
          <cell r="J975">
            <v>10.5</v>
          </cell>
          <cell r="K975">
            <v>11.2</v>
          </cell>
          <cell r="L975">
            <v>12</v>
          </cell>
          <cell r="M975">
            <v>12.8</v>
          </cell>
          <cell r="N975">
            <v>13.5</v>
          </cell>
          <cell r="O975">
            <v>14</v>
          </cell>
          <cell r="P975">
            <v>15</v>
          </cell>
        </row>
        <row r="976">
          <cell r="A976">
            <v>39951</v>
          </cell>
          <cell r="B976">
            <v>5</v>
          </cell>
          <cell r="C976" t="str">
            <v>S</v>
          </cell>
          <cell r="D976">
            <v>5.5</v>
          </cell>
          <cell r="E976">
            <v>6.2</v>
          </cell>
          <cell r="F976">
            <v>7</v>
          </cell>
          <cell r="G976">
            <v>7.8</v>
          </cell>
          <cell r="H976">
            <v>8.5</v>
          </cell>
          <cell r="I976">
            <v>9.1999999999999993</v>
          </cell>
          <cell r="J976">
            <v>10</v>
          </cell>
          <cell r="K976">
            <v>10.8</v>
          </cell>
          <cell r="L976">
            <v>11.5</v>
          </cell>
          <cell r="M976">
            <v>12.2</v>
          </cell>
          <cell r="N976">
            <v>13</v>
          </cell>
          <cell r="O976">
            <v>13.8</v>
          </cell>
          <cell r="P976">
            <v>14.5</v>
          </cell>
        </row>
        <row r="977">
          <cell r="A977">
            <v>39952</v>
          </cell>
          <cell r="B977">
            <v>5</v>
          </cell>
          <cell r="C977" t="str">
            <v>S</v>
          </cell>
          <cell r="D977">
            <v>4.2</v>
          </cell>
          <cell r="E977">
            <v>5</v>
          </cell>
          <cell r="F977">
            <v>5.8</v>
          </cell>
          <cell r="G977">
            <v>6.5</v>
          </cell>
          <cell r="H977">
            <v>7.2</v>
          </cell>
          <cell r="I977">
            <v>8</v>
          </cell>
          <cell r="J977">
            <v>8.8000000000000007</v>
          </cell>
          <cell r="K977">
            <v>9.5</v>
          </cell>
          <cell r="L977">
            <v>10.199999999999999</v>
          </cell>
          <cell r="M977">
            <v>11</v>
          </cell>
          <cell r="N977">
            <v>11.8</v>
          </cell>
          <cell r="O977">
            <v>12.5</v>
          </cell>
          <cell r="P977">
            <v>13.2</v>
          </cell>
        </row>
        <row r="978">
          <cell r="A978">
            <v>39953</v>
          </cell>
          <cell r="B978">
            <v>5</v>
          </cell>
          <cell r="C978" t="str">
            <v>S</v>
          </cell>
          <cell r="D978">
            <v>3.2</v>
          </cell>
          <cell r="E978">
            <v>3.5</v>
          </cell>
          <cell r="F978">
            <v>3.8</v>
          </cell>
          <cell r="G978">
            <v>4</v>
          </cell>
          <cell r="H978">
            <v>4.2</v>
          </cell>
          <cell r="I978">
            <v>5</v>
          </cell>
          <cell r="J978">
            <v>5.8</v>
          </cell>
          <cell r="K978">
            <v>6.5</v>
          </cell>
          <cell r="L978">
            <v>7.2</v>
          </cell>
          <cell r="M978">
            <v>8</v>
          </cell>
          <cell r="N978">
            <v>8.8000000000000007</v>
          </cell>
          <cell r="O978">
            <v>9.5</v>
          </cell>
          <cell r="P978">
            <v>10.199999999999999</v>
          </cell>
        </row>
        <row r="979">
          <cell r="A979">
            <v>39954</v>
          </cell>
          <cell r="B979">
            <v>5</v>
          </cell>
          <cell r="C979" t="str">
            <v>S</v>
          </cell>
          <cell r="D979">
            <v>0.8</v>
          </cell>
          <cell r="E979">
            <v>1</v>
          </cell>
          <cell r="F979">
            <v>1.2</v>
          </cell>
          <cell r="G979">
            <v>1.5</v>
          </cell>
          <cell r="H979">
            <v>1.8</v>
          </cell>
          <cell r="I979">
            <v>2</v>
          </cell>
          <cell r="J979">
            <v>2.2000000000000002</v>
          </cell>
          <cell r="K979">
            <v>2.5</v>
          </cell>
          <cell r="L979">
            <v>2.8</v>
          </cell>
          <cell r="M979">
            <v>3</v>
          </cell>
          <cell r="N979">
            <v>3.8</v>
          </cell>
          <cell r="O979">
            <v>4.5</v>
          </cell>
          <cell r="P979">
            <v>5.2</v>
          </cell>
        </row>
        <row r="980">
          <cell r="A980">
            <v>39955</v>
          </cell>
          <cell r="B980">
            <v>5</v>
          </cell>
          <cell r="C980" t="str">
            <v>S</v>
          </cell>
          <cell r="D980">
            <v>0.8</v>
          </cell>
          <cell r="E980">
            <v>1</v>
          </cell>
          <cell r="F980">
            <v>1.2</v>
          </cell>
          <cell r="G980">
            <v>1.5</v>
          </cell>
          <cell r="H980">
            <v>1.8</v>
          </cell>
          <cell r="I980">
            <v>2</v>
          </cell>
          <cell r="J980">
            <v>2.2000000000000002</v>
          </cell>
          <cell r="K980">
            <v>2.5</v>
          </cell>
          <cell r="L980">
            <v>3.2</v>
          </cell>
          <cell r="M980">
            <v>4</v>
          </cell>
          <cell r="N980">
            <v>4.8</v>
          </cell>
          <cell r="O980">
            <v>5.5</v>
          </cell>
          <cell r="P980">
            <v>6.2</v>
          </cell>
        </row>
        <row r="981">
          <cell r="A981">
            <v>39956</v>
          </cell>
          <cell r="B981">
            <v>5</v>
          </cell>
          <cell r="C981" t="str">
            <v>S</v>
          </cell>
          <cell r="D981">
            <v>2.2000000000000002</v>
          </cell>
          <cell r="E981">
            <v>2.5</v>
          </cell>
          <cell r="F981">
            <v>2.8</v>
          </cell>
          <cell r="G981">
            <v>3</v>
          </cell>
          <cell r="H981">
            <v>3.2</v>
          </cell>
          <cell r="I981">
            <v>3.5</v>
          </cell>
          <cell r="J981">
            <v>3.8</v>
          </cell>
          <cell r="K981">
            <v>4.5</v>
          </cell>
          <cell r="L981">
            <v>5.2</v>
          </cell>
          <cell r="M981">
            <v>6</v>
          </cell>
          <cell r="N981">
            <v>6.8</v>
          </cell>
          <cell r="O981">
            <v>7.5</v>
          </cell>
          <cell r="P981">
            <v>8.1999999999999993</v>
          </cell>
        </row>
        <row r="982">
          <cell r="A982">
            <v>39957</v>
          </cell>
          <cell r="B982">
            <v>5</v>
          </cell>
          <cell r="C982" t="str">
            <v>S</v>
          </cell>
          <cell r="D982">
            <v>1.8</v>
          </cell>
          <cell r="E982">
            <v>2</v>
          </cell>
          <cell r="F982">
            <v>2.2000000000000002</v>
          </cell>
          <cell r="G982">
            <v>2.5</v>
          </cell>
          <cell r="H982">
            <v>2.8</v>
          </cell>
          <cell r="I982">
            <v>3</v>
          </cell>
          <cell r="J982">
            <v>3.2</v>
          </cell>
          <cell r="K982">
            <v>3.5</v>
          </cell>
          <cell r="L982">
            <v>3.8</v>
          </cell>
          <cell r="M982">
            <v>4</v>
          </cell>
          <cell r="N982">
            <v>4.2</v>
          </cell>
          <cell r="O982">
            <v>5</v>
          </cell>
          <cell r="P982">
            <v>5.8</v>
          </cell>
        </row>
        <row r="983">
          <cell r="A983">
            <v>39958</v>
          </cell>
          <cell r="B983">
            <v>5</v>
          </cell>
          <cell r="C983" t="str">
            <v>S</v>
          </cell>
          <cell r="D983">
            <v>1.2</v>
          </cell>
          <cell r="E983">
            <v>1.5</v>
          </cell>
          <cell r="F983">
            <v>1.8</v>
          </cell>
          <cell r="G983">
            <v>2</v>
          </cell>
          <cell r="H983">
            <v>2.2000000000000002</v>
          </cell>
          <cell r="I983">
            <v>2.5</v>
          </cell>
          <cell r="J983">
            <v>2.8</v>
          </cell>
          <cell r="K983">
            <v>3</v>
          </cell>
          <cell r="L983">
            <v>3.2</v>
          </cell>
          <cell r="M983">
            <v>3.5</v>
          </cell>
          <cell r="N983">
            <v>3.8</v>
          </cell>
          <cell r="O983">
            <v>4</v>
          </cell>
          <cell r="P983">
            <v>4.8</v>
          </cell>
        </row>
        <row r="984">
          <cell r="A984">
            <v>39959</v>
          </cell>
          <cell r="B984">
            <v>5</v>
          </cell>
          <cell r="C984" t="str">
            <v>S</v>
          </cell>
          <cell r="D984">
            <v>0.8</v>
          </cell>
          <cell r="E984">
            <v>1</v>
          </cell>
          <cell r="F984">
            <v>1.2</v>
          </cell>
          <cell r="G984">
            <v>1.5</v>
          </cell>
          <cell r="H984">
            <v>1.8</v>
          </cell>
          <cell r="I984">
            <v>2</v>
          </cell>
          <cell r="J984">
            <v>2.2000000000000002</v>
          </cell>
          <cell r="K984">
            <v>2.5</v>
          </cell>
          <cell r="L984">
            <v>2.8</v>
          </cell>
          <cell r="M984">
            <v>3</v>
          </cell>
          <cell r="N984">
            <v>3.2</v>
          </cell>
          <cell r="O984">
            <v>3.5</v>
          </cell>
          <cell r="P984">
            <v>4.2</v>
          </cell>
        </row>
        <row r="985">
          <cell r="A985">
            <v>39960</v>
          </cell>
          <cell r="B985">
            <v>5</v>
          </cell>
          <cell r="C985" t="str">
            <v>S</v>
          </cell>
          <cell r="D985">
            <v>1.2</v>
          </cell>
          <cell r="E985">
            <v>1.5</v>
          </cell>
          <cell r="F985">
            <v>1.8</v>
          </cell>
          <cell r="G985">
            <v>2</v>
          </cell>
          <cell r="H985">
            <v>2.8</v>
          </cell>
          <cell r="I985">
            <v>3.5</v>
          </cell>
          <cell r="J985">
            <v>4.2</v>
          </cell>
          <cell r="K985">
            <v>5</v>
          </cell>
          <cell r="L985">
            <v>5.8</v>
          </cell>
          <cell r="M985">
            <v>6.5</v>
          </cell>
          <cell r="N985">
            <v>7</v>
          </cell>
          <cell r="O985">
            <v>8</v>
          </cell>
          <cell r="P985">
            <v>9</v>
          </cell>
        </row>
        <row r="986">
          <cell r="A986">
            <v>39961</v>
          </cell>
          <cell r="B986">
            <v>5</v>
          </cell>
          <cell r="C986" t="str">
            <v>S</v>
          </cell>
          <cell r="D986">
            <v>3.2</v>
          </cell>
          <cell r="E986">
            <v>4</v>
          </cell>
          <cell r="F986">
            <v>4.8</v>
          </cell>
          <cell r="G986">
            <v>5.5</v>
          </cell>
          <cell r="H986">
            <v>6</v>
          </cell>
          <cell r="I986">
            <v>7</v>
          </cell>
          <cell r="J986">
            <v>8</v>
          </cell>
          <cell r="K986">
            <v>9</v>
          </cell>
          <cell r="L986">
            <v>10</v>
          </cell>
          <cell r="M986">
            <v>11</v>
          </cell>
          <cell r="N986">
            <v>12</v>
          </cell>
          <cell r="O986">
            <v>13</v>
          </cell>
          <cell r="P986">
            <v>14</v>
          </cell>
        </row>
        <row r="987">
          <cell r="A987">
            <v>39962</v>
          </cell>
          <cell r="B987">
            <v>5</v>
          </cell>
          <cell r="C987" t="str">
            <v>S</v>
          </cell>
          <cell r="D987">
            <v>4.5</v>
          </cell>
          <cell r="E987">
            <v>5</v>
          </cell>
          <cell r="F987">
            <v>6</v>
          </cell>
          <cell r="G987">
            <v>7</v>
          </cell>
          <cell r="H987">
            <v>8</v>
          </cell>
          <cell r="I987">
            <v>9</v>
          </cell>
          <cell r="J987">
            <v>10</v>
          </cell>
          <cell r="K987">
            <v>11</v>
          </cell>
          <cell r="L987">
            <v>12</v>
          </cell>
          <cell r="M987">
            <v>13</v>
          </cell>
          <cell r="N987">
            <v>14</v>
          </cell>
          <cell r="O987">
            <v>15</v>
          </cell>
          <cell r="P987">
            <v>16</v>
          </cell>
        </row>
        <row r="988">
          <cell r="A988">
            <v>39963</v>
          </cell>
          <cell r="B988">
            <v>5</v>
          </cell>
          <cell r="C988" t="str">
            <v>S</v>
          </cell>
          <cell r="D988">
            <v>3.5</v>
          </cell>
          <cell r="E988">
            <v>4.2</v>
          </cell>
          <cell r="F988">
            <v>5</v>
          </cell>
          <cell r="G988">
            <v>5.8</v>
          </cell>
          <cell r="H988">
            <v>6.5</v>
          </cell>
          <cell r="I988">
            <v>7</v>
          </cell>
          <cell r="J988">
            <v>8</v>
          </cell>
          <cell r="K988">
            <v>9</v>
          </cell>
          <cell r="L988">
            <v>10</v>
          </cell>
          <cell r="M988">
            <v>11</v>
          </cell>
          <cell r="N988">
            <v>12</v>
          </cell>
          <cell r="O988">
            <v>13</v>
          </cell>
          <cell r="P988">
            <v>14</v>
          </cell>
        </row>
        <row r="989">
          <cell r="A989">
            <v>39964</v>
          </cell>
          <cell r="B989">
            <v>5</v>
          </cell>
          <cell r="C989" t="str">
            <v>S</v>
          </cell>
          <cell r="D989">
            <v>4.2</v>
          </cell>
          <cell r="E989">
            <v>5</v>
          </cell>
          <cell r="F989">
            <v>5.8</v>
          </cell>
          <cell r="G989">
            <v>6.5</v>
          </cell>
          <cell r="H989">
            <v>7.2</v>
          </cell>
          <cell r="I989">
            <v>8</v>
          </cell>
          <cell r="J989">
            <v>8.8000000000000007</v>
          </cell>
          <cell r="K989">
            <v>9.5</v>
          </cell>
          <cell r="L989">
            <v>10</v>
          </cell>
          <cell r="M989">
            <v>11</v>
          </cell>
          <cell r="N989">
            <v>12</v>
          </cell>
          <cell r="O989">
            <v>13</v>
          </cell>
          <cell r="P989">
            <v>14</v>
          </cell>
        </row>
        <row r="990">
          <cell r="A990">
            <v>39965</v>
          </cell>
          <cell r="B990">
            <v>6</v>
          </cell>
          <cell r="C990" t="str">
            <v>S</v>
          </cell>
          <cell r="D990">
            <v>1.8</v>
          </cell>
          <cell r="E990">
            <v>2</v>
          </cell>
          <cell r="F990">
            <v>2.2000000000000002</v>
          </cell>
          <cell r="G990">
            <v>2.5</v>
          </cell>
          <cell r="H990">
            <v>2.8</v>
          </cell>
          <cell r="I990">
            <v>3</v>
          </cell>
          <cell r="J990">
            <v>3.2</v>
          </cell>
          <cell r="K990">
            <v>4</v>
          </cell>
          <cell r="L990">
            <v>4.8</v>
          </cell>
          <cell r="M990">
            <v>5.5</v>
          </cell>
          <cell r="N990">
            <v>6.2</v>
          </cell>
          <cell r="O990">
            <v>7</v>
          </cell>
          <cell r="P990">
            <v>7.8</v>
          </cell>
        </row>
        <row r="991">
          <cell r="A991">
            <v>39966</v>
          </cell>
          <cell r="B991">
            <v>6</v>
          </cell>
          <cell r="C991" t="str">
            <v>S</v>
          </cell>
          <cell r="D991">
            <v>2</v>
          </cell>
          <cell r="E991">
            <v>2.2000000000000002</v>
          </cell>
          <cell r="F991">
            <v>2.5</v>
          </cell>
          <cell r="G991">
            <v>2.8</v>
          </cell>
          <cell r="H991">
            <v>3</v>
          </cell>
          <cell r="I991">
            <v>3.2</v>
          </cell>
          <cell r="J991">
            <v>3.5</v>
          </cell>
          <cell r="K991">
            <v>3.8</v>
          </cell>
          <cell r="L991">
            <v>4</v>
          </cell>
          <cell r="M991">
            <v>4.8</v>
          </cell>
          <cell r="N991">
            <v>5.5</v>
          </cell>
          <cell r="O991">
            <v>6.2</v>
          </cell>
          <cell r="P991">
            <v>7</v>
          </cell>
        </row>
        <row r="992">
          <cell r="A992">
            <v>39967</v>
          </cell>
          <cell r="B992">
            <v>6</v>
          </cell>
          <cell r="C992" t="str">
            <v>S</v>
          </cell>
          <cell r="D992">
            <v>0</v>
          </cell>
          <cell r="E992">
            <v>0.2</v>
          </cell>
          <cell r="F992">
            <v>0.5</v>
          </cell>
          <cell r="G992">
            <v>0.8</v>
          </cell>
          <cell r="H992">
            <v>1</v>
          </cell>
          <cell r="I992">
            <v>1.2</v>
          </cell>
          <cell r="J992">
            <v>1.5</v>
          </cell>
          <cell r="K992">
            <v>1.8</v>
          </cell>
          <cell r="L992">
            <v>2</v>
          </cell>
          <cell r="M992">
            <v>2.2000000000000002</v>
          </cell>
          <cell r="N992">
            <v>2.5</v>
          </cell>
          <cell r="O992">
            <v>2.8</v>
          </cell>
          <cell r="P992">
            <v>3.5</v>
          </cell>
        </row>
        <row r="993">
          <cell r="A993">
            <v>39968</v>
          </cell>
          <cell r="B993">
            <v>6</v>
          </cell>
          <cell r="C993" t="str">
            <v>S</v>
          </cell>
          <cell r="D993">
            <v>0.8</v>
          </cell>
          <cell r="E993">
            <v>1</v>
          </cell>
          <cell r="F993">
            <v>1.2</v>
          </cell>
          <cell r="G993">
            <v>1.5</v>
          </cell>
          <cell r="H993">
            <v>1.8</v>
          </cell>
          <cell r="I993">
            <v>2</v>
          </cell>
          <cell r="J993">
            <v>2.2000000000000002</v>
          </cell>
          <cell r="K993">
            <v>2.5</v>
          </cell>
          <cell r="L993">
            <v>2.8</v>
          </cell>
          <cell r="M993">
            <v>3</v>
          </cell>
          <cell r="N993">
            <v>3.2</v>
          </cell>
          <cell r="O993">
            <v>3.5</v>
          </cell>
          <cell r="P993">
            <v>3.8</v>
          </cell>
        </row>
        <row r="994">
          <cell r="A994">
            <v>39969</v>
          </cell>
          <cell r="B994">
            <v>6</v>
          </cell>
          <cell r="C994" t="str">
            <v>S</v>
          </cell>
          <cell r="D994">
            <v>0</v>
          </cell>
          <cell r="E994">
            <v>0</v>
          </cell>
          <cell r="F994">
            <v>0.2</v>
          </cell>
          <cell r="G994">
            <v>0.5</v>
          </cell>
          <cell r="H994">
            <v>0.8</v>
          </cell>
          <cell r="I994">
            <v>1</v>
          </cell>
          <cell r="J994">
            <v>1.2</v>
          </cell>
          <cell r="K994">
            <v>1.5</v>
          </cell>
          <cell r="L994">
            <v>1.8</v>
          </cell>
          <cell r="M994">
            <v>2</v>
          </cell>
          <cell r="N994">
            <v>2.2000000000000002</v>
          </cell>
          <cell r="O994">
            <v>2.5</v>
          </cell>
          <cell r="P994">
            <v>3.2</v>
          </cell>
        </row>
        <row r="995">
          <cell r="A995">
            <v>39970</v>
          </cell>
          <cell r="B995">
            <v>6</v>
          </cell>
          <cell r="C995" t="str">
            <v>S</v>
          </cell>
          <cell r="D995">
            <v>1.2</v>
          </cell>
          <cell r="E995">
            <v>1.5</v>
          </cell>
          <cell r="F995">
            <v>1.8</v>
          </cell>
          <cell r="G995">
            <v>2</v>
          </cell>
          <cell r="H995">
            <v>2.8</v>
          </cell>
          <cell r="I995">
            <v>3.5</v>
          </cell>
          <cell r="J995">
            <v>4.2</v>
          </cell>
          <cell r="K995">
            <v>5</v>
          </cell>
          <cell r="L995">
            <v>5.8</v>
          </cell>
          <cell r="M995">
            <v>6.5</v>
          </cell>
          <cell r="N995">
            <v>7</v>
          </cell>
          <cell r="O995">
            <v>8</v>
          </cell>
          <cell r="P995">
            <v>9</v>
          </cell>
        </row>
        <row r="996">
          <cell r="A996">
            <v>39971</v>
          </cell>
          <cell r="B996">
            <v>6</v>
          </cell>
          <cell r="C996" t="str">
            <v>S</v>
          </cell>
          <cell r="D996">
            <v>3.2</v>
          </cell>
          <cell r="E996">
            <v>3.5</v>
          </cell>
          <cell r="F996">
            <v>4.2</v>
          </cell>
          <cell r="G996">
            <v>5</v>
          </cell>
          <cell r="H996">
            <v>5.8</v>
          </cell>
          <cell r="I996">
            <v>6.5</v>
          </cell>
          <cell r="J996">
            <v>7.2</v>
          </cell>
          <cell r="K996">
            <v>8</v>
          </cell>
          <cell r="L996">
            <v>8.8000000000000007</v>
          </cell>
          <cell r="M996">
            <v>9.5</v>
          </cell>
          <cell r="N996">
            <v>10.199999999999999</v>
          </cell>
          <cell r="O996">
            <v>11</v>
          </cell>
          <cell r="P996">
            <v>11.8</v>
          </cell>
        </row>
        <row r="997">
          <cell r="A997">
            <v>39972</v>
          </cell>
          <cell r="B997">
            <v>6</v>
          </cell>
          <cell r="C997" t="str">
            <v>S</v>
          </cell>
          <cell r="D997">
            <v>2.2000000000000002</v>
          </cell>
          <cell r="E997">
            <v>2.5</v>
          </cell>
          <cell r="F997">
            <v>2.8</v>
          </cell>
          <cell r="G997">
            <v>3</v>
          </cell>
          <cell r="H997">
            <v>3.2</v>
          </cell>
          <cell r="I997">
            <v>3.5</v>
          </cell>
          <cell r="J997">
            <v>3.8</v>
          </cell>
          <cell r="K997">
            <v>4</v>
          </cell>
          <cell r="L997">
            <v>4.2</v>
          </cell>
          <cell r="M997">
            <v>5</v>
          </cell>
          <cell r="N997">
            <v>5.8</v>
          </cell>
          <cell r="O997">
            <v>6.5</v>
          </cell>
          <cell r="P997">
            <v>7.2</v>
          </cell>
        </row>
        <row r="998">
          <cell r="A998">
            <v>39973</v>
          </cell>
          <cell r="B998">
            <v>6</v>
          </cell>
          <cell r="C998" t="str">
            <v>S</v>
          </cell>
          <cell r="D998">
            <v>0</v>
          </cell>
          <cell r="E998">
            <v>0</v>
          </cell>
          <cell r="F998">
            <v>0</v>
          </cell>
          <cell r="G998">
            <v>0.2</v>
          </cell>
          <cell r="H998">
            <v>0.5</v>
          </cell>
          <cell r="I998">
            <v>0.8</v>
          </cell>
          <cell r="J998">
            <v>1</v>
          </cell>
          <cell r="K998">
            <v>1.2</v>
          </cell>
          <cell r="L998">
            <v>1.5</v>
          </cell>
          <cell r="M998">
            <v>1.8</v>
          </cell>
          <cell r="N998">
            <v>2.5</v>
          </cell>
          <cell r="O998">
            <v>3.2</v>
          </cell>
          <cell r="P998">
            <v>4</v>
          </cell>
        </row>
        <row r="999">
          <cell r="A999">
            <v>39974</v>
          </cell>
          <cell r="B999">
            <v>6</v>
          </cell>
          <cell r="C999" t="str">
            <v>S</v>
          </cell>
          <cell r="D999">
            <v>1</v>
          </cell>
          <cell r="E999">
            <v>1.2</v>
          </cell>
          <cell r="F999">
            <v>1.5</v>
          </cell>
          <cell r="G999">
            <v>1.8</v>
          </cell>
          <cell r="H999">
            <v>2</v>
          </cell>
          <cell r="I999">
            <v>2.2000000000000002</v>
          </cell>
          <cell r="J999">
            <v>2.5</v>
          </cell>
          <cell r="K999">
            <v>2.8</v>
          </cell>
          <cell r="L999">
            <v>3.5</v>
          </cell>
          <cell r="M999">
            <v>4.2</v>
          </cell>
          <cell r="N999">
            <v>5</v>
          </cell>
          <cell r="O999">
            <v>5.8</v>
          </cell>
          <cell r="P999">
            <v>6.5</v>
          </cell>
        </row>
        <row r="1000">
          <cell r="A1000">
            <v>39975</v>
          </cell>
          <cell r="B1000">
            <v>6</v>
          </cell>
          <cell r="C1000" t="str">
            <v>S</v>
          </cell>
          <cell r="D1000">
            <v>0.5</v>
          </cell>
          <cell r="E1000">
            <v>0.8</v>
          </cell>
          <cell r="F1000">
            <v>1</v>
          </cell>
          <cell r="G1000">
            <v>1.2</v>
          </cell>
          <cell r="H1000">
            <v>1.5</v>
          </cell>
          <cell r="I1000">
            <v>1.8</v>
          </cell>
          <cell r="J1000">
            <v>2</v>
          </cell>
          <cell r="K1000">
            <v>2.2000000000000002</v>
          </cell>
          <cell r="L1000">
            <v>2.5</v>
          </cell>
          <cell r="M1000">
            <v>2.8</v>
          </cell>
          <cell r="N1000">
            <v>3</v>
          </cell>
          <cell r="O1000">
            <v>3.8</v>
          </cell>
          <cell r="P1000">
            <v>4.5</v>
          </cell>
        </row>
        <row r="1001">
          <cell r="A1001">
            <v>39976</v>
          </cell>
          <cell r="B1001">
            <v>6</v>
          </cell>
          <cell r="C1001" t="str">
            <v>S</v>
          </cell>
          <cell r="D1001">
            <v>0</v>
          </cell>
          <cell r="E1001">
            <v>0</v>
          </cell>
          <cell r="F1001">
            <v>0</v>
          </cell>
          <cell r="G1001">
            <v>0</v>
          </cell>
          <cell r="H1001">
            <v>0</v>
          </cell>
          <cell r="I1001">
            <v>0</v>
          </cell>
          <cell r="J1001">
            <v>0.2</v>
          </cell>
          <cell r="K1001">
            <v>0.5</v>
          </cell>
          <cell r="L1001">
            <v>0.8</v>
          </cell>
          <cell r="M1001">
            <v>1</v>
          </cell>
          <cell r="N1001">
            <v>1.2</v>
          </cell>
          <cell r="O1001">
            <v>1.5</v>
          </cell>
          <cell r="P1001">
            <v>1.8</v>
          </cell>
        </row>
        <row r="1002">
          <cell r="A1002">
            <v>39977</v>
          </cell>
          <cell r="B1002">
            <v>6</v>
          </cell>
          <cell r="C1002" t="str">
            <v>S</v>
          </cell>
          <cell r="D1002">
            <v>0</v>
          </cell>
          <cell r="E1002">
            <v>0.2</v>
          </cell>
          <cell r="F1002">
            <v>0.5</v>
          </cell>
          <cell r="G1002">
            <v>0.8</v>
          </cell>
          <cell r="H1002">
            <v>1</v>
          </cell>
          <cell r="I1002">
            <v>1.2</v>
          </cell>
          <cell r="J1002">
            <v>1.5</v>
          </cell>
          <cell r="K1002">
            <v>1.8</v>
          </cell>
          <cell r="L1002">
            <v>2.5</v>
          </cell>
          <cell r="M1002">
            <v>3.2</v>
          </cell>
          <cell r="N1002">
            <v>4</v>
          </cell>
          <cell r="O1002">
            <v>4.8</v>
          </cell>
          <cell r="P1002">
            <v>5.5</v>
          </cell>
        </row>
        <row r="1003">
          <cell r="A1003">
            <v>39978</v>
          </cell>
          <cell r="B1003">
            <v>6</v>
          </cell>
          <cell r="C1003" t="str">
            <v>S</v>
          </cell>
          <cell r="D1003">
            <v>0</v>
          </cell>
          <cell r="E1003">
            <v>0</v>
          </cell>
          <cell r="F1003">
            <v>0</v>
          </cell>
          <cell r="G1003">
            <v>0</v>
          </cell>
          <cell r="H1003">
            <v>0.2</v>
          </cell>
          <cell r="I1003">
            <v>0.5</v>
          </cell>
          <cell r="J1003">
            <v>0.8</v>
          </cell>
          <cell r="K1003">
            <v>1</v>
          </cell>
          <cell r="L1003">
            <v>1.2</v>
          </cell>
          <cell r="M1003">
            <v>1.5</v>
          </cell>
          <cell r="N1003">
            <v>1.8</v>
          </cell>
          <cell r="O1003">
            <v>2</v>
          </cell>
          <cell r="P1003">
            <v>2.8</v>
          </cell>
        </row>
        <row r="1004">
          <cell r="A1004">
            <v>39979</v>
          </cell>
          <cell r="B1004">
            <v>6</v>
          </cell>
          <cell r="C1004" t="str">
            <v>S</v>
          </cell>
          <cell r="D1004">
            <v>0.2</v>
          </cell>
          <cell r="E1004">
            <v>0.5</v>
          </cell>
          <cell r="F1004">
            <v>0.8</v>
          </cell>
          <cell r="G1004">
            <v>1</v>
          </cell>
          <cell r="H1004">
            <v>1.2</v>
          </cell>
          <cell r="I1004">
            <v>1.5</v>
          </cell>
          <cell r="J1004">
            <v>1.8</v>
          </cell>
          <cell r="K1004">
            <v>2</v>
          </cell>
          <cell r="L1004">
            <v>2.2000000000000002</v>
          </cell>
          <cell r="M1004">
            <v>2.5</v>
          </cell>
          <cell r="N1004">
            <v>2.8</v>
          </cell>
          <cell r="O1004">
            <v>3.5</v>
          </cell>
          <cell r="P1004">
            <v>4.2</v>
          </cell>
        </row>
        <row r="1005">
          <cell r="A1005">
            <v>39980</v>
          </cell>
          <cell r="B1005">
            <v>6</v>
          </cell>
          <cell r="C1005" t="str">
            <v>S</v>
          </cell>
          <cell r="D1005">
            <v>0.2</v>
          </cell>
          <cell r="E1005">
            <v>0.5</v>
          </cell>
          <cell r="F1005">
            <v>0.8</v>
          </cell>
          <cell r="G1005">
            <v>1</v>
          </cell>
          <cell r="H1005">
            <v>1.2</v>
          </cell>
          <cell r="I1005">
            <v>1.5</v>
          </cell>
          <cell r="J1005">
            <v>1.8</v>
          </cell>
          <cell r="K1005">
            <v>2</v>
          </cell>
          <cell r="L1005">
            <v>2.2000000000000002</v>
          </cell>
          <cell r="M1005">
            <v>2.5</v>
          </cell>
          <cell r="N1005">
            <v>2.8</v>
          </cell>
          <cell r="O1005">
            <v>3.5</v>
          </cell>
          <cell r="P1005">
            <v>4.2</v>
          </cell>
        </row>
        <row r="1006">
          <cell r="A1006">
            <v>39981</v>
          </cell>
          <cell r="B1006">
            <v>6</v>
          </cell>
          <cell r="C1006" t="str">
            <v>S</v>
          </cell>
          <cell r="D1006">
            <v>0</v>
          </cell>
          <cell r="E1006">
            <v>0</v>
          </cell>
          <cell r="F1006">
            <v>0</v>
          </cell>
          <cell r="G1006">
            <v>0</v>
          </cell>
          <cell r="H1006">
            <v>0.2</v>
          </cell>
          <cell r="I1006">
            <v>0.5</v>
          </cell>
          <cell r="J1006">
            <v>0.8</v>
          </cell>
          <cell r="K1006">
            <v>1</v>
          </cell>
          <cell r="L1006">
            <v>1.2</v>
          </cell>
          <cell r="M1006">
            <v>1.5</v>
          </cell>
          <cell r="N1006">
            <v>1.8</v>
          </cell>
          <cell r="O1006">
            <v>2</v>
          </cell>
          <cell r="P1006">
            <v>2.2000000000000002</v>
          </cell>
        </row>
        <row r="1007">
          <cell r="A1007">
            <v>39982</v>
          </cell>
          <cell r="B1007">
            <v>6</v>
          </cell>
          <cell r="C1007" t="str">
            <v>S</v>
          </cell>
          <cell r="D1007">
            <v>0</v>
          </cell>
          <cell r="E1007">
            <v>0.2</v>
          </cell>
          <cell r="F1007">
            <v>0.5</v>
          </cell>
          <cell r="G1007">
            <v>0.8</v>
          </cell>
          <cell r="H1007">
            <v>1</v>
          </cell>
          <cell r="I1007">
            <v>1.2</v>
          </cell>
          <cell r="J1007">
            <v>1.5</v>
          </cell>
          <cell r="K1007">
            <v>1.8</v>
          </cell>
          <cell r="L1007">
            <v>2.5</v>
          </cell>
          <cell r="M1007">
            <v>3.2</v>
          </cell>
          <cell r="N1007">
            <v>4</v>
          </cell>
          <cell r="O1007">
            <v>4.8</v>
          </cell>
          <cell r="P1007">
            <v>5.5</v>
          </cell>
        </row>
        <row r="1008">
          <cell r="A1008">
            <v>39983</v>
          </cell>
          <cell r="B1008">
            <v>6</v>
          </cell>
          <cell r="C1008" t="str">
            <v>S</v>
          </cell>
          <cell r="D1008">
            <v>1.8</v>
          </cell>
          <cell r="E1008">
            <v>2</v>
          </cell>
          <cell r="F1008">
            <v>2.2000000000000002</v>
          </cell>
          <cell r="G1008">
            <v>2.5</v>
          </cell>
          <cell r="H1008">
            <v>3.2</v>
          </cell>
          <cell r="I1008">
            <v>4</v>
          </cell>
          <cell r="J1008">
            <v>4.8</v>
          </cell>
          <cell r="K1008">
            <v>5.5</v>
          </cell>
          <cell r="L1008">
            <v>6.2</v>
          </cell>
          <cell r="M1008">
            <v>7</v>
          </cell>
          <cell r="N1008">
            <v>7.8</v>
          </cell>
          <cell r="O1008">
            <v>8.5</v>
          </cell>
          <cell r="P1008">
            <v>9.1999999999999993</v>
          </cell>
        </row>
        <row r="1009">
          <cell r="A1009">
            <v>39984</v>
          </cell>
          <cell r="B1009">
            <v>6</v>
          </cell>
          <cell r="C1009" t="str">
            <v>S</v>
          </cell>
          <cell r="D1009">
            <v>0.8</v>
          </cell>
          <cell r="E1009">
            <v>1</v>
          </cell>
          <cell r="F1009">
            <v>1.2</v>
          </cell>
          <cell r="G1009">
            <v>1.5</v>
          </cell>
          <cell r="H1009">
            <v>1.8</v>
          </cell>
          <cell r="I1009">
            <v>2</v>
          </cell>
          <cell r="J1009">
            <v>2.2000000000000002</v>
          </cell>
          <cell r="K1009">
            <v>2.5</v>
          </cell>
          <cell r="L1009">
            <v>3.2</v>
          </cell>
          <cell r="M1009">
            <v>4</v>
          </cell>
          <cell r="N1009">
            <v>4.8</v>
          </cell>
          <cell r="O1009">
            <v>5.5</v>
          </cell>
          <cell r="P1009">
            <v>6.2</v>
          </cell>
        </row>
        <row r="1010">
          <cell r="A1010">
            <v>39985</v>
          </cell>
          <cell r="B1010">
            <v>6</v>
          </cell>
          <cell r="C1010" t="str">
            <v>S</v>
          </cell>
          <cell r="D1010">
            <v>0.8</v>
          </cell>
          <cell r="E1010">
            <v>1</v>
          </cell>
          <cell r="F1010">
            <v>1.2</v>
          </cell>
          <cell r="G1010">
            <v>1.5</v>
          </cell>
          <cell r="H1010">
            <v>1.8</v>
          </cell>
          <cell r="I1010">
            <v>2</v>
          </cell>
          <cell r="J1010">
            <v>2.2000000000000002</v>
          </cell>
          <cell r="K1010">
            <v>3</v>
          </cell>
          <cell r="L1010">
            <v>3.8</v>
          </cell>
          <cell r="M1010">
            <v>4.5</v>
          </cell>
          <cell r="N1010">
            <v>5.2</v>
          </cell>
          <cell r="O1010">
            <v>6</v>
          </cell>
          <cell r="P1010">
            <v>6.8</v>
          </cell>
        </row>
        <row r="1011">
          <cell r="A1011">
            <v>39986</v>
          </cell>
          <cell r="B1011">
            <v>6</v>
          </cell>
          <cell r="C1011" t="str">
            <v>S</v>
          </cell>
          <cell r="D1011">
            <v>1.8</v>
          </cell>
          <cell r="E1011">
            <v>2</v>
          </cell>
          <cell r="F1011">
            <v>2.2000000000000002</v>
          </cell>
          <cell r="G1011">
            <v>2.5</v>
          </cell>
          <cell r="H1011">
            <v>2.8</v>
          </cell>
          <cell r="I1011">
            <v>3</v>
          </cell>
          <cell r="J1011">
            <v>3.2</v>
          </cell>
          <cell r="K1011">
            <v>4</v>
          </cell>
          <cell r="L1011">
            <v>4.8</v>
          </cell>
          <cell r="M1011">
            <v>5.5</v>
          </cell>
          <cell r="N1011">
            <v>6.2</v>
          </cell>
          <cell r="O1011">
            <v>7</v>
          </cell>
          <cell r="P1011">
            <v>7.8</v>
          </cell>
        </row>
        <row r="1012">
          <cell r="A1012">
            <v>39987</v>
          </cell>
          <cell r="B1012">
            <v>6</v>
          </cell>
          <cell r="C1012" t="str">
            <v>S</v>
          </cell>
          <cell r="D1012">
            <v>1</v>
          </cell>
          <cell r="E1012">
            <v>1.2</v>
          </cell>
          <cell r="F1012">
            <v>1.5</v>
          </cell>
          <cell r="G1012">
            <v>2.2000000000000002</v>
          </cell>
          <cell r="H1012">
            <v>3</v>
          </cell>
          <cell r="I1012">
            <v>3.8</v>
          </cell>
          <cell r="J1012">
            <v>4.5</v>
          </cell>
          <cell r="K1012">
            <v>5.2</v>
          </cell>
          <cell r="L1012">
            <v>6</v>
          </cell>
          <cell r="M1012">
            <v>7</v>
          </cell>
          <cell r="N1012">
            <v>8</v>
          </cell>
          <cell r="O1012">
            <v>9</v>
          </cell>
          <cell r="P1012">
            <v>10</v>
          </cell>
        </row>
        <row r="1013">
          <cell r="A1013">
            <v>39988</v>
          </cell>
          <cell r="B1013">
            <v>6</v>
          </cell>
          <cell r="C1013" t="str">
            <v>S</v>
          </cell>
          <cell r="D1013">
            <v>6</v>
          </cell>
          <cell r="E1013">
            <v>7</v>
          </cell>
          <cell r="F1013">
            <v>8</v>
          </cell>
          <cell r="G1013">
            <v>9</v>
          </cell>
          <cell r="H1013">
            <v>10</v>
          </cell>
          <cell r="I1013">
            <v>11</v>
          </cell>
          <cell r="J1013">
            <v>12</v>
          </cell>
          <cell r="K1013">
            <v>13</v>
          </cell>
          <cell r="L1013">
            <v>14</v>
          </cell>
          <cell r="M1013">
            <v>15</v>
          </cell>
          <cell r="N1013">
            <v>16</v>
          </cell>
          <cell r="O1013">
            <v>17</v>
          </cell>
          <cell r="P1013">
            <v>18</v>
          </cell>
        </row>
        <row r="1014">
          <cell r="A1014">
            <v>39989</v>
          </cell>
          <cell r="B1014">
            <v>6</v>
          </cell>
          <cell r="C1014" t="str">
            <v>S</v>
          </cell>
          <cell r="D1014">
            <v>4.2</v>
          </cell>
          <cell r="E1014">
            <v>5</v>
          </cell>
          <cell r="F1014">
            <v>5.8</v>
          </cell>
          <cell r="G1014">
            <v>6.5</v>
          </cell>
          <cell r="H1014">
            <v>7.2</v>
          </cell>
          <cell r="I1014">
            <v>8</v>
          </cell>
          <cell r="J1014">
            <v>8.8000000000000007</v>
          </cell>
          <cell r="K1014">
            <v>9.5</v>
          </cell>
          <cell r="L1014">
            <v>10.199999999999999</v>
          </cell>
          <cell r="M1014">
            <v>11</v>
          </cell>
          <cell r="N1014">
            <v>11.8</v>
          </cell>
          <cell r="O1014">
            <v>12.5</v>
          </cell>
          <cell r="P1014">
            <v>14</v>
          </cell>
        </row>
        <row r="1015">
          <cell r="A1015">
            <v>39990</v>
          </cell>
          <cell r="B1015">
            <v>6</v>
          </cell>
          <cell r="C1015" t="str">
            <v>S</v>
          </cell>
          <cell r="D1015">
            <v>2.5</v>
          </cell>
          <cell r="E1015">
            <v>2.8</v>
          </cell>
          <cell r="F1015">
            <v>3.5</v>
          </cell>
          <cell r="G1015">
            <v>4.2</v>
          </cell>
          <cell r="H1015">
            <v>5</v>
          </cell>
          <cell r="I1015">
            <v>5.8</v>
          </cell>
          <cell r="J1015">
            <v>6.5</v>
          </cell>
          <cell r="K1015">
            <v>7.2</v>
          </cell>
          <cell r="L1015">
            <v>8</v>
          </cell>
          <cell r="M1015">
            <v>8.8000000000000007</v>
          </cell>
          <cell r="N1015">
            <v>9.5</v>
          </cell>
          <cell r="O1015">
            <v>10.199999999999999</v>
          </cell>
          <cell r="P1015">
            <v>11</v>
          </cell>
        </row>
        <row r="1016">
          <cell r="A1016">
            <v>39991</v>
          </cell>
          <cell r="B1016">
            <v>6</v>
          </cell>
          <cell r="C1016" t="str">
            <v>S</v>
          </cell>
          <cell r="D1016">
            <v>1.8</v>
          </cell>
          <cell r="E1016">
            <v>2</v>
          </cell>
          <cell r="F1016">
            <v>2.8</v>
          </cell>
          <cell r="G1016">
            <v>3.5</v>
          </cell>
          <cell r="H1016">
            <v>4.2</v>
          </cell>
          <cell r="I1016">
            <v>5</v>
          </cell>
          <cell r="J1016">
            <v>5.8</v>
          </cell>
          <cell r="K1016">
            <v>6.5</v>
          </cell>
          <cell r="L1016">
            <v>7.2</v>
          </cell>
          <cell r="M1016">
            <v>8</v>
          </cell>
          <cell r="N1016">
            <v>9</v>
          </cell>
          <cell r="O1016">
            <v>10</v>
          </cell>
          <cell r="P1016">
            <v>11</v>
          </cell>
        </row>
        <row r="1017">
          <cell r="A1017">
            <v>39992</v>
          </cell>
          <cell r="B1017">
            <v>6</v>
          </cell>
          <cell r="C1017" t="str">
            <v>S</v>
          </cell>
          <cell r="D1017">
            <v>1.2</v>
          </cell>
          <cell r="E1017">
            <v>1.5</v>
          </cell>
          <cell r="F1017">
            <v>1.8</v>
          </cell>
          <cell r="G1017">
            <v>2.5</v>
          </cell>
          <cell r="H1017">
            <v>3.2</v>
          </cell>
          <cell r="I1017">
            <v>4</v>
          </cell>
          <cell r="J1017">
            <v>4.8</v>
          </cell>
          <cell r="K1017">
            <v>5.5</v>
          </cell>
          <cell r="L1017">
            <v>6.2</v>
          </cell>
          <cell r="M1017">
            <v>7</v>
          </cell>
          <cell r="N1017">
            <v>8</v>
          </cell>
          <cell r="O1017">
            <v>9</v>
          </cell>
          <cell r="P1017">
            <v>10</v>
          </cell>
        </row>
        <row r="1018">
          <cell r="A1018">
            <v>39993</v>
          </cell>
          <cell r="B1018">
            <v>6</v>
          </cell>
          <cell r="C1018" t="str">
            <v>S</v>
          </cell>
          <cell r="D1018">
            <v>1.2</v>
          </cell>
          <cell r="E1018">
            <v>1.5</v>
          </cell>
          <cell r="F1018">
            <v>1.8</v>
          </cell>
          <cell r="G1018">
            <v>2</v>
          </cell>
          <cell r="H1018">
            <v>2.2000000000000002</v>
          </cell>
          <cell r="I1018">
            <v>2.5</v>
          </cell>
          <cell r="J1018">
            <v>3.2</v>
          </cell>
          <cell r="K1018">
            <v>4</v>
          </cell>
          <cell r="L1018">
            <v>4.8</v>
          </cell>
          <cell r="M1018">
            <v>5.5</v>
          </cell>
          <cell r="N1018">
            <v>6.2</v>
          </cell>
          <cell r="O1018">
            <v>7</v>
          </cell>
          <cell r="P1018">
            <v>7.8</v>
          </cell>
        </row>
        <row r="1019">
          <cell r="A1019">
            <v>39994</v>
          </cell>
          <cell r="B1019">
            <v>6</v>
          </cell>
          <cell r="C1019" t="str">
            <v>S</v>
          </cell>
          <cell r="D1019">
            <v>1.8</v>
          </cell>
          <cell r="E1019">
            <v>2</v>
          </cell>
          <cell r="F1019">
            <v>2.2000000000000002</v>
          </cell>
          <cell r="G1019">
            <v>2.5</v>
          </cell>
          <cell r="H1019">
            <v>2.8</v>
          </cell>
          <cell r="I1019">
            <v>3</v>
          </cell>
          <cell r="J1019">
            <v>3.2</v>
          </cell>
          <cell r="K1019">
            <v>3.5</v>
          </cell>
          <cell r="L1019">
            <v>4.2</v>
          </cell>
          <cell r="M1019">
            <v>5</v>
          </cell>
          <cell r="N1019">
            <v>5.8</v>
          </cell>
          <cell r="O1019">
            <v>6.5</v>
          </cell>
          <cell r="P1019">
            <v>7.2</v>
          </cell>
        </row>
        <row r="1020">
          <cell r="A1020">
            <v>39995</v>
          </cell>
          <cell r="B1020">
            <v>7</v>
          </cell>
          <cell r="C1020" t="str">
            <v>S</v>
          </cell>
          <cell r="D1020">
            <v>1</v>
          </cell>
          <cell r="E1020">
            <v>1.2</v>
          </cell>
          <cell r="F1020">
            <v>1.5</v>
          </cell>
          <cell r="G1020">
            <v>1.8</v>
          </cell>
          <cell r="H1020">
            <v>2</v>
          </cell>
          <cell r="I1020">
            <v>2.2000000000000002</v>
          </cell>
          <cell r="J1020">
            <v>2.5</v>
          </cell>
          <cell r="K1020">
            <v>2.8</v>
          </cell>
          <cell r="L1020">
            <v>3</v>
          </cell>
          <cell r="M1020">
            <v>3.2</v>
          </cell>
          <cell r="N1020">
            <v>3.5</v>
          </cell>
          <cell r="O1020">
            <v>3.8</v>
          </cell>
          <cell r="P1020">
            <v>4.5</v>
          </cell>
        </row>
        <row r="1021">
          <cell r="A1021">
            <v>39996</v>
          </cell>
          <cell r="B1021">
            <v>7</v>
          </cell>
          <cell r="C1021" t="str">
            <v>S</v>
          </cell>
          <cell r="D1021">
            <v>0.2</v>
          </cell>
          <cell r="E1021">
            <v>0.5</v>
          </cell>
          <cell r="F1021">
            <v>0.8</v>
          </cell>
          <cell r="G1021">
            <v>1</v>
          </cell>
          <cell r="H1021">
            <v>1.2</v>
          </cell>
          <cell r="I1021">
            <v>1.5</v>
          </cell>
          <cell r="J1021">
            <v>1.8</v>
          </cell>
          <cell r="K1021">
            <v>2</v>
          </cell>
          <cell r="L1021">
            <v>2.2000000000000002</v>
          </cell>
          <cell r="M1021">
            <v>2.5</v>
          </cell>
          <cell r="N1021">
            <v>2.8</v>
          </cell>
          <cell r="O1021">
            <v>3</v>
          </cell>
          <cell r="P1021">
            <v>3.2</v>
          </cell>
        </row>
        <row r="1022">
          <cell r="A1022">
            <v>39997</v>
          </cell>
          <cell r="B1022">
            <v>7</v>
          </cell>
          <cell r="C1022" t="str">
            <v>S</v>
          </cell>
          <cell r="D1022">
            <v>0</v>
          </cell>
          <cell r="E1022">
            <v>0</v>
          </cell>
          <cell r="F1022">
            <v>0</v>
          </cell>
          <cell r="G1022">
            <v>0.2</v>
          </cell>
          <cell r="H1022">
            <v>0.5</v>
          </cell>
          <cell r="I1022">
            <v>0.8</v>
          </cell>
          <cell r="J1022">
            <v>1</v>
          </cell>
          <cell r="K1022">
            <v>1.2</v>
          </cell>
          <cell r="L1022">
            <v>1.5</v>
          </cell>
          <cell r="M1022">
            <v>1.8</v>
          </cell>
          <cell r="N1022">
            <v>2</v>
          </cell>
          <cell r="O1022">
            <v>2.2000000000000002</v>
          </cell>
          <cell r="P1022">
            <v>2.5</v>
          </cell>
        </row>
        <row r="1023">
          <cell r="A1023">
            <v>39998</v>
          </cell>
          <cell r="B1023">
            <v>7</v>
          </cell>
          <cell r="C1023" t="str">
            <v>S</v>
          </cell>
          <cell r="D1023">
            <v>0</v>
          </cell>
          <cell r="E1023">
            <v>0.2</v>
          </cell>
          <cell r="F1023">
            <v>0.5</v>
          </cell>
          <cell r="G1023">
            <v>0.8</v>
          </cell>
          <cell r="H1023">
            <v>1</v>
          </cell>
          <cell r="I1023">
            <v>1.2</v>
          </cell>
          <cell r="J1023">
            <v>1.5</v>
          </cell>
          <cell r="K1023">
            <v>1.8</v>
          </cell>
          <cell r="L1023">
            <v>2</v>
          </cell>
          <cell r="M1023">
            <v>2.2000000000000002</v>
          </cell>
          <cell r="N1023">
            <v>2.5</v>
          </cell>
          <cell r="O1023">
            <v>2.8</v>
          </cell>
          <cell r="P1023">
            <v>3</v>
          </cell>
        </row>
        <row r="1024">
          <cell r="A1024">
            <v>39999</v>
          </cell>
          <cell r="B1024">
            <v>7</v>
          </cell>
          <cell r="C1024" t="str">
            <v>S</v>
          </cell>
          <cell r="D1024">
            <v>0</v>
          </cell>
          <cell r="E1024">
            <v>0</v>
          </cell>
          <cell r="F1024">
            <v>0.2</v>
          </cell>
          <cell r="G1024">
            <v>0.5</v>
          </cell>
          <cell r="H1024">
            <v>0.8</v>
          </cell>
          <cell r="I1024">
            <v>1</v>
          </cell>
          <cell r="J1024">
            <v>1.2</v>
          </cell>
          <cell r="K1024">
            <v>1.5</v>
          </cell>
          <cell r="L1024">
            <v>1.8</v>
          </cell>
          <cell r="M1024">
            <v>2</v>
          </cell>
          <cell r="N1024">
            <v>2.2000000000000002</v>
          </cell>
          <cell r="O1024">
            <v>2.5</v>
          </cell>
          <cell r="P1024">
            <v>2.8</v>
          </cell>
        </row>
        <row r="1025">
          <cell r="A1025">
            <v>40000</v>
          </cell>
          <cell r="B1025">
            <v>7</v>
          </cell>
          <cell r="C1025" t="str">
            <v>S</v>
          </cell>
          <cell r="D1025">
            <v>0</v>
          </cell>
          <cell r="E1025">
            <v>0</v>
          </cell>
          <cell r="F1025">
            <v>0</v>
          </cell>
          <cell r="G1025">
            <v>0</v>
          </cell>
          <cell r="H1025">
            <v>0.2</v>
          </cell>
          <cell r="I1025">
            <v>0.5</v>
          </cell>
          <cell r="J1025">
            <v>0.8</v>
          </cell>
          <cell r="K1025">
            <v>1</v>
          </cell>
          <cell r="L1025">
            <v>1.2</v>
          </cell>
          <cell r="M1025">
            <v>1.5</v>
          </cell>
          <cell r="N1025">
            <v>1.8</v>
          </cell>
          <cell r="O1025">
            <v>2</v>
          </cell>
          <cell r="P1025">
            <v>2.2000000000000002</v>
          </cell>
        </row>
        <row r="1026">
          <cell r="A1026">
            <v>40001</v>
          </cell>
          <cell r="B1026">
            <v>7</v>
          </cell>
          <cell r="C1026" t="str">
            <v>S</v>
          </cell>
          <cell r="D1026">
            <v>0</v>
          </cell>
          <cell r="E1026">
            <v>0</v>
          </cell>
          <cell r="F1026">
            <v>0</v>
          </cell>
          <cell r="G1026">
            <v>0</v>
          </cell>
          <cell r="H1026">
            <v>0</v>
          </cell>
          <cell r="I1026">
            <v>0.2</v>
          </cell>
          <cell r="J1026">
            <v>0.5</v>
          </cell>
          <cell r="K1026">
            <v>0.8</v>
          </cell>
          <cell r="L1026">
            <v>1</v>
          </cell>
          <cell r="M1026">
            <v>1.2</v>
          </cell>
          <cell r="N1026">
            <v>1.5</v>
          </cell>
          <cell r="O1026">
            <v>1.8</v>
          </cell>
          <cell r="P1026">
            <v>2</v>
          </cell>
        </row>
        <row r="1027">
          <cell r="A1027">
            <v>40002</v>
          </cell>
          <cell r="B1027">
            <v>7</v>
          </cell>
          <cell r="C1027" t="str">
            <v>S</v>
          </cell>
          <cell r="D1027">
            <v>0</v>
          </cell>
          <cell r="E1027">
            <v>0</v>
          </cell>
          <cell r="F1027">
            <v>0</v>
          </cell>
          <cell r="G1027">
            <v>0</v>
          </cell>
          <cell r="H1027">
            <v>0</v>
          </cell>
          <cell r="I1027">
            <v>0</v>
          </cell>
          <cell r="J1027">
            <v>0</v>
          </cell>
          <cell r="K1027">
            <v>0.2</v>
          </cell>
          <cell r="L1027">
            <v>0.5</v>
          </cell>
          <cell r="M1027">
            <v>0.8</v>
          </cell>
          <cell r="N1027">
            <v>1</v>
          </cell>
          <cell r="O1027">
            <v>1.2</v>
          </cell>
          <cell r="P1027">
            <v>1.5</v>
          </cell>
        </row>
        <row r="1028">
          <cell r="A1028">
            <v>40003</v>
          </cell>
          <cell r="B1028">
            <v>7</v>
          </cell>
          <cell r="C1028" t="str">
            <v>S</v>
          </cell>
          <cell r="D1028">
            <v>0</v>
          </cell>
          <cell r="E1028">
            <v>0</v>
          </cell>
          <cell r="F1028">
            <v>0</v>
          </cell>
          <cell r="G1028">
            <v>0</v>
          </cell>
          <cell r="H1028">
            <v>0</v>
          </cell>
          <cell r="I1028">
            <v>0</v>
          </cell>
          <cell r="J1028">
            <v>0.2</v>
          </cell>
          <cell r="K1028">
            <v>0.5</v>
          </cell>
          <cell r="L1028">
            <v>0.8</v>
          </cell>
          <cell r="M1028">
            <v>1</v>
          </cell>
          <cell r="N1028">
            <v>1.2</v>
          </cell>
          <cell r="O1028">
            <v>1.5</v>
          </cell>
          <cell r="P1028">
            <v>2.2000000000000002</v>
          </cell>
        </row>
        <row r="1029">
          <cell r="A1029">
            <v>40004</v>
          </cell>
          <cell r="B1029">
            <v>7</v>
          </cell>
          <cell r="C1029" t="str">
            <v>S</v>
          </cell>
          <cell r="D1029">
            <v>0</v>
          </cell>
          <cell r="E1029">
            <v>0.2</v>
          </cell>
          <cell r="F1029">
            <v>0.5</v>
          </cell>
          <cell r="G1029">
            <v>0.8</v>
          </cell>
          <cell r="H1029">
            <v>1</v>
          </cell>
          <cell r="I1029">
            <v>1.2</v>
          </cell>
          <cell r="J1029">
            <v>1.5</v>
          </cell>
          <cell r="K1029">
            <v>1.8</v>
          </cell>
          <cell r="L1029">
            <v>2</v>
          </cell>
          <cell r="M1029">
            <v>2.2000000000000002</v>
          </cell>
          <cell r="N1029">
            <v>2.5</v>
          </cell>
          <cell r="O1029">
            <v>2.8</v>
          </cell>
          <cell r="P1029">
            <v>3.5</v>
          </cell>
        </row>
        <row r="1030">
          <cell r="A1030">
            <v>40005</v>
          </cell>
          <cell r="B1030">
            <v>7</v>
          </cell>
          <cell r="C1030" t="str">
            <v>S</v>
          </cell>
          <cell r="D1030">
            <v>0</v>
          </cell>
          <cell r="E1030">
            <v>0.2</v>
          </cell>
          <cell r="F1030">
            <v>0.5</v>
          </cell>
          <cell r="G1030">
            <v>0.8</v>
          </cell>
          <cell r="H1030">
            <v>1</v>
          </cell>
          <cell r="I1030">
            <v>1.2</v>
          </cell>
          <cell r="J1030">
            <v>1.5</v>
          </cell>
          <cell r="K1030">
            <v>1.8</v>
          </cell>
          <cell r="L1030">
            <v>2</v>
          </cell>
          <cell r="M1030">
            <v>2.2000000000000002</v>
          </cell>
          <cell r="N1030">
            <v>2.5</v>
          </cell>
          <cell r="O1030">
            <v>2.8</v>
          </cell>
          <cell r="P1030">
            <v>3</v>
          </cell>
        </row>
        <row r="1031">
          <cell r="A1031">
            <v>40006</v>
          </cell>
          <cell r="B1031">
            <v>7</v>
          </cell>
          <cell r="C1031" t="str">
            <v>S</v>
          </cell>
          <cell r="D1031">
            <v>0</v>
          </cell>
          <cell r="E1031">
            <v>0.2</v>
          </cell>
          <cell r="F1031">
            <v>0.5</v>
          </cell>
          <cell r="G1031">
            <v>0.8</v>
          </cell>
          <cell r="H1031">
            <v>1</v>
          </cell>
          <cell r="I1031">
            <v>1.2</v>
          </cell>
          <cell r="J1031">
            <v>1.5</v>
          </cell>
          <cell r="K1031">
            <v>1.8</v>
          </cell>
          <cell r="L1031">
            <v>2</v>
          </cell>
          <cell r="M1031">
            <v>2.2000000000000002</v>
          </cell>
          <cell r="N1031">
            <v>2.5</v>
          </cell>
          <cell r="O1031">
            <v>2.8</v>
          </cell>
          <cell r="P1031">
            <v>3</v>
          </cell>
        </row>
        <row r="1032">
          <cell r="A1032">
            <v>40007</v>
          </cell>
          <cell r="B1032">
            <v>7</v>
          </cell>
          <cell r="C1032" t="str">
            <v>S</v>
          </cell>
          <cell r="D1032">
            <v>0</v>
          </cell>
          <cell r="E1032">
            <v>0</v>
          </cell>
          <cell r="F1032">
            <v>0.2</v>
          </cell>
          <cell r="G1032">
            <v>0.5</v>
          </cell>
          <cell r="H1032">
            <v>0.8</v>
          </cell>
          <cell r="I1032">
            <v>1</v>
          </cell>
          <cell r="J1032">
            <v>1.2</v>
          </cell>
          <cell r="K1032">
            <v>1.5</v>
          </cell>
          <cell r="L1032">
            <v>1.8</v>
          </cell>
          <cell r="M1032">
            <v>2</v>
          </cell>
          <cell r="N1032">
            <v>2.2000000000000002</v>
          </cell>
          <cell r="O1032">
            <v>2.5</v>
          </cell>
          <cell r="P1032">
            <v>2.8</v>
          </cell>
        </row>
        <row r="1033">
          <cell r="A1033">
            <v>40008</v>
          </cell>
          <cell r="B1033">
            <v>7</v>
          </cell>
          <cell r="C1033" t="str">
            <v>S</v>
          </cell>
          <cell r="D1033">
            <v>0</v>
          </cell>
          <cell r="E1033">
            <v>0</v>
          </cell>
          <cell r="F1033">
            <v>0</v>
          </cell>
          <cell r="G1033">
            <v>0</v>
          </cell>
          <cell r="H1033">
            <v>0</v>
          </cell>
          <cell r="I1033">
            <v>0</v>
          </cell>
          <cell r="J1033">
            <v>0.2</v>
          </cell>
          <cell r="K1033">
            <v>0.5</v>
          </cell>
          <cell r="L1033">
            <v>0.8</v>
          </cell>
          <cell r="M1033">
            <v>1</v>
          </cell>
          <cell r="N1033">
            <v>1.2</v>
          </cell>
          <cell r="O1033">
            <v>1.5</v>
          </cell>
          <cell r="P1033">
            <v>1.8</v>
          </cell>
        </row>
        <row r="1034">
          <cell r="A1034">
            <v>40009</v>
          </cell>
          <cell r="B1034">
            <v>7</v>
          </cell>
          <cell r="C1034" t="str">
            <v>S</v>
          </cell>
          <cell r="D1034">
            <v>0.8</v>
          </cell>
          <cell r="E1034">
            <v>1</v>
          </cell>
          <cell r="F1034">
            <v>1.2</v>
          </cell>
          <cell r="G1034">
            <v>1.5</v>
          </cell>
          <cell r="H1034">
            <v>1.8</v>
          </cell>
          <cell r="I1034">
            <v>2</v>
          </cell>
          <cell r="J1034">
            <v>2.2000000000000002</v>
          </cell>
          <cell r="K1034">
            <v>2.5</v>
          </cell>
          <cell r="L1034">
            <v>2.8</v>
          </cell>
          <cell r="M1034">
            <v>3.5</v>
          </cell>
          <cell r="N1034">
            <v>4.2</v>
          </cell>
          <cell r="O1034">
            <v>5</v>
          </cell>
          <cell r="P1034">
            <v>5.8</v>
          </cell>
        </row>
        <row r="1035">
          <cell r="A1035">
            <v>40010</v>
          </cell>
          <cell r="B1035">
            <v>7</v>
          </cell>
          <cell r="C1035" t="str">
            <v>S</v>
          </cell>
          <cell r="D1035">
            <v>2</v>
          </cell>
          <cell r="E1035">
            <v>2.2000000000000002</v>
          </cell>
          <cell r="F1035">
            <v>2.5</v>
          </cell>
          <cell r="G1035">
            <v>2.8</v>
          </cell>
          <cell r="H1035">
            <v>3</v>
          </cell>
          <cell r="I1035">
            <v>3.2</v>
          </cell>
          <cell r="J1035">
            <v>4</v>
          </cell>
          <cell r="K1035">
            <v>4.8</v>
          </cell>
          <cell r="L1035">
            <v>5.5</v>
          </cell>
          <cell r="M1035">
            <v>6.2</v>
          </cell>
          <cell r="N1035">
            <v>7</v>
          </cell>
          <cell r="O1035">
            <v>7.8</v>
          </cell>
          <cell r="P1035">
            <v>8.5</v>
          </cell>
        </row>
        <row r="1036">
          <cell r="A1036">
            <v>40011</v>
          </cell>
          <cell r="B1036">
            <v>7</v>
          </cell>
          <cell r="C1036" t="str">
            <v>S</v>
          </cell>
          <cell r="D1036">
            <v>1.8</v>
          </cell>
          <cell r="E1036">
            <v>2</v>
          </cell>
          <cell r="F1036">
            <v>2.2000000000000002</v>
          </cell>
          <cell r="G1036">
            <v>2.5</v>
          </cell>
          <cell r="H1036">
            <v>2.8</v>
          </cell>
          <cell r="I1036">
            <v>3</v>
          </cell>
          <cell r="J1036">
            <v>3.2</v>
          </cell>
          <cell r="K1036">
            <v>3.5</v>
          </cell>
          <cell r="L1036">
            <v>3.8</v>
          </cell>
          <cell r="M1036">
            <v>4</v>
          </cell>
          <cell r="N1036">
            <v>4.8</v>
          </cell>
          <cell r="O1036">
            <v>5.5</v>
          </cell>
          <cell r="P1036">
            <v>6.2</v>
          </cell>
        </row>
        <row r="1037">
          <cell r="A1037">
            <v>40012</v>
          </cell>
          <cell r="B1037">
            <v>7</v>
          </cell>
          <cell r="C1037" t="str">
            <v>S</v>
          </cell>
          <cell r="D1037">
            <v>0.2</v>
          </cell>
          <cell r="E1037">
            <v>0.5</v>
          </cell>
          <cell r="F1037">
            <v>0.8</v>
          </cell>
          <cell r="G1037">
            <v>1</v>
          </cell>
          <cell r="H1037">
            <v>1.2</v>
          </cell>
          <cell r="I1037">
            <v>1.5</v>
          </cell>
          <cell r="J1037">
            <v>1.8</v>
          </cell>
          <cell r="K1037">
            <v>2</v>
          </cell>
          <cell r="L1037">
            <v>2.2000000000000002</v>
          </cell>
          <cell r="M1037">
            <v>2.5</v>
          </cell>
          <cell r="N1037">
            <v>2.8</v>
          </cell>
          <cell r="O1037">
            <v>3</v>
          </cell>
          <cell r="P1037">
            <v>3.2</v>
          </cell>
        </row>
        <row r="1038">
          <cell r="A1038">
            <v>40013</v>
          </cell>
          <cell r="B1038">
            <v>7</v>
          </cell>
          <cell r="C1038" t="str">
            <v>S</v>
          </cell>
          <cell r="D1038">
            <v>0</v>
          </cell>
          <cell r="E1038">
            <v>0.2</v>
          </cell>
          <cell r="F1038">
            <v>0.5</v>
          </cell>
          <cell r="G1038">
            <v>0.8</v>
          </cell>
          <cell r="H1038">
            <v>1</v>
          </cell>
          <cell r="I1038">
            <v>1.2</v>
          </cell>
          <cell r="J1038">
            <v>1.5</v>
          </cell>
          <cell r="K1038">
            <v>1.8</v>
          </cell>
          <cell r="L1038">
            <v>2</v>
          </cell>
          <cell r="M1038">
            <v>2.2000000000000002</v>
          </cell>
          <cell r="N1038">
            <v>2.5</v>
          </cell>
          <cell r="O1038">
            <v>2.8</v>
          </cell>
          <cell r="P1038">
            <v>3</v>
          </cell>
        </row>
        <row r="1039">
          <cell r="A1039">
            <v>40014</v>
          </cell>
          <cell r="B1039">
            <v>7</v>
          </cell>
          <cell r="C1039" t="str">
            <v>S</v>
          </cell>
          <cell r="D1039">
            <v>0.2</v>
          </cell>
          <cell r="E1039">
            <v>0.5</v>
          </cell>
          <cell r="F1039">
            <v>0.8</v>
          </cell>
          <cell r="G1039">
            <v>1</v>
          </cell>
          <cell r="H1039">
            <v>1.2</v>
          </cell>
          <cell r="I1039">
            <v>1.5</v>
          </cell>
          <cell r="J1039">
            <v>1.8</v>
          </cell>
          <cell r="K1039">
            <v>2</v>
          </cell>
          <cell r="L1039">
            <v>2.2000000000000002</v>
          </cell>
          <cell r="M1039">
            <v>2.5</v>
          </cell>
          <cell r="N1039">
            <v>3.2</v>
          </cell>
          <cell r="O1039">
            <v>4</v>
          </cell>
          <cell r="P1039">
            <v>4.8</v>
          </cell>
        </row>
        <row r="1040">
          <cell r="A1040">
            <v>40015</v>
          </cell>
          <cell r="B1040">
            <v>7</v>
          </cell>
          <cell r="C1040" t="str">
            <v>S</v>
          </cell>
          <cell r="D1040">
            <v>0.5</v>
          </cell>
          <cell r="E1040">
            <v>0.8</v>
          </cell>
          <cell r="F1040">
            <v>1</v>
          </cell>
          <cell r="G1040">
            <v>1.2</v>
          </cell>
          <cell r="H1040">
            <v>1.5</v>
          </cell>
          <cell r="I1040">
            <v>1.8</v>
          </cell>
          <cell r="J1040">
            <v>2</v>
          </cell>
          <cell r="K1040">
            <v>2.2000000000000002</v>
          </cell>
          <cell r="L1040">
            <v>2.5</v>
          </cell>
          <cell r="M1040">
            <v>2.8</v>
          </cell>
          <cell r="N1040">
            <v>3</v>
          </cell>
          <cell r="O1040">
            <v>3.2</v>
          </cell>
          <cell r="P1040">
            <v>4</v>
          </cell>
        </row>
        <row r="1041">
          <cell r="A1041">
            <v>40016</v>
          </cell>
          <cell r="B1041">
            <v>7</v>
          </cell>
          <cell r="C1041" t="str">
            <v>S</v>
          </cell>
          <cell r="D1041">
            <v>0</v>
          </cell>
          <cell r="E1041">
            <v>0</v>
          </cell>
          <cell r="F1041">
            <v>0</v>
          </cell>
          <cell r="G1041">
            <v>0.2</v>
          </cell>
          <cell r="H1041">
            <v>0.5</v>
          </cell>
          <cell r="I1041">
            <v>0.8</v>
          </cell>
          <cell r="J1041">
            <v>1</v>
          </cell>
          <cell r="K1041">
            <v>1.2</v>
          </cell>
          <cell r="L1041">
            <v>1.5</v>
          </cell>
          <cell r="M1041">
            <v>1.8</v>
          </cell>
          <cell r="N1041">
            <v>2</v>
          </cell>
          <cell r="O1041">
            <v>2.2000000000000002</v>
          </cell>
          <cell r="P1041">
            <v>2.5</v>
          </cell>
        </row>
        <row r="1042">
          <cell r="A1042">
            <v>40017</v>
          </cell>
          <cell r="B1042">
            <v>7</v>
          </cell>
          <cell r="C1042" t="str">
            <v>S</v>
          </cell>
          <cell r="D1042">
            <v>0.5</v>
          </cell>
          <cell r="E1042">
            <v>0.8</v>
          </cell>
          <cell r="F1042">
            <v>1</v>
          </cell>
          <cell r="G1042">
            <v>1.2</v>
          </cell>
          <cell r="H1042">
            <v>1.5</v>
          </cell>
          <cell r="I1042">
            <v>1.8</v>
          </cell>
          <cell r="J1042">
            <v>2</v>
          </cell>
          <cell r="K1042">
            <v>2.2000000000000002</v>
          </cell>
          <cell r="L1042">
            <v>2.5</v>
          </cell>
          <cell r="M1042">
            <v>3.2</v>
          </cell>
          <cell r="N1042">
            <v>4</v>
          </cell>
          <cell r="O1042">
            <v>4.8</v>
          </cell>
          <cell r="P1042">
            <v>5.5</v>
          </cell>
        </row>
        <row r="1043">
          <cell r="A1043">
            <v>40018</v>
          </cell>
          <cell r="B1043">
            <v>7</v>
          </cell>
          <cell r="C1043" t="str">
            <v>S</v>
          </cell>
          <cell r="D1043">
            <v>2</v>
          </cell>
          <cell r="E1043">
            <v>2.2000000000000002</v>
          </cell>
          <cell r="F1043">
            <v>2.5</v>
          </cell>
          <cell r="G1043">
            <v>2.8</v>
          </cell>
          <cell r="H1043">
            <v>3</v>
          </cell>
          <cell r="I1043">
            <v>3.2</v>
          </cell>
          <cell r="J1043">
            <v>4</v>
          </cell>
          <cell r="K1043">
            <v>4.8</v>
          </cell>
          <cell r="L1043">
            <v>5.5</v>
          </cell>
          <cell r="M1043">
            <v>6.2</v>
          </cell>
          <cell r="N1043">
            <v>7</v>
          </cell>
          <cell r="O1043">
            <v>7.8</v>
          </cell>
          <cell r="P1043">
            <v>8.5</v>
          </cell>
        </row>
        <row r="1044">
          <cell r="A1044">
            <v>40019</v>
          </cell>
          <cell r="B1044">
            <v>7</v>
          </cell>
          <cell r="C1044" t="str">
            <v>S</v>
          </cell>
          <cell r="D1044">
            <v>1.5</v>
          </cell>
          <cell r="E1044">
            <v>1.8</v>
          </cell>
          <cell r="F1044">
            <v>2</v>
          </cell>
          <cell r="G1044">
            <v>2.2000000000000002</v>
          </cell>
          <cell r="H1044">
            <v>2.5</v>
          </cell>
          <cell r="I1044">
            <v>2.8</v>
          </cell>
          <cell r="J1044">
            <v>3</v>
          </cell>
          <cell r="K1044">
            <v>3.8</v>
          </cell>
          <cell r="L1044">
            <v>4.5</v>
          </cell>
          <cell r="M1044">
            <v>5.2</v>
          </cell>
          <cell r="N1044">
            <v>6</v>
          </cell>
          <cell r="O1044">
            <v>6.8</v>
          </cell>
          <cell r="P1044">
            <v>7.5</v>
          </cell>
        </row>
        <row r="1045">
          <cell r="A1045">
            <v>40020</v>
          </cell>
          <cell r="B1045">
            <v>7</v>
          </cell>
          <cell r="C1045" t="str">
            <v>S</v>
          </cell>
          <cell r="D1045">
            <v>0</v>
          </cell>
          <cell r="E1045">
            <v>0</v>
          </cell>
          <cell r="F1045">
            <v>0.2</v>
          </cell>
          <cell r="G1045">
            <v>0.5</v>
          </cell>
          <cell r="H1045">
            <v>0.8</v>
          </cell>
          <cell r="I1045">
            <v>1</v>
          </cell>
          <cell r="J1045">
            <v>1.2</v>
          </cell>
          <cell r="K1045">
            <v>1.5</v>
          </cell>
          <cell r="L1045">
            <v>1.8</v>
          </cell>
          <cell r="M1045">
            <v>2</v>
          </cell>
          <cell r="N1045">
            <v>2.2000000000000002</v>
          </cell>
          <cell r="O1045">
            <v>2.5</v>
          </cell>
          <cell r="P1045">
            <v>2.8</v>
          </cell>
        </row>
        <row r="1046">
          <cell r="A1046">
            <v>40021</v>
          </cell>
          <cell r="B1046">
            <v>7</v>
          </cell>
          <cell r="C1046" t="str">
            <v>S</v>
          </cell>
          <cell r="D1046">
            <v>0</v>
          </cell>
          <cell r="E1046">
            <v>0</v>
          </cell>
          <cell r="F1046">
            <v>0</v>
          </cell>
          <cell r="G1046">
            <v>0</v>
          </cell>
          <cell r="H1046">
            <v>0</v>
          </cell>
          <cell r="I1046">
            <v>0.2</v>
          </cell>
          <cell r="J1046">
            <v>0.5</v>
          </cell>
          <cell r="K1046">
            <v>0.8</v>
          </cell>
          <cell r="L1046">
            <v>1</v>
          </cell>
          <cell r="M1046">
            <v>1.2</v>
          </cell>
          <cell r="N1046">
            <v>1.5</v>
          </cell>
          <cell r="O1046">
            <v>1.8</v>
          </cell>
          <cell r="P1046">
            <v>2</v>
          </cell>
        </row>
        <row r="1047">
          <cell r="A1047">
            <v>40022</v>
          </cell>
          <cell r="B1047">
            <v>7</v>
          </cell>
          <cell r="C1047" t="str">
            <v>S</v>
          </cell>
          <cell r="D1047">
            <v>0</v>
          </cell>
          <cell r="E1047">
            <v>0</v>
          </cell>
          <cell r="F1047">
            <v>0</v>
          </cell>
          <cell r="G1047">
            <v>0.2</v>
          </cell>
          <cell r="H1047">
            <v>0.5</v>
          </cell>
          <cell r="I1047">
            <v>0.8</v>
          </cell>
          <cell r="J1047">
            <v>1</v>
          </cell>
          <cell r="K1047">
            <v>1.2</v>
          </cell>
          <cell r="L1047">
            <v>1.5</v>
          </cell>
          <cell r="M1047">
            <v>1.8</v>
          </cell>
          <cell r="N1047">
            <v>2</v>
          </cell>
          <cell r="O1047">
            <v>2.2000000000000002</v>
          </cell>
          <cell r="P1047">
            <v>2.5</v>
          </cell>
        </row>
        <row r="1048">
          <cell r="A1048">
            <v>40023</v>
          </cell>
          <cell r="B1048">
            <v>7</v>
          </cell>
          <cell r="C1048" t="str">
            <v>S</v>
          </cell>
          <cell r="D1048">
            <v>0</v>
          </cell>
          <cell r="E1048">
            <v>0</v>
          </cell>
          <cell r="F1048">
            <v>0</v>
          </cell>
          <cell r="G1048">
            <v>0</v>
          </cell>
          <cell r="H1048">
            <v>0</v>
          </cell>
          <cell r="I1048">
            <v>0</v>
          </cell>
          <cell r="J1048">
            <v>0</v>
          </cell>
          <cell r="K1048">
            <v>0</v>
          </cell>
          <cell r="L1048">
            <v>0.2</v>
          </cell>
          <cell r="M1048">
            <v>0.5</v>
          </cell>
          <cell r="N1048">
            <v>0.8</v>
          </cell>
          <cell r="O1048">
            <v>1</v>
          </cell>
          <cell r="P1048">
            <v>1.2</v>
          </cell>
        </row>
        <row r="1049">
          <cell r="A1049">
            <v>40024</v>
          </cell>
          <cell r="B1049">
            <v>7</v>
          </cell>
          <cell r="C1049" t="str">
            <v>S</v>
          </cell>
          <cell r="D1049">
            <v>0</v>
          </cell>
          <cell r="E1049">
            <v>0</v>
          </cell>
          <cell r="F1049">
            <v>0</v>
          </cell>
          <cell r="G1049">
            <v>0</v>
          </cell>
          <cell r="H1049">
            <v>0</v>
          </cell>
          <cell r="I1049">
            <v>0</v>
          </cell>
          <cell r="J1049">
            <v>0</v>
          </cell>
          <cell r="K1049">
            <v>0</v>
          </cell>
          <cell r="L1049">
            <v>0.2</v>
          </cell>
          <cell r="M1049">
            <v>0.5</v>
          </cell>
          <cell r="N1049">
            <v>0.8</v>
          </cell>
          <cell r="O1049">
            <v>1</v>
          </cell>
          <cell r="P1049">
            <v>1.2</v>
          </cell>
        </row>
        <row r="1050">
          <cell r="A1050">
            <v>40025</v>
          </cell>
          <cell r="B1050">
            <v>7</v>
          </cell>
          <cell r="C1050" t="str">
            <v>S</v>
          </cell>
          <cell r="D1050">
            <v>0</v>
          </cell>
          <cell r="E1050">
            <v>0</v>
          </cell>
          <cell r="F1050">
            <v>0</v>
          </cell>
          <cell r="G1050">
            <v>0.2</v>
          </cell>
          <cell r="H1050">
            <v>0.5</v>
          </cell>
          <cell r="I1050">
            <v>0.8</v>
          </cell>
          <cell r="J1050">
            <v>1</v>
          </cell>
          <cell r="K1050">
            <v>1.2</v>
          </cell>
          <cell r="L1050">
            <v>1.5</v>
          </cell>
          <cell r="M1050">
            <v>1.8</v>
          </cell>
          <cell r="N1050">
            <v>2</v>
          </cell>
          <cell r="O1050">
            <v>2.2000000000000002</v>
          </cell>
          <cell r="P1050">
            <v>2.5</v>
          </cell>
        </row>
        <row r="1051">
          <cell r="A1051">
            <v>40026</v>
          </cell>
          <cell r="B1051">
            <v>8</v>
          </cell>
          <cell r="C1051" t="str">
            <v>S</v>
          </cell>
          <cell r="D1051">
            <v>1.5</v>
          </cell>
          <cell r="E1051">
            <v>1.8</v>
          </cell>
          <cell r="F1051">
            <v>2</v>
          </cell>
          <cell r="G1051">
            <v>2.8</v>
          </cell>
          <cell r="H1051">
            <v>3.5</v>
          </cell>
          <cell r="I1051">
            <v>4.2</v>
          </cell>
          <cell r="J1051">
            <v>5</v>
          </cell>
          <cell r="K1051">
            <v>5.8</v>
          </cell>
          <cell r="L1051">
            <v>6.5</v>
          </cell>
          <cell r="M1051">
            <v>7.2</v>
          </cell>
          <cell r="N1051">
            <v>8</v>
          </cell>
          <cell r="O1051">
            <v>9</v>
          </cell>
          <cell r="P1051">
            <v>10</v>
          </cell>
        </row>
        <row r="1052">
          <cell r="A1052">
            <v>40027</v>
          </cell>
          <cell r="B1052">
            <v>8</v>
          </cell>
          <cell r="C1052" t="str">
            <v>S</v>
          </cell>
          <cell r="D1052">
            <v>3</v>
          </cell>
          <cell r="E1052">
            <v>3.2</v>
          </cell>
          <cell r="F1052">
            <v>3.5</v>
          </cell>
          <cell r="G1052">
            <v>3.8</v>
          </cell>
          <cell r="H1052">
            <v>4.5</v>
          </cell>
          <cell r="I1052">
            <v>5.2</v>
          </cell>
          <cell r="J1052">
            <v>6</v>
          </cell>
          <cell r="K1052">
            <v>6.8</v>
          </cell>
          <cell r="L1052">
            <v>7.5</v>
          </cell>
          <cell r="M1052">
            <v>8.1999999999999993</v>
          </cell>
          <cell r="N1052">
            <v>9</v>
          </cell>
          <cell r="O1052">
            <v>9.8000000000000007</v>
          </cell>
          <cell r="P1052">
            <v>10.5</v>
          </cell>
        </row>
        <row r="1053">
          <cell r="A1053">
            <v>40028</v>
          </cell>
          <cell r="B1053">
            <v>8</v>
          </cell>
          <cell r="C1053" t="str">
            <v>S</v>
          </cell>
          <cell r="D1053">
            <v>0.8</v>
          </cell>
          <cell r="E1053">
            <v>1</v>
          </cell>
          <cell r="F1053">
            <v>1.2</v>
          </cell>
          <cell r="G1053">
            <v>1.5</v>
          </cell>
          <cell r="H1053">
            <v>1.8</v>
          </cell>
          <cell r="I1053">
            <v>2</v>
          </cell>
          <cell r="J1053">
            <v>2.2000000000000002</v>
          </cell>
          <cell r="K1053">
            <v>2.5</v>
          </cell>
          <cell r="L1053">
            <v>2.8</v>
          </cell>
          <cell r="M1053">
            <v>3</v>
          </cell>
          <cell r="N1053">
            <v>3.2</v>
          </cell>
          <cell r="O1053">
            <v>3.5</v>
          </cell>
          <cell r="P1053">
            <v>4.2</v>
          </cell>
        </row>
        <row r="1054">
          <cell r="A1054">
            <v>40029</v>
          </cell>
          <cell r="B1054">
            <v>8</v>
          </cell>
          <cell r="C1054" t="str">
            <v>S</v>
          </cell>
          <cell r="D1054">
            <v>0.5</v>
          </cell>
          <cell r="E1054">
            <v>0.8</v>
          </cell>
          <cell r="F1054">
            <v>1</v>
          </cell>
          <cell r="G1054">
            <v>1.2</v>
          </cell>
          <cell r="H1054">
            <v>1.5</v>
          </cell>
          <cell r="I1054">
            <v>1.8</v>
          </cell>
          <cell r="J1054">
            <v>2</v>
          </cell>
          <cell r="K1054">
            <v>2.2000000000000002</v>
          </cell>
          <cell r="L1054">
            <v>2.5</v>
          </cell>
          <cell r="M1054">
            <v>2.8</v>
          </cell>
          <cell r="N1054">
            <v>3</v>
          </cell>
          <cell r="O1054">
            <v>3.2</v>
          </cell>
          <cell r="P1054">
            <v>3.5</v>
          </cell>
        </row>
        <row r="1055">
          <cell r="A1055">
            <v>40030</v>
          </cell>
          <cell r="B1055">
            <v>8</v>
          </cell>
          <cell r="C1055" t="str">
            <v>S</v>
          </cell>
          <cell r="D1055">
            <v>0</v>
          </cell>
          <cell r="E1055">
            <v>0.2</v>
          </cell>
          <cell r="F1055">
            <v>0.5</v>
          </cell>
          <cell r="G1055">
            <v>0.8</v>
          </cell>
          <cell r="H1055">
            <v>1</v>
          </cell>
          <cell r="I1055">
            <v>1.2</v>
          </cell>
          <cell r="J1055">
            <v>1.5</v>
          </cell>
          <cell r="K1055">
            <v>1.8</v>
          </cell>
          <cell r="L1055">
            <v>2</v>
          </cell>
          <cell r="M1055">
            <v>2.2000000000000002</v>
          </cell>
          <cell r="N1055">
            <v>2.5</v>
          </cell>
          <cell r="O1055">
            <v>3.2</v>
          </cell>
          <cell r="P1055">
            <v>4</v>
          </cell>
        </row>
        <row r="1056">
          <cell r="A1056">
            <v>40031</v>
          </cell>
          <cell r="B1056">
            <v>8</v>
          </cell>
          <cell r="C1056" t="str">
            <v>S</v>
          </cell>
          <cell r="D1056">
            <v>0</v>
          </cell>
          <cell r="E1056">
            <v>0</v>
          </cell>
          <cell r="F1056">
            <v>0</v>
          </cell>
          <cell r="G1056">
            <v>0</v>
          </cell>
          <cell r="H1056">
            <v>0.2</v>
          </cell>
          <cell r="I1056">
            <v>0.5</v>
          </cell>
          <cell r="J1056">
            <v>1</v>
          </cell>
          <cell r="K1056">
            <v>2</v>
          </cell>
          <cell r="L1056">
            <v>3</v>
          </cell>
          <cell r="M1056">
            <v>4</v>
          </cell>
          <cell r="N1056">
            <v>5</v>
          </cell>
          <cell r="O1056">
            <v>6</v>
          </cell>
          <cell r="P1056">
            <v>7</v>
          </cell>
        </row>
        <row r="1057">
          <cell r="A1057">
            <v>40032</v>
          </cell>
          <cell r="B1057">
            <v>8</v>
          </cell>
          <cell r="C1057" t="str">
            <v>S</v>
          </cell>
          <cell r="D1057">
            <v>0</v>
          </cell>
          <cell r="E1057">
            <v>0</v>
          </cell>
          <cell r="F1057">
            <v>0</v>
          </cell>
          <cell r="G1057">
            <v>0.2</v>
          </cell>
          <cell r="H1057">
            <v>0.5</v>
          </cell>
          <cell r="I1057">
            <v>0.8</v>
          </cell>
          <cell r="J1057">
            <v>1</v>
          </cell>
          <cell r="K1057">
            <v>1.2</v>
          </cell>
          <cell r="L1057">
            <v>1.5</v>
          </cell>
          <cell r="M1057">
            <v>1.8</v>
          </cell>
          <cell r="N1057">
            <v>2</v>
          </cell>
          <cell r="O1057">
            <v>2.8</v>
          </cell>
          <cell r="P1057">
            <v>3.5</v>
          </cell>
        </row>
        <row r="1058">
          <cell r="A1058">
            <v>40033</v>
          </cell>
          <cell r="B1058">
            <v>8</v>
          </cell>
          <cell r="C1058" t="str">
            <v>S</v>
          </cell>
          <cell r="D1058">
            <v>0</v>
          </cell>
          <cell r="E1058">
            <v>0.2</v>
          </cell>
          <cell r="F1058">
            <v>0.5</v>
          </cell>
          <cell r="G1058">
            <v>0.8</v>
          </cell>
          <cell r="H1058">
            <v>1</v>
          </cell>
          <cell r="I1058">
            <v>1.2</v>
          </cell>
          <cell r="J1058">
            <v>1.5</v>
          </cell>
          <cell r="K1058">
            <v>1.8</v>
          </cell>
          <cell r="L1058">
            <v>2.5</v>
          </cell>
          <cell r="M1058">
            <v>3.2</v>
          </cell>
          <cell r="N1058">
            <v>4</v>
          </cell>
          <cell r="O1058">
            <v>4.8</v>
          </cell>
          <cell r="P1058">
            <v>5.5</v>
          </cell>
        </row>
        <row r="1059">
          <cell r="A1059">
            <v>40034</v>
          </cell>
          <cell r="B1059">
            <v>8</v>
          </cell>
          <cell r="C1059" t="str">
            <v>S</v>
          </cell>
          <cell r="D1059">
            <v>2</v>
          </cell>
          <cell r="E1059">
            <v>2.2000000000000002</v>
          </cell>
          <cell r="F1059">
            <v>2.5</v>
          </cell>
          <cell r="G1059">
            <v>2.8</v>
          </cell>
          <cell r="H1059">
            <v>3.5</v>
          </cell>
          <cell r="I1059">
            <v>4.2</v>
          </cell>
          <cell r="J1059">
            <v>5</v>
          </cell>
          <cell r="K1059">
            <v>5.8</v>
          </cell>
          <cell r="L1059">
            <v>6.5</v>
          </cell>
          <cell r="M1059">
            <v>7.2</v>
          </cell>
          <cell r="N1059">
            <v>8</v>
          </cell>
          <cell r="O1059">
            <v>8.8000000000000007</v>
          </cell>
          <cell r="P1059">
            <v>9.5</v>
          </cell>
        </row>
        <row r="1060">
          <cell r="A1060">
            <v>40035</v>
          </cell>
          <cell r="B1060">
            <v>8</v>
          </cell>
          <cell r="C1060" t="str">
            <v>S</v>
          </cell>
          <cell r="D1060">
            <v>4.5</v>
          </cell>
          <cell r="E1060">
            <v>5.2</v>
          </cell>
          <cell r="F1060">
            <v>6</v>
          </cell>
          <cell r="G1060">
            <v>6.8</v>
          </cell>
          <cell r="H1060">
            <v>7.5</v>
          </cell>
          <cell r="I1060">
            <v>8</v>
          </cell>
          <cell r="J1060">
            <v>9</v>
          </cell>
          <cell r="K1060">
            <v>10</v>
          </cell>
          <cell r="L1060">
            <v>11</v>
          </cell>
          <cell r="M1060">
            <v>12</v>
          </cell>
          <cell r="N1060">
            <v>13</v>
          </cell>
          <cell r="O1060">
            <v>14</v>
          </cell>
          <cell r="P1060">
            <v>15</v>
          </cell>
        </row>
        <row r="1061">
          <cell r="A1061">
            <v>40036</v>
          </cell>
          <cell r="B1061">
            <v>8</v>
          </cell>
          <cell r="C1061" t="str">
            <v>S</v>
          </cell>
          <cell r="D1061">
            <v>5.5</v>
          </cell>
          <cell r="E1061">
            <v>6.2</v>
          </cell>
          <cell r="F1061">
            <v>7</v>
          </cell>
          <cell r="G1061">
            <v>8</v>
          </cell>
          <cell r="H1061">
            <v>9</v>
          </cell>
          <cell r="I1061">
            <v>10</v>
          </cell>
          <cell r="J1061">
            <v>11</v>
          </cell>
          <cell r="K1061">
            <v>12</v>
          </cell>
          <cell r="L1061">
            <v>13</v>
          </cell>
          <cell r="M1061">
            <v>14</v>
          </cell>
          <cell r="N1061">
            <v>15</v>
          </cell>
          <cell r="O1061">
            <v>16</v>
          </cell>
          <cell r="P1061">
            <v>17</v>
          </cell>
        </row>
        <row r="1062">
          <cell r="A1062">
            <v>40037</v>
          </cell>
          <cell r="B1062">
            <v>8</v>
          </cell>
          <cell r="C1062" t="str">
            <v>S</v>
          </cell>
          <cell r="D1062">
            <v>6.8</v>
          </cell>
          <cell r="E1062">
            <v>7.5</v>
          </cell>
          <cell r="F1062">
            <v>8.1999999999999993</v>
          </cell>
          <cell r="G1062">
            <v>9</v>
          </cell>
          <cell r="H1062">
            <v>9.8000000000000007</v>
          </cell>
          <cell r="I1062">
            <v>10.5</v>
          </cell>
          <cell r="J1062">
            <v>11.2</v>
          </cell>
          <cell r="K1062">
            <v>12</v>
          </cell>
          <cell r="L1062">
            <v>12.8</v>
          </cell>
          <cell r="M1062">
            <v>13.5</v>
          </cell>
          <cell r="N1062">
            <v>14</v>
          </cell>
          <cell r="O1062">
            <v>15</v>
          </cell>
          <cell r="P1062">
            <v>16</v>
          </cell>
        </row>
        <row r="1063">
          <cell r="A1063">
            <v>40038</v>
          </cell>
          <cell r="B1063">
            <v>8</v>
          </cell>
          <cell r="C1063" t="str">
            <v>S</v>
          </cell>
          <cell r="D1063">
            <v>0.8</v>
          </cell>
          <cell r="E1063">
            <v>1.5</v>
          </cell>
          <cell r="F1063">
            <v>2</v>
          </cell>
          <cell r="G1063">
            <v>3</v>
          </cell>
          <cell r="H1063">
            <v>4</v>
          </cell>
          <cell r="I1063">
            <v>5</v>
          </cell>
          <cell r="J1063">
            <v>6</v>
          </cell>
          <cell r="K1063">
            <v>7</v>
          </cell>
          <cell r="L1063">
            <v>8</v>
          </cell>
          <cell r="M1063">
            <v>9</v>
          </cell>
          <cell r="N1063">
            <v>10</v>
          </cell>
          <cell r="O1063">
            <v>11</v>
          </cell>
          <cell r="P1063">
            <v>12</v>
          </cell>
        </row>
        <row r="1064">
          <cell r="A1064">
            <v>40039</v>
          </cell>
          <cell r="B1064">
            <v>8</v>
          </cell>
          <cell r="C1064" t="str">
            <v>S</v>
          </cell>
          <cell r="D1064">
            <v>0.8</v>
          </cell>
          <cell r="E1064">
            <v>1</v>
          </cell>
          <cell r="F1064">
            <v>1.2</v>
          </cell>
          <cell r="G1064">
            <v>1.5</v>
          </cell>
          <cell r="H1064">
            <v>1.8</v>
          </cell>
          <cell r="I1064">
            <v>2</v>
          </cell>
          <cell r="J1064">
            <v>2.8</v>
          </cell>
          <cell r="K1064">
            <v>3.5</v>
          </cell>
          <cell r="L1064">
            <v>4.2</v>
          </cell>
          <cell r="M1064">
            <v>5</v>
          </cell>
          <cell r="N1064">
            <v>5.8</v>
          </cell>
          <cell r="O1064">
            <v>6.5</v>
          </cell>
          <cell r="P1064">
            <v>7</v>
          </cell>
        </row>
        <row r="1065">
          <cell r="A1065">
            <v>40040</v>
          </cell>
          <cell r="B1065">
            <v>8</v>
          </cell>
          <cell r="C1065" t="str">
            <v>S</v>
          </cell>
          <cell r="D1065">
            <v>3.8</v>
          </cell>
          <cell r="E1065">
            <v>4.5</v>
          </cell>
          <cell r="F1065">
            <v>5.2</v>
          </cell>
          <cell r="G1065">
            <v>6</v>
          </cell>
          <cell r="H1065">
            <v>7</v>
          </cell>
          <cell r="I1065">
            <v>8</v>
          </cell>
          <cell r="J1065">
            <v>9</v>
          </cell>
          <cell r="K1065">
            <v>10</v>
          </cell>
          <cell r="L1065">
            <v>11</v>
          </cell>
          <cell r="M1065">
            <v>12</v>
          </cell>
          <cell r="N1065">
            <v>13</v>
          </cell>
          <cell r="O1065">
            <v>14</v>
          </cell>
          <cell r="P1065">
            <v>15</v>
          </cell>
        </row>
        <row r="1066">
          <cell r="A1066">
            <v>40041</v>
          </cell>
          <cell r="B1066">
            <v>8</v>
          </cell>
          <cell r="C1066" t="str">
            <v>S</v>
          </cell>
          <cell r="D1066">
            <v>1.5</v>
          </cell>
          <cell r="E1066">
            <v>2.2000000000000002</v>
          </cell>
          <cell r="F1066">
            <v>3</v>
          </cell>
          <cell r="G1066">
            <v>3.8</v>
          </cell>
          <cell r="H1066">
            <v>4.5</v>
          </cell>
          <cell r="I1066">
            <v>5.2</v>
          </cell>
          <cell r="J1066">
            <v>6</v>
          </cell>
          <cell r="K1066">
            <v>7</v>
          </cell>
          <cell r="L1066">
            <v>8</v>
          </cell>
          <cell r="M1066">
            <v>9</v>
          </cell>
          <cell r="N1066">
            <v>10</v>
          </cell>
          <cell r="O1066">
            <v>11</v>
          </cell>
          <cell r="P1066">
            <v>12</v>
          </cell>
        </row>
        <row r="1067">
          <cell r="A1067">
            <v>40042</v>
          </cell>
          <cell r="B1067">
            <v>8</v>
          </cell>
          <cell r="C1067" t="str">
            <v>S</v>
          </cell>
          <cell r="D1067">
            <v>2</v>
          </cell>
          <cell r="E1067">
            <v>2.2000000000000002</v>
          </cell>
          <cell r="F1067">
            <v>2.5</v>
          </cell>
          <cell r="G1067">
            <v>3.2</v>
          </cell>
          <cell r="H1067">
            <v>4</v>
          </cell>
          <cell r="I1067">
            <v>4.8</v>
          </cell>
          <cell r="J1067">
            <v>5.5</v>
          </cell>
          <cell r="K1067">
            <v>6.2</v>
          </cell>
          <cell r="L1067">
            <v>7</v>
          </cell>
          <cell r="M1067">
            <v>7.8</v>
          </cell>
          <cell r="N1067">
            <v>8.5</v>
          </cell>
          <cell r="O1067">
            <v>9</v>
          </cell>
          <cell r="P1067">
            <v>10</v>
          </cell>
        </row>
        <row r="1068">
          <cell r="A1068">
            <v>40043</v>
          </cell>
          <cell r="B1068">
            <v>8</v>
          </cell>
          <cell r="C1068" t="str">
            <v>S</v>
          </cell>
          <cell r="D1068">
            <v>4.2</v>
          </cell>
          <cell r="E1068">
            <v>5</v>
          </cell>
          <cell r="F1068">
            <v>5.8</v>
          </cell>
          <cell r="G1068">
            <v>6.5</v>
          </cell>
          <cell r="H1068">
            <v>7.2</v>
          </cell>
          <cell r="I1068">
            <v>8</v>
          </cell>
          <cell r="J1068">
            <v>9</v>
          </cell>
          <cell r="K1068">
            <v>10</v>
          </cell>
          <cell r="L1068">
            <v>11</v>
          </cell>
          <cell r="M1068">
            <v>12</v>
          </cell>
          <cell r="N1068">
            <v>13</v>
          </cell>
          <cell r="O1068">
            <v>14</v>
          </cell>
          <cell r="P1068">
            <v>15</v>
          </cell>
        </row>
        <row r="1069">
          <cell r="A1069">
            <v>40044</v>
          </cell>
          <cell r="B1069">
            <v>8</v>
          </cell>
          <cell r="C1069" t="str">
            <v>S</v>
          </cell>
          <cell r="D1069">
            <v>2.8</v>
          </cell>
          <cell r="E1069">
            <v>3.5</v>
          </cell>
          <cell r="F1069">
            <v>4</v>
          </cell>
          <cell r="G1069">
            <v>5</v>
          </cell>
          <cell r="H1069">
            <v>6</v>
          </cell>
          <cell r="I1069">
            <v>7</v>
          </cell>
          <cell r="J1069">
            <v>8</v>
          </cell>
          <cell r="K1069">
            <v>9</v>
          </cell>
          <cell r="L1069">
            <v>10</v>
          </cell>
          <cell r="M1069">
            <v>11</v>
          </cell>
          <cell r="N1069">
            <v>12</v>
          </cell>
          <cell r="O1069">
            <v>13</v>
          </cell>
          <cell r="P1069">
            <v>14</v>
          </cell>
        </row>
        <row r="1070">
          <cell r="A1070">
            <v>40045</v>
          </cell>
          <cell r="B1070">
            <v>8</v>
          </cell>
          <cell r="C1070" t="str">
            <v>S</v>
          </cell>
          <cell r="D1070">
            <v>8.1999999999999993</v>
          </cell>
          <cell r="E1070">
            <v>9</v>
          </cell>
          <cell r="F1070">
            <v>9.8000000000000007</v>
          </cell>
          <cell r="G1070">
            <v>10.5</v>
          </cell>
          <cell r="H1070">
            <v>11.2</v>
          </cell>
          <cell r="I1070">
            <v>12</v>
          </cell>
          <cell r="J1070">
            <v>12.8</v>
          </cell>
          <cell r="K1070">
            <v>13.5</v>
          </cell>
          <cell r="L1070">
            <v>14</v>
          </cell>
          <cell r="M1070">
            <v>15</v>
          </cell>
          <cell r="N1070">
            <v>16</v>
          </cell>
          <cell r="O1070">
            <v>17</v>
          </cell>
          <cell r="P1070">
            <v>18</v>
          </cell>
        </row>
        <row r="1071">
          <cell r="A1071">
            <v>40046</v>
          </cell>
          <cell r="B1071">
            <v>8</v>
          </cell>
          <cell r="C1071" t="str">
            <v>S</v>
          </cell>
          <cell r="D1071">
            <v>5</v>
          </cell>
          <cell r="E1071">
            <v>5.8</v>
          </cell>
          <cell r="F1071">
            <v>6.5</v>
          </cell>
          <cell r="G1071">
            <v>7.2</v>
          </cell>
          <cell r="H1071">
            <v>8</v>
          </cell>
          <cell r="I1071">
            <v>8.8000000000000007</v>
          </cell>
          <cell r="J1071">
            <v>9.5</v>
          </cell>
          <cell r="K1071">
            <v>10.199999999999999</v>
          </cell>
          <cell r="L1071">
            <v>11</v>
          </cell>
          <cell r="M1071">
            <v>11.8</v>
          </cell>
          <cell r="N1071">
            <v>12.5</v>
          </cell>
          <cell r="O1071">
            <v>13.2</v>
          </cell>
          <cell r="P1071">
            <v>14</v>
          </cell>
        </row>
        <row r="1072">
          <cell r="A1072">
            <v>40047</v>
          </cell>
          <cell r="B1072">
            <v>8</v>
          </cell>
          <cell r="C1072" t="str">
            <v>S</v>
          </cell>
          <cell r="D1072">
            <v>6</v>
          </cell>
          <cell r="E1072">
            <v>6.8</v>
          </cell>
          <cell r="F1072">
            <v>7.5</v>
          </cell>
          <cell r="G1072">
            <v>8.1999999999999993</v>
          </cell>
          <cell r="H1072">
            <v>9</v>
          </cell>
          <cell r="I1072">
            <v>9.8000000000000007</v>
          </cell>
          <cell r="J1072">
            <v>10.5</v>
          </cell>
          <cell r="K1072">
            <v>11.2</v>
          </cell>
          <cell r="L1072">
            <v>12</v>
          </cell>
          <cell r="M1072">
            <v>12.8</v>
          </cell>
          <cell r="N1072">
            <v>13.5</v>
          </cell>
          <cell r="O1072">
            <v>14</v>
          </cell>
          <cell r="P1072">
            <v>15</v>
          </cell>
        </row>
        <row r="1073">
          <cell r="A1073">
            <v>40048</v>
          </cell>
          <cell r="B1073">
            <v>8</v>
          </cell>
          <cell r="C1073" t="str">
            <v>S</v>
          </cell>
          <cell r="D1073">
            <v>3.2</v>
          </cell>
          <cell r="E1073">
            <v>4</v>
          </cell>
          <cell r="F1073">
            <v>4.8</v>
          </cell>
          <cell r="G1073">
            <v>5.5</v>
          </cell>
          <cell r="H1073">
            <v>6.2</v>
          </cell>
          <cell r="I1073">
            <v>7</v>
          </cell>
          <cell r="J1073">
            <v>8</v>
          </cell>
          <cell r="K1073">
            <v>9</v>
          </cell>
          <cell r="L1073">
            <v>10</v>
          </cell>
          <cell r="M1073">
            <v>11</v>
          </cell>
          <cell r="N1073">
            <v>12</v>
          </cell>
          <cell r="O1073">
            <v>13</v>
          </cell>
          <cell r="P1073">
            <v>14</v>
          </cell>
        </row>
        <row r="1074">
          <cell r="A1074">
            <v>40049</v>
          </cell>
          <cell r="B1074">
            <v>8</v>
          </cell>
          <cell r="C1074" t="str">
            <v>S</v>
          </cell>
          <cell r="D1074">
            <v>5</v>
          </cell>
          <cell r="E1074">
            <v>6</v>
          </cell>
          <cell r="F1074">
            <v>7</v>
          </cell>
          <cell r="G1074">
            <v>8</v>
          </cell>
          <cell r="H1074">
            <v>9</v>
          </cell>
          <cell r="I1074">
            <v>10</v>
          </cell>
          <cell r="J1074">
            <v>11</v>
          </cell>
          <cell r="K1074">
            <v>12</v>
          </cell>
          <cell r="L1074">
            <v>13</v>
          </cell>
          <cell r="M1074">
            <v>14</v>
          </cell>
          <cell r="N1074">
            <v>15</v>
          </cell>
          <cell r="O1074">
            <v>16</v>
          </cell>
          <cell r="P1074">
            <v>17</v>
          </cell>
        </row>
        <row r="1075">
          <cell r="A1075">
            <v>40050</v>
          </cell>
          <cell r="B1075">
            <v>8</v>
          </cell>
          <cell r="C1075" t="str">
            <v>S</v>
          </cell>
          <cell r="D1075">
            <v>4</v>
          </cell>
          <cell r="E1075">
            <v>5</v>
          </cell>
          <cell r="F1075">
            <v>6</v>
          </cell>
          <cell r="G1075">
            <v>7</v>
          </cell>
          <cell r="H1075">
            <v>8</v>
          </cell>
          <cell r="I1075">
            <v>9</v>
          </cell>
          <cell r="J1075">
            <v>10</v>
          </cell>
          <cell r="K1075">
            <v>11</v>
          </cell>
          <cell r="L1075">
            <v>12</v>
          </cell>
          <cell r="M1075">
            <v>13</v>
          </cell>
          <cell r="N1075">
            <v>14</v>
          </cell>
          <cell r="O1075">
            <v>15</v>
          </cell>
          <cell r="P1075">
            <v>16</v>
          </cell>
        </row>
        <row r="1076">
          <cell r="A1076">
            <v>40051</v>
          </cell>
          <cell r="B1076">
            <v>8</v>
          </cell>
          <cell r="C1076" t="str">
            <v>S</v>
          </cell>
          <cell r="D1076">
            <v>3</v>
          </cell>
          <cell r="E1076">
            <v>3.8</v>
          </cell>
          <cell r="F1076">
            <v>4.5</v>
          </cell>
          <cell r="G1076">
            <v>5.2</v>
          </cell>
          <cell r="H1076">
            <v>6</v>
          </cell>
          <cell r="I1076">
            <v>7</v>
          </cell>
          <cell r="J1076">
            <v>8</v>
          </cell>
          <cell r="K1076">
            <v>9</v>
          </cell>
          <cell r="L1076">
            <v>10</v>
          </cell>
          <cell r="M1076">
            <v>11</v>
          </cell>
          <cell r="N1076">
            <v>12</v>
          </cell>
          <cell r="O1076">
            <v>13</v>
          </cell>
          <cell r="P1076">
            <v>14</v>
          </cell>
        </row>
        <row r="1077">
          <cell r="A1077">
            <v>40052</v>
          </cell>
          <cell r="B1077">
            <v>8</v>
          </cell>
          <cell r="C1077" t="str">
            <v>S</v>
          </cell>
          <cell r="D1077">
            <v>2.8</v>
          </cell>
          <cell r="E1077">
            <v>3</v>
          </cell>
          <cell r="F1077">
            <v>3.2</v>
          </cell>
          <cell r="G1077">
            <v>3.5</v>
          </cell>
          <cell r="H1077">
            <v>3.8</v>
          </cell>
          <cell r="I1077">
            <v>4.5</v>
          </cell>
          <cell r="J1077">
            <v>5.2</v>
          </cell>
          <cell r="K1077">
            <v>6</v>
          </cell>
          <cell r="L1077">
            <v>6.8</v>
          </cell>
          <cell r="M1077">
            <v>7.5</v>
          </cell>
          <cell r="N1077">
            <v>8.1999999999999993</v>
          </cell>
          <cell r="O1077">
            <v>9</v>
          </cell>
          <cell r="P1077">
            <v>9.8000000000000007</v>
          </cell>
        </row>
        <row r="1078">
          <cell r="A1078">
            <v>40053</v>
          </cell>
          <cell r="B1078">
            <v>8</v>
          </cell>
          <cell r="C1078" t="str">
            <v>S</v>
          </cell>
          <cell r="D1078">
            <v>1.2</v>
          </cell>
          <cell r="E1078">
            <v>1.5</v>
          </cell>
          <cell r="F1078">
            <v>2.2000000000000002</v>
          </cell>
          <cell r="G1078">
            <v>3</v>
          </cell>
          <cell r="H1078">
            <v>3.8</v>
          </cell>
          <cell r="I1078">
            <v>4.5</v>
          </cell>
          <cell r="J1078">
            <v>5</v>
          </cell>
          <cell r="K1078">
            <v>6</v>
          </cell>
          <cell r="L1078">
            <v>7</v>
          </cell>
          <cell r="M1078">
            <v>8</v>
          </cell>
          <cell r="N1078">
            <v>9</v>
          </cell>
          <cell r="O1078">
            <v>10</v>
          </cell>
          <cell r="P1078">
            <v>11</v>
          </cell>
        </row>
        <row r="1079">
          <cell r="A1079">
            <v>40054</v>
          </cell>
          <cell r="B1079">
            <v>8</v>
          </cell>
          <cell r="C1079" t="str">
            <v>S</v>
          </cell>
          <cell r="D1079">
            <v>3</v>
          </cell>
          <cell r="E1079">
            <v>3.8</v>
          </cell>
          <cell r="F1079">
            <v>4.5</v>
          </cell>
          <cell r="G1079">
            <v>5.2</v>
          </cell>
          <cell r="H1079">
            <v>6</v>
          </cell>
          <cell r="I1079">
            <v>6.8</v>
          </cell>
          <cell r="J1079">
            <v>7.5</v>
          </cell>
          <cell r="K1079">
            <v>8.1999999999999993</v>
          </cell>
          <cell r="L1079">
            <v>9</v>
          </cell>
          <cell r="M1079">
            <v>10</v>
          </cell>
          <cell r="N1079">
            <v>11</v>
          </cell>
          <cell r="O1079">
            <v>12</v>
          </cell>
          <cell r="P1079">
            <v>13</v>
          </cell>
        </row>
        <row r="1080">
          <cell r="A1080">
            <v>40055</v>
          </cell>
          <cell r="B1080">
            <v>8</v>
          </cell>
          <cell r="C1080" t="str">
            <v>S</v>
          </cell>
          <cell r="D1080">
            <v>6</v>
          </cell>
          <cell r="E1080">
            <v>7</v>
          </cell>
          <cell r="F1080">
            <v>8</v>
          </cell>
          <cell r="G1080">
            <v>9</v>
          </cell>
          <cell r="H1080">
            <v>10</v>
          </cell>
          <cell r="I1080">
            <v>11</v>
          </cell>
          <cell r="J1080">
            <v>12</v>
          </cell>
          <cell r="K1080">
            <v>13</v>
          </cell>
          <cell r="L1080">
            <v>14</v>
          </cell>
          <cell r="M1080">
            <v>15</v>
          </cell>
          <cell r="N1080">
            <v>16</v>
          </cell>
          <cell r="O1080">
            <v>17</v>
          </cell>
          <cell r="P1080">
            <v>18</v>
          </cell>
        </row>
        <row r="1081">
          <cell r="A1081">
            <v>40056</v>
          </cell>
          <cell r="B1081">
            <v>8</v>
          </cell>
          <cell r="C1081" t="str">
            <v>S</v>
          </cell>
          <cell r="D1081">
            <v>1.8</v>
          </cell>
          <cell r="E1081">
            <v>2.5</v>
          </cell>
          <cell r="F1081">
            <v>3.2</v>
          </cell>
          <cell r="G1081">
            <v>4</v>
          </cell>
          <cell r="H1081">
            <v>5</v>
          </cell>
          <cell r="I1081">
            <v>6</v>
          </cell>
          <cell r="J1081">
            <v>7</v>
          </cell>
          <cell r="K1081">
            <v>8</v>
          </cell>
          <cell r="L1081">
            <v>9</v>
          </cell>
          <cell r="M1081">
            <v>10</v>
          </cell>
          <cell r="N1081">
            <v>11</v>
          </cell>
          <cell r="O1081">
            <v>12</v>
          </cell>
          <cell r="P1081">
            <v>13</v>
          </cell>
        </row>
        <row r="1082">
          <cell r="A1082">
            <v>40057</v>
          </cell>
          <cell r="B1082">
            <v>9</v>
          </cell>
          <cell r="C1082" t="str">
            <v>S</v>
          </cell>
          <cell r="D1082">
            <v>1.8</v>
          </cell>
          <cell r="E1082">
            <v>2.5</v>
          </cell>
          <cell r="F1082">
            <v>3.2</v>
          </cell>
          <cell r="G1082">
            <v>4</v>
          </cell>
          <cell r="H1082">
            <v>4.8</v>
          </cell>
          <cell r="I1082">
            <v>5.5</v>
          </cell>
          <cell r="J1082">
            <v>6.2</v>
          </cell>
          <cell r="K1082">
            <v>7</v>
          </cell>
          <cell r="L1082">
            <v>8</v>
          </cell>
          <cell r="M1082">
            <v>9</v>
          </cell>
          <cell r="N1082">
            <v>10</v>
          </cell>
          <cell r="O1082">
            <v>11</v>
          </cell>
          <cell r="P1082">
            <v>12</v>
          </cell>
        </row>
        <row r="1083">
          <cell r="A1083">
            <v>40058</v>
          </cell>
          <cell r="B1083">
            <v>9</v>
          </cell>
          <cell r="C1083" t="str">
            <v>S</v>
          </cell>
          <cell r="D1083">
            <v>2</v>
          </cell>
          <cell r="E1083">
            <v>2.2000000000000002</v>
          </cell>
          <cell r="F1083">
            <v>2.5</v>
          </cell>
          <cell r="G1083">
            <v>2.8</v>
          </cell>
          <cell r="H1083">
            <v>3.5</v>
          </cell>
          <cell r="I1083">
            <v>4.2</v>
          </cell>
          <cell r="J1083">
            <v>5</v>
          </cell>
          <cell r="K1083">
            <v>5.8</v>
          </cell>
          <cell r="L1083">
            <v>6.5</v>
          </cell>
          <cell r="M1083">
            <v>7.2</v>
          </cell>
          <cell r="N1083">
            <v>8</v>
          </cell>
          <cell r="O1083">
            <v>8.8000000000000007</v>
          </cell>
          <cell r="P1083">
            <v>9.5</v>
          </cell>
        </row>
        <row r="1084">
          <cell r="A1084">
            <v>40059</v>
          </cell>
          <cell r="B1084">
            <v>9</v>
          </cell>
          <cell r="C1084" t="str">
            <v>S</v>
          </cell>
          <cell r="D1084">
            <v>2.5</v>
          </cell>
          <cell r="E1084">
            <v>2.8</v>
          </cell>
          <cell r="F1084">
            <v>3</v>
          </cell>
          <cell r="G1084">
            <v>3.2</v>
          </cell>
          <cell r="H1084">
            <v>3.5</v>
          </cell>
          <cell r="I1084">
            <v>3.8</v>
          </cell>
          <cell r="J1084">
            <v>4.5</v>
          </cell>
          <cell r="K1084">
            <v>5.2</v>
          </cell>
          <cell r="L1084">
            <v>6</v>
          </cell>
          <cell r="M1084">
            <v>6.8</v>
          </cell>
          <cell r="N1084">
            <v>7.5</v>
          </cell>
          <cell r="O1084">
            <v>8.1999999999999993</v>
          </cell>
          <cell r="P1084">
            <v>9</v>
          </cell>
        </row>
        <row r="1085">
          <cell r="A1085">
            <v>40060</v>
          </cell>
          <cell r="B1085">
            <v>9</v>
          </cell>
          <cell r="C1085" t="str">
            <v>S</v>
          </cell>
          <cell r="D1085">
            <v>2</v>
          </cell>
          <cell r="E1085">
            <v>2.2000000000000002</v>
          </cell>
          <cell r="F1085">
            <v>2.5</v>
          </cell>
          <cell r="G1085">
            <v>2.8</v>
          </cell>
          <cell r="H1085">
            <v>3</v>
          </cell>
          <cell r="I1085">
            <v>3.2</v>
          </cell>
          <cell r="J1085">
            <v>4</v>
          </cell>
          <cell r="K1085">
            <v>4.8</v>
          </cell>
          <cell r="L1085">
            <v>5.5</v>
          </cell>
          <cell r="M1085">
            <v>6.2</v>
          </cell>
          <cell r="N1085">
            <v>7</v>
          </cell>
          <cell r="O1085">
            <v>7.8</v>
          </cell>
          <cell r="P1085">
            <v>8.5</v>
          </cell>
        </row>
        <row r="1086">
          <cell r="A1086">
            <v>40061</v>
          </cell>
          <cell r="B1086">
            <v>9</v>
          </cell>
          <cell r="C1086" t="str">
            <v>S</v>
          </cell>
          <cell r="D1086">
            <v>3.2</v>
          </cell>
          <cell r="E1086">
            <v>3.5</v>
          </cell>
          <cell r="F1086">
            <v>3.8</v>
          </cell>
          <cell r="G1086">
            <v>4</v>
          </cell>
          <cell r="H1086">
            <v>4.8</v>
          </cell>
          <cell r="I1086">
            <v>5.5</v>
          </cell>
          <cell r="J1086">
            <v>6.2</v>
          </cell>
          <cell r="K1086">
            <v>7</v>
          </cell>
          <cell r="L1086">
            <v>7.8</v>
          </cell>
          <cell r="M1086">
            <v>8.5</v>
          </cell>
          <cell r="N1086">
            <v>9.1999999999999993</v>
          </cell>
          <cell r="O1086">
            <v>10</v>
          </cell>
          <cell r="P1086">
            <v>10.8</v>
          </cell>
        </row>
        <row r="1087">
          <cell r="A1087">
            <v>40062</v>
          </cell>
          <cell r="B1087">
            <v>9</v>
          </cell>
          <cell r="C1087" t="str">
            <v>S</v>
          </cell>
          <cell r="D1087">
            <v>2.8</v>
          </cell>
          <cell r="E1087">
            <v>3</v>
          </cell>
          <cell r="F1087">
            <v>3.2</v>
          </cell>
          <cell r="G1087">
            <v>4</v>
          </cell>
          <cell r="H1087">
            <v>4.8</v>
          </cell>
          <cell r="I1087">
            <v>5.5</v>
          </cell>
          <cell r="J1087">
            <v>6.2</v>
          </cell>
          <cell r="K1087">
            <v>7</v>
          </cell>
          <cell r="L1087">
            <v>7.8</v>
          </cell>
          <cell r="M1087">
            <v>8.5</v>
          </cell>
          <cell r="N1087">
            <v>9.1999999999999993</v>
          </cell>
          <cell r="O1087">
            <v>10</v>
          </cell>
          <cell r="P1087">
            <v>10.8</v>
          </cell>
        </row>
        <row r="1088">
          <cell r="A1088">
            <v>40063</v>
          </cell>
          <cell r="B1088">
            <v>9</v>
          </cell>
          <cell r="C1088" t="str">
            <v>S</v>
          </cell>
          <cell r="D1088">
            <v>3.8</v>
          </cell>
          <cell r="E1088">
            <v>4</v>
          </cell>
          <cell r="F1088">
            <v>4.8</v>
          </cell>
          <cell r="G1088">
            <v>5.5</v>
          </cell>
          <cell r="H1088">
            <v>6.2</v>
          </cell>
          <cell r="I1088">
            <v>7</v>
          </cell>
          <cell r="J1088">
            <v>7.8</v>
          </cell>
          <cell r="K1088">
            <v>8.5</v>
          </cell>
          <cell r="L1088">
            <v>9.1999999999999993</v>
          </cell>
          <cell r="M1088">
            <v>10</v>
          </cell>
          <cell r="N1088">
            <v>10.8</v>
          </cell>
          <cell r="O1088">
            <v>11.5</v>
          </cell>
          <cell r="P1088">
            <v>12.2</v>
          </cell>
        </row>
        <row r="1089">
          <cell r="A1089">
            <v>40064</v>
          </cell>
          <cell r="B1089">
            <v>9</v>
          </cell>
          <cell r="C1089" t="str">
            <v>S</v>
          </cell>
          <cell r="D1089">
            <v>3.8</v>
          </cell>
          <cell r="E1089">
            <v>4</v>
          </cell>
          <cell r="F1089">
            <v>4.2</v>
          </cell>
          <cell r="G1089">
            <v>5</v>
          </cell>
          <cell r="H1089">
            <v>5.8</v>
          </cell>
          <cell r="I1089">
            <v>6.5</v>
          </cell>
          <cell r="J1089">
            <v>7.2</v>
          </cell>
          <cell r="K1089">
            <v>8</v>
          </cell>
          <cell r="L1089">
            <v>8.8000000000000007</v>
          </cell>
          <cell r="M1089">
            <v>9.5</v>
          </cell>
          <cell r="N1089">
            <v>10.199999999999999</v>
          </cell>
          <cell r="O1089">
            <v>11</v>
          </cell>
          <cell r="P1089">
            <v>11.8</v>
          </cell>
        </row>
        <row r="1090">
          <cell r="A1090">
            <v>40065</v>
          </cell>
          <cell r="B1090">
            <v>9</v>
          </cell>
          <cell r="C1090" t="str">
            <v>S</v>
          </cell>
          <cell r="D1090">
            <v>2</v>
          </cell>
          <cell r="E1090">
            <v>2.2000000000000002</v>
          </cell>
          <cell r="F1090">
            <v>2.5</v>
          </cell>
          <cell r="G1090">
            <v>2.8</v>
          </cell>
          <cell r="H1090">
            <v>3</v>
          </cell>
          <cell r="I1090">
            <v>3.2</v>
          </cell>
          <cell r="J1090">
            <v>3.5</v>
          </cell>
          <cell r="K1090">
            <v>4.2</v>
          </cell>
          <cell r="L1090">
            <v>5</v>
          </cell>
          <cell r="M1090">
            <v>5.8</v>
          </cell>
          <cell r="N1090">
            <v>6.5</v>
          </cell>
          <cell r="O1090">
            <v>7.2</v>
          </cell>
          <cell r="P1090">
            <v>8</v>
          </cell>
        </row>
        <row r="1091">
          <cell r="A1091">
            <v>40066</v>
          </cell>
          <cell r="B1091">
            <v>9</v>
          </cell>
          <cell r="C1091" t="str">
            <v>S</v>
          </cell>
          <cell r="D1091">
            <v>3.2</v>
          </cell>
          <cell r="E1091">
            <v>3.5</v>
          </cell>
          <cell r="F1091">
            <v>3.8</v>
          </cell>
          <cell r="G1091">
            <v>4.5</v>
          </cell>
          <cell r="H1091">
            <v>5.2</v>
          </cell>
          <cell r="I1091">
            <v>6</v>
          </cell>
          <cell r="J1091">
            <v>6.8</v>
          </cell>
          <cell r="K1091">
            <v>7.5</v>
          </cell>
          <cell r="L1091">
            <v>8.1999999999999993</v>
          </cell>
          <cell r="M1091">
            <v>9</v>
          </cell>
          <cell r="N1091">
            <v>9.8000000000000007</v>
          </cell>
          <cell r="O1091">
            <v>10.5</v>
          </cell>
          <cell r="P1091">
            <v>11.2</v>
          </cell>
        </row>
        <row r="1092">
          <cell r="A1092">
            <v>40067</v>
          </cell>
          <cell r="B1092">
            <v>9</v>
          </cell>
          <cell r="C1092" t="str">
            <v>S</v>
          </cell>
          <cell r="D1092">
            <v>1</v>
          </cell>
          <cell r="E1092">
            <v>1.2</v>
          </cell>
          <cell r="F1092">
            <v>1.5</v>
          </cell>
          <cell r="G1092">
            <v>2.2000000000000002</v>
          </cell>
          <cell r="H1092">
            <v>3</v>
          </cell>
          <cell r="I1092">
            <v>3.8</v>
          </cell>
          <cell r="J1092">
            <v>4.5</v>
          </cell>
          <cell r="K1092">
            <v>5.2</v>
          </cell>
          <cell r="L1092">
            <v>6</v>
          </cell>
          <cell r="M1092">
            <v>7</v>
          </cell>
          <cell r="N1092">
            <v>8</v>
          </cell>
          <cell r="O1092">
            <v>9</v>
          </cell>
          <cell r="P1092">
            <v>10</v>
          </cell>
        </row>
        <row r="1093">
          <cell r="A1093">
            <v>40068</v>
          </cell>
          <cell r="B1093">
            <v>9</v>
          </cell>
          <cell r="C1093" t="str">
            <v>S</v>
          </cell>
          <cell r="D1093">
            <v>2.2000000000000002</v>
          </cell>
          <cell r="E1093">
            <v>2.5</v>
          </cell>
          <cell r="F1093">
            <v>3.2</v>
          </cell>
          <cell r="G1093">
            <v>4</v>
          </cell>
          <cell r="H1093">
            <v>4.8</v>
          </cell>
          <cell r="I1093">
            <v>5.5</v>
          </cell>
          <cell r="J1093">
            <v>6.2</v>
          </cell>
          <cell r="K1093">
            <v>7</v>
          </cell>
          <cell r="L1093">
            <v>7.8</v>
          </cell>
          <cell r="M1093">
            <v>8.5</v>
          </cell>
          <cell r="N1093">
            <v>9</v>
          </cell>
          <cell r="O1093">
            <v>10</v>
          </cell>
          <cell r="P1093">
            <v>11</v>
          </cell>
        </row>
        <row r="1094">
          <cell r="A1094">
            <v>40069</v>
          </cell>
          <cell r="B1094">
            <v>9</v>
          </cell>
          <cell r="C1094" t="str">
            <v>S</v>
          </cell>
          <cell r="D1094">
            <v>1.5</v>
          </cell>
          <cell r="E1094">
            <v>1.8</v>
          </cell>
          <cell r="F1094">
            <v>2</v>
          </cell>
          <cell r="G1094">
            <v>2.2000000000000002</v>
          </cell>
          <cell r="H1094">
            <v>3</v>
          </cell>
          <cell r="I1094">
            <v>3.8</v>
          </cell>
          <cell r="J1094">
            <v>4.5</v>
          </cell>
          <cell r="K1094">
            <v>5.2</v>
          </cell>
          <cell r="L1094">
            <v>6</v>
          </cell>
          <cell r="M1094">
            <v>6.8</v>
          </cell>
          <cell r="N1094">
            <v>7.5</v>
          </cell>
          <cell r="O1094">
            <v>8.1999999999999993</v>
          </cell>
          <cell r="P1094">
            <v>9</v>
          </cell>
        </row>
        <row r="1095">
          <cell r="A1095">
            <v>40070</v>
          </cell>
          <cell r="B1095">
            <v>9</v>
          </cell>
          <cell r="C1095" t="str">
            <v>S</v>
          </cell>
          <cell r="D1095">
            <v>2.5</v>
          </cell>
          <cell r="E1095">
            <v>3.2</v>
          </cell>
          <cell r="F1095">
            <v>4</v>
          </cell>
          <cell r="G1095">
            <v>4.8</v>
          </cell>
          <cell r="H1095">
            <v>5.5</v>
          </cell>
          <cell r="I1095">
            <v>6.2</v>
          </cell>
          <cell r="J1095">
            <v>7</v>
          </cell>
          <cell r="K1095">
            <v>7.8</v>
          </cell>
          <cell r="L1095">
            <v>8.5</v>
          </cell>
          <cell r="M1095">
            <v>9.1999999999999993</v>
          </cell>
          <cell r="N1095">
            <v>10</v>
          </cell>
          <cell r="O1095">
            <v>11</v>
          </cell>
          <cell r="P1095">
            <v>12</v>
          </cell>
        </row>
        <row r="1096">
          <cell r="A1096">
            <v>40071</v>
          </cell>
          <cell r="B1096">
            <v>9</v>
          </cell>
          <cell r="C1096" t="str">
            <v>S</v>
          </cell>
          <cell r="D1096">
            <v>5</v>
          </cell>
          <cell r="E1096">
            <v>5.8</v>
          </cell>
          <cell r="F1096">
            <v>6.5</v>
          </cell>
          <cell r="G1096">
            <v>7.2</v>
          </cell>
          <cell r="H1096">
            <v>8</v>
          </cell>
          <cell r="I1096">
            <v>8.8000000000000007</v>
          </cell>
          <cell r="J1096">
            <v>9.5</v>
          </cell>
          <cell r="K1096">
            <v>10.199999999999999</v>
          </cell>
          <cell r="L1096">
            <v>11</v>
          </cell>
          <cell r="M1096">
            <v>11.8</v>
          </cell>
          <cell r="N1096">
            <v>12.5</v>
          </cell>
          <cell r="O1096">
            <v>13.2</v>
          </cell>
          <cell r="P1096">
            <v>14</v>
          </cell>
        </row>
        <row r="1097">
          <cell r="A1097">
            <v>40072</v>
          </cell>
          <cell r="B1097">
            <v>9</v>
          </cell>
          <cell r="C1097" t="str">
            <v>S</v>
          </cell>
          <cell r="D1097">
            <v>2.8</v>
          </cell>
          <cell r="E1097">
            <v>3</v>
          </cell>
          <cell r="F1097">
            <v>3.8</v>
          </cell>
          <cell r="G1097">
            <v>4.5</v>
          </cell>
          <cell r="H1097">
            <v>5.2</v>
          </cell>
          <cell r="I1097">
            <v>6</v>
          </cell>
          <cell r="J1097">
            <v>6.8</v>
          </cell>
          <cell r="K1097">
            <v>7.5</v>
          </cell>
          <cell r="L1097">
            <v>8.1999999999999993</v>
          </cell>
          <cell r="M1097">
            <v>9</v>
          </cell>
          <cell r="N1097">
            <v>9.8000000000000007</v>
          </cell>
          <cell r="O1097">
            <v>10.5</v>
          </cell>
          <cell r="P1097">
            <v>11</v>
          </cell>
        </row>
        <row r="1098">
          <cell r="A1098">
            <v>40073</v>
          </cell>
          <cell r="B1098">
            <v>9</v>
          </cell>
          <cell r="C1098" t="str">
            <v>S</v>
          </cell>
          <cell r="D1098">
            <v>1.5</v>
          </cell>
          <cell r="E1098">
            <v>2.2000000000000002</v>
          </cell>
          <cell r="F1098">
            <v>3</v>
          </cell>
          <cell r="G1098">
            <v>3.8</v>
          </cell>
          <cell r="H1098">
            <v>4.5</v>
          </cell>
          <cell r="I1098">
            <v>5.2</v>
          </cell>
          <cell r="J1098">
            <v>6</v>
          </cell>
          <cell r="K1098">
            <v>7</v>
          </cell>
          <cell r="L1098">
            <v>8</v>
          </cell>
          <cell r="M1098">
            <v>9</v>
          </cell>
          <cell r="N1098">
            <v>10</v>
          </cell>
          <cell r="O1098">
            <v>11</v>
          </cell>
          <cell r="P1098">
            <v>12</v>
          </cell>
        </row>
        <row r="1099">
          <cell r="A1099">
            <v>40074</v>
          </cell>
          <cell r="B1099">
            <v>9</v>
          </cell>
          <cell r="C1099" t="str">
            <v>S</v>
          </cell>
          <cell r="D1099">
            <v>3</v>
          </cell>
          <cell r="E1099">
            <v>3.8</v>
          </cell>
          <cell r="F1099">
            <v>4.5</v>
          </cell>
          <cell r="G1099">
            <v>5.2</v>
          </cell>
          <cell r="H1099">
            <v>6</v>
          </cell>
          <cell r="I1099">
            <v>7</v>
          </cell>
          <cell r="J1099">
            <v>8</v>
          </cell>
          <cell r="K1099">
            <v>9</v>
          </cell>
          <cell r="L1099">
            <v>10</v>
          </cell>
          <cell r="M1099">
            <v>11</v>
          </cell>
          <cell r="N1099">
            <v>12</v>
          </cell>
          <cell r="O1099">
            <v>13</v>
          </cell>
          <cell r="P1099">
            <v>14</v>
          </cell>
        </row>
        <row r="1100">
          <cell r="A1100">
            <v>40075</v>
          </cell>
          <cell r="B1100">
            <v>9</v>
          </cell>
          <cell r="C1100" t="str">
            <v>S</v>
          </cell>
          <cell r="D1100">
            <v>9</v>
          </cell>
          <cell r="E1100">
            <v>10</v>
          </cell>
          <cell r="F1100">
            <v>11</v>
          </cell>
          <cell r="G1100">
            <v>12</v>
          </cell>
          <cell r="H1100">
            <v>13</v>
          </cell>
          <cell r="I1100">
            <v>14</v>
          </cell>
          <cell r="J1100">
            <v>15</v>
          </cell>
          <cell r="K1100">
            <v>16</v>
          </cell>
          <cell r="L1100">
            <v>17</v>
          </cell>
          <cell r="M1100">
            <v>18</v>
          </cell>
          <cell r="N1100">
            <v>19</v>
          </cell>
          <cell r="O1100">
            <v>20</v>
          </cell>
          <cell r="P1100">
            <v>21</v>
          </cell>
        </row>
        <row r="1101">
          <cell r="A1101">
            <v>40076</v>
          </cell>
          <cell r="B1101">
            <v>9</v>
          </cell>
          <cell r="C1101" t="str">
            <v>S</v>
          </cell>
          <cell r="D1101">
            <v>11</v>
          </cell>
          <cell r="E1101">
            <v>12</v>
          </cell>
          <cell r="F1101">
            <v>13</v>
          </cell>
          <cell r="G1101">
            <v>14</v>
          </cell>
          <cell r="H1101">
            <v>15</v>
          </cell>
          <cell r="I1101">
            <v>16</v>
          </cell>
          <cell r="J1101">
            <v>17</v>
          </cell>
          <cell r="K1101">
            <v>18</v>
          </cell>
          <cell r="L1101">
            <v>19</v>
          </cell>
          <cell r="M1101">
            <v>20</v>
          </cell>
          <cell r="N1101">
            <v>21</v>
          </cell>
          <cell r="O1101">
            <v>22</v>
          </cell>
          <cell r="P1101">
            <v>23</v>
          </cell>
        </row>
        <row r="1102">
          <cell r="A1102">
            <v>40077</v>
          </cell>
          <cell r="B1102">
            <v>9</v>
          </cell>
          <cell r="C1102" t="str">
            <v>S</v>
          </cell>
          <cell r="D1102">
            <v>6.5</v>
          </cell>
          <cell r="E1102">
            <v>7</v>
          </cell>
          <cell r="F1102">
            <v>8</v>
          </cell>
          <cell r="G1102">
            <v>9</v>
          </cell>
          <cell r="H1102">
            <v>10</v>
          </cell>
          <cell r="I1102">
            <v>11</v>
          </cell>
          <cell r="J1102">
            <v>12</v>
          </cell>
          <cell r="K1102">
            <v>13</v>
          </cell>
          <cell r="L1102">
            <v>14</v>
          </cell>
          <cell r="M1102">
            <v>15</v>
          </cell>
          <cell r="N1102">
            <v>16</v>
          </cell>
          <cell r="O1102">
            <v>17</v>
          </cell>
          <cell r="P1102">
            <v>18</v>
          </cell>
        </row>
        <row r="1103">
          <cell r="A1103">
            <v>40078</v>
          </cell>
          <cell r="B1103">
            <v>9</v>
          </cell>
          <cell r="C1103" t="str">
            <v>S</v>
          </cell>
          <cell r="D1103">
            <v>16</v>
          </cell>
          <cell r="E1103">
            <v>17</v>
          </cell>
          <cell r="F1103">
            <v>18</v>
          </cell>
          <cell r="G1103">
            <v>19</v>
          </cell>
          <cell r="H1103">
            <v>20</v>
          </cell>
          <cell r="I1103">
            <v>21</v>
          </cell>
          <cell r="J1103">
            <v>22</v>
          </cell>
          <cell r="K1103">
            <v>23</v>
          </cell>
          <cell r="L1103">
            <v>24</v>
          </cell>
          <cell r="M1103">
            <v>25</v>
          </cell>
          <cell r="N1103">
            <v>26</v>
          </cell>
          <cell r="O1103">
            <v>27</v>
          </cell>
          <cell r="P1103">
            <v>28</v>
          </cell>
        </row>
        <row r="1104">
          <cell r="A1104">
            <v>40079</v>
          </cell>
          <cell r="B1104">
            <v>9</v>
          </cell>
          <cell r="C1104" t="str">
            <v>S</v>
          </cell>
          <cell r="D1104">
            <v>18</v>
          </cell>
          <cell r="E1104">
            <v>19</v>
          </cell>
          <cell r="F1104">
            <v>20</v>
          </cell>
          <cell r="G1104">
            <v>21</v>
          </cell>
          <cell r="H1104">
            <v>22</v>
          </cell>
          <cell r="I1104">
            <v>23</v>
          </cell>
          <cell r="J1104">
            <v>24</v>
          </cell>
          <cell r="K1104">
            <v>25</v>
          </cell>
          <cell r="L1104">
            <v>26</v>
          </cell>
          <cell r="M1104">
            <v>27</v>
          </cell>
          <cell r="N1104">
            <v>28</v>
          </cell>
          <cell r="O1104">
            <v>29</v>
          </cell>
          <cell r="P1104">
            <v>30</v>
          </cell>
        </row>
        <row r="1105">
          <cell r="A1105">
            <v>40080</v>
          </cell>
          <cell r="B1105">
            <v>9</v>
          </cell>
          <cell r="C1105" t="str">
            <v>S</v>
          </cell>
          <cell r="D1105">
            <v>19</v>
          </cell>
          <cell r="E1105">
            <v>20</v>
          </cell>
          <cell r="F1105">
            <v>21</v>
          </cell>
          <cell r="G1105">
            <v>22</v>
          </cell>
          <cell r="H1105">
            <v>23</v>
          </cell>
          <cell r="I1105">
            <v>24</v>
          </cell>
          <cell r="J1105">
            <v>25</v>
          </cell>
          <cell r="K1105">
            <v>26</v>
          </cell>
          <cell r="L1105">
            <v>27</v>
          </cell>
          <cell r="M1105">
            <v>28</v>
          </cell>
          <cell r="N1105">
            <v>29</v>
          </cell>
          <cell r="O1105">
            <v>30</v>
          </cell>
          <cell r="P1105">
            <v>31</v>
          </cell>
        </row>
        <row r="1106">
          <cell r="A1106">
            <v>40081</v>
          </cell>
          <cell r="B1106">
            <v>9</v>
          </cell>
          <cell r="C1106" t="str">
            <v>S</v>
          </cell>
          <cell r="D1106">
            <v>15</v>
          </cell>
          <cell r="E1106">
            <v>16</v>
          </cell>
          <cell r="F1106">
            <v>17</v>
          </cell>
          <cell r="G1106">
            <v>18</v>
          </cell>
          <cell r="H1106">
            <v>19</v>
          </cell>
          <cell r="I1106">
            <v>20</v>
          </cell>
          <cell r="J1106">
            <v>21</v>
          </cell>
          <cell r="K1106">
            <v>22</v>
          </cell>
          <cell r="L1106">
            <v>23</v>
          </cell>
          <cell r="M1106">
            <v>24</v>
          </cell>
          <cell r="N1106">
            <v>25</v>
          </cell>
          <cell r="O1106">
            <v>26</v>
          </cell>
          <cell r="P1106">
            <v>27</v>
          </cell>
        </row>
        <row r="1107">
          <cell r="A1107">
            <v>40082</v>
          </cell>
          <cell r="B1107">
            <v>9</v>
          </cell>
          <cell r="C1107" t="str">
            <v>S</v>
          </cell>
          <cell r="D1107">
            <v>19</v>
          </cell>
          <cell r="E1107">
            <v>20</v>
          </cell>
          <cell r="F1107">
            <v>21</v>
          </cell>
          <cell r="G1107">
            <v>22</v>
          </cell>
          <cell r="H1107">
            <v>23</v>
          </cell>
          <cell r="I1107">
            <v>24</v>
          </cell>
          <cell r="J1107">
            <v>25</v>
          </cell>
          <cell r="K1107">
            <v>26</v>
          </cell>
          <cell r="L1107">
            <v>27</v>
          </cell>
          <cell r="M1107">
            <v>28</v>
          </cell>
          <cell r="N1107">
            <v>29</v>
          </cell>
          <cell r="O1107">
            <v>30</v>
          </cell>
          <cell r="P1107">
            <v>31</v>
          </cell>
        </row>
        <row r="1108">
          <cell r="A1108">
            <v>40083</v>
          </cell>
          <cell r="B1108">
            <v>9</v>
          </cell>
          <cell r="C1108" t="str">
            <v>S</v>
          </cell>
          <cell r="D1108">
            <v>21</v>
          </cell>
          <cell r="E1108">
            <v>22</v>
          </cell>
          <cell r="F1108">
            <v>23</v>
          </cell>
          <cell r="G1108">
            <v>24</v>
          </cell>
          <cell r="H1108">
            <v>25</v>
          </cell>
          <cell r="I1108">
            <v>26</v>
          </cell>
          <cell r="J1108">
            <v>27</v>
          </cell>
          <cell r="K1108">
            <v>28</v>
          </cell>
          <cell r="L1108">
            <v>29</v>
          </cell>
          <cell r="M1108">
            <v>30</v>
          </cell>
          <cell r="N1108">
            <v>31</v>
          </cell>
          <cell r="O1108">
            <v>32</v>
          </cell>
          <cell r="P1108">
            <v>33</v>
          </cell>
        </row>
        <row r="1109">
          <cell r="A1109">
            <v>40084</v>
          </cell>
          <cell r="B1109">
            <v>9</v>
          </cell>
          <cell r="C1109" t="str">
            <v>S</v>
          </cell>
          <cell r="D1109">
            <v>21</v>
          </cell>
          <cell r="E1109">
            <v>22</v>
          </cell>
          <cell r="F1109">
            <v>23</v>
          </cell>
          <cell r="G1109">
            <v>24</v>
          </cell>
          <cell r="H1109">
            <v>25</v>
          </cell>
          <cell r="I1109">
            <v>26</v>
          </cell>
          <cell r="J1109">
            <v>27</v>
          </cell>
          <cell r="K1109">
            <v>28</v>
          </cell>
          <cell r="L1109">
            <v>29</v>
          </cell>
          <cell r="M1109">
            <v>30</v>
          </cell>
          <cell r="N1109">
            <v>31</v>
          </cell>
          <cell r="O1109">
            <v>32</v>
          </cell>
          <cell r="P1109">
            <v>33</v>
          </cell>
        </row>
        <row r="1110">
          <cell r="A1110">
            <v>40085</v>
          </cell>
          <cell r="B1110">
            <v>9</v>
          </cell>
          <cell r="C1110" t="str">
            <v>S</v>
          </cell>
          <cell r="D1110">
            <v>22</v>
          </cell>
          <cell r="E1110">
            <v>23</v>
          </cell>
          <cell r="F1110">
            <v>24</v>
          </cell>
          <cell r="G1110">
            <v>25</v>
          </cell>
          <cell r="H1110">
            <v>26</v>
          </cell>
          <cell r="I1110">
            <v>27</v>
          </cell>
          <cell r="J1110">
            <v>28</v>
          </cell>
          <cell r="K1110">
            <v>29</v>
          </cell>
          <cell r="L1110">
            <v>30</v>
          </cell>
          <cell r="M1110">
            <v>31</v>
          </cell>
          <cell r="N1110">
            <v>32</v>
          </cell>
          <cell r="O1110">
            <v>33</v>
          </cell>
          <cell r="P1110">
            <v>34</v>
          </cell>
        </row>
        <row r="1111">
          <cell r="A1111">
            <v>40086</v>
          </cell>
          <cell r="B1111">
            <v>9</v>
          </cell>
          <cell r="C1111" t="str">
            <v>S</v>
          </cell>
          <cell r="D1111">
            <v>17</v>
          </cell>
          <cell r="E1111">
            <v>18</v>
          </cell>
          <cell r="F1111">
            <v>19</v>
          </cell>
          <cell r="G1111">
            <v>20</v>
          </cell>
          <cell r="H1111">
            <v>21</v>
          </cell>
          <cell r="I1111">
            <v>22</v>
          </cell>
          <cell r="J1111">
            <v>23</v>
          </cell>
          <cell r="K1111">
            <v>24</v>
          </cell>
          <cell r="L1111">
            <v>25</v>
          </cell>
          <cell r="M1111">
            <v>26</v>
          </cell>
          <cell r="N1111">
            <v>27</v>
          </cell>
          <cell r="O1111">
            <v>28</v>
          </cell>
          <cell r="P1111">
            <v>29</v>
          </cell>
        </row>
      </sheetData>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Survey"/>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essData"/>
      <sheetName val="AddressG3NA"/>
      <sheetName val="UnifiedDataGIS"/>
      <sheetName val="UnifiedData"/>
      <sheetName val="ParcelAgeSource"/>
      <sheetName val="Sheet1"/>
      <sheetName val="UnifiedOther"/>
      <sheetName val="Map"/>
      <sheetName val="Lookup"/>
      <sheetName val="Moisture"/>
      <sheetName val="CordWeight"/>
      <sheetName val="CellCounts"/>
      <sheetName val="G2CellCensus"/>
      <sheetName val="HHSurveyG2"/>
      <sheetName val="BTUG2Cell"/>
      <sheetName val="HHTrends"/>
      <sheetName val="BTUZipAll"/>
      <sheetName val="BTUZip2011"/>
      <sheetName val="BTUZip2012"/>
      <sheetName val="BTUZip2013"/>
      <sheetName val="BTUZip2014"/>
      <sheetName val="BTUZip2015"/>
      <sheetName val="TabsAll"/>
      <sheetName val="Tabs2011"/>
      <sheetName val="Tabs2012"/>
      <sheetName val="Tabs2013"/>
      <sheetName val="Tabs2014"/>
      <sheetName val="Tabs2015"/>
      <sheetName val="DevCntsAll"/>
      <sheetName val="DevCnts2011"/>
      <sheetName val="DevCnts2012"/>
      <sheetName val="DevCnts2013"/>
      <sheetName val="DevCnts2014"/>
      <sheetName val="DevCnts2015"/>
      <sheetName val="StatsUse"/>
      <sheetName val="StatsWoodDev"/>
      <sheetName val="StatsWoodCert"/>
      <sheetName val="NACells"/>
      <sheetName val="Known_OHHs_Sep2015"/>
    </sheetNames>
    <sheetDataSet>
      <sheetData sheetId="0"/>
      <sheetData sheetId="1"/>
      <sheetData sheetId="2">
        <row r="6">
          <cell r="HZ6">
            <v>0.89669891861126916</v>
          </cell>
          <cell r="IA6">
            <v>0.38844621513944222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Data"/>
      <sheetName val="BACM Summary"/>
      <sheetName val="Measure1"/>
      <sheetName val="Measure3"/>
      <sheetName val="Measure8"/>
      <sheetName val="Measure9"/>
      <sheetName val="Measure10"/>
      <sheetName val="Measure16"/>
      <sheetName val="Measure22"/>
      <sheetName val="Measure24"/>
      <sheetName val="Measure29"/>
      <sheetName val="Measure47"/>
      <sheetName val="Measure48"/>
      <sheetName val="Measure51"/>
      <sheetName val="Measure52"/>
      <sheetName val="Measure53"/>
      <sheetName val="MeasureR5"/>
      <sheetName val="MeasureR15"/>
      <sheetName val="MeasureR17"/>
      <sheetName val="MeasureR29"/>
      <sheetName val="Stakeholder3a"/>
      <sheetName val="Stakeholder3b"/>
      <sheetName val="Stakeholder13"/>
      <sheetName val="Measure31"/>
      <sheetName val="Measure49"/>
      <sheetName val="EPA3"/>
      <sheetName val="Devices"/>
      <sheetName val="Lookup"/>
      <sheetName val="ULSEFs"/>
      <sheetName val="EFs-BTU"/>
      <sheetName val="Moisture"/>
      <sheetName val="TabsAll"/>
      <sheetName val="DevSumOut-2019PB"/>
      <sheetName val="DevSumOut-2020PB"/>
      <sheetName val="DevSumOut-2021PB"/>
      <sheetName val="DevSumOut-2022PB"/>
      <sheetName val="DevSumOut-2023PB"/>
      <sheetName val="DevSumOut-2024PB"/>
      <sheetName val="HHSurveyG2"/>
      <sheetName val="EPAStoves"/>
      <sheetName val="EPAOHHPh2"/>
      <sheetName val="EPAOHHPh1"/>
      <sheetName val="EPAFPPh2"/>
      <sheetName val="EFs-OMNI"/>
      <sheetName val="EFs-AP42"/>
      <sheetName val="EPACert_H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7">
          <cell r="T17">
            <v>5780</v>
          </cell>
          <cell r="X17">
            <v>1.0999999999999999E-2</v>
          </cell>
        </row>
        <row r="18">
          <cell r="T18">
            <v>1570</v>
          </cell>
          <cell r="X18">
            <v>3.0999999999999999E-3</v>
          </cell>
        </row>
        <row r="19">
          <cell r="T19">
            <v>332</v>
          </cell>
          <cell r="X19">
            <v>1.1999999999999999E-3</v>
          </cell>
        </row>
        <row r="20">
          <cell r="T20">
            <v>11</v>
          </cell>
          <cell r="X20">
            <v>5.940095645607853E-5</v>
          </cell>
        </row>
        <row r="21">
          <cell r="T21">
            <v>5780</v>
          </cell>
          <cell r="X21">
            <v>1.2E-2</v>
          </cell>
        </row>
        <row r="22">
          <cell r="T22">
            <v>1440</v>
          </cell>
          <cell r="X22">
            <v>2.3730741391789888E-3</v>
          </cell>
        </row>
        <row r="23">
          <cell r="T23">
            <v>1440</v>
          </cell>
          <cell r="X23">
            <v>5.0000000000000001E-3</v>
          </cell>
        </row>
        <row r="24">
          <cell r="T24">
            <v>450</v>
          </cell>
          <cell r="X24">
            <v>1.1999999999999999E-3</v>
          </cell>
        </row>
        <row r="25">
          <cell r="T25">
            <v>11</v>
          </cell>
          <cell r="X25">
            <v>1.2999999999999999E-3</v>
          </cell>
        </row>
        <row r="26">
          <cell r="T26">
            <v>1900</v>
          </cell>
          <cell r="X26">
            <v>5.7000000000000002E-3</v>
          </cell>
        </row>
        <row r="27">
          <cell r="T27">
            <v>37</v>
          </cell>
          <cell r="X27">
            <v>6.9999999999999994E-5</v>
          </cell>
        </row>
        <row r="28">
          <cell r="T28">
            <v>1440</v>
          </cell>
          <cell r="X28">
            <v>4.1999999999999997E-3</v>
          </cell>
        </row>
        <row r="29">
          <cell r="T29">
            <v>332</v>
          </cell>
          <cell r="X29">
            <v>1.6000000000000001E-3</v>
          </cell>
        </row>
        <row r="30">
          <cell r="T30">
            <v>11</v>
          </cell>
          <cell r="X30">
            <v>3.0000000000000001E-5</v>
          </cell>
        </row>
        <row r="31">
          <cell r="T31">
            <v>37</v>
          </cell>
          <cell r="X31">
            <v>9.0000000000000006E-5</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3P_PTINVAR_2019BNP1SR_ORL"/>
      <sheetName val="G3P_PTHRAR_2019BNP1SR_E1D01"/>
      <sheetName val="EMIS"/>
      <sheetName val="DevTabs"/>
      <sheetName val="ZipTabs"/>
      <sheetName val="DevTabsNA"/>
      <sheetName val="ZipTabsNA"/>
      <sheetName val="GridTabs"/>
      <sheetName val="DevSumOut"/>
      <sheetName val="DevOut"/>
      <sheetName val="ZipOut"/>
      <sheetName val="DevOutNA"/>
      <sheetName val="ZipOutNA"/>
      <sheetName val="GridOut"/>
      <sheetName val="FNGExisting"/>
      <sheetName val="EFs-BTU"/>
      <sheetName val="EFs-BTU-AP42"/>
      <sheetName val="EFs-OMNI"/>
      <sheetName val="EFs-AP42"/>
      <sheetName val="Lookup"/>
      <sheetName val="EIAProjections"/>
      <sheetName val="HtEnergy"/>
      <sheetName val="CommOHHs"/>
      <sheetName val="NRSF"/>
      <sheetName val="Coeffs"/>
      <sheetName val="Episodes"/>
      <sheetName val="GriddedTemps"/>
      <sheetName val="GriddedTempsNPMod"/>
      <sheetName val="Moisture"/>
      <sheetName val="CCHRCTables"/>
      <sheetName val="CntyGrowthFacs"/>
      <sheetName val="FMATSGrowthFacs"/>
      <sheetName val="BuildSizeG3C"/>
      <sheetName val="G3Centroids"/>
      <sheetName val="HHSurvey11"/>
      <sheetName val="HHSurveyG2-SS50OWBAdj"/>
      <sheetName val="HHSurveyG2-SS50"/>
      <sheetName val="HHSurvey5Yr"/>
      <sheetName val="HHTrends"/>
      <sheetName val="HDD"/>
      <sheetName val="SCC"/>
      <sheetName val="WasteOilUse"/>
      <sheetName val="Borough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2">
          <cell r="E12">
            <v>0.2</v>
          </cell>
          <cell r="F12">
            <v>0.15</v>
          </cell>
        </row>
        <row r="13">
          <cell r="E13">
            <v>0.44</v>
          </cell>
          <cell r="F13">
            <v>0.4</v>
          </cell>
        </row>
        <row r="14">
          <cell r="E14">
            <v>0.2</v>
          </cell>
          <cell r="F14">
            <v>0.15</v>
          </cell>
        </row>
        <row r="15">
          <cell r="E15">
            <v>0.31</v>
          </cell>
          <cell r="F15">
            <v>0.32</v>
          </cell>
        </row>
        <row r="16">
          <cell r="E16">
            <v>0.22</v>
          </cell>
          <cell r="F16">
            <v>0.35</v>
          </cell>
        </row>
        <row r="17">
          <cell r="E17">
            <v>0.3</v>
          </cell>
          <cell r="F17">
            <v>0.28999999999999998</v>
          </cell>
        </row>
        <row r="32">
          <cell r="C32">
            <v>0.83</v>
          </cell>
          <cell r="D32">
            <v>0.63</v>
          </cell>
        </row>
        <row r="33">
          <cell r="C33">
            <v>0.83</v>
          </cell>
          <cell r="D33">
            <v>0.65</v>
          </cell>
        </row>
        <row r="34">
          <cell r="C34">
            <v>0.78</v>
          </cell>
          <cell r="D34">
            <v>0.63</v>
          </cell>
        </row>
        <row r="35">
          <cell r="C35">
            <v>0.78</v>
          </cell>
          <cell r="D35">
            <v>0.67</v>
          </cell>
        </row>
        <row r="36">
          <cell r="C36">
            <v>0.92</v>
          </cell>
          <cell r="D36">
            <v>1.17</v>
          </cell>
        </row>
        <row r="37">
          <cell r="C37">
            <v>0.92</v>
          </cell>
          <cell r="D37">
            <v>0.8</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ummary"/>
      <sheetName val="StdsAvailable"/>
      <sheetName val="CalcsMid"/>
      <sheetName val="CalcsLow"/>
      <sheetName val="CalcsBTU"/>
      <sheetName val="ERvsEF"/>
      <sheetName val="ADECCosts"/>
      <sheetName val="Jan04Wilson"/>
      <sheetName val="StoveTabsHr"/>
      <sheetName val="EPAStovesASrt"/>
      <sheetName val="EPAStovesATSrt"/>
      <sheetName val="EPAStovesERTSrt"/>
      <sheetName val="OHH-Phase2"/>
      <sheetName val="OHH-Phase1"/>
      <sheetName val="FP-Phase2"/>
      <sheetName val="StoveTabsBTUMin"/>
      <sheetName val="StoveTabsBTUMid"/>
      <sheetName val="StoveTabsBTUMax"/>
      <sheetName val="WSCOData"/>
      <sheetName val="ClosedOut"/>
      <sheetName val="WSCOPvts"/>
      <sheetName val="EFs-BTU"/>
      <sheetName val="EFs-OMNI"/>
      <sheetName val="EFs-AP42"/>
      <sheetName val="Moisture"/>
      <sheetName val="ProjBase"/>
      <sheetName val="Splits"/>
      <sheetName val="Method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5">
          <cell r="M35">
            <v>5502.2164306385939</v>
          </cell>
        </row>
        <row r="36">
          <cell r="M36">
            <v>5353.5762515917568</v>
          </cell>
        </row>
        <row r="37">
          <cell r="M37">
            <v>6866.9132974835939</v>
          </cell>
        </row>
        <row r="38">
          <cell r="M38">
            <v>6508.922556856488</v>
          </cell>
        </row>
      </sheetData>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ummary"/>
      <sheetName val="StdsAvailable"/>
      <sheetName val="CalcsMid"/>
      <sheetName val="CalcsLow"/>
      <sheetName val="CalcsBTU"/>
      <sheetName val="ERvsEF"/>
      <sheetName val="ADECCosts"/>
      <sheetName val="Jan04Wilson"/>
      <sheetName val="StoveTabsHr"/>
      <sheetName val="EPAStovesASrt"/>
      <sheetName val="EPAStovesATSrt"/>
      <sheetName val="EPAStovesERTSrt"/>
      <sheetName val="EPAOHH-Ph2"/>
      <sheetName val="EPAOHH-Ph1"/>
      <sheetName val="EPAFP-Ph2"/>
      <sheetName val="StoveTabsBTUMin"/>
      <sheetName val="StoveTabsBTUMid"/>
      <sheetName val="StoveTabsBTUMax"/>
      <sheetName val="WSCOData"/>
      <sheetName val="ClosedOut"/>
      <sheetName val="WSCOPvts"/>
      <sheetName val="EFs-BTU"/>
      <sheetName val="EFs-OMNI"/>
      <sheetName val="EFs-AP42"/>
      <sheetName val="Moisture"/>
      <sheetName val="ProjBase"/>
      <sheetName val="Splits"/>
      <sheetName val="Method28"/>
    </sheetNames>
    <sheetDataSet>
      <sheetData sheetId="0"/>
      <sheetData sheetId="1"/>
      <sheetData sheetId="2">
        <row r="5">
          <cell r="K5">
            <v>1.5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0">
          <cell r="T10">
            <v>60</v>
          </cell>
        </row>
      </sheetData>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http://www.fngas.com/calculate.html" TargetMode="External"/><Relationship Id="rId7" Type="http://schemas.openxmlformats.org/officeDocument/2006/relationships/vmlDrawing" Target="../drawings/vmlDrawing7.vml"/><Relationship Id="rId2" Type="http://schemas.openxmlformats.org/officeDocument/2006/relationships/hyperlink" Target="http://www.fngas.com/calculate.html" TargetMode="External"/><Relationship Id="rId1" Type="http://schemas.openxmlformats.org/officeDocument/2006/relationships/hyperlink" Target="http://www.generatorjoe.net/html/energy.html" TargetMode="External"/><Relationship Id="rId6" Type="http://schemas.openxmlformats.org/officeDocument/2006/relationships/drawing" Target="../drawings/drawing4.xml"/><Relationship Id="rId5" Type="http://schemas.openxmlformats.org/officeDocument/2006/relationships/printerSettings" Target="../printerSettings/printerSettings11.bin"/><Relationship Id="rId4" Type="http://schemas.openxmlformats.org/officeDocument/2006/relationships/hyperlink" Target="http://www.fngas.com/calculate.html"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hyperlink" Target="https://www.eia.gov/energyexplained/?page=about_energy_units"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improvenet.com/r/costs-and-prices/fireplace-remodeling-cos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fngas.com/calculate.html" TargetMode="External"/><Relationship Id="rId7" Type="http://schemas.openxmlformats.org/officeDocument/2006/relationships/comments" Target="../comments12.xml"/><Relationship Id="rId2" Type="http://schemas.openxmlformats.org/officeDocument/2006/relationships/hyperlink" Target="http://www.fngas.com/calculate.html" TargetMode="External"/><Relationship Id="rId1" Type="http://schemas.openxmlformats.org/officeDocument/2006/relationships/hyperlink" Target="http://www.generatorjoe.net/html/energy.html" TargetMode="External"/><Relationship Id="rId6" Type="http://schemas.openxmlformats.org/officeDocument/2006/relationships/vmlDrawing" Target="../drawings/vmlDrawing12.vml"/><Relationship Id="rId5" Type="http://schemas.openxmlformats.org/officeDocument/2006/relationships/printerSettings" Target="../printerSettings/printerSettings24.bin"/><Relationship Id="rId4" Type="http://schemas.openxmlformats.org/officeDocument/2006/relationships/hyperlink" Target="http://www.fngas.com/calculate.html"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fngas.com/calculate.html" TargetMode="External"/><Relationship Id="rId7" Type="http://schemas.openxmlformats.org/officeDocument/2006/relationships/comments" Target="../comments13.xml"/><Relationship Id="rId2" Type="http://schemas.openxmlformats.org/officeDocument/2006/relationships/hyperlink" Target="http://www.fngas.com/calculate.html" TargetMode="External"/><Relationship Id="rId1" Type="http://schemas.openxmlformats.org/officeDocument/2006/relationships/hyperlink" Target="http://www.generatorjoe.net/html/energy.html" TargetMode="External"/><Relationship Id="rId6" Type="http://schemas.openxmlformats.org/officeDocument/2006/relationships/vmlDrawing" Target="../drawings/vmlDrawing13.vml"/><Relationship Id="rId5" Type="http://schemas.openxmlformats.org/officeDocument/2006/relationships/printerSettings" Target="../printerSettings/printerSettings25.bin"/><Relationship Id="rId4" Type="http://schemas.openxmlformats.org/officeDocument/2006/relationships/hyperlink" Target="http://www.fngas.com/calculate.html"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7.bin"/><Relationship Id="rId1" Type="http://schemas.openxmlformats.org/officeDocument/2006/relationships/hyperlink" Target="http://www.epa.gov/burnwise/owhhlist.html"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epa.gov/burnwise/owhharchive.html"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epa.gov/burnwise/whereyoulive.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8"/>
  <sheetViews>
    <sheetView tabSelected="1" zoomScale="130" zoomScaleNormal="130" workbookViewId="0">
      <pane ySplit="5" topLeftCell="A6" activePane="bottomLeft" state="frozen"/>
      <selection pane="bottomLeft" activeCell="B11" sqref="B11"/>
    </sheetView>
  </sheetViews>
  <sheetFormatPr defaultRowHeight="15" x14ac:dyDescent="0.25"/>
  <cols>
    <col min="1" max="1" width="21.28515625" customWidth="1"/>
    <col min="2" max="2" width="127" customWidth="1"/>
  </cols>
  <sheetData>
    <row r="1" spans="1:2" ht="18.75" x14ac:dyDescent="0.3">
      <c r="A1" s="912" t="s">
        <v>4387</v>
      </c>
      <c r="B1" s="912"/>
    </row>
    <row r="2" spans="1:2" ht="18.75" x14ac:dyDescent="0.3">
      <c r="A2" s="912" t="s">
        <v>4405</v>
      </c>
      <c r="B2" s="912"/>
    </row>
    <row r="3" spans="1:2" ht="18.75" x14ac:dyDescent="0.3">
      <c r="A3" s="912" t="s">
        <v>4406</v>
      </c>
      <c r="B3" s="912"/>
    </row>
    <row r="5" spans="1:2" ht="15.75" thickBot="1" x14ac:dyDescent="0.3">
      <c r="A5" s="242" t="s">
        <v>4388</v>
      </c>
      <c r="B5" s="242" t="s">
        <v>4389</v>
      </c>
    </row>
    <row r="6" spans="1:2" ht="45.75" thickTop="1" x14ac:dyDescent="0.25">
      <c r="A6" s="909" t="s">
        <v>4409</v>
      </c>
      <c r="B6" s="910" t="s">
        <v>4440</v>
      </c>
    </row>
    <row r="7" spans="1:2" ht="105" x14ac:dyDescent="0.25">
      <c r="A7" s="909" t="s">
        <v>4410</v>
      </c>
      <c r="B7" s="910" t="s">
        <v>4426</v>
      </c>
    </row>
    <row r="8" spans="1:2" ht="120" x14ac:dyDescent="0.25">
      <c r="A8" s="910" t="s">
        <v>4411</v>
      </c>
      <c r="B8" s="910" t="s">
        <v>4441</v>
      </c>
    </row>
    <row r="9" spans="1:2" ht="119.25" customHeight="1" x14ac:dyDescent="0.25">
      <c r="A9" s="910" t="s">
        <v>4412</v>
      </c>
      <c r="B9" s="910" t="s">
        <v>4429</v>
      </c>
    </row>
    <row r="10" spans="1:2" ht="59.25" customHeight="1" x14ac:dyDescent="0.25">
      <c r="A10" s="909" t="s">
        <v>4413</v>
      </c>
      <c r="B10" s="910" t="s">
        <v>4435</v>
      </c>
    </row>
    <row r="11" spans="1:2" ht="45" x14ac:dyDescent="0.25">
      <c r="A11" s="909" t="s">
        <v>4414</v>
      </c>
      <c r="B11" s="910" t="s">
        <v>4434</v>
      </c>
    </row>
    <row r="12" spans="1:2" ht="28.9" customHeight="1" x14ac:dyDescent="0.25">
      <c r="A12" s="909" t="s">
        <v>4415</v>
      </c>
      <c r="B12" s="910" t="s">
        <v>4427</v>
      </c>
    </row>
    <row r="13" spans="1:2" ht="60" x14ac:dyDescent="0.25">
      <c r="A13" s="909" t="s">
        <v>4416</v>
      </c>
      <c r="B13" s="910" t="s">
        <v>4436</v>
      </c>
    </row>
    <row r="14" spans="1:2" ht="45" x14ac:dyDescent="0.25">
      <c r="A14" s="909" t="s">
        <v>4417</v>
      </c>
      <c r="B14" s="910" t="s">
        <v>4432</v>
      </c>
    </row>
    <row r="15" spans="1:2" ht="45" x14ac:dyDescent="0.25">
      <c r="A15" s="909" t="s">
        <v>4418</v>
      </c>
      <c r="B15" s="910" t="s">
        <v>4433</v>
      </c>
    </row>
    <row r="16" spans="1:2" ht="45" x14ac:dyDescent="0.25">
      <c r="A16" s="909" t="s">
        <v>4392</v>
      </c>
      <c r="B16" s="910" t="s">
        <v>4437</v>
      </c>
    </row>
    <row r="17" spans="1:2" ht="45" x14ac:dyDescent="0.25">
      <c r="A17" s="909" t="s">
        <v>2793</v>
      </c>
      <c r="B17" s="910" t="s">
        <v>4430</v>
      </c>
    </row>
    <row r="18" spans="1:2" ht="30" x14ac:dyDescent="0.25">
      <c r="A18" s="909" t="s">
        <v>4393</v>
      </c>
      <c r="B18" s="910" t="s">
        <v>4394</v>
      </c>
    </row>
    <row r="19" spans="1:2" ht="45" x14ac:dyDescent="0.25">
      <c r="A19" s="909" t="s">
        <v>4396</v>
      </c>
      <c r="B19" s="910" t="s">
        <v>4397</v>
      </c>
    </row>
    <row r="20" spans="1:2" ht="45" x14ac:dyDescent="0.25">
      <c r="A20" s="909" t="s">
        <v>4408</v>
      </c>
      <c r="B20" s="910" t="s">
        <v>4438</v>
      </c>
    </row>
    <row r="21" spans="1:2" ht="30" x14ac:dyDescent="0.25">
      <c r="A21" s="909" t="s">
        <v>4400</v>
      </c>
      <c r="B21" s="910" t="s">
        <v>4407</v>
      </c>
    </row>
    <row r="22" spans="1:2" ht="45" x14ac:dyDescent="0.25">
      <c r="A22" s="909" t="s">
        <v>4390</v>
      </c>
      <c r="B22" s="910" t="s">
        <v>4391</v>
      </c>
    </row>
    <row r="23" spans="1:2" ht="60" x14ac:dyDescent="0.25">
      <c r="A23" s="909" t="s">
        <v>4398</v>
      </c>
      <c r="B23" s="910" t="s">
        <v>4399</v>
      </c>
    </row>
    <row r="24" spans="1:2" ht="30" x14ac:dyDescent="0.25">
      <c r="A24" s="909" t="s">
        <v>2690</v>
      </c>
      <c r="B24" s="910" t="s">
        <v>4401</v>
      </c>
    </row>
    <row r="25" spans="1:2" ht="45" x14ac:dyDescent="0.25">
      <c r="A25" s="909" t="s">
        <v>4395</v>
      </c>
      <c r="B25" s="910" t="s">
        <v>4428</v>
      </c>
    </row>
    <row r="26" spans="1:2" ht="45" x14ac:dyDescent="0.25">
      <c r="A26" s="909" t="s">
        <v>4402</v>
      </c>
      <c r="B26" s="910" t="s">
        <v>4439</v>
      </c>
    </row>
    <row r="27" spans="1:2" x14ac:dyDescent="0.25">
      <c r="A27" s="909" t="s">
        <v>4425</v>
      </c>
      <c r="B27" s="910"/>
    </row>
    <row r="28" spans="1:2" ht="30" x14ac:dyDescent="0.25">
      <c r="A28" s="909" t="s">
        <v>4403</v>
      </c>
      <c r="B28" s="910" t="s">
        <v>4404</v>
      </c>
    </row>
  </sheetData>
  <mergeCells count="3">
    <mergeCell ref="A1:B1"/>
    <mergeCell ref="A2:B2"/>
    <mergeCell ref="A3:B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CC"/>
  </sheetPr>
  <dimension ref="A1:Q165"/>
  <sheetViews>
    <sheetView workbookViewId="0">
      <selection sqref="A1:I1"/>
    </sheetView>
  </sheetViews>
  <sheetFormatPr defaultColWidth="8.85546875" defaultRowHeight="15" x14ac:dyDescent="0.25"/>
  <cols>
    <col min="1" max="1" width="47.28515625" customWidth="1"/>
    <col min="3" max="3" width="13.28515625" customWidth="1"/>
    <col min="4" max="4" width="10.7109375" customWidth="1"/>
    <col min="6" max="6" width="10.85546875" bestFit="1" customWidth="1"/>
    <col min="8" max="8" width="10" bestFit="1" customWidth="1"/>
    <col min="11" max="11" width="9.140625" bestFit="1" customWidth="1"/>
    <col min="12" max="12" width="11.5703125" bestFit="1" customWidth="1"/>
  </cols>
  <sheetData>
    <row r="1" spans="1:9" ht="18.75" x14ac:dyDescent="0.3">
      <c r="A1" s="912" t="s">
        <v>4381</v>
      </c>
      <c r="B1" s="912"/>
      <c r="C1" s="912"/>
      <c r="D1" s="912"/>
      <c r="E1" s="912"/>
      <c r="F1" s="912"/>
      <c r="G1" s="912"/>
      <c r="H1" s="912"/>
      <c r="I1" s="912"/>
    </row>
    <row r="3" spans="1:9" x14ac:dyDescent="0.25">
      <c r="A3" s="405" t="s">
        <v>2748</v>
      </c>
      <c r="B3" s="241" t="s">
        <v>4380</v>
      </c>
    </row>
    <row r="4" spans="1:9" x14ac:dyDescent="0.25">
      <c r="A4" s="405" t="s">
        <v>3183</v>
      </c>
      <c r="B4" s="519">
        <v>2019</v>
      </c>
    </row>
    <row r="5" spans="1:9" x14ac:dyDescent="0.25">
      <c r="A5" s="405" t="s">
        <v>3233</v>
      </c>
      <c r="B5" s="742">
        <f>CostData!I63</f>
        <v>3.3333333333333333E-2</v>
      </c>
      <c r="C5" t="s">
        <v>4222</v>
      </c>
    </row>
    <row r="6" spans="1:9" x14ac:dyDescent="0.25">
      <c r="A6" s="405" t="s">
        <v>4272</v>
      </c>
      <c r="B6" s="807">
        <f>CostData!$O97</f>
        <v>0.8</v>
      </c>
      <c r="C6" t="s">
        <v>4274</v>
      </c>
    </row>
    <row r="7" spans="1:9" x14ac:dyDescent="0.25">
      <c r="A7" s="405" t="s">
        <v>4273</v>
      </c>
      <c r="B7" s="807">
        <f>CostData!$O98</f>
        <v>0.8</v>
      </c>
      <c r="C7" t="s">
        <v>4279</v>
      </c>
    </row>
    <row r="8" spans="1:9" x14ac:dyDescent="0.25">
      <c r="A8" s="405" t="s">
        <v>4284</v>
      </c>
      <c r="B8" s="807">
        <f>CostData!$O99</f>
        <v>0.1</v>
      </c>
      <c r="C8" t="s">
        <v>4285</v>
      </c>
    </row>
    <row r="10" spans="1:9" ht="15.75" x14ac:dyDescent="0.25">
      <c r="A10" s="924" t="s">
        <v>2749</v>
      </c>
      <c r="B10" s="924"/>
      <c r="C10" s="924"/>
      <c r="D10" s="924"/>
      <c r="E10" s="924"/>
      <c r="F10" s="924"/>
      <c r="G10" s="924"/>
      <c r="H10" s="924"/>
    </row>
    <row r="11" spans="1:9" x14ac:dyDescent="0.25">
      <c r="A11" s="2"/>
      <c r="B11" s="2"/>
      <c r="C11" s="2"/>
      <c r="D11" s="2"/>
      <c r="E11" s="2"/>
      <c r="F11" s="2"/>
      <c r="G11" s="2"/>
      <c r="H11" s="2"/>
    </row>
    <row r="12" spans="1:9" x14ac:dyDescent="0.25">
      <c r="A12" s="406" t="s">
        <v>2750</v>
      </c>
      <c r="B12" s="2"/>
      <c r="C12" s="2"/>
      <c r="D12" s="2"/>
      <c r="E12" s="2"/>
      <c r="F12" s="2"/>
      <c r="G12" s="2"/>
      <c r="H12" s="2"/>
    </row>
    <row r="13" spans="1:9" ht="15" customHeight="1" x14ac:dyDescent="0.25">
      <c r="A13" s="407" t="s">
        <v>2751</v>
      </c>
      <c r="B13" s="2"/>
      <c r="C13" s="2"/>
      <c r="D13" s="2"/>
      <c r="E13" s="2"/>
      <c r="F13" s="2"/>
      <c r="G13" s="2"/>
      <c r="H13" s="2"/>
    </row>
    <row r="14" spans="1:9" ht="15" customHeight="1" x14ac:dyDescent="0.25">
      <c r="A14" s="407" t="s">
        <v>2752</v>
      </c>
      <c r="B14" s="2"/>
      <c r="C14" s="2"/>
      <c r="D14" s="2"/>
      <c r="E14" s="2"/>
      <c r="F14" s="2"/>
      <c r="G14" s="2"/>
      <c r="H14" s="2"/>
    </row>
    <row r="15" spans="1:9" ht="15" customHeight="1" x14ac:dyDescent="0.25">
      <c r="A15" s="407" t="s">
        <v>2753</v>
      </c>
      <c r="B15" s="2"/>
      <c r="C15" s="2"/>
      <c r="D15" s="2"/>
      <c r="E15" s="2"/>
      <c r="F15" s="2"/>
      <c r="G15" s="2"/>
      <c r="H15" s="2"/>
    </row>
    <row r="16" spans="1:9" ht="15" customHeight="1" x14ac:dyDescent="0.25">
      <c r="A16" s="407" t="s">
        <v>2754</v>
      </c>
      <c r="B16" s="2"/>
      <c r="C16" s="2"/>
      <c r="D16" s="2"/>
      <c r="E16" s="2"/>
      <c r="F16" s="2"/>
      <c r="G16" s="2"/>
      <c r="H16" s="2"/>
    </row>
    <row r="17" spans="1:11" ht="15" customHeight="1" x14ac:dyDescent="0.25">
      <c r="A17" s="407" t="s">
        <v>2755</v>
      </c>
      <c r="B17" s="2"/>
      <c r="C17" s="2"/>
      <c r="D17" s="2"/>
      <c r="E17" s="2"/>
      <c r="F17" s="2"/>
      <c r="G17" s="2"/>
      <c r="H17" s="2"/>
    </row>
    <row r="18" spans="1:11" ht="15" customHeight="1" x14ac:dyDescent="0.25">
      <c r="A18" s="407"/>
      <c r="B18" s="2"/>
      <c r="C18" s="2"/>
      <c r="D18" s="2"/>
      <c r="E18" s="2"/>
      <c r="F18" s="2"/>
      <c r="G18" s="2"/>
      <c r="H18" s="2"/>
    </row>
    <row r="19" spans="1:11" x14ac:dyDescent="0.25">
      <c r="A19" s="2"/>
      <c r="B19" s="2"/>
      <c r="C19" s="2"/>
      <c r="D19" s="2"/>
      <c r="E19" s="2"/>
      <c r="F19" s="2"/>
      <c r="G19" s="2"/>
      <c r="H19" s="2"/>
    </row>
    <row r="20" spans="1:11" x14ac:dyDescent="0.25">
      <c r="A20" s="241"/>
      <c r="B20" s="917" t="s">
        <v>2756</v>
      </c>
      <c r="C20" s="917"/>
      <c r="D20" s="2" t="s">
        <v>2757</v>
      </c>
      <c r="F20" s="2"/>
      <c r="G20" s="2"/>
      <c r="H20" s="2"/>
    </row>
    <row r="21" spans="1:11" x14ac:dyDescent="0.25">
      <c r="A21" s="9" t="s">
        <v>2760</v>
      </c>
      <c r="B21" s="44" t="s">
        <v>2554</v>
      </c>
      <c r="C21" s="44" t="s">
        <v>2546</v>
      </c>
      <c r="D21" s="44" t="s">
        <v>2761</v>
      </c>
      <c r="F21" s="2"/>
      <c r="G21" s="2"/>
      <c r="H21" s="2"/>
    </row>
    <row r="22" spans="1:11" x14ac:dyDescent="0.25">
      <c r="A22" t="s">
        <v>2764</v>
      </c>
      <c r="B22" s="408">
        <v>0.31772881708698097</v>
      </c>
      <c r="C22" s="408">
        <v>0.68227118291301903</v>
      </c>
      <c r="D22" s="409">
        <f>SUMPRODUCT(B22:C22,B$24:C$24)</f>
        <v>2035.3928754647418</v>
      </c>
      <c r="F22" s="2"/>
      <c r="G22" s="2"/>
      <c r="H22" s="2"/>
    </row>
    <row r="23" spans="1:11" x14ac:dyDescent="0.25">
      <c r="A23" t="s">
        <v>2766</v>
      </c>
      <c r="B23" s="335">
        <v>1</v>
      </c>
      <c r="C23" s="335">
        <v>0</v>
      </c>
      <c r="D23" s="409">
        <f>SUMPRODUCT(B23:C23,B$24:C$24)</f>
        <v>896</v>
      </c>
      <c r="G23" s="1"/>
      <c r="H23" s="11"/>
    </row>
    <row r="24" spans="1:11" x14ac:dyDescent="0.25">
      <c r="A24" t="s">
        <v>2768</v>
      </c>
      <c r="B24" s="410">
        <v>896</v>
      </c>
      <c r="C24" s="410">
        <v>2566</v>
      </c>
      <c r="F24" s="2"/>
      <c r="G24" s="2"/>
      <c r="H24" s="2"/>
    </row>
    <row r="26" spans="1:11" x14ac:dyDescent="0.25">
      <c r="B26" s="922" t="str">
        <f>$B$4&amp;" Baseline Space Heating Emission Factors (lb/mmBTU)"</f>
        <v>2019 Baseline Space Heating Emission Factors (lb/mmBTU)</v>
      </c>
      <c r="C26" s="922"/>
      <c r="D26" s="922"/>
      <c r="E26" s="922"/>
      <c r="F26" s="922"/>
      <c r="G26" s="922"/>
      <c r="H26" s="922"/>
      <c r="J26" s="412"/>
      <c r="K26" s="247"/>
    </row>
    <row r="27" spans="1:11" x14ac:dyDescent="0.25">
      <c r="A27" s="9" t="s">
        <v>2769</v>
      </c>
      <c r="B27" s="44" t="s">
        <v>2143</v>
      </c>
      <c r="C27" s="44" t="s">
        <v>2144</v>
      </c>
      <c r="D27" s="44" t="s">
        <v>2145</v>
      </c>
      <c r="E27" s="44" t="s">
        <v>2146</v>
      </c>
      <c r="F27" s="44" t="s">
        <v>2147</v>
      </c>
      <c r="G27" s="44" t="s">
        <v>2148</v>
      </c>
      <c r="H27" s="44" t="s">
        <v>2149</v>
      </c>
      <c r="J27" s="412"/>
      <c r="K27" s="247"/>
    </row>
    <row r="28" spans="1:11" x14ac:dyDescent="0.25">
      <c r="A28" t="s">
        <v>2770</v>
      </c>
      <c r="B28" s="290">
        <f ca="1">INDIRECT("'DevSumOut-"&amp;$B$4&amp;"PB'!Y76")</f>
        <v>5.3201428459336026E-3</v>
      </c>
      <c r="C28" s="290">
        <f ca="1">INDIRECT("'DevSumOut-"&amp;$B$4&amp;"PB'!Z76")</f>
        <v>8.3693292692388663E-2</v>
      </c>
      <c r="D28" s="290">
        <f ca="1">INDIRECT("'DevSumOut-"&amp;$B$4&amp;"PB'!AA76")</f>
        <v>0.21566037587652909</v>
      </c>
      <c r="E28" s="290">
        <f ca="1">INDIRECT("'DevSumOut-"&amp;$B$4&amp;"PB'!AB76")</f>
        <v>3.404171185950607E-3</v>
      </c>
      <c r="F28" s="290">
        <f ca="1">INDIRECT("'DevSumOut-"&amp;$B$4&amp;"PB'!AC76")</f>
        <v>3.404171185950607E-3</v>
      </c>
      <c r="G28" s="290">
        <f ca="1">INDIRECT("'DevSumOut-"&amp;$B$4&amp;"PB'!AD76")</f>
        <v>1.8278335230744155E-4</v>
      </c>
      <c r="H28" s="290">
        <f ca="1">INDIRECT("'DevSumOut-"&amp;$B$4&amp;"PB'!AE76")</f>
        <v>3.3416589882860927E-3</v>
      </c>
      <c r="J28" s="412"/>
      <c r="K28" s="247"/>
    </row>
    <row r="29" spans="1:11" x14ac:dyDescent="0.25">
      <c r="A29" t="s">
        <v>2771</v>
      </c>
      <c r="B29" s="290">
        <f ca="1">INDIRECT("'DevSumOut-"&amp;$B$4&amp;"PB'!Y78")</f>
        <v>5.1480144404332118E-3</v>
      </c>
      <c r="C29" s="290">
        <f ca="1">INDIRECT("'DevSumOut-"&amp;$B$4&amp;"PB'!Z78")</f>
        <v>0.12996389891696752</v>
      </c>
      <c r="D29" s="290">
        <f ca="1">INDIRECT("'DevSumOut-"&amp;$B$4&amp;"PB'!AA78")</f>
        <v>9.1864259927797801E-2</v>
      </c>
      <c r="E29" s="290">
        <f ca="1">INDIRECT("'DevSumOut-"&amp;$B$4&amp;"PB'!AB78")</f>
        <v>3.2967299611507727E-3</v>
      </c>
      <c r="F29" s="290">
        <f ca="1">INDIRECT("'DevSumOut-"&amp;$B$4&amp;"PB'!AC78")</f>
        <v>3.2967299611507727E-3</v>
      </c>
      <c r="G29" s="290">
        <f ca="1">INDIRECT("'DevSumOut-"&amp;$B$4&amp;"PB'!AD78")</f>
        <v>1.7686956241573897E-4</v>
      </c>
      <c r="H29" s="290">
        <f ca="1">INDIRECT("'DevSumOut-"&amp;$B$4&amp;"PB'!AE78")</f>
        <v>3.2335426368953818E-3</v>
      </c>
    </row>
    <row r="30" spans="1:11" x14ac:dyDescent="0.25">
      <c r="A30" t="s">
        <v>2772</v>
      </c>
      <c r="B30" s="290">
        <f ca="1">INDIRECT("'DevSumOut-"&amp;$B$4&amp;"PB'!Y79")</f>
        <v>2.5539276619417253</v>
      </c>
      <c r="C30" s="290">
        <f ca="1">INDIRECT("'DevSumOut-"&amp;$B$4&amp;"PB'!Z79")</f>
        <v>0.11968919875245596</v>
      </c>
      <c r="D30" s="290">
        <f ca="1">INDIRECT("'DevSumOut-"&amp;$B$4&amp;"PB'!AA79")</f>
        <v>2.4514402691133284E-2</v>
      </c>
      <c r="E30" s="290">
        <f ca="1">INDIRECT("'DevSumOut-"&amp;$B$4&amp;"PB'!AB79")</f>
        <v>0.69366943612609944</v>
      </c>
      <c r="F30" s="290">
        <f ca="1">INDIRECT("'DevSumOut-"&amp;$B$4&amp;"PB'!AC79")</f>
        <v>0.69366943612609944</v>
      </c>
      <c r="G30" s="290">
        <f ca="1">INDIRECT("'DevSumOut-"&amp;$B$4&amp;"PB'!AD79")</f>
        <v>2.6123869323514026E-2</v>
      </c>
      <c r="H30" s="290">
        <f ca="1">INDIRECT("'DevSumOut-"&amp;$B$4&amp;"PB'!AE79")</f>
        <v>7.3677330063651363</v>
      </c>
    </row>
    <row r="31" spans="1:11" x14ac:dyDescent="0.25">
      <c r="A31" s="413"/>
    </row>
    <row r="32" spans="1:11" ht="15.75" x14ac:dyDescent="0.25">
      <c r="A32" s="924" t="s">
        <v>3234</v>
      </c>
      <c r="B32" s="924"/>
      <c r="C32" s="924"/>
      <c r="D32" s="924"/>
      <c r="E32" s="924"/>
      <c r="F32" s="924"/>
      <c r="G32" s="924"/>
      <c r="H32" s="924"/>
    </row>
    <row r="33" spans="1:8" x14ac:dyDescent="0.25">
      <c r="A33" s="413"/>
    </row>
    <row r="34" spans="1:8" x14ac:dyDescent="0.25">
      <c r="A34" s="406" t="s">
        <v>2750</v>
      </c>
    </row>
    <row r="35" spans="1:8" ht="15" customHeight="1" x14ac:dyDescent="0.25">
      <c r="A35" s="407" t="s">
        <v>4281</v>
      </c>
    </row>
    <row r="36" spans="1:8" ht="15" customHeight="1" x14ac:dyDescent="0.25">
      <c r="A36" s="407" t="s">
        <v>4282</v>
      </c>
    </row>
    <row r="37" spans="1:8" ht="15" customHeight="1" x14ac:dyDescent="0.25">
      <c r="A37" s="407" t="s">
        <v>4283</v>
      </c>
    </row>
    <row r="38" spans="1:8" x14ac:dyDescent="0.25">
      <c r="A38" s="407" t="s">
        <v>3239</v>
      </c>
    </row>
    <row r="39" spans="1:8" x14ac:dyDescent="0.25">
      <c r="A39" s="407"/>
    </row>
    <row r="40" spans="1:8" x14ac:dyDescent="0.25">
      <c r="A40" s="407"/>
      <c r="G40" s="647" t="s">
        <v>4328</v>
      </c>
      <c r="H40" s="805">
        <f>$B$8</f>
        <v>0.1</v>
      </c>
    </row>
    <row r="41" spans="1:8" x14ac:dyDescent="0.25">
      <c r="A41" s="407"/>
    </row>
    <row r="42" spans="1:8" ht="15.75" thickBot="1" x14ac:dyDescent="0.3">
      <c r="A42" s="413"/>
    </row>
    <row r="43" spans="1:8" ht="16.5" thickBot="1" x14ac:dyDescent="0.3">
      <c r="A43" s="919" t="s">
        <v>2776</v>
      </c>
      <c r="B43" s="920"/>
      <c r="C43" s="921"/>
    </row>
    <row r="45" spans="1:8" x14ac:dyDescent="0.25">
      <c r="A45" s="406" t="s">
        <v>2750</v>
      </c>
    </row>
    <row r="46" spans="1:8" x14ac:dyDescent="0.25">
      <c r="A46" s="407" t="s">
        <v>2777</v>
      </c>
    </row>
    <row r="47" spans="1:8" x14ac:dyDescent="0.25">
      <c r="A47" s="407" t="s">
        <v>2778</v>
      </c>
    </row>
    <row r="48" spans="1:8" x14ac:dyDescent="0.25">
      <c r="A48" s="407" t="s">
        <v>2779</v>
      </c>
    </row>
    <row r="49" spans="1:8" x14ac:dyDescent="0.25">
      <c r="A49" s="407" t="s">
        <v>2780</v>
      </c>
    </row>
    <row r="51" spans="1:8" x14ac:dyDescent="0.25">
      <c r="B51" s="917" t="str">
        <f>$B$4&amp;" Nonattainment Area Heating Energy by"</f>
        <v>2019 Nonattainment Area Heating Energy by</v>
      </c>
      <c r="C51" s="917"/>
      <c r="D51" s="917"/>
      <c r="E51" s="917"/>
      <c r="F51" s="917"/>
    </row>
    <row r="52" spans="1:8" x14ac:dyDescent="0.25">
      <c r="B52" s="917" t="s">
        <v>2781</v>
      </c>
      <c r="C52" s="917"/>
      <c r="D52" s="917"/>
      <c r="E52" s="917"/>
      <c r="F52" s="917"/>
    </row>
    <row r="53" spans="1:8" x14ac:dyDescent="0.25">
      <c r="A53" s="9" t="s">
        <v>2769</v>
      </c>
      <c r="B53" s="9"/>
      <c r="C53" s="44" t="s">
        <v>3186</v>
      </c>
      <c r="D53" s="44"/>
      <c r="E53" s="44" t="s">
        <v>2783</v>
      </c>
    </row>
    <row r="54" spans="1:8" x14ac:dyDescent="0.25">
      <c r="A54" t="s">
        <v>2786</v>
      </c>
      <c r="C54" s="114">
        <f ca="1">INDIRECT("'DevSumOut-"&amp;$B$4&amp;"PB'!U76")</f>
        <v>30171.778094171383</v>
      </c>
      <c r="E54" s="114">
        <f ca="1">C54*Ep2Ann</f>
        <v>14560.538182510903</v>
      </c>
      <c r="F54" s="114"/>
    </row>
    <row r="55" spans="1:8" x14ac:dyDescent="0.25">
      <c r="A55" t="s">
        <v>2787</v>
      </c>
      <c r="C55" s="114">
        <f ca="1">INDIRECT("'DevSumOut-"&amp;$B$4&amp;"PB'!U78")</f>
        <v>9271.8845460458488</v>
      </c>
      <c r="E55" s="798">
        <f ca="1">C55*Ep2Ann</f>
        <v>4474.5002609777748</v>
      </c>
      <c r="F55" s="114"/>
    </row>
    <row r="56" spans="1:8" x14ac:dyDescent="0.25">
      <c r="A56" s="9" t="s">
        <v>2788</v>
      </c>
      <c r="B56" s="9"/>
      <c r="C56" s="245">
        <f ca="1">INDIRECT("'DevSumOut-"&amp;$B$4&amp;"PB'!U79")</f>
        <v>6693.1314228901792</v>
      </c>
      <c r="D56" s="245"/>
      <c r="E56" s="245">
        <f ca="1">C56*Ep2Ann</f>
        <v>3230.0249371906443</v>
      </c>
    </row>
    <row r="57" spans="1:8" x14ac:dyDescent="0.25">
      <c r="A57" s="241" t="s">
        <v>2515</v>
      </c>
      <c r="C57" s="244">
        <f ca="1">SUM(C54:C56)</f>
        <v>46136.794063107416</v>
      </c>
      <c r="E57" s="244">
        <f ca="1">SUM(E54:E56)</f>
        <v>22265.063380679323</v>
      </c>
      <c r="F57" s="244"/>
    </row>
    <row r="59" spans="1:8" x14ac:dyDescent="0.25">
      <c r="B59" s="922" t="s">
        <v>2789</v>
      </c>
      <c r="C59" s="922"/>
      <c r="D59" s="922"/>
      <c r="E59" s="922"/>
      <c r="F59" s="922"/>
      <c r="G59" s="922"/>
      <c r="H59" s="922"/>
    </row>
    <row r="60" spans="1:8" x14ac:dyDescent="0.25">
      <c r="A60" s="9" t="s">
        <v>2769</v>
      </c>
      <c r="B60" s="44" t="s">
        <v>2143</v>
      </c>
      <c r="C60" s="44" t="s">
        <v>2144</v>
      </c>
      <c r="D60" s="44" t="s">
        <v>2145</v>
      </c>
      <c r="E60" s="44" t="s">
        <v>2146</v>
      </c>
      <c r="F60" s="44" t="s">
        <v>2147</v>
      </c>
      <c r="G60" s="44" t="s">
        <v>2148</v>
      </c>
      <c r="H60" s="44" t="s">
        <v>2149</v>
      </c>
    </row>
    <row r="61" spans="1:8" x14ac:dyDescent="0.25">
      <c r="A61" t="s">
        <v>2790</v>
      </c>
      <c r="B61" s="290">
        <f t="shared" ref="B61:H62" ca="1" si="0">B28</f>
        <v>5.3201428459336026E-3</v>
      </c>
      <c r="C61" s="290">
        <f t="shared" ca="1" si="0"/>
        <v>8.3693292692388663E-2</v>
      </c>
      <c r="D61" s="290">
        <f t="shared" ca="1" si="0"/>
        <v>0.21566037587652909</v>
      </c>
      <c r="E61" s="290">
        <f t="shared" ca="1" si="0"/>
        <v>3.404171185950607E-3</v>
      </c>
      <c r="F61" s="290">
        <f t="shared" ca="1" si="0"/>
        <v>3.404171185950607E-3</v>
      </c>
      <c r="G61" s="290">
        <f t="shared" ca="1" si="0"/>
        <v>1.8278335230744155E-4</v>
      </c>
      <c r="H61" s="290">
        <f t="shared" ca="1" si="0"/>
        <v>3.3416589882860927E-3</v>
      </c>
    </row>
    <row r="62" spans="1:8" x14ac:dyDescent="0.25">
      <c r="A62" s="9" t="s">
        <v>2791</v>
      </c>
      <c r="B62" s="292">
        <f t="shared" ca="1" si="0"/>
        <v>5.1480144404332118E-3</v>
      </c>
      <c r="C62" s="292">
        <f t="shared" ca="1" si="0"/>
        <v>0.12996389891696752</v>
      </c>
      <c r="D62" s="292">
        <f t="shared" ca="1" si="0"/>
        <v>9.1864259927797801E-2</v>
      </c>
      <c r="E62" s="292">
        <f t="shared" ca="1" si="0"/>
        <v>3.2967299611507727E-3</v>
      </c>
      <c r="F62" s="292">
        <f t="shared" ca="1" si="0"/>
        <v>3.2967299611507727E-3</v>
      </c>
      <c r="G62" s="292">
        <f t="shared" ca="1" si="0"/>
        <v>1.7686956241573897E-4</v>
      </c>
      <c r="H62" s="292">
        <f t="shared" ca="1" si="0"/>
        <v>3.2335426368953818E-3</v>
      </c>
    </row>
    <row r="63" spans="1:8" x14ac:dyDescent="0.25">
      <c r="B63" s="11"/>
      <c r="C63" s="11"/>
      <c r="D63" s="11"/>
      <c r="E63" s="11"/>
      <c r="F63" s="11"/>
      <c r="G63" s="11"/>
      <c r="H63" s="11"/>
    </row>
    <row r="64" spans="1:8" x14ac:dyDescent="0.25">
      <c r="B64" s="917" t="str">
        <f>$B$4&amp;" Baseline Emissions by Affected Fuel Type (tons/episodic day)"</f>
        <v>2019 Baseline Emissions by Affected Fuel Type (tons/episodic day)</v>
      </c>
      <c r="C64" s="917"/>
      <c r="D64" s="917"/>
      <c r="E64" s="917"/>
      <c r="F64" s="917"/>
      <c r="G64" s="917"/>
      <c r="H64" s="917"/>
    </row>
    <row r="65" spans="1:11" x14ac:dyDescent="0.25">
      <c r="A65" s="9" t="s">
        <v>1889</v>
      </c>
      <c r="B65" s="44" t="s">
        <v>2143</v>
      </c>
      <c r="C65" s="44" t="s">
        <v>2144</v>
      </c>
      <c r="D65" s="612" t="s">
        <v>2145</v>
      </c>
      <c r="E65" s="44" t="s">
        <v>2146</v>
      </c>
      <c r="F65" s="609" t="s">
        <v>2147</v>
      </c>
      <c r="G65" s="44" t="s">
        <v>2148</v>
      </c>
      <c r="H65" s="44" t="s">
        <v>2149</v>
      </c>
    </row>
    <row r="66" spans="1:11" x14ac:dyDescent="0.25">
      <c r="A66" t="s">
        <v>2790</v>
      </c>
      <c r="B66" s="649">
        <f t="shared" ref="B66:H67" ca="1" si="1">B61*$C54/2000</f>
        <v>8.0259084688401025E-2</v>
      </c>
      <c r="C66" s="649">
        <f t="shared" ca="1" si="1"/>
        <v>1.2625877275426431</v>
      </c>
      <c r="D66" s="650">
        <f t="shared" ca="1" si="1"/>
        <v>3.2534285023261131</v>
      </c>
      <c r="E66" s="649">
        <f t="shared" ca="1" si="1"/>
        <v>5.1354948808536964E-2</v>
      </c>
      <c r="F66" s="651">
        <f t="shared" ca="1" si="1"/>
        <v>5.1354948808536964E-2</v>
      </c>
      <c r="G66" s="649">
        <f t="shared" ca="1" si="1"/>
        <v>2.757449372564438E-3</v>
      </c>
      <c r="H66" s="649">
        <f t="shared" ca="1" si="1"/>
        <v>5.0411896730480618E-2</v>
      </c>
    </row>
    <row r="67" spans="1:11" x14ac:dyDescent="0.25">
      <c r="A67" s="648" t="s">
        <v>2791</v>
      </c>
      <c r="B67" s="652">
        <f t="shared" ca="1" si="1"/>
        <v>2.3865897766536782E-2</v>
      </c>
      <c r="C67" s="652">
        <f t="shared" ca="1" si="1"/>
        <v>0.60250513295604802</v>
      </c>
      <c r="D67" s="652">
        <f t="shared" ca="1" si="1"/>
        <v>0.42587740597924367</v>
      </c>
      <c r="E67" s="652">
        <f t="shared" ca="1" si="1"/>
        <v>1.5283449789640089E-2</v>
      </c>
      <c r="F67" s="652">
        <f t="shared" ca="1" si="1"/>
        <v>1.5283449789640089E-2</v>
      </c>
      <c r="G67" s="652">
        <f t="shared" ca="1" si="1"/>
        <v>8.1995708121419093E-4</v>
      </c>
      <c r="H67" s="652">
        <f t="shared" ca="1" si="1"/>
        <v>1.4990517002005318E-2</v>
      </c>
    </row>
    <row r="68" spans="1:11" x14ac:dyDescent="0.25">
      <c r="A68" s="241" t="s">
        <v>2515</v>
      </c>
      <c r="B68" s="653">
        <f t="shared" ref="B68:H68" ca="1" si="2">SUM(B66:B67)</f>
        <v>0.10412498245493781</v>
      </c>
      <c r="C68" s="653">
        <f t="shared" ca="1" si="2"/>
        <v>1.8650928604986912</v>
      </c>
      <c r="D68" s="654">
        <f t="shared" ca="1" si="2"/>
        <v>3.679305908305357</v>
      </c>
      <c r="E68" s="653">
        <f t="shared" ca="1" si="2"/>
        <v>6.6638398598177051E-2</v>
      </c>
      <c r="F68" s="655">
        <f t="shared" ca="1" si="2"/>
        <v>6.6638398598177051E-2</v>
      </c>
      <c r="G68" s="653">
        <f t="shared" ca="1" si="2"/>
        <v>3.5774064537786288E-3</v>
      </c>
      <c r="H68" s="653">
        <f t="shared" ca="1" si="2"/>
        <v>6.5402413732485939E-2</v>
      </c>
    </row>
    <row r="69" spans="1:11" x14ac:dyDescent="0.25">
      <c r="A69" s="241"/>
      <c r="B69" s="418"/>
      <c r="C69" s="418"/>
      <c r="D69" s="418"/>
      <c r="E69" s="418"/>
      <c r="F69" s="418"/>
      <c r="G69" s="418"/>
      <c r="H69" s="418"/>
    </row>
    <row r="70" spans="1:11" ht="15.75" thickBot="1" x14ac:dyDescent="0.3"/>
    <row r="71" spans="1:11" ht="16.5" thickBot="1" x14ac:dyDescent="0.3">
      <c r="A71" s="919" t="s">
        <v>2792</v>
      </c>
      <c r="B71" s="920"/>
      <c r="C71" s="921"/>
      <c r="H71" s="411"/>
    </row>
    <row r="72" spans="1:11" x14ac:dyDescent="0.25">
      <c r="K72" s="413"/>
    </row>
    <row r="73" spans="1:11" x14ac:dyDescent="0.25">
      <c r="A73" s="406" t="s">
        <v>2750</v>
      </c>
      <c r="K73" s="413"/>
    </row>
    <row r="74" spans="1:11" x14ac:dyDescent="0.25">
      <c r="A74" s="407" t="s">
        <v>4287</v>
      </c>
      <c r="K74" s="413"/>
    </row>
    <row r="75" spans="1:11" x14ac:dyDescent="0.25">
      <c r="A75" s="407"/>
      <c r="K75" s="413"/>
    </row>
    <row r="76" spans="1:11" x14ac:dyDescent="0.25">
      <c r="A76" s="841" t="s">
        <v>4289</v>
      </c>
      <c r="B76" s="692">
        <f>($B$6*((1-$B$7)*(1-$B$8)+$B$7)+(1-$B$6))+(1-($B$6*((1-$B$7)*(1-$B$8)+$B$7)+(1-$B$6)))*(1-$B$5)</f>
        <v>0.99946666666666661</v>
      </c>
      <c r="C76" t="s">
        <v>4290</v>
      </c>
      <c r="K76" s="413"/>
    </row>
    <row r="77" spans="1:11" x14ac:dyDescent="0.25">
      <c r="B77" s="692">
        <f>$B$6*((1-$B$7)*(1-$B$8)+$B$7)+(1-$B$6)</f>
        <v>0.98399999999999999</v>
      </c>
      <c r="C77" t="s">
        <v>4291</v>
      </c>
      <c r="K77" s="413"/>
    </row>
    <row r="78" spans="1:11" x14ac:dyDescent="0.25">
      <c r="B78" s="692"/>
      <c r="K78" s="413"/>
    </row>
    <row r="79" spans="1:11" x14ac:dyDescent="0.25">
      <c r="B79" s="917" t="str">
        <f>"Adjusted "&amp;$B$4&amp;" Nonattainment Area Heating Energy by"</f>
        <v>Adjusted 2019 Nonattainment Area Heating Energy by</v>
      </c>
      <c r="C79" s="917"/>
      <c r="D79" s="917"/>
      <c r="E79" s="917"/>
      <c r="F79" s="917"/>
      <c r="K79" s="413"/>
    </row>
    <row r="80" spans="1:11" x14ac:dyDescent="0.25">
      <c r="B80" s="917" t="s">
        <v>2781</v>
      </c>
      <c r="C80" s="917"/>
      <c r="D80" s="917"/>
      <c r="E80" s="917"/>
      <c r="F80" s="917"/>
      <c r="K80" s="413"/>
    </row>
    <row r="81" spans="1:11" x14ac:dyDescent="0.25">
      <c r="A81" s="9" t="s">
        <v>2769</v>
      </c>
      <c r="B81" s="9"/>
      <c r="C81" s="44" t="s">
        <v>3186</v>
      </c>
      <c r="D81" s="44"/>
      <c r="E81" s="44" t="s">
        <v>2783</v>
      </c>
      <c r="K81" s="413"/>
    </row>
    <row r="82" spans="1:11" x14ac:dyDescent="0.25">
      <c r="A82" t="s">
        <v>2786</v>
      </c>
      <c r="C82" s="842">
        <f ca="1">C54*B76</f>
        <v>30155.686479187822</v>
      </c>
      <c r="D82" s="843"/>
      <c r="E82" s="842">
        <f ca="1">C82*Ep2Ann</f>
        <v>14552.772562146896</v>
      </c>
      <c r="F82" s="114" t="s">
        <v>4288</v>
      </c>
      <c r="K82" s="413"/>
    </row>
    <row r="83" spans="1:11" x14ac:dyDescent="0.25">
      <c r="A83" t="s">
        <v>2787</v>
      </c>
      <c r="C83" s="114">
        <f ca="1">INDIRECT("'DevSumOut-"&amp;$B$4&amp;"PB'!U78")</f>
        <v>9271.8845460458488</v>
      </c>
      <c r="E83" s="798">
        <f ca="1">C83*Ep2Ann</f>
        <v>4474.5002609777748</v>
      </c>
      <c r="F83" s="114"/>
      <c r="K83" s="413"/>
    </row>
    <row r="84" spans="1:11" x14ac:dyDescent="0.25">
      <c r="A84" s="9" t="s">
        <v>2788</v>
      </c>
      <c r="B84" s="9"/>
      <c r="C84" s="245">
        <f ca="1">INDIRECT("'DevSumOut-"&amp;$B$4&amp;"PB'!U79")</f>
        <v>6693.1314228901792</v>
      </c>
      <c r="D84" s="245"/>
      <c r="E84" s="245">
        <f ca="1">C84*Ep2Ann</f>
        <v>3230.0249371906443</v>
      </c>
      <c r="K84" s="413"/>
    </row>
    <row r="85" spans="1:11" x14ac:dyDescent="0.25">
      <c r="A85" s="241" t="s">
        <v>2515</v>
      </c>
      <c r="C85" s="244">
        <f ca="1">SUM(C82:C84)</f>
        <v>46120.702448123848</v>
      </c>
      <c r="E85" s="244">
        <f ca="1">SUM(E82:E84)</f>
        <v>22257.297760315316</v>
      </c>
      <c r="F85" s="244"/>
      <c r="K85" s="413"/>
    </row>
    <row r="86" spans="1:11" x14ac:dyDescent="0.25">
      <c r="K86" s="413"/>
    </row>
    <row r="87" spans="1:11" x14ac:dyDescent="0.25">
      <c r="B87" s="917" t="str">
        <f>$B$4&amp;" After Oil Device Repair (tons/episodic day)"</f>
        <v>2019 After Oil Device Repair (tons/episodic day)</v>
      </c>
      <c r="C87" s="917"/>
      <c r="D87" s="917"/>
      <c r="E87" s="917"/>
      <c r="F87" s="917"/>
      <c r="G87" s="917"/>
      <c r="H87" s="917"/>
      <c r="K87" s="413"/>
    </row>
    <row r="88" spans="1:11" x14ac:dyDescent="0.25">
      <c r="A88" s="9" t="s">
        <v>1889</v>
      </c>
      <c r="B88" s="44" t="s">
        <v>2143</v>
      </c>
      <c r="C88" s="44" t="s">
        <v>2144</v>
      </c>
      <c r="D88" s="612" t="s">
        <v>2145</v>
      </c>
      <c r="E88" s="44" t="s">
        <v>2146</v>
      </c>
      <c r="F88" s="609" t="s">
        <v>2147</v>
      </c>
      <c r="G88" s="44" t="s">
        <v>2148</v>
      </c>
      <c r="H88" s="44" t="s">
        <v>2149</v>
      </c>
      <c r="K88" s="413"/>
    </row>
    <row r="89" spans="1:11" x14ac:dyDescent="0.25">
      <c r="A89" t="str">
        <f>"Residential Oil, "&amp;TEXT($B$5,"0%")&amp;" Annual Penetration"</f>
        <v>Residential Oil, 3% Annual Penetration</v>
      </c>
      <c r="B89" s="649">
        <f ca="1">B66*$C$85/$C$57</f>
        <v>8.0231091883179825E-2</v>
      </c>
      <c r="C89" s="649">
        <f t="shared" ref="C89:H89" ca="1" si="3">C66*$C$85/$C$57</f>
        <v>1.2621473615396044</v>
      </c>
      <c r="D89" s="650">
        <f t="shared" ca="1" si="3"/>
        <v>3.2522937698441727</v>
      </c>
      <c r="E89" s="649">
        <f t="shared" ca="1" si="3"/>
        <v>5.1337037202832468E-2</v>
      </c>
      <c r="F89" s="651">
        <f t="shared" ca="1" si="3"/>
        <v>5.1337037202832468E-2</v>
      </c>
      <c r="G89" s="649">
        <f t="shared" ca="1" si="3"/>
        <v>2.7564876279408453E-3</v>
      </c>
      <c r="H89" s="649">
        <f t="shared" ca="1" si="3"/>
        <v>5.0394314042969457E-2</v>
      </c>
      <c r="K89" s="413"/>
    </row>
    <row r="90" spans="1:11" x14ac:dyDescent="0.25">
      <c r="A90" s="648" t="s">
        <v>2791</v>
      </c>
      <c r="B90" s="652">
        <f ca="1">B67</f>
        <v>2.3865897766536782E-2</v>
      </c>
      <c r="C90" s="652">
        <f t="shared" ref="C90:H90" ca="1" si="4">C67</f>
        <v>0.60250513295604802</v>
      </c>
      <c r="D90" s="652">
        <f t="shared" ca="1" si="4"/>
        <v>0.42587740597924367</v>
      </c>
      <c r="E90" s="652">
        <f t="shared" ca="1" si="4"/>
        <v>1.5283449789640089E-2</v>
      </c>
      <c r="F90" s="652">
        <f t="shared" ca="1" si="4"/>
        <v>1.5283449789640089E-2</v>
      </c>
      <c r="G90" s="652">
        <f t="shared" ca="1" si="4"/>
        <v>8.1995708121419093E-4</v>
      </c>
      <c r="H90" s="652">
        <f t="shared" ca="1" si="4"/>
        <v>1.4990517002005318E-2</v>
      </c>
      <c r="K90" s="413"/>
    </row>
    <row r="91" spans="1:11" x14ac:dyDescent="0.25">
      <c r="A91" s="241" t="s">
        <v>2515</v>
      </c>
      <c r="B91" s="653">
        <f t="shared" ref="B91:H91" ca="1" si="5">SUM(B89:B90)</f>
        <v>0.10409698964971661</v>
      </c>
      <c r="C91" s="653">
        <f t="shared" ca="1" si="5"/>
        <v>1.8646524944956524</v>
      </c>
      <c r="D91" s="654">
        <f t="shared" ca="1" si="5"/>
        <v>3.6781711758234166</v>
      </c>
      <c r="E91" s="653">
        <f t="shared" ca="1" si="5"/>
        <v>6.6620486992472555E-2</v>
      </c>
      <c r="F91" s="655">
        <f t="shared" ca="1" si="5"/>
        <v>6.6620486992472555E-2</v>
      </c>
      <c r="G91" s="653">
        <f t="shared" ca="1" si="5"/>
        <v>3.5764447091550361E-3</v>
      </c>
      <c r="H91" s="653">
        <f t="shared" ca="1" si="5"/>
        <v>6.5384831044974778E-2</v>
      </c>
      <c r="K91" s="413"/>
    </row>
    <row r="92" spans="1:11" x14ac:dyDescent="0.25">
      <c r="B92" s="1"/>
      <c r="D92" s="136"/>
      <c r="E92" s="420"/>
      <c r="F92" s="419"/>
      <c r="K92" s="413"/>
    </row>
    <row r="93" spans="1:11" ht="15.75" thickBot="1" x14ac:dyDescent="0.3">
      <c r="K93" s="413"/>
    </row>
    <row r="94" spans="1:11" ht="16.5" thickBot="1" x14ac:dyDescent="0.3">
      <c r="A94" s="421" t="s">
        <v>3187</v>
      </c>
      <c r="B94" s="422"/>
      <c r="C94" s="423"/>
      <c r="K94" s="413"/>
    </row>
    <row r="95" spans="1:11" ht="15.75" x14ac:dyDescent="0.25">
      <c r="A95" s="424"/>
    </row>
    <row r="96" spans="1:11" ht="15.75" x14ac:dyDescent="0.25">
      <c r="A96" s="424"/>
      <c r="B96" s="917" t="s">
        <v>4182</v>
      </c>
      <c r="C96" s="917"/>
      <c r="D96" s="917"/>
      <c r="E96" s="917"/>
      <c r="F96" s="917"/>
      <c r="G96" s="917"/>
      <c r="H96" s="917"/>
      <c r="I96" s="2" t="s">
        <v>3188</v>
      </c>
    </row>
    <row r="97" spans="1:13" x14ac:dyDescent="0.25">
      <c r="A97" s="44" t="s">
        <v>3182</v>
      </c>
      <c r="B97" s="44" t="s">
        <v>2143</v>
      </c>
      <c r="C97" s="44" t="s">
        <v>2144</v>
      </c>
      <c r="D97" s="517" t="s">
        <v>2145</v>
      </c>
      <c r="E97" s="44" t="s">
        <v>2146</v>
      </c>
      <c r="F97" s="610" t="s">
        <v>2147</v>
      </c>
      <c r="G97" s="44" t="s">
        <v>2148</v>
      </c>
      <c r="H97" s="44" t="s">
        <v>2149</v>
      </c>
      <c r="I97" s="44" t="s">
        <v>21</v>
      </c>
    </row>
    <row r="98" spans="1:13" x14ac:dyDescent="0.25">
      <c r="A98" s="2">
        <f>$B$4+I98-1</f>
        <v>2019</v>
      </c>
      <c r="B98" s="656">
        <f t="shared" ref="B98:H104" ca="1" si="6">(B$68-B$91)*$I98*Ep2Ann*365</f>
        <v>4.9307820843421529E-3</v>
      </c>
      <c r="C98" s="656">
        <f t="shared" ca="1" si="6"/>
        <v>7.756810298856591E-2</v>
      </c>
      <c r="D98" s="654">
        <f t="shared" ca="1" si="6"/>
        <v>0.19987702369448521</v>
      </c>
      <c r="E98" s="656">
        <f t="shared" ca="1" si="6"/>
        <v>3.1550330097907891E-3</v>
      </c>
      <c r="F98" s="655">
        <f t="shared" ca="1" si="6"/>
        <v>3.1550330097907891E-3</v>
      </c>
      <c r="G98" s="656">
        <f t="shared" ca="1" si="6"/>
        <v>1.6940614283743633E-4</v>
      </c>
      <c r="H98" s="656">
        <f t="shared" ca="1" si="6"/>
        <v>3.0970958390751997E-3</v>
      </c>
      <c r="I98" s="2">
        <v>1</v>
      </c>
      <c r="M98" s="413" t="s">
        <v>3243</v>
      </c>
    </row>
    <row r="99" spans="1:13" x14ac:dyDescent="0.25">
      <c r="A99" s="2">
        <f t="shared" ref="A99:A104" si="7">$B$4+I99-1</f>
        <v>2020</v>
      </c>
      <c r="B99" s="656">
        <f t="shared" ca="1" si="6"/>
        <v>9.8615641686843059E-3</v>
      </c>
      <c r="C99" s="656">
        <f t="shared" ca="1" si="6"/>
        <v>0.15513620597713182</v>
      </c>
      <c r="D99" s="654">
        <f t="shared" ca="1" si="6"/>
        <v>0.39975404738897041</v>
      </c>
      <c r="E99" s="656">
        <f t="shared" ca="1" si="6"/>
        <v>6.3100660195815781E-3</v>
      </c>
      <c r="F99" s="655">
        <f t="shared" ca="1" si="6"/>
        <v>6.3100660195815781E-3</v>
      </c>
      <c r="G99" s="656">
        <f t="shared" ca="1" si="6"/>
        <v>3.3881228567487267E-4</v>
      </c>
      <c r="H99" s="656">
        <f t="shared" ca="1" si="6"/>
        <v>6.1941916781503995E-3</v>
      </c>
      <c r="I99" s="2">
        <v>2</v>
      </c>
    </row>
    <row r="100" spans="1:13" x14ac:dyDescent="0.25">
      <c r="A100" s="2">
        <f t="shared" si="7"/>
        <v>2021</v>
      </c>
      <c r="B100" s="656">
        <f t="shared" ca="1" si="6"/>
        <v>1.4792346253026461E-2</v>
      </c>
      <c r="C100" s="656">
        <f t="shared" ca="1" si="6"/>
        <v>0.23270430896569771</v>
      </c>
      <c r="D100" s="654">
        <f t="shared" ca="1" si="6"/>
        <v>0.59963107108345559</v>
      </c>
      <c r="E100" s="656">
        <f t="shared" ca="1" si="6"/>
        <v>9.4650990293723668E-3</v>
      </c>
      <c r="F100" s="655">
        <f t="shared" ca="1" si="6"/>
        <v>9.4650990293723668E-3</v>
      </c>
      <c r="G100" s="656">
        <f t="shared" ca="1" si="6"/>
        <v>5.0821842851230903E-4</v>
      </c>
      <c r="H100" s="656">
        <f t="shared" ca="1" si="6"/>
        <v>9.2912875172255997E-3</v>
      </c>
      <c r="I100" s="2">
        <v>3</v>
      </c>
    </row>
    <row r="101" spans="1:13" x14ac:dyDescent="0.25">
      <c r="A101" s="2">
        <f t="shared" si="7"/>
        <v>2022</v>
      </c>
      <c r="B101" s="656">
        <f t="shared" ca="1" si="6"/>
        <v>1.9723128337368612E-2</v>
      </c>
      <c r="C101" s="656">
        <f t="shared" ca="1" si="6"/>
        <v>0.31027241195426364</v>
      </c>
      <c r="D101" s="654">
        <f t="shared" ca="1" si="6"/>
        <v>0.79950809477794083</v>
      </c>
      <c r="E101" s="656">
        <f t="shared" ca="1" si="6"/>
        <v>1.2620132039163156E-2</v>
      </c>
      <c r="F101" s="655">
        <f t="shared" ca="1" si="6"/>
        <v>1.2620132039163156E-2</v>
      </c>
      <c r="G101" s="656">
        <f t="shared" ca="1" si="6"/>
        <v>6.7762457134974534E-4</v>
      </c>
      <c r="H101" s="656">
        <f t="shared" ca="1" si="6"/>
        <v>1.2388383356300799E-2</v>
      </c>
      <c r="I101" s="2">
        <v>4</v>
      </c>
    </row>
    <row r="102" spans="1:13" x14ac:dyDescent="0.25">
      <c r="A102" s="2">
        <f t="shared" si="7"/>
        <v>2023</v>
      </c>
      <c r="B102" s="656">
        <f t="shared" ca="1" si="6"/>
        <v>2.4653910421710768E-2</v>
      </c>
      <c r="C102" s="656">
        <f t="shared" ca="1" si="6"/>
        <v>0.38784051494282951</v>
      </c>
      <c r="D102" s="654">
        <f t="shared" ca="1" si="6"/>
        <v>0.99938511847242606</v>
      </c>
      <c r="E102" s="656">
        <f t="shared" ca="1" si="6"/>
        <v>1.5775165048953946E-2</v>
      </c>
      <c r="F102" s="655">
        <f t="shared" ca="1" si="6"/>
        <v>1.5775165048953946E-2</v>
      </c>
      <c r="G102" s="656">
        <f t="shared" ca="1" si="6"/>
        <v>8.4703071418718175E-4</v>
      </c>
      <c r="H102" s="656">
        <f t="shared" ca="1" si="6"/>
        <v>1.5485479195375998E-2</v>
      </c>
      <c r="I102" s="2">
        <v>5</v>
      </c>
    </row>
    <row r="103" spans="1:13" x14ac:dyDescent="0.25">
      <c r="A103" s="2">
        <f t="shared" si="7"/>
        <v>2024</v>
      </c>
      <c r="B103" s="656">
        <f t="shared" ca="1" si="6"/>
        <v>2.9584692506052921E-2</v>
      </c>
      <c r="C103" s="656">
        <f t="shared" ca="1" si="6"/>
        <v>0.46540861793139543</v>
      </c>
      <c r="D103" s="654">
        <f t="shared" ca="1" si="6"/>
        <v>1.1992621421669112</v>
      </c>
      <c r="E103" s="656">
        <f t="shared" ca="1" si="6"/>
        <v>1.8930198058744734E-2</v>
      </c>
      <c r="F103" s="655">
        <f t="shared" ca="1" si="6"/>
        <v>1.8930198058744734E-2</v>
      </c>
      <c r="G103" s="656">
        <f t="shared" ca="1" si="6"/>
        <v>1.0164368570246181E-3</v>
      </c>
      <c r="H103" s="656">
        <f t="shared" ca="1" si="6"/>
        <v>1.8582575034451199E-2</v>
      </c>
      <c r="I103" s="2">
        <v>6</v>
      </c>
    </row>
    <row r="104" spans="1:13" x14ac:dyDescent="0.25">
      <c r="A104" s="2">
        <f t="shared" si="7"/>
        <v>2025</v>
      </c>
      <c r="B104" s="656">
        <f t="shared" ca="1" si="6"/>
        <v>3.451547459039507E-2</v>
      </c>
      <c r="C104" s="656">
        <f t="shared" ca="1" si="6"/>
        <v>0.5429767209199613</v>
      </c>
      <c r="D104" s="654">
        <f t="shared" ca="1" si="6"/>
        <v>1.3991391658613963</v>
      </c>
      <c r="E104" s="656">
        <f t="shared" ca="1" si="6"/>
        <v>2.2085231068535525E-2</v>
      </c>
      <c r="F104" s="655">
        <f t="shared" ca="1" si="6"/>
        <v>2.2085231068535525E-2</v>
      </c>
      <c r="G104" s="656">
        <f t="shared" ca="1" si="6"/>
        <v>1.1858429998620544E-3</v>
      </c>
      <c r="H104" s="656">
        <f t="shared" ca="1" si="6"/>
        <v>2.1679670873526395E-2</v>
      </c>
      <c r="I104" s="2">
        <v>7</v>
      </c>
    </row>
    <row r="107" spans="1:13" ht="15.75" x14ac:dyDescent="0.25">
      <c r="A107" s="424" t="s">
        <v>3248</v>
      </c>
    </row>
    <row r="108" spans="1:13" ht="15.75" x14ac:dyDescent="0.25">
      <c r="A108" s="424"/>
    </row>
    <row r="109" spans="1:13" x14ac:dyDescent="0.25">
      <c r="A109" s="407" t="s">
        <v>4133</v>
      </c>
    </row>
    <row r="110" spans="1:13" ht="15.75" thickBot="1" x14ac:dyDescent="0.3"/>
    <row r="111" spans="1:13" ht="16.5" thickBot="1" x14ac:dyDescent="0.3">
      <c r="A111" s="919" t="s">
        <v>2776</v>
      </c>
      <c r="B111" s="920"/>
      <c r="C111" s="921"/>
    </row>
    <row r="112" spans="1:13" ht="15.75" x14ac:dyDescent="0.25">
      <c r="A112" s="627"/>
      <c r="B112" s="627"/>
      <c r="C112" s="627"/>
      <c r="K112" s="273"/>
    </row>
    <row r="113" spans="1:17" x14ac:dyDescent="0.25">
      <c r="A113" t="s">
        <v>4292</v>
      </c>
      <c r="C113" s="114">
        <f ca="1">E54</f>
        <v>14560.538182510903</v>
      </c>
      <c r="D113" t="s">
        <v>4183</v>
      </c>
      <c r="K113" s="273"/>
    </row>
    <row r="114" spans="1:17" x14ac:dyDescent="0.25">
      <c r="A114" t="s">
        <v>4135</v>
      </c>
      <c r="C114" s="114">
        <f ca="1">OFFSET(Devices!$B$28,0,MATCH($B$4,Devices!$C$5:$R$5,0))+OFFSET(Devices!$B$28,1,MATCH($B$4,Devices!$C$5:$R$5,0))+OFFSET(Devices!$B$28,2,MATCH($B$4,Devices!$C$5:$R$5,0))</f>
        <v>33681.273916994272</v>
      </c>
      <c r="D114" t="s">
        <v>4136</v>
      </c>
      <c r="K114" s="273"/>
    </row>
    <row r="115" spans="1:17" x14ac:dyDescent="0.25">
      <c r="A115" t="s">
        <v>4137</v>
      </c>
      <c r="C115" s="11">
        <f ca="1">C113/C114</f>
        <v>0.43230366578160268</v>
      </c>
      <c r="D115" t="s">
        <v>4184</v>
      </c>
    </row>
    <row r="117" spans="1:17" x14ac:dyDescent="0.25">
      <c r="A117" s="670"/>
      <c r="C117" s="2" t="s">
        <v>3284</v>
      </c>
      <c r="F117" s="2" t="s">
        <v>2979</v>
      </c>
      <c r="K117" s="917" t="s">
        <v>4187</v>
      </c>
      <c r="L117" s="917"/>
      <c r="Q117" s="1"/>
    </row>
    <row r="118" spans="1:17" x14ac:dyDescent="0.25">
      <c r="C118" s="2" t="s">
        <v>4185</v>
      </c>
      <c r="D118" s="1"/>
      <c r="F118" s="2" t="s">
        <v>2975</v>
      </c>
      <c r="I118" s="917" t="s">
        <v>3289</v>
      </c>
      <c r="J118" s="917"/>
      <c r="K118" s="2" t="s">
        <v>3301</v>
      </c>
      <c r="L118" s="2" t="s">
        <v>68</v>
      </c>
      <c r="N118" s="917"/>
      <c r="O118" s="917"/>
      <c r="P118" s="1"/>
    </row>
    <row r="119" spans="1:17" x14ac:dyDescent="0.25">
      <c r="A119" s="9" t="s">
        <v>2463</v>
      </c>
      <c r="B119" s="44" t="s">
        <v>2793</v>
      </c>
      <c r="C119" s="44" t="s">
        <v>3394</v>
      </c>
      <c r="D119" s="918" t="s">
        <v>1889</v>
      </c>
      <c r="E119" s="918"/>
      <c r="F119" s="800" t="s">
        <v>4142</v>
      </c>
      <c r="G119" s="918" t="s">
        <v>4186</v>
      </c>
      <c r="H119" s="918"/>
      <c r="I119" s="701" t="s">
        <v>3252</v>
      </c>
      <c r="J119" s="9" t="s">
        <v>2072</v>
      </c>
      <c r="K119" s="44" t="s">
        <v>2236</v>
      </c>
      <c r="L119" s="44" t="s">
        <v>2793</v>
      </c>
      <c r="N119" s="665"/>
      <c r="O119" s="665"/>
      <c r="P119" s="665"/>
      <c r="Q119" s="665"/>
    </row>
    <row r="120" spans="1:17" x14ac:dyDescent="0.25">
      <c r="A120" t="s">
        <v>4138</v>
      </c>
      <c r="B120" s="114">
        <f ca="1">C124</f>
        <v>18</v>
      </c>
      <c r="C120" s="692">
        <f ca="1">C115</f>
        <v>0.43230366578160268</v>
      </c>
      <c r="D120" s="930" t="s">
        <v>4141</v>
      </c>
      <c r="E120" s="930"/>
      <c r="F120" s="794">
        <f>CostData!$S$12/10^6</f>
        <v>0.13500000000000001</v>
      </c>
      <c r="G120" s="114">
        <f ca="1">C120/F120*365</f>
        <v>1168.8210222984071</v>
      </c>
      <c r="H120" t="s">
        <v>3533</v>
      </c>
      <c r="I120" s="674">
        <f ca="1">HLOOKUP($B$4,CostData!$G$8:$L$9,2,FALSE)</f>
        <v>2.8910476436685228</v>
      </c>
      <c r="J120" s="674" t="str">
        <f>CostData!F9</f>
        <v>/gal</v>
      </c>
      <c r="K120" s="676">
        <f ca="1">G120*I120</f>
        <v>3379.1172623860439</v>
      </c>
      <c r="L120" s="694">
        <f ca="1">K120*B120</f>
        <v>60824.11072294879</v>
      </c>
      <c r="N120" s="664"/>
      <c r="O120" s="664"/>
      <c r="P120" s="676"/>
      <c r="Q120" s="694"/>
    </row>
    <row r="121" spans="1:17" ht="15.75" thickBot="1" x14ac:dyDescent="0.3">
      <c r="Q121" s="1"/>
    </row>
    <row r="122" spans="1:17" ht="16.5" thickBot="1" x14ac:dyDescent="0.3">
      <c r="A122" s="919" t="s">
        <v>2792</v>
      </c>
      <c r="B122" s="920"/>
      <c r="C122" s="921"/>
    </row>
    <row r="124" spans="1:17" x14ac:dyDescent="0.25">
      <c r="A124" t="s">
        <v>4139</v>
      </c>
      <c r="C124" s="114">
        <f ca="1">ROUND(C114*(1-$B$76),0)</f>
        <v>18</v>
      </c>
      <c r="D124" t="s">
        <v>4140</v>
      </c>
    </row>
    <row r="125" spans="1:17" x14ac:dyDescent="0.25">
      <c r="A125" t="s">
        <v>4293</v>
      </c>
      <c r="C125" s="837">
        <f>$B$8</f>
        <v>0.1</v>
      </c>
      <c r="D125" s="411" t="s">
        <v>4144</v>
      </c>
    </row>
    <row r="126" spans="1:17" x14ac:dyDescent="0.25">
      <c r="A126" t="s">
        <v>4294</v>
      </c>
      <c r="C126" s="11">
        <f ca="1">C115*(1-C125)</f>
        <v>0.38907329920344241</v>
      </c>
      <c r="D126" t="s">
        <v>4184</v>
      </c>
    </row>
    <row r="128" spans="1:17" x14ac:dyDescent="0.25">
      <c r="A128" s="670"/>
      <c r="C128" s="2" t="s">
        <v>3284</v>
      </c>
      <c r="F128" s="2" t="s">
        <v>2979</v>
      </c>
      <c r="K128" s="917" t="s">
        <v>4187</v>
      </c>
      <c r="L128" s="917"/>
      <c r="Q128" s="1"/>
    </row>
    <row r="129" spans="1:17" x14ac:dyDescent="0.25">
      <c r="C129" s="2" t="s">
        <v>4185</v>
      </c>
      <c r="D129" s="1"/>
      <c r="F129" s="2" t="s">
        <v>2975</v>
      </c>
      <c r="I129" s="917" t="s">
        <v>3289</v>
      </c>
      <c r="J129" s="917"/>
      <c r="K129" s="2" t="s">
        <v>3301</v>
      </c>
      <c r="L129" s="2" t="s">
        <v>68</v>
      </c>
      <c r="N129" s="917"/>
      <c r="O129" s="917"/>
      <c r="P129" s="1"/>
    </row>
    <row r="130" spans="1:17" x14ac:dyDescent="0.25">
      <c r="A130" s="9" t="s">
        <v>2463</v>
      </c>
      <c r="B130" s="44" t="s">
        <v>2793</v>
      </c>
      <c r="C130" s="44" t="s">
        <v>3394</v>
      </c>
      <c r="D130" s="918" t="s">
        <v>1889</v>
      </c>
      <c r="E130" s="918"/>
      <c r="F130" s="800" t="s">
        <v>4142</v>
      </c>
      <c r="G130" s="918" t="s">
        <v>4186</v>
      </c>
      <c r="H130" s="918"/>
      <c r="I130" s="701" t="s">
        <v>3252</v>
      </c>
      <c r="J130" s="9" t="s">
        <v>2072</v>
      </c>
      <c r="K130" s="44" t="s">
        <v>2236</v>
      </c>
      <c r="L130" s="44" t="s">
        <v>2793</v>
      </c>
      <c r="N130" s="665"/>
      <c r="O130" s="665"/>
      <c r="P130" s="665"/>
      <c r="Q130" s="665"/>
    </row>
    <row r="131" spans="1:17" x14ac:dyDescent="0.25">
      <c r="A131" t="s">
        <v>4138</v>
      </c>
      <c r="B131" s="114">
        <f ca="1">B120</f>
        <v>18</v>
      </c>
      <c r="C131" s="692">
        <f ca="1">C126</f>
        <v>0.38907329920344241</v>
      </c>
      <c r="D131" s="930" t="s">
        <v>4141</v>
      </c>
      <c r="E131" s="930"/>
      <c r="F131" s="794">
        <f>CostData!$S$12/10^6</f>
        <v>0.13500000000000001</v>
      </c>
      <c r="G131" s="114">
        <f ca="1">C131/F131*365</f>
        <v>1051.9389200685664</v>
      </c>
      <c r="H131" t="s">
        <v>3533</v>
      </c>
      <c r="I131" s="674">
        <f ca="1">HLOOKUP($B$4,CostData!$G$8:$L$9,2,FALSE)</f>
        <v>2.8910476436685228</v>
      </c>
      <c r="J131" s="674" t="str">
        <f>CostData!F20</f>
        <v>Cost</v>
      </c>
      <c r="K131" s="676">
        <f ca="1">G131*I131</f>
        <v>3041.2055361474395</v>
      </c>
      <c r="L131" s="694">
        <f ca="1">K131*B131</f>
        <v>54741.699650653914</v>
      </c>
      <c r="N131" s="664"/>
      <c r="O131" s="664"/>
      <c r="P131" s="676"/>
      <c r="Q131" s="694"/>
    </row>
    <row r="133" spans="1:17" x14ac:dyDescent="0.25">
      <c r="A133" t="s">
        <v>4295</v>
      </c>
    </row>
    <row r="134" spans="1:17" x14ac:dyDescent="0.25">
      <c r="I134" s="1"/>
    </row>
    <row r="135" spans="1:17" x14ac:dyDescent="0.25">
      <c r="A135" t="s">
        <v>4148</v>
      </c>
      <c r="C135" s="723">
        <v>1300</v>
      </c>
      <c r="D135" s="411" t="s">
        <v>4149</v>
      </c>
      <c r="I135" s="1"/>
    </row>
    <row r="136" spans="1:17" x14ac:dyDescent="0.25">
      <c r="A136" t="s">
        <v>4150</v>
      </c>
      <c r="C136" s="723">
        <v>555</v>
      </c>
      <c r="D136" s="411" t="s">
        <v>4149</v>
      </c>
      <c r="I136" s="1"/>
    </row>
    <row r="137" spans="1:17" x14ac:dyDescent="0.25">
      <c r="A137" t="s">
        <v>4151</v>
      </c>
      <c r="C137" s="793">
        <v>600</v>
      </c>
      <c r="D137" s="411" t="s">
        <v>4149</v>
      </c>
      <c r="I137" s="1"/>
    </row>
    <row r="138" spans="1:17" x14ac:dyDescent="0.25">
      <c r="B138" t="s">
        <v>2462</v>
      </c>
      <c r="C138" s="723">
        <f>SUM(C135:C137)</f>
        <v>2455</v>
      </c>
      <c r="D138" s="411" t="s">
        <v>4296</v>
      </c>
      <c r="I138" s="1"/>
    </row>
    <row r="139" spans="1:17" x14ac:dyDescent="0.25">
      <c r="C139" s="723"/>
      <c r="D139" s="411"/>
      <c r="I139" s="1"/>
    </row>
    <row r="140" spans="1:17" x14ac:dyDescent="0.25">
      <c r="G140" s="2"/>
      <c r="H140" s="2" t="s">
        <v>2783</v>
      </c>
    </row>
    <row r="141" spans="1:17" x14ac:dyDescent="0.25">
      <c r="A141" s="670"/>
      <c r="G141" s="2" t="s">
        <v>3252</v>
      </c>
      <c r="H141" s="2" t="s">
        <v>3298</v>
      </c>
    </row>
    <row r="142" spans="1:17" x14ac:dyDescent="0.25">
      <c r="C142" s="917" t="s">
        <v>4154</v>
      </c>
      <c r="D142" s="917"/>
      <c r="F142" s="1"/>
      <c r="G142" s="2" t="s">
        <v>4155</v>
      </c>
      <c r="H142" s="2" t="s">
        <v>3252</v>
      </c>
    </row>
    <row r="143" spans="1:17" x14ac:dyDescent="0.25">
      <c r="A143" s="9" t="s">
        <v>3019</v>
      </c>
      <c r="B143" s="44" t="s">
        <v>3299</v>
      </c>
      <c r="C143" s="800" t="s">
        <v>3361</v>
      </c>
      <c r="D143" s="44" t="s">
        <v>2497</v>
      </c>
      <c r="E143" s="918" t="s">
        <v>3277</v>
      </c>
      <c r="F143" s="918"/>
      <c r="G143" s="44" t="s">
        <v>2794</v>
      </c>
      <c r="H143" s="44" t="s">
        <v>2497</v>
      </c>
    </row>
    <row r="144" spans="1:17" x14ac:dyDescent="0.25">
      <c r="A144" t="s">
        <v>4147</v>
      </c>
      <c r="B144" s="114">
        <f ca="1">B131</f>
        <v>18</v>
      </c>
      <c r="C144" s="723">
        <f>C138</f>
        <v>2455</v>
      </c>
      <c r="D144" s="690">
        <f ca="1">B144*C144</f>
        <v>44190</v>
      </c>
      <c r="E144" s="664">
        <v>30</v>
      </c>
      <c r="F144" s="664" t="s">
        <v>3295</v>
      </c>
      <c r="G144" s="794">
        <f>(CRR*(1+CRR)^E144)/((1+CRR)^E144-1)</f>
        <v>6.8805389679389581E-2</v>
      </c>
      <c r="H144" s="664">
        <f ca="1">D144*G144</f>
        <v>3040.5101699322254</v>
      </c>
    </row>
    <row r="146" spans="1:4" x14ac:dyDescent="0.25">
      <c r="B146" s="2" t="s">
        <v>2783</v>
      </c>
      <c r="C146" s="2" t="s">
        <v>2783</v>
      </c>
    </row>
    <row r="147" spans="1:4" x14ac:dyDescent="0.25">
      <c r="B147" s="2" t="s">
        <v>19</v>
      </c>
      <c r="C147" s="2" t="s">
        <v>3281</v>
      </c>
    </row>
    <row r="148" spans="1:4" x14ac:dyDescent="0.25">
      <c r="B148" s="520" t="s">
        <v>3252</v>
      </c>
      <c r="C148" s="520" t="s">
        <v>3252</v>
      </c>
    </row>
    <row r="149" spans="1:4" x14ac:dyDescent="0.25">
      <c r="B149" s="2" t="s">
        <v>4348</v>
      </c>
      <c r="C149" s="2" t="s">
        <v>4348</v>
      </c>
    </row>
    <row r="150" spans="1:4" x14ac:dyDescent="0.25">
      <c r="B150" s="169" t="s">
        <v>2622</v>
      </c>
      <c r="C150" s="169" t="s">
        <v>2622</v>
      </c>
    </row>
    <row r="151" spans="1:4" x14ac:dyDescent="0.25">
      <c r="B151" s="666">
        <f>IF(B150="Low",CostData!$W$11,IF(B150="Medium",CostData!$W$12,IF(B150="High",CostData!$W$13,0)))</f>
        <v>83679.330034933198</v>
      </c>
      <c r="C151" s="666">
        <f>IF(C150="Low",CostData!$W$27,IF(C150="Medium",CostData!$W$28,IF(C150="High",CostData!$W$29,0)))</f>
        <v>141629</v>
      </c>
    </row>
    <row r="153" spans="1:4" x14ac:dyDescent="0.25">
      <c r="A153" s="241" t="s">
        <v>3256</v>
      </c>
    </row>
    <row r="155" spans="1:4" x14ac:dyDescent="0.25">
      <c r="A155" t="s">
        <v>3304</v>
      </c>
      <c r="C155" s="693">
        <f ca="1">L120</f>
        <v>60824.11072294879</v>
      </c>
      <c r="D155" s="411" t="s">
        <v>3358</v>
      </c>
    </row>
    <row r="157" spans="1:4" x14ac:dyDescent="0.25">
      <c r="A157" t="s">
        <v>3303</v>
      </c>
      <c r="C157" s="693">
        <f ca="1">L131+H144+B151+C151</f>
        <v>283090.53985551931</v>
      </c>
      <c r="D157" s="411" t="s">
        <v>3358</v>
      </c>
    </row>
    <row r="159" spans="1:4" x14ac:dyDescent="0.25">
      <c r="A159" t="s">
        <v>3305</v>
      </c>
      <c r="C159" s="688">
        <f ca="1">C157-C155</f>
        <v>222266.42913257051</v>
      </c>
      <c r="D159" s="411" t="s">
        <v>3358</v>
      </c>
    </row>
    <row r="161" spans="1:4" x14ac:dyDescent="0.25">
      <c r="A161" t="s">
        <v>3270</v>
      </c>
      <c r="C161" s="653">
        <f ca="1">F$98</f>
        <v>3.1550330097907891E-3</v>
      </c>
      <c r="D161" t="str">
        <f>"tons/year - "&amp;$B$4</f>
        <v>tons/year - 2019</v>
      </c>
    </row>
    <row r="162" spans="1:4" x14ac:dyDescent="0.25">
      <c r="A162" t="s">
        <v>3547</v>
      </c>
      <c r="C162" s="653">
        <f ca="1">D$98</f>
        <v>0.19987702369448521</v>
      </c>
      <c r="D162" t="str">
        <f>"tons/year - "&amp;$B$4</f>
        <v>tons/year - 2019</v>
      </c>
    </row>
    <row r="164" spans="1:4" x14ac:dyDescent="0.25">
      <c r="A164" t="s">
        <v>3306</v>
      </c>
      <c r="C164" s="712">
        <f ca="1">C$159/C161</f>
        <v>70448210.349250525</v>
      </c>
      <c r="D164" s="411" t="s">
        <v>3271</v>
      </c>
    </row>
    <row r="165" spans="1:4" x14ac:dyDescent="0.25">
      <c r="C165" s="712">
        <f ca="1">C$159/C162</f>
        <v>1112015.9037004064</v>
      </c>
      <c r="D165" s="411" t="s">
        <v>3548</v>
      </c>
    </row>
  </sheetData>
  <mergeCells count="31">
    <mergeCell ref="A32:H32"/>
    <mergeCell ref="A43:C43"/>
    <mergeCell ref="B51:F51"/>
    <mergeCell ref="B52:F52"/>
    <mergeCell ref="A1:I1"/>
    <mergeCell ref="A10:H10"/>
    <mergeCell ref="B20:C20"/>
    <mergeCell ref="B26:H26"/>
    <mergeCell ref="B87:H87"/>
    <mergeCell ref="B96:H96"/>
    <mergeCell ref="B59:H59"/>
    <mergeCell ref="B64:H64"/>
    <mergeCell ref="A71:C71"/>
    <mergeCell ref="B79:F79"/>
    <mergeCell ref="B80:F80"/>
    <mergeCell ref="D120:E120"/>
    <mergeCell ref="A122:C122"/>
    <mergeCell ref="I129:J129"/>
    <mergeCell ref="N129:O129"/>
    <mergeCell ref="A111:C111"/>
    <mergeCell ref="I118:J118"/>
    <mergeCell ref="N118:O118"/>
    <mergeCell ref="D119:E119"/>
    <mergeCell ref="G119:H119"/>
    <mergeCell ref="K117:L117"/>
    <mergeCell ref="K128:L128"/>
    <mergeCell ref="E143:F143"/>
    <mergeCell ref="D130:E130"/>
    <mergeCell ref="G130:H130"/>
    <mergeCell ref="D131:E131"/>
    <mergeCell ref="C142:D142"/>
  </mergeCells>
  <printOptions horizontalCentered="1"/>
  <pageMargins left="0.7" right="0.7" top="0.75" bottom="0.75" header="0.3" footer="0.3"/>
  <pageSetup scale="87" fitToHeight="5" orientation="portrait" r:id="rId1"/>
  <rowBreaks count="1" manualBreakCount="1">
    <brk id="70" max="16383" man="1"/>
  </rowBreaks>
  <extLst>
    <ext xmlns:x14="http://schemas.microsoft.com/office/spreadsheetml/2009/9/main" uri="{CCE6A557-97BC-4b89-ADB6-D9C93CAAB3DF}">
      <x14:dataValidations xmlns:xm="http://schemas.microsoft.com/office/excel/2006/main" count="1">
        <x14:dataValidation type="list" showInputMessage="1" showErrorMessage="1">
          <x14:formula1>
            <xm:f>CostData!$AB$10:$AB$13</xm:f>
          </x14:formula1>
          <xm:sqref>B150:C150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CC"/>
  </sheetPr>
  <dimension ref="A1:Q157"/>
  <sheetViews>
    <sheetView workbookViewId="0">
      <selection sqref="A1:I1"/>
    </sheetView>
  </sheetViews>
  <sheetFormatPr defaultColWidth="8.85546875" defaultRowHeight="15" x14ac:dyDescent="0.25"/>
  <cols>
    <col min="1" max="1" width="33.7109375" customWidth="1"/>
    <col min="3" max="3" width="13.28515625" customWidth="1"/>
    <col min="4" max="4" width="10.7109375" customWidth="1"/>
    <col min="6" max="6" width="10.85546875" bestFit="1" customWidth="1"/>
    <col min="8" max="8" width="10" bestFit="1" customWidth="1"/>
    <col min="9" max="9" width="10.140625" bestFit="1" customWidth="1"/>
    <col min="11" max="11" width="9.140625" bestFit="1" customWidth="1"/>
    <col min="12" max="12" width="11.5703125" bestFit="1" customWidth="1"/>
  </cols>
  <sheetData>
    <row r="1" spans="1:9" ht="18.75" x14ac:dyDescent="0.3">
      <c r="A1" s="912" t="s">
        <v>4431</v>
      </c>
      <c r="B1" s="912"/>
      <c r="C1" s="912"/>
      <c r="D1" s="912"/>
      <c r="E1" s="912"/>
      <c r="F1" s="912"/>
      <c r="G1" s="912"/>
      <c r="H1" s="912"/>
      <c r="I1" s="912"/>
    </row>
    <row r="3" spans="1:9" x14ac:dyDescent="0.25">
      <c r="A3" s="405" t="s">
        <v>2748</v>
      </c>
      <c r="B3" s="241" t="s">
        <v>4382</v>
      </c>
    </row>
    <row r="4" spans="1:9" x14ac:dyDescent="0.25">
      <c r="A4" s="405" t="s">
        <v>3183</v>
      </c>
      <c r="B4" s="519">
        <v>2019</v>
      </c>
    </row>
    <row r="5" spans="1:9" x14ac:dyDescent="0.25">
      <c r="A5" s="405" t="s">
        <v>3233</v>
      </c>
      <c r="B5" s="742">
        <f>CostData!I63</f>
        <v>3.3333333333333333E-2</v>
      </c>
      <c r="C5" t="s">
        <v>4222</v>
      </c>
    </row>
    <row r="7" spans="1:9" ht="15.75" x14ac:dyDescent="0.25">
      <c r="A7" s="924" t="s">
        <v>2749</v>
      </c>
      <c r="B7" s="924"/>
      <c r="C7" s="924"/>
      <c r="D7" s="924"/>
      <c r="E7" s="924"/>
      <c r="F7" s="924"/>
      <c r="G7" s="924"/>
      <c r="H7" s="924"/>
    </row>
    <row r="8" spans="1:9" x14ac:dyDescent="0.25">
      <c r="A8" s="2"/>
      <c r="B8" s="2"/>
      <c r="C8" s="2"/>
      <c r="D8" s="2"/>
      <c r="E8" s="2"/>
      <c r="F8" s="2"/>
      <c r="G8" s="2"/>
      <c r="H8" s="2"/>
    </row>
    <row r="9" spans="1:9" x14ac:dyDescent="0.25">
      <c r="A9" s="406" t="s">
        <v>2750</v>
      </c>
      <c r="B9" s="2"/>
      <c r="C9" s="2"/>
      <c r="D9" s="2"/>
      <c r="E9" s="2"/>
      <c r="F9" s="2"/>
      <c r="G9" s="2"/>
      <c r="H9" s="2"/>
    </row>
    <row r="10" spans="1:9" ht="15" customHeight="1" x14ac:dyDescent="0.25">
      <c r="A10" s="407" t="s">
        <v>2751</v>
      </c>
      <c r="B10" s="2"/>
      <c r="C10" s="2"/>
      <c r="D10" s="2"/>
      <c r="E10" s="2"/>
      <c r="F10" s="2"/>
      <c r="G10" s="2"/>
      <c r="H10" s="2"/>
    </row>
    <row r="11" spans="1:9" ht="15" customHeight="1" x14ac:dyDescent="0.25">
      <c r="A11" s="407" t="s">
        <v>2752</v>
      </c>
      <c r="B11" s="2"/>
      <c r="C11" s="2"/>
      <c r="D11" s="2"/>
      <c r="E11" s="2"/>
      <c r="F11" s="2"/>
      <c r="G11" s="2"/>
      <c r="H11" s="2"/>
    </row>
    <row r="12" spans="1:9" ht="15" customHeight="1" x14ac:dyDescent="0.25">
      <c r="A12" s="407" t="s">
        <v>2753</v>
      </c>
      <c r="B12" s="2"/>
      <c r="C12" s="2"/>
      <c r="D12" s="2"/>
      <c r="E12" s="2"/>
      <c r="F12" s="2"/>
      <c r="G12" s="2"/>
      <c r="H12" s="2"/>
    </row>
    <row r="13" spans="1:9" ht="15" customHeight="1" x14ac:dyDescent="0.25">
      <c r="A13" s="407" t="s">
        <v>2754</v>
      </c>
      <c r="B13" s="2"/>
      <c r="C13" s="2"/>
      <c r="D13" s="2"/>
      <c r="E13" s="2"/>
      <c r="F13" s="2"/>
      <c r="G13" s="2"/>
      <c r="H13" s="2"/>
    </row>
    <row r="14" spans="1:9" ht="15" customHeight="1" x14ac:dyDescent="0.25">
      <c r="A14" s="407" t="s">
        <v>2755</v>
      </c>
      <c r="B14" s="2"/>
      <c r="C14" s="2"/>
      <c r="D14" s="2"/>
      <c r="E14" s="2"/>
      <c r="F14" s="2"/>
      <c r="G14" s="2"/>
      <c r="H14" s="2"/>
    </row>
    <row r="15" spans="1:9" ht="15" customHeight="1" x14ac:dyDescent="0.25">
      <c r="A15" s="407"/>
      <c r="B15" s="2"/>
      <c r="C15" s="2"/>
      <c r="D15" s="2"/>
      <c r="E15" s="2"/>
      <c r="F15" s="2"/>
      <c r="G15" s="2"/>
      <c r="H15" s="2"/>
    </row>
    <row r="16" spans="1:9" x14ac:dyDescent="0.25">
      <c r="A16" s="2"/>
      <c r="B16" s="2"/>
      <c r="C16" s="2"/>
      <c r="D16" s="2"/>
      <c r="E16" s="2"/>
      <c r="F16" s="2"/>
      <c r="G16" s="2"/>
      <c r="H16" s="2"/>
    </row>
    <row r="17" spans="1:11" x14ac:dyDescent="0.25">
      <c r="A17" s="241"/>
      <c r="B17" s="917" t="s">
        <v>2756</v>
      </c>
      <c r="C17" s="917"/>
      <c r="D17" s="2" t="s">
        <v>2757</v>
      </c>
      <c r="F17" s="2"/>
      <c r="G17" s="2"/>
      <c r="H17" s="2"/>
    </row>
    <row r="18" spans="1:11" x14ac:dyDescent="0.25">
      <c r="A18" s="9" t="s">
        <v>2760</v>
      </c>
      <c r="B18" s="44" t="s">
        <v>2554</v>
      </c>
      <c r="C18" s="44" t="s">
        <v>2546</v>
      </c>
      <c r="D18" s="44" t="s">
        <v>2761</v>
      </c>
      <c r="F18" s="2"/>
      <c r="G18" s="2"/>
      <c r="H18" s="2"/>
    </row>
    <row r="19" spans="1:11" x14ac:dyDescent="0.25">
      <c r="A19" t="s">
        <v>2764</v>
      </c>
      <c r="B19" s="408">
        <v>0.31772881708698097</v>
      </c>
      <c r="C19" s="408">
        <v>0.68227118291301903</v>
      </c>
      <c r="D19" s="409">
        <f>SUMPRODUCT(B19:C19,B$21:C$21)</f>
        <v>2035.3928754647418</v>
      </c>
      <c r="F19" s="2"/>
      <c r="G19" s="2"/>
      <c r="H19" s="2"/>
    </row>
    <row r="20" spans="1:11" x14ac:dyDescent="0.25">
      <c r="A20" t="s">
        <v>2766</v>
      </c>
      <c r="B20" s="335">
        <v>1</v>
      </c>
      <c r="C20" s="335">
        <v>0</v>
      </c>
      <c r="D20" s="409">
        <f>SUMPRODUCT(B20:C20,B$21:C$21)</f>
        <v>896</v>
      </c>
      <c r="G20" s="1"/>
      <c r="H20" s="11"/>
    </row>
    <row r="21" spans="1:11" x14ac:dyDescent="0.25">
      <c r="A21" t="s">
        <v>2768</v>
      </c>
      <c r="B21" s="410">
        <v>896</v>
      </c>
      <c r="C21" s="410">
        <v>2566</v>
      </c>
      <c r="F21" s="2"/>
      <c r="G21" s="2"/>
      <c r="H21" s="2"/>
    </row>
    <row r="23" spans="1:11" x14ac:dyDescent="0.25">
      <c r="B23" s="922" t="str">
        <f>$B$4&amp;" Baseline Space Heating Emission Factors (lb/mmBTU)"</f>
        <v>2019 Baseline Space Heating Emission Factors (lb/mmBTU)</v>
      </c>
      <c r="C23" s="922"/>
      <c r="D23" s="922"/>
      <c r="E23" s="922"/>
      <c r="F23" s="922"/>
      <c r="G23" s="922"/>
      <c r="H23" s="922"/>
      <c r="J23" s="412"/>
      <c r="K23" s="247"/>
    </row>
    <row r="24" spans="1:11" x14ac:dyDescent="0.25">
      <c r="A24" s="9" t="s">
        <v>2769</v>
      </c>
      <c r="B24" s="44" t="s">
        <v>2143</v>
      </c>
      <c r="C24" s="44" t="s">
        <v>2144</v>
      </c>
      <c r="D24" s="44" t="s">
        <v>2145</v>
      </c>
      <c r="E24" s="44" t="s">
        <v>2146</v>
      </c>
      <c r="F24" s="44" t="s">
        <v>2147</v>
      </c>
      <c r="G24" s="44" t="s">
        <v>2148</v>
      </c>
      <c r="H24" s="44" t="s">
        <v>2149</v>
      </c>
      <c r="J24" s="412"/>
      <c r="K24" s="247"/>
    </row>
    <row r="25" spans="1:11" x14ac:dyDescent="0.25">
      <c r="A25" t="s">
        <v>2770</v>
      </c>
      <c r="B25" s="290">
        <f ca="1">INDIRECT("'DevSumOut-"&amp;$B$4&amp;"PB'!Y76")</f>
        <v>5.3201428459336026E-3</v>
      </c>
      <c r="C25" s="290">
        <f ca="1">INDIRECT("'DevSumOut-"&amp;$B$4&amp;"PB'!Z76")</f>
        <v>8.3693292692388663E-2</v>
      </c>
      <c r="D25" s="290">
        <f ca="1">INDIRECT("'DevSumOut-"&amp;$B$4&amp;"PB'!AA76")</f>
        <v>0.21566037587652909</v>
      </c>
      <c r="E25" s="290">
        <f ca="1">INDIRECT("'DevSumOut-"&amp;$B$4&amp;"PB'!AB76")</f>
        <v>3.404171185950607E-3</v>
      </c>
      <c r="F25" s="290">
        <f ca="1">INDIRECT("'DevSumOut-"&amp;$B$4&amp;"PB'!AC76")</f>
        <v>3.404171185950607E-3</v>
      </c>
      <c r="G25" s="290">
        <f ca="1">INDIRECT("'DevSumOut-"&amp;$B$4&amp;"PB'!AD76")</f>
        <v>1.8278335230744155E-4</v>
      </c>
      <c r="H25" s="290">
        <f ca="1">INDIRECT("'DevSumOut-"&amp;$B$4&amp;"PB'!AE76")</f>
        <v>3.3416589882860927E-3</v>
      </c>
      <c r="J25" s="412"/>
      <c r="K25" s="247"/>
    </row>
    <row r="26" spans="1:11" x14ac:dyDescent="0.25">
      <c r="A26" t="s">
        <v>2771</v>
      </c>
      <c r="B26" s="290">
        <f ca="1">INDIRECT("'DevSumOut-"&amp;$B$4&amp;"PB'!Y78")</f>
        <v>5.1480144404332118E-3</v>
      </c>
      <c r="C26" s="290">
        <f ca="1">INDIRECT("'DevSumOut-"&amp;$B$4&amp;"PB'!Z78")</f>
        <v>0.12996389891696752</v>
      </c>
      <c r="D26" s="290">
        <f ca="1">INDIRECT("'DevSumOut-"&amp;$B$4&amp;"PB'!AA78")</f>
        <v>9.1864259927797801E-2</v>
      </c>
      <c r="E26" s="290">
        <f ca="1">INDIRECT("'DevSumOut-"&amp;$B$4&amp;"PB'!AB78")</f>
        <v>3.2967299611507727E-3</v>
      </c>
      <c r="F26" s="290">
        <f ca="1">INDIRECT("'DevSumOut-"&amp;$B$4&amp;"PB'!AC78")</f>
        <v>3.2967299611507727E-3</v>
      </c>
      <c r="G26" s="290">
        <f ca="1">INDIRECT("'DevSumOut-"&amp;$B$4&amp;"PB'!AD78")</f>
        <v>1.7686956241573897E-4</v>
      </c>
      <c r="H26" s="290">
        <f ca="1">INDIRECT("'DevSumOut-"&amp;$B$4&amp;"PB'!AE78")</f>
        <v>3.2335426368953818E-3</v>
      </c>
    </row>
    <row r="27" spans="1:11" x14ac:dyDescent="0.25">
      <c r="A27" t="s">
        <v>2772</v>
      </c>
      <c r="B27" s="290">
        <f ca="1">INDIRECT("'DevSumOut-"&amp;$B$4&amp;"PB'!Y79")</f>
        <v>2.5539276619417253</v>
      </c>
      <c r="C27" s="290">
        <f ca="1">INDIRECT("'DevSumOut-"&amp;$B$4&amp;"PB'!Z79")</f>
        <v>0.11968919875245596</v>
      </c>
      <c r="D27" s="290">
        <f ca="1">INDIRECT("'DevSumOut-"&amp;$B$4&amp;"PB'!AA79")</f>
        <v>2.4514402691133284E-2</v>
      </c>
      <c r="E27" s="290">
        <f ca="1">INDIRECT("'DevSumOut-"&amp;$B$4&amp;"PB'!AB79")</f>
        <v>0.69366943612609944</v>
      </c>
      <c r="F27" s="290">
        <f ca="1">INDIRECT("'DevSumOut-"&amp;$B$4&amp;"PB'!AC79")</f>
        <v>0.69366943612609944</v>
      </c>
      <c r="G27" s="290">
        <f ca="1">INDIRECT("'DevSumOut-"&amp;$B$4&amp;"PB'!AD79")</f>
        <v>2.6123869323514026E-2</v>
      </c>
      <c r="H27" s="290">
        <f ca="1">INDIRECT("'DevSumOut-"&amp;$B$4&amp;"PB'!AE79")</f>
        <v>7.3677330063651363</v>
      </c>
    </row>
    <row r="28" spans="1:11" x14ac:dyDescent="0.25">
      <c r="A28" s="413"/>
    </row>
    <row r="29" spans="1:11" ht="15.75" x14ac:dyDescent="0.25">
      <c r="A29" s="924" t="s">
        <v>3234</v>
      </c>
      <c r="B29" s="924"/>
      <c r="C29" s="924"/>
      <c r="D29" s="924"/>
      <c r="E29" s="924"/>
      <c r="F29" s="924"/>
      <c r="G29" s="924"/>
      <c r="H29" s="924"/>
    </row>
    <row r="30" spans="1:11" x14ac:dyDescent="0.25">
      <c r="A30" s="413"/>
    </row>
    <row r="31" spans="1:11" x14ac:dyDescent="0.25">
      <c r="A31" s="406" t="s">
        <v>2750</v>
      </c>
    </row>
    <row r="32" spans="1:11" ht="15" customHeight="1" x14ac:dyDescent="0.35">
      <c r="A32" s="407" t="s">
        <v>3185</v>
      </c>
    </row>
    <row r="33" spans="1:8" ht="15" customHeight="1" x14ac:dyDescent="0.25">
      <c r="A33" s="407" t="s">
        <v>3236</v>
      </c>
    </row>
    <row r="34" spans="1:8" ht="15" customHeight="1" x14ac:dyDescent="0.25">
      <c r="A34" s="407" t="s">
        <v>3240</v>
      </c>
    </row>
    <row r="35" spans="1:8" x14ac:dyDescent="0.25">
      <c r="A35" s="407" t="s">
        <v>3239</v>
      </c>
    </row>
    <row r="36" spans="1:8" x14ac:dyDescent="0.25">
      <c r="A36" s="407"/>
    </row>
    <row r="37" spans="1:8" x14ac:dyDescent="0.25">
      <c r="G37" s="647" t="s">
        <v>3237</v>
      </c>
      <c r="H37" s="638">
        <f>ULSEFs!Y40</f>
        <v>0.22478461942987937</v>
      </c>
    </row>
    <row r="38" spans="1:8" x14ac:dyDescent="0.25">
      <c r="A38" s="407"/>
      <c r="G38" s="647" t="s">
        <v>3238</v>
      </c>
      <c r="H38" s="646">
        <f>ULSEFs!AA40</f>
        <v>1.046927374301676</v>
      </c>
    </row>
    <row r="39" spans="1:8" x14ac:dyDescent="0.25">
      <c r="A39" s="407"/>
    </row>
    <row r="40" spans="1:8" ht="15.75" thickBot="1" x14ac:dyDescent="0.3">
      <c r="A40" s="413"/>
    </row>
    <row r="41" spans="1:8" ht="16.5" thickBot="1" x14ac:dyDescent="0.3">
      <c r="A41" s="919" t="s">
        <v>2776</v>
      </c>
      <c r="B41" s="920"/>
      <c r="C41" s="921"/>
    </row>
    <row r="43" spans="1:8" x14ac:dyDescent="0.25">
      <c r="A43" s="406" t="s">
        <v>2750</v>
      </c>
    </row>
    <row r="44" spans="1:8" x14ac:dyDescent="0.25">
      <c r="A44" s="407" t="s">
        <v>2777</v>
      </c>
    </row>
    <row r="45" spans="1:8" x14ac:dyDescent="0.25">
      <c r="A45" s="407" t="s">
        <v>2778</v>
      </c>
    </row>
    <row r="46" spans="1:8" x14ac:dyDescent="0.25">
      <c r="A46" s="407" t="s">
        <v>2779</v>
      </c>
    </row>
    <row r="47" spans="1:8" x14ac:dyDescent="0.25">
      <c r="A47" s="407" t="s">
        <v>2780</v>
      </c>
    </row>
    <row r="49" spans="1:8" x14ac:dyDescent="0.25">
      <c r="B49" s="917" t="str">
        <f>$B$4&amp;" Nonattainment Area Heating Energy by"</f>
        <v>2019 Nonattainment Area Heating Energy by</v>
      </c>
      <c r="C49" s="917"/>
      <c r="D49" s="917"/>
      <c r="E49" s="917"/>
      <c r="F49" s="917"/>
    </row>
    <row r="50" spans="1:8" x14ac:dyDescent="0.25">
      <c r="B50" s="917" t="s">
        <v>2781</v>
      </c>
      <c r="C50" s="917"/>
      <c r="D50" s="917"/>
      <c r="E50" s="917"/>
      <c r="F50" s="917"/>
    </row>
    <row r="51" spans="1:8" x14ac:dyDescent="0.25">
      <c r="C51" s="2"/>
      <c r="E51" s="2"/>
      <c r="F51" s="2"/>
    </row>
    <row r="52" spans="1:8" x14ac:dyDescent="0.25">
      <c r="A52" s="9" t="s">
        <v>2769</v>
      </c>
      <c r="B52" s="9"/>
      <c r="C52" s="44" t="s">
        <v>3186</v>
      </c>
      <c r="D52" s="44"/>
      <c r="E52" s="44" t="s">
        <v>2783</v>
      </c>
    </row>
    <row r="53" spans="1:8" x14ac:dyDescent="0.25">
      <c r="A53" t="s">
        <v>2786</v>
      </c>
      <c r="C53" s="114">
        <f ca="1">INDIRECT("'DevSumOut-"&amp;$B$4&amp;"PB'!U76")</f>
        <v>30171.778094171383</v>
      </c>
      <c r="E53" s="114">
        <f ca="1">C53*Ep2Ann</f>
        <v>14560.538182510903</v>
      </c>
      <c r="F53" s="114"/>
    </row>
    <row r="54" spans="1:8" x14ac:dyDescent="0.25">
      <c r="A54" t="s">
        <v>2787</v>
      </c>
      <c r="C54" s="114">
        <f ca="1">INDIRECT("'DevSumOut-"&amp;$B$4&amp;"PB'!U78")</f>
        <v>9271.8845460458488</v>
      </c>
      <c r="E54" s="798">
        <f ca="1">C54*Ep2Ann</f>
        <v>4474.5002609777748</v>
      </c>
      <c r="F54" s="114"/>
    </row>
    <row r="55" spans="1:8" x14ac:dyDescent="0.25">
      <c r="A55" s="9" t="s">
        <v>2788</v>
      </c>
      <c r="B55" s="9"/>
      <c r="C55" s="245">
        <f ca="1">INDIRECT("'DevSumOut-"&amp;$B$4&amp;"PB'!U79")</f>
        <v>6693.1314228901792</v>
      </c>
      <c r="D55" s="245"/>
      <c r="E55" s="245">
        <f ca="1">C55*Ep2Ann</f>
        <v>3230.0249371906443</v>
      </c>
    </row>
    <row r="56" spans="1:8" x14ac:dyDescent="0.25">
      <c r="A56" s="241" t="s">
        <v>2515</v>
      </c>
      <c r="C56" s="244">
        <f ca="1">SUM(C53:C55)</f>
        <v>46136.794063107416</v>
      </c>
      <c r="E56" s="244">
        <f ca="1">SUM(E53:E55)</f>
        <v>22265.063380679323</v>
      </c>
      <c r="F56" s="244"/>
    </row>
    <row r="58" spans="1:8" x14ac:dyDescent="0.25">
      <c r="B58" s="922" t="s">
        <v>2789</v>
      </c>
      <c r="C58" s="922"/>
      <c r="D58" s="922"/>
      <c r="E58" s="922"/>
      <c r="F58" s="922"/>
      <c r="G58" s="922"/>
      <c r="H58" s="922"/>
    </row>
    <row r="59" spans="1:8" x14ac:dyDescent="0.25">
      <c r="A59" s="9" t="s">
        <v>2769</v>
      </c>
      <c r="B59" s="44" t="s">
        <v>2143</v>
      </c>
      <c r="C59" s="44" t="s">
        <v>2144</v>
      </c>
      <c r="D59" s="44" t="s">
        <v>2145</v>
      </c>
      <c r="E59" s="44" t="s">
        <v>2146</v>
      </c>
      <c r="F59" s="44" t="s">
        <v>2147</v>
      </c>
      <c r="G59" s="44" t="s">
        <v>2148</v>
      </c>
      <c r="H59" s="44" t="s">
        <v>2149</v>
      </c>
    </row>
    <row r="60" spans="1:8" x14ac:dyDescent="0.25">
      <c r="A60" t="s">
        <v>2790</v>
      </c>
      <c r="B60" s="290">
        <f t="shared" ref="B60:H61" ca="1" si="0">B25</f>
        <v>5.3201428459336026E-3</v>
      </c>
      <c r="C60" s="290">
        <f t="shared" ca="1" si="0"/>
        <v>8.3693292692388663E-2</v>
      </c>
      <c r="D60" s="290">
        <f t="shared" ca="1" si="0"/>
        <v>0.21566037587652909</v>
      </c>
      <c r="E60" s="290">
        <f t="shared" ca="1" si="0"/>
        <v>3.404171185950607E-3</v>
      </c>
      <c r="F60" s="290">
        <f t="shared" ca="1" si="0"/>
        <v>3.404171185950607E-3</v>
      </c>
      <c r="G60" s="290">
        <f t="shared" ca="1" si="0"/>
        <v>1.8278335230744155E-4</v>
      </c>
      <c r="H60" s="290">
        <f t="shared" ca="1" si="0"/>
        <v>3.3416589882860927E-3</v>
      </c>
    </row>
    <row r="61" spans="1:8" x14ac:dyDescent="0.25">
      <c r="A61" s="9" t="s">
        <v>2791</v>
      </c>
      <c r="B61" s="292">
        <f t="shared" ca="1" si="0"/>
        <v>5.1480144404332118E-3</v>
      </c>
      <c r="C61" s="292">
        <f t="shared" ca="1" si="0"/>
        <v>0.12996389891696752</v>
      </c>
      <c r="D61" s="292">
        <f t="shared" ca="1" si="0"/>
        <v>9.1864259927797801E-2</v>
      </c>
      <c r="E61" s="292">
        <f t="shared" ca="1" si="0"/>
        <v>3.2967299611507727E-3</v>
      </c>
      <c r="F61" s="292">
        <f t="shared" ca="1" si="0"/>
        <v>3.2967299611507727E-3</v>
      </c>
      <c r="G61" s="292">
        <f t="shared" ca="1" si="0"/>
        <v>1.7686956241573897E-4</v>
      </c>
      <c r="H61" s="292">
        <f t="shared" ca="1" si="0"/>
        <v>3.2335426368953818E-3</v>
      </c>
    </row>
    <row r="62" spans="1:8" x14ac:dyDescent="0.25">
      <c r="B62" s="11"/>
      <c r="C62" s="11"/>
      <c r="D62" s="11"/>
      <c r="E62" s="11"/>
      <c r="F62" s="11"/>
      <c r="G62" s="11"/>
      <c r="H62" s="11"/>
    </row>
    <row r="63" spans="1:8" x14ac:dyDescent="0.25">
      <c r="B63" s="917" t="str">
        <f>$B$4&amp;" Baseline Emissions by Affected Fuel Type (tons/episodic day)"</f>
        <v>2019 Baseline Emissions by Affected Fuel Type (tons/episodic day)</v>
      </c>
      <c r="C63" s="917"/>
      <c r="D63" s="917"/>
      <c r="E63" s="917"/>
      <c r="F63" s="917"/>
      <c r="G63" s="917"/>
      <c r="H63" s="917"/>
    </row>
    <row r="64" spans="1:8" x14ac:dyDescent="0.25">
      <c r="A64" s="9" t="s">
        <v>1889</v>
      </c>
      <c r="B64" s="44" t="s">
        <v>2143</v>
      </c>
      <c r="C64" s="44" t="s">
        <v>2144</v>
      </c>
      <c r="D64" s="612" t="s">
        <v>2145</v>
      </c>
      <c r="E64" s="44" t="s">
        <v>2146</v>
      </c>
      <c r="F64" s="609" t="s">
        <v>2147</v>
      </c>
      <c r="G64" s="44" t="s">
        <v>2148</v>
      </c>
      <c r="H64" s="44" t="s">
        <v>2149</v>
      </c>
    </row>
    <row r="65" spans="1:11" x14ac:dyDescent="0.25">
      <c r="A65" t="s">
        <v>2790</v>
      </c>
      <c r="B65" s="649">
        <f t="shared" ref="B65:H66" ca="1" si="1">B60*$C53/2000</f>
        <v>8.0259084688401025E-2</v>
      </c>
      <c r="C65" s="649">
        <f t="shared" ca="1" si="1"/>
        <v>1.2625877275426431</v>
      </c>
      <c r="D65" s="650">
        <f t="shared" ca="1" si="1"/>
        <v>3.2534285023261131</v>
      </c>
      <c r="E65" s="649">
        <f t="shared" ca="1" si="1"/>
        <v>5.1354948808536964E-2</v>
      </c>
      <c r="F65" s="651">
        <f t="shared" ca="1" si="1"/>
        <v>5.1354948808536964E-2</v>
      </c>
      <c r="G65" s="649">
        <f t="shared" ca="1" si="1"/>
        <v>2.757449372564438E-3</v>
      </c>
      <c r="H65" s="649">
        <f t="shared" ca="1" si="1"/>
        <v>5.0411896730480618E-2</v>
      </c>
    </row>
    <row r="66" spans="1:11" x14ac:dyDescent="0.25">
      <c r="A66" s="648" t="s">
        <v>2791</v>
      </c>
      <c r="B66" s="652">
        <f t="shared" ca="1" si="1"/>
        <v>2.3865897766536782E-2</v>
      </c>
      <c r="C66" s="652">
        <f t="shared" ca="1" si="1"/>
        <v>0.60250513295604802</v>
      </c>
      <c r="D66" s="652">
        <f t="shared" ca="1" si="1"/>
        <v>0.42587740597924367</v>
      </c>
      <c r="E66" s="652">
        <f t="shared" ca="1" si="1"/>
        <v>1.5283449789640089E-2</v>
      </c>
      <c r="F66" s="652">
        <f t="shared" ca="1" si="1"/>
        <v>1.5283449789640089E-2</v>
      </c>
      <c r="G66" s="652">
        <f t="shared" ca="1" si="1"/>
        <v>8.1995708121419093E-4</v>
      </c>
      <c r="H66" s="652">
        <f t="shared" ca="1" si="1"/>
        <v>1.4990517002005318E-2</v>
      </c>
    </row>
    <row r="67" spans="1:11" x14ac:dyDescent="0.25">
      <c r="A67" s="241" t="s">
        <v>2515</v>
      </c>
      <c r="B67" s="653">
        <f t="shared" ref="B67:H67" ca="1" si="2">SUM(B65:B66)</f>
        <v>0.10412498245493781</v>
      </c>
      <c r="C67" s="653">
        <f t="shared" ca="1" si="2"/>
        <v>1.8650928604986912</v>
      </c>
      <c r="D67" s="654">
        <f t="shared" ca="1" si="2"/>
        <v>3.679305908305357</v>
      </c>
      <c r="E67" s="653">
        <f t="shared" ca="1" si="2"/>
        <v>6.6638398598177051E-2</v>
      </c>
      <c r="F67" s="655">
        <f t="shared" ca="1" si="2"/>
        <v>6.6638398598177051E-2</v>
      </c>
      <c r="G67" s="653">
        <f t="shared" ca="1" si="2"/>
        <v>3.5774064537786288E-3</v>
      </c>
      <c r="H67" s="653">
        <f t="shared" ca="1" si="2"/>
        <v>6.5402413732485939E-2</v>
      </c>
    </row>
    <row r="68" spans="1:11" x14ac:dyDescent="0.25">
      <c r="A68" s="241"/>
      <c r="B68" s="418"/>
      <c r="C68" s="418"/>
      <c r="D68" s="418"/>
      <c r="E68" s="418"/>
      <c r="F68" s="418"/>
      <c r="G68" s="418"/>
      <c r="H68" s="418"/>
    </row>
    <row r="69" spans="1:11" ht="15.75" thickBot="1" x14ac:dyDescent="0.3"/>
    <row r="70" spans="1:11" ht="16.5" thickBot="1" x14ac:dyDescent="0.3">
      <c r="A70" s="919" t="s">
        <v>2792</v>
      </c>
      <c r="B70" s="920"/>
      <c r="C70" s="921"/>
      <c r="H70" s="411"/>
    </row>
    <row r="71" spans="1:11" x14ac:dyDescent="0.25">
      <c r="K71" s="413"/>
    </row>
    <row r="72" spans="1:11" x14ac:dyDescent="0.25">
      <c r="A72" s="406" t="s">
        <v>2750</v>
      </c>
      <c r="K72" s="413"/>
    </row>
    <row r="73" spans="1:11" x14ac:dyDescent="0.25">
      <c r="A73" s="407" t="s">
        <v>3241</v>
      </c>
      <c r="K73" s="413"/>
    </row>
    <row r="74" spans="1:11" x14ac:dyDescent="0.25">
      <c r="K74" s="413"/>
    </row>
    <row r="75" spans="1:11" x14ac:dyDescent="0.25">
      <c r="B75" s="917" t="str">
        <f>$B$4&amp;" After Oil Device Upgrades (tons/episodic day)"</f>
        <v>2019 After Oil Device Upgrades (tons/episodic day)</v>
      </c>
      <c r="C75" s="917"/>
      <c r="D75" s="917"/>
      <c r="E75" s="917"/>
      <c r="F75" s="917"/>
      <c r="G75" s="917"/>
      <c r="H75" s="917"/>
      <c r="K75" s="413"/>
    </row>
    <row r="76" spans="1:11" x14ac:dyDescent="0.25">
      <c r="A76" s="9" t="s">
        <v>1889</v>
      </c>
      <c r="B76" s="44" t="s">
        <v>2143</v>
      </c>
      <c r="C76" s="44" t="s">
        <v>2144</v>
      </c>
      <c r="D76" s="612" t="s">
        <v>2145</v>
      </c>
      <c r="E76" s="44" t="s">
        <v>2146</v>
      </c>
      <c r="F76" s="609" t="s">
        <v>2147</v>
      </c>
      <c r="G76" s="44" t="s">
        <v>2148</v>
      </c>
      <c r="H76" s="44" t="s">
        <v>2149</v>
      </c>
      <c r="K76" s="413"/>
    </row>
    <row r="77" spans="1:11" x14ac:dyDescent="0.25">
      <c r="A77" t="str">
        <f>"Residential Oil, "&amp;TEXT($B$5,"0%")&amp;" Annual Penetration"</f>
        <v>Residential Oil, 3% Annual Penetration</v>
      </c>
      <c r="B77" s="649">
        <f ca="1">B65/$H$38*$B$5+B65*(1-$B$5)</f>
        <v>8.0139167165921024E-2</v>
      </c>
      <c r="C77" s="649">
        <f ca="1">C65/$H$38*$B$5+C65*(1-$B$5)</f>
        <v>1.2607012570852689</v>
      </c>
      <c r="D77" s="650">
        <f ca="1">D65/$H$38*$B$5+D65*(1-$B$5)</f>
        <v>3.2485674565382192</v>
      </c>
      <c r="E77" s="649">
        <f ca="1">E65*(1-$H$37)*$B$5+E65*(1-$B$5)</f>
        <v>5.0970155387744701E-2</v>
      </c>
      <c r="F77" s="651">
        <f ca="1">F65*(1-$H$37)*$B$5+F65*(1-$B$5)</f>
        <v>5.0970155387744701E-2</v>
      </c>
      <c r="G77" s="649">
        <f ca="1">G65/$H$38*$B$5+G65*(1-$B$5)</f>
        <v>2.7533293841742667E-3</v>
      </c>
      <c r="H77" s="649">
        <f ca="1">H65/$H$38*$B$5+H65*(1-$B$5)</f>
        <v>5.0336574792996441E-2</v>
      </c>
      <c r="K77" s="413"/>
    </row>
    <row r="78" spans="1:11" x14ac:dyDescent="0.25">
      <c r="A78" s="648" t="s">
        <v>2791</v>
      </c>
      <c r="B78" s="652">
        <f ca="1">B66</f>
        <v>2.3865897766536782E-2</v>
      </c>
      <c r="C78" s="652">
        <f t="shared" ref="C78:H78" ca="1" si="3">C66</f>
        <v>0.60250513295604802</v>
      </c>
      <c r="D78" s="652">
        <f t="shared" ca="1" si="3"/>
        <v>0.42587740597924367</v>
      </c>
      <c r="E78" s="652">
        <f t="shared" ca="1" si="3"/>
        <v>1.5283449789640089E-2</v>
      </c>
      <c r="F78" s="652">
        <f t="shared" ca="1" si="3"/>
        <v>1.5283449789640089E-2</v>
      </c>
      <c r="G78" s="652">
        <f t="shared" ca="1" si="3"/>
        <v>8.1995708121419093E-4</v>
      </c>
      <c r="H78" s="652">
        <f t="shared" ca="1" si="3"/>
        <v>1.4990517002005318E-2</v>
      </c>
      <c r="K78" s="413"/>
    </row>
    <row r="79" spans="1:11" x14ac:dyDescent="0.25">
      <c r="A79" s="241" t="s">
        <v>2515</v>
      </c>
      <c r="B79" s="653">
        <f t="shared" ref="B79:H79" ca="1" si="4">SUM(B77:B78)</f>
        <v>0.10400506493245781</v>
      </c>
      <c r="C79" s="653">
        <f t="shared" ca="1" si="4"/>
        <v>1.8632063900413169</v>
      </c>
      <c r="D79" s="654">
        <f t="shared" ca="1" si="4"/>
        <v>3.6744448625174631</v>
      </c>
      <c r="E79" s="653">
        <f t="shared" ca="1" si="4"/>
        <v>6.6253605177384794E-2</v>
      </c>
      <c r="F79" s="655">
        <f t="shared" ca="1" si="4"/>
        <v>6.6253605177384794E-2</v>
      </c>
      <c r="G79" s="653">
        <f t="shared" ca="1" si="4"/>
        <v>3.5732864653884575E-3</v>
      </c>
      <c r="H79" s="653">
        <f t="shared" ca="1" si="4"/>
        <v>6.5327091795001763E-2</v>
      </c>
      <c r="K79" s="413"/>
    </row>
    <row r="80" spans="1:11" x14ac:dyDescent="0.25">
      <c r="B80" s="1"/>
      <c r="D80" s="136"/>
      <c r="E80" s="420"/>
      <c r="F80" s="419"/>
      <c r="K80" s="413"/>
    </row>
    <row r="81" spans="1:13" ht="15.75" thickBot="1" x14ac:dyDescent="0.3">
      <c r="K81" s="413"/>
    </row>
    <row r="82" spans="1:13" ht="16.5" thickBot="1" x14ac:dyDescent="0.3">
      <c r="A82" s="421" t="s">
        <v>3187</v>
      </c>
      <c r="B82" s="422"/>
      <c r="C82" s="423"/>
      <c r="K82" s="413"/>
    </row>
    <row r="83" spans="1:13" ht="15.75" x14ac:dyDescent="0.25">
      <c r="A83" s="424"/>
    </row>
    <row r="84" spans="1:13" ht="15.75" x14ac:dyDescent="0.25">
      <c r="A84" s="424"/>
      <c r="B84" s="917" t="s">
        <v>4182</v>
      </c>
      <c r="C84" s="917"/>
      <c r="D84" s="917"/>
      <c r="E84" s="917"/>
      <c r="F84" s="917"/>
      <c r="G84" s="917"/>
      <c r="H84" s="917"/>
      <c r="I84" s="2" t="s">
        <v>3188</v>
      </c>
    </row>
    <row r="85" spans="1:13" x14ac:dyDescent="0.25">
      <c r="A85" s="44" t="s">
        <v>3182</v>
      </c>
      <c r="B85" s="44" t="s">
        <v>2143</v>
      </c>
      <c r="C85" s="44" t="s">
        <v>2144</v>
      </c>
      <c r="D85" s="517" t="s">
        <v>2145</v>
      </c>
      <c r="E85" s="44" t="s">
        <v>2146</v>
      </c>
      <c r="F85" s="610" t="s">
        <v>2147</v>
      </c>
      <c r="G85" s="44" t="s">
        <v>2148</v>
      </c>
      <c r="H85" s="44" t="s">
        <v>2149</v>
      </c>
      <c r="I85" s="44" t="s">
        <v>21</v>
      </c>
    </row>
    <row r="86" spans="1:13" x14ac:dyDescent="0.25">
      <c r="A86" s="2">
        <f>$B$4+I86-1</f>
        <v>2019</v>
      </c>
      <c r="B86" s="656">
        <f t="shared" ref="B86:H92" ca="1" si="5">(B$67-B$79)*$I86*Ep2Ann*365</f>
        <v>2.1122826625296111E-2</v>
      </c>
      <c r="C86" s="656">
        <f t="shared" ca="1" si="5"/>
        <v>0.33229162495000936</v>
      </c>
      <c r="D86" s="654">
        <f t="shared" ca="1" si="5"/>
        <v>0.8562470710853245</v>
      </c>
      <c r="E86" s="656">
        <f t="shared" ca="1" si="5"/>
        <v>6.7779291515174298E-2</v>
      </c>
      <c r="F86" s="655">
        <f t="shared" ca="1" si="5"/>
        <v>6.7779291515174298E-2</v>
      </c>
      <c r="G86" s="656">
        <f t="shared" ca="1" si="5"/>
        <v>7.2571379614963418E-4</v>
      </c>
      <c r="H86" s="656">
        <f t="shared" ca="1" si="5"/>
        <v>1.3267554179373567E-2</v>
      </c>
      <c r="I86" s="2">
        <v>1</v>
      </c>
      <c r="M86" s="413" t="s">
        <v>3243</v>
      </c>
    </row>
    <row r="87" spans="1:13" x14ac:dyDescent="0.25">
      <c r="A87" s="2">
        <f t="shared" ref="A87:A92" si="6">$B$4+I87-1</f>
        <v>2020</v>
      </c>
      <c r="B87" s="656">
        <f t="shared" ca="1" si="5"/>
        <v>4.2245653250592222E-2</v>
      </c>
      <c r="C87" s="656">
        <f t="shared" ca="1" si="5"/>
        <v>0.66458324990001871</v>
      </c>
      <c r="D87" s="654">
        <f t="shared" ca="1" si="5"/>
        <v>1.712494142170649</v>
      </c>
      <c r="E87" s="656">
        <f t="shared" ca="1" si="5"/>
        <v>0.1355585830303486</v>
      </c>
      <c r="F87" s="655">
        <f t="shared" ca="1" si="5"/>
        <v>0.1355585830303486</v>
      </c>
      <c r="G87" s="656">
        <f t="shared" ca="1" si="5"/>
        <v>1.4514275922992684E-3</v>
      </c>
      <c r="H87" s="656">
        <f t="shared" ca="1" si="5"/>
        <v>2.6535108358747134E-2</v>
      </c>
      <c r="I87" s="2">
        <v>2</v>
      </c>
    </row>
    <row r="88" spans="1:13" x14ac:dyDescent="0.25">
      <c r="A88" s="2">
        <f t="shared" si="6"/>
        <v>2021</v>
      </c>
      <c r="B88" s="656">
        <f t="shared" ca="1" si="5"/>
        <v>6.3368479875888339E-2</v>
      </c>
      <c r="C88" s="656">
        <f t="shared" ca="1" si="5"/>
        <v>0.99687487485002813</v>
      </c>
      <c r="D88" s="654">
        <f t="shared" ca="1" si="5"/>
        <v>2.5687412132559735</v>
      </c>
      <c r="E88" s="656">
        <f t="shared" ca="1" si="5"/>
        <v>0.20333787454552291</v>
      </c>
      <c r="F88" s="655">
        <f t="shared" ca="1" si="5"/>
        <v>0.20333787454552291</v>
      </c>
      <c r="G88" s="656">
        <f t="shared" ca="1" si="5"/>
        <v>2.1771413884489024E-3</v>
      </c>
      <c r="H88" s="656">
        <f t="shared" ca="1" si="5"/>
        <v>3.9802662538120696E-2</v>
      </c>
      <c r="I88" s="2">
        <v>3</v>
      </c>
    </row>
    <row r="89" spans="1:13" x14ac:dyDescent="0.25">
      <c r="A89" s="2">
        <f t="shared" si="6"/>
        <v>2022</v>
      </c>
      <c r="B89" s="656">
        <f t="shared" ca="1" si="5"/>
        <v>8.4491306501184443E-2</v>
      </c>
      <c r="C89" s="656">
        <f t="shared" ca="1" si="5"/>
        <v>1.3291664998000374</v>
      </c>
      <c r="D89" s="654">
        <f t="shared" ca="1" si="5"/>
        <v>3.424988284341298</v>
      </c>
      <c r="E89" s="656">
        <f t="shared" ca="1" si="5"/>
        <v>0.27111716606069719</v>
      </c>
      <c r="F89" s="655">
        <f t="shared" ca="1" si="5"/>
        <v>0.27111716606069719</v>
      </c>
      <c r="G89" s="656">
        <f t="shared" ca="1" si="5"/>
        <v>2.9028551845985367E-3</v>
      </c>
      <c r="H89" s="656">
        <f t="shared" ca="1" si="5"/>
        <v>5.3070216717494269E-2</v>
      </c>
      <c r="I89" s="2">
        <v>4</v>
      </c>
    </row>
    <row r="90" spans="1:13" x14ac:dyDescent="0.25">
      <c r="A90" s="2">
        <f t="shared" si="6"/>
        <v>2023</v>
      </c>
      <c r="B90" s="656">
        <f t="shared" ca="1" si="5"/>
        <v>0.10561413312648055</v>
      </c>
      <c r="C90" s="656">
        <f t="shared" ca="1" si="5"/>
        <v>1.6614581247500468</v>
      </c>
      <c r="D90" s="654">
        <f t="shared" ca="1" si="5"/>
        <v>4.2812353554266229</v>
      </c>
      <c r="E90" s="656">
        <f t="shared" ca="1" si="5"/>
        <v>0.3388964575758715</v>
      </c>
      <c r="F90" s="655">
        <f t="shared" ca="1" si="5"/>
        <v>0.3388964575758715</v>
      </c>
      <c r="G90" s="656">
        <f t="shared" ca="1" si="5"/>
        <v>3.628568980748171E-3</v>
      </c>
      <c r="H90" s="656">
        <f t="shared" ca="1" si="5"/>
        <v>6.6337770896867834E-2</v>
      </c>
      <c r="I90" s="2">
        <v>5</v>
      </c>
    </row>
    <row r="91" spans="1:13" x14ac:dyDescent="0.25">
      <c r="A91" s="2">
        <f t="shared" si="6"/>
        <v>2024</v>
      </c>
      <c r="B91" s="656">
        <f t="shared" ca="1" si="5"/>
        <v>0.12673695975177668</v>
      </c>
      <c r="C91" s="656">
        <f t="shared" ca="1" si="5"/>
        <v>1.9937497497000563</v>
      </c>
      <c r="D91" s="654">
        <f t="shared" ca="1" si="5"/>
        <v>5.137482426511947</v>
      </c>
      <c r="E91" s="656">
        <f t="shared" ca="1" si="5"/>
        <v>0.40667574909104581</v>
      </c>
      <c r="F91" s="655">
        <f t="shared" ca="1" si="5"/>
        <v>0.40667574909104581</v>
      </c>
      <c r="G91" s="656">
        <f t="shared" ca="1" si="5"/>
        <v>4.3542827768978049E-3</v>
      </c>
      <c r="H91" s="656">
        <f t="shared" ca="1" si="5"/>
        <v>7.9605325076241393E-2</v>
      </c>
      <c r="I91" s="2">
        <v>6</v>
      </c>
    </row>
    <row r="92" spans="1:13" x14ac:dyDescent="0.25">
      <c r="A92" s="2">
        <f t="shared" si="6"/>
        <v>2025</v>
      </c>
      <c r="B92" s="656">
        <f t="shared" ca="1" si="5"/>
        <v>0.14785978637707275</v>
      </c>
      <c r="C92" s="656">
        <f t="shared" ca="1" si="5"/>
        <v>2.3260413746500657</v>
      </c>
      <c r="D92" s="654">
        <f t="shared" ca="1" si="5"/>
        <v>5.9937294975972719</v>
      </c>
      <c r="E92" s="656">
        <f t="shared" ca="1" si="5"/>
        <v>0.47445504060622012</v>
      </c>
      <c r="F92" s="655">
        <f t="shared" ca="1" si="5"/>
        <v>0.47445504060622012</v>
      </c>
      <c r="G92" s="656">
        <f t="shared" ca="1" si="5"/>
        <v>5.0799965730474392E-3</v>
      </c>
      <c r="H92" s="656">
        <f t="shared" ca="1" si="5"/>
        <v>9.2872879255614965E-2</v>
      </c>
      <c r="I92" s="2">
        <v>7</v>
      </c>
    </row>
    <row r="95" spans="1:13" ht="15.75" x14ac:dyDescent="0.25">
      <c r="A95" s="424" t="s">
        <v>3248</v>
      </c>
    </row>
    <row r="96" spans="1:13" ht="15.75" x14ac:dyDescent="0.25">
      <c r="A96" s="424"/>
    </row>
    <row r="97" spans="1:17" x14ac:dyDescent="0.25">
      <c r="A97" s="407" t="s">
        <v>4133</v>
      </c>
    </row>
    <row r="98" spans="1:17" ht="15.75" thickBot="1" x14ac:dyDescent="0.3"/>
    <row r="99" spans="1:17" ht="16.5" thickBot="1" x14ac:dyDescent="0.3">
      <c r="A99" s="919" t="s">
        <v>2776</v>
      </c>
      <c r="B99" s="920"/>
      <c r="C99" s="921"/>
    </row>
    <row r="100" spans="1:17" ht="15.75" x14ac:dyDescent="0.25">
      <c r="A100" s="627"/>
      <c r="B100" s="627"/>
      <c r="C100" s="627"/>
      <c r="K100" s="273"/>
    </row>
    <row r="101" spans="1:17" x14ac:dyDescent="0.25">
      <c r="A101" t="s">
        <v>4134</v>
      </c>
      <c r="C101" s="114">
        <f ca="1">E53</f>
        <v>14560.538182510903</v>
      </c>
      <c r="D101" t="s">
        <v>4183</v>
      </c>
      <c r="K101" s="273"/>
    </row>
    <row r="102" spans="1:17" x14ac:dyDescent="0.25">
      <c r="A102" t="s">
        <v>4135</v>
      </c>
      <c r="C102" s="114">
        <f ca="1">OFFSET(Devices!$B$28,0,MATCH($B$4,Devices!$C$5:$R$5,0))+OFFSET(Devices!$B$28,1,MATCH($B$4,Devices!$C$5:$R$5,0))+OFFSET(Devices!$B$28,2,MATCH($B$4,Devices!$C$5:$R$5,0))</f>
        <v>33681.273916994272</v>
      </c>
      <c r="D102" t="s">
        <v>4136</v>
      </c>
      <c r="K102" s="273"/>
    </row>
    <row r="103" spans="1:17" x14ac:dyDescent="0.25">
      <c r="A103" t="s">
        <v>4137</v>
      </c>
      <c r="C103" s="11">
        <f ca="1">C101/C102</f>
        <v>0.43230366578160268</v>
      </c>
      <c r="D103" t="s">
        <v>4184</v>
      </c>
    </row>
    <row r="104" spans="1:17" x14ac:dyDescent="0.25">
      <c r="A104" t="s">
        <v>4139</v>
      </c>
      <c r="C104" s="114">
        <f ca="1">ROUND(B5*C102,0)</f>
        <v>1123</v>
      </c>
      <c r="D104" t="s">
        <v>4140</v>
      </c>
    </row>
    <row r="106" spans="1:17" x14ac:dyDescent="0.25">
      <c r="A106" s="670"/>
      <c r="C106" s="2" t="s">
        <v>3284</v>
      </c>
      <c r="F106" s="1" t="s">
        <v>2979</v>
      </c>
      <c r="K106" s="917" t="s">
        <v>4187</v>
      </c>
      <c r="L106" s="917"/>
      <c r="Q106" s="1"/>
    </row>
    <row r="107" spans="1:17" x14ac:dyDescent="0.25">
      <c r="C107" s="2" t="s">
        <v>4185</v>
      </c>
      <c r="D107" s="1"/>
      <c r="F107" s="1" t="s">
        <v>2975</v>
      </c>
      <c r="I107" s="917" t="s">
        <v>3289</v>
      </c>
      <c r="J107" s="917"/>
      <c r="K107" s="1" t="s">
        <v>3301</v>
      </c>
      <c r="L107" s="1" t="s">
        <v>68</v>
      </c>
      <c r="N107" s="917"/>
      <c r="O107" s="917"/>
      <c r="P107" s="1"/>
    </row>
    <row r="108" spans="1:17" x14ac:dyDescent="0.25">
      <c r="A108" s="9" t="s">
        <v>2463</v>
      </c>
      <c r="B108" s="44" t="s">
        <v>2793</v>
      </c>
      <c r="C108" s="44" t="s">
        <v>3394</v>
      </c>
      <c r="D108" s="918" t="s">
        <v>1889</v>
      </c>
      <c r="E108" s="918"/>
      <c r="F108" s="743" t="s">
        <v>4142</v>
      </c>
      <c r="G108" s="918" t="s">
        <v>4186</v>
      </c>
      <c r="H108" s="918"/>
      <c r="I108" s="701" t="s">
        <v>3252</v>
      </c>
      <c r="J108" s="9" t="s">
        <v>2072</v>
      </c>
      <c r="K108" s="701" t="s">
        <v>2236</v>
      </c>
      <c r="L108" s="701" t="s">
        <v>2793</v>
      </c>
      <c r="N108" s="665"/>
      <c r="O108" s="665"/>
      <c r="P108" s="665"/>
      <c r="Q108" s="665"/>
    </row>
    <row r="109" spans="1:17" x14ac:dyDescent="0.25">
      <c r="A109" t="s">
        <v>4138</v>
      </c>
      <c r="B109" s="114">
        <f ca="1">C104</f>
        <v>1123</v>
      </c>
      <c r="C109" s="692">
        <f ca="1">C103</f>
        <v>0.43230366578160268</v>
      </c>
      <c r="D109" s="930" t="s">
        <v>4141</v>
      </c>
      <c r="E109" s="930"/>
      <c r="F109" s="678">
        <f>CostData!$S$12/10^6</f>
        <v>0.13500000000000001</v>
      </c>
      <c r="G109" s="114">
        <f ca="1">C109/F109*365</f>
        <v>1168.8210222984071</v>
      </c>
      <c r="H109" t="s">
        <v>3533</v>
      </c>
      <c r="I109" s="674">
        <f ca="1">HLOOKUP($B$4,CostData!$G$8:$L$9,2,FALSE)</f>
        <v>2.8910476436685228</v>
      </c>
      <c r="J109" s="674" t="str">
        <f>CostData!F9</f>
        <v>/gal</v>
      </c>
      <c r="K109" s="676">
        <f ca="1">G109*I109</f>
        <v>3379.1172623860439</v>
      </c>
      <c r="L109" s="694">
        <f ca="1">K109*B109</f>
        <v>3794748.6856595273</v>
      </c>
      <c r="N109" s="664"/>
      <c r="O109" s="664"/>
      <c r="P109" s="676"/>
      <c r="Q109" s="694"/>
    </row>
    <row r="110" spans="1:17" ht="15.75" thickBot="1" x14ac:dyDescent="0.3">
      <c r="Q110" s="1"/>
    </row>
    <row r="111" spans="1:17" ht="16.5" thickBot="1" x14ac:dyDescent="0.3">
      <c r="A111" s="919" t="s">
        <v>2792</v>
      </c>
      <c r="B111" s="920"/>
      <c r="C111" s="921"/>
    </row>
    <row r="113" spans="1:17" x14ac:dyDescent="0.25">
      <c r="A113" t="s">
        <v>4143</v>
      </c>
      <c r="C113" s="799">
        <f>1-(1/H38)</f>
        <v>4.4823906083244491E-2</v>
      </c>
      <c r="D113" s="411" t="s">
        <v>4271</v>
      </c>
    </row>
    <row r="114" spans="1:17" x14ac:dyDescent="0.25">
      <c r="D114" t="s">
        <v>4145</v>
      </c>
    </row>
    <row r="115" spans="1:17" x14ac:dyDescent="0.25">
      <c r="A115" t="s">
        <v>4137</v>
      </c>
      <c r="C115" s="11">
        <f ca="1">C103*(1-C113)</f>
        <v>0.41292612686716579</v>
      </c>
      <c r="D115" t="s">
        <v>4184</v>
      </c>
    </row>
    <row r="117" spans="1:17" x14ac:dyDescent="0.25">
      <c r="A117" s="670"/>
      <c r="C117" s="2" t="s">
        <v>3284</v>
      </c>
      <c r="F117" s="1" t="s">
        <v>2979</v>
      </c>
      <c r="K117" s="917" t="s">
        <v>4187</v>
      </c>
      <c r="L117" s="917"/>
      <c r="Q117" s="1"/>
    </row>
    <row r="118" spans="1:17" x14ac:dyDescent="0.25">
      <c r="C118" s="2" t="s">
        <v>4185</v>
      </c>
      <c r="D118" s="1"/>
      <c r="F118" s="1" t="s">
        <v>2975</v>
      </c>
      <c r="I118" s="917" t="s">
        <v>3289</v>
      </c>
      <c r="J118" s="917"/>
      <c r="K118" s="1" t="s">
        <v>3301</v>
      </c>
      <c r="L118" s="1" t="s">
        <v>68</v>
      </c>
      <c r="N118" s="917"/>
      <c r="O118" s="917"/>
      <c r="P118" s="1"/>
    </row>
    <row r="119" spans="1:17" x14ac:dyDescent="0.25">
      <c r="A119" s="9" t="s">
        <v>2463</v>
      </c>
      <c r="B119" s="44" t="s">
        <v>2793</v>
      </c>
      <c r="C119" s="44" t="s">
        <v>3394</v>
      </c>
      <c r="D119" s="918" t="s">
        <v>1889</v>
      </c>
      <c r="E119" s="918"/>
      <c r="F119" s="743" t="s">
        <v>4142</v>
      </c>
      <c r="G119" s="918" t="s">
        <v>4186</v>
      </c>
      <c r="H119" s="918"/>
      <c r="I119" s="701" t="s">
        <v>3252</v>
      </c>
      <c r="J119" s="9" t="s">
        <v>2072</v>
      </c>
      <c r="K119" s="701" t="s">
        <v>2236</v>
      </c>
      <c r="L119" s="701" t="s">
        <v>2793</v>
      </c>
      <c r="N119" s="665"/>
      <c r="O119" s="665"/>
      <c r="P119" s="665"/>
      <c r="Q119" s="665"/>
    </row>
    <row r="120" spans="1:17" x14ac:dyDescent="0.25">
      <c r="A120" t="s">
        <v>4138</v>
      </c>
      <c r="B120" s="114">
        <f ca="1">B109</f>
        <v>1123</v>
      </c>
      <c r="C120" s="692">
        <f ca="1">C115</f>
        <v>0.41292612686716579</v>
      </c>
      <c r="D120" s="930" t="s">
        <v>4141</v>
      </c>
      <c r="E120" s="930"/>
      <c r="F120" s="794">
        <f>CostData!$S$12/10^6</f>
        <v>0.13500000000000001</v>
      </c>
      <c r="G120" s="114">
        <f ca="1">C120/F120*365</f>
        <v>1116.4298985667815</v>
      </c>
      <c r="H120" t="s">
        <v>3533</v>
      </c>
      <c r="I120" s="674">
        <f ca="1">HLOOKUP($B$4,CostData!$G$8:$L$9,2,FALSE)</f>
        <v>2.8910476436685228</v>
      </c>
      <c r="J120" s="674" t="str">
        <f>CostData!F20</f>
        <v>Cost</v>
      </c>
      <c r="K120" s="676">
        <f ca="1">G120*I120</f>
        <v>3227.6520275725816</v>
      </c>
      <c r="L120" s="694">
        <f ca="1">K120*B120</f>
        <v>3624653.226964009</v>
      </c>
      <c r="N120" s="664"/>
      <c r="O120" s="664"/>
      <c r="P120" s="676"/>
      <c r="Q120" s="694"/>
    </row>
    <row r="122" spans="1:17" x14ac:dyDescent="0.25">
      <c r="A122" t="s">
        <v>4146</v>
      </c>
    </row>
    <row r="123" spans="1:17" x14ac:dyDescent="0.25">
      <c r="I123" s="1"/>
    </row>
    <row r="124" spans="1:17" x14ac:dyDescent="0.25">
      <c r="A124" t="s">
        <v>4148</v>
      </c>
      <c r="C124" s="723">
        <v>1300</v>
      </c>
      <c r="D124" s="411" t="s">
        <v>4149</v>
      </c>
      <c r="I124" s="1"/>
    </row>
    <row r="125" spans="1:17" x14ac:dyDescent="0.25">
      <c r="A125" t="s">
        <v>4150</v>
      </c>
      <c r="C125" s="723">
        <v>555</v>
      </c>
      <c r="D125" s="411" t="s">
        <v>4149</v>
      </c>
      <c r="I125" s="1"/>
    </row>
    <row r="126" spans="1:17" x14ac:dyDescent="0.25">
      <c r="A126" t="s">
        <v>4151</v>
      </c>
      <c r="C126" s="793">
        <v>600</v>
      </c>
      <c r="D126" s="411" t="s">
        <v>4149</v>
      </c>
      <c r="I126" s="1"/>
    </row>
    <row r="127" spans="1:17" x14ac:dyDescent="0.25">
      <c r="B127" t="s">
        <v>2462</v>
      </c>
      <c r="C127" s="723">
        <f>SUM(C124:C126)</f>
        <v>2455</v>
      </c>
      <c r="D127" s="411"/>
      <c r="I127" s="1"/>
    </row>
    <row r="128" spans="1:17" x14ac:dyDescent="0.25">
      <c r="C128" s="723"/>
      <c r="D128" s="411"/>
      <c r="I128" s="1"/>
    </row>
    <row r="129" spans="1:9" x14ac:dyDescent="0.25">
      <c r="A129" t="s">
        <v>4152</v>
      </c>
      <c r="C129" s="723">
        <v>12000</v>
      </c>
      <c r="D129" s="411" t="s">
        <v>4149</v>
      </c>
      <c r="I129" s="1"/>
    </row>
    <row r="130" spans="1:9" x14ac:dyDescent="0.25">
      <c r="C130" s="723"/>
      <c r="D130" s="411"/>
      <c r="I130" s="1"/>
    </row>
    <row r="131" spans="1:9" x14ac:dyDescent="0.25">
      <c r="A131" t="s">
        <v>4153</v>
      </c>
      <c r="C131" s="723">
        <f>GEOMEAN(C127,C129)</f>
        <v>5427.7066980447644</v>
      </c>
      <c r="D131" s="411" t="s">
        <v>4156</v>
      </c>
      <c r="I131" s="1"/>
    </row>
    <row r="132" spans="1:9" x14ac:dyDescent="0.25">
      <c r="H132" s="2" t="s">
        <v>2783</v>
      </c>
    </row>
    <row r="133" spans="1:9" x14ac:dyDescent="0.25">
      <c r="A133" s="670"/>
      <c r="G133" s="1" t="s">
        <v>3252</v>
      </c>
      <c r="H133" s="2" t="s">
        <v>3298</v>
      </c>
    </row>
    <row r="134" spans="1:9" x14ac:dyDescent="0.25">
      <c r="C134" s="917" t="s">
        <v>4154</v>
      </c>
      <c r="D134" s="917"/>
      <c r="F134" s="1"/>
      <c r="G134" s="1" t="s">
        <v>4155</v>
      </c>
      <c r="H134" s="2" t="s">
        <v>3252</v>
      </c>
    </row>
    <row r="135" spans="1:9" x14ac:dyDescent="0.25">
      <c r="A135" s="9" t="s">
        <v>3019</v>
      </c>
      <c r="B135" s="44" t="s">
        <v>3299</v>
      </c>
      <c r="C135" s="800" t="s">
        <v>3361</v>
      </c>
      <c r="D135" s="44" t="s">
        <v>2497</v>
      </c>
      <c r="E135" s="918" t="s">
        <v>3277</v>
      </c>
      <c r="F135" s="918"/>
      <c r="G135" s="701" t="s">
        <v>2794</v>
      </c>
      <c r="H135" s="701" t="s">
        <v>2497</v>
      </c>
    </row>
    <row r="136" spans="1:9" x14ac:dyDescent="0.25">
      <c r="A136" t="s">
        <v>4147</v>
      </c>
      <c r="B136" s="114">
        <f ca="1">B120</f>
        <v>1123</v>
      </c>
      <c r="C136" s="723">
        <f>C131</f>
        <v>5427.7066980447644</v>
      </c>
      <c r="D136" s="690">
        <f ca="1">B136*C136</f>
        <v>6095314.6219042707</v>
      </c>
      <c r="E136" s="664">
        <v>30</v>
      </c>
      <c r="F136" s="664" t="s">
        <v>3295</v>
      </c>
      <c r="G136" s="794">
        <f>(CRR*(1+CRR)^E136)/((1+CRR)^E136-1)</f>
        <v>6.8805389679389581E-2</v>
      </c>
      <c r="H136" s="664">
        <f ca="1">D136*G136</f>
        <v>419390.49777860451</v>
      </c>
    </row>
    <row r="138" spans="1:9" x14ac:dyDescent="0.25">
      <c r="B138" s="2" t="s">
        <v>2783</v>
      </c>
      <c r="C138" s="2" t="s">
        <v>2783</v>
      </c>
    </row>
    <row r="139" spans="1:9" x14ac:dyDescent="0.25">
      <c r="B139" s="2" t="s">
        <v>19</v>
      </c>
      <c r="C139" s="2" t="s">
        <v>3281</v>
      </c>
    </row>
    <row r="140" spans="1:9" x14ac:dyDescent="0.25">
      <c r="B140" s="520" t="s">
        <v>3252</v>
      </c>
      <c r="C140" s="520" t="s">
        <v>3252</v>
      </c>
    </row>
    <row r="141" spans="1:9" x14ac:dyDescent="0.25">
      <c r="B141" s="2" t="s">
        <v>4348</v>
      </c>
      <c r="C141" s="2" t="s">
        <v>4348</v>
      </c>
    </row>
    <row r="142" spans="1:9" x14ac:dyDescent="0.25">
      <c r="B142" s="169" t="s">
        <v>2622</v>
      </c>
      <c r="C142" s="169" t="s">
        <v>2622</v>
      </c>
    </row>
    <row r="143" spans="1:9" x14ac:dyDescent="0.25">
      <c r="B143" s="666">
        <f>IF(B142="Low",CostData!$W$11,IF(B142="Medium",CostData!$W$12,IF(B142="High",CostData!$W$13,0)))</f>
        <v>83679.330034933198</v>
      </c>
      <c r="C143" s="666">
        <f>IF(C142="Low",CostData!$W$27,IF(C142="Medium",CostData!$W$28,IF(C142="High",CostData!$W$29,0)))</f>
        <v>141629</v>
      </c>
    </row>
    <row r="145" spans="1:4" x14ac:dyDescent="0.25">
      <c r="A145" s="241" t="s">
        <v>3256</v>
      </c>
    </row>
    <row r="147" spans="1:4" x14ac:dyDescent="0.25">
      <c r="A147" t="s">
        <v>3304</v>
      </c>
      <c r="C147" s="693">
        <f ca="1">L109</f>
        <v>3794748.6856595273</v>
      </c>
      <c r="D147" s="411" t="s">
        <v>3358</v>
      </c>
    </row>
    <row r="149" spans="1:4" x14ac:dyDescent="0.25">
      <c r="A149" t="s">
        <v>3303</v>
      </c>
      <c r="C149" s="693">
        <f ca="1">L120+H136+B143+C143</f>
        <v>4269352.0547775468</v>
      </c>
      <c r="D149" s="411" t="s">
        <v>3358</v>
      </c>
    </row>
    <row r="151" spans="1:4" x14ac:dyDescent="0.25">
      <c r="A151" t="s">
        <v>3305</v>
      </c>
      <c r="C151" s="688">
        <f ca="1">C149-C147</f>
        <v>474603.36911801947</v>
      </c>
      <c r="D151" s="411" t="s">
        <v>3358</v>
      </c>
    </row>
    <row r="153" spans="1:4" x14ac:dyDescent="0.25">
      <c r="A153" t="s">
        <v>3270</v>
      </c>
      <c r="C153" s="653">
        <f ca="1">F$86</f>
        <v>6.7779291515174298E-2</v>
      </c>
      <c r="D153" t="str">
        <f>"tons/year - "&amp;$B$4</f>
        <v>tons/year - 2019</v>
      </c>
    </row>
    <row r="154" spans="1:4" x14ac:dyDescent="0.25">
      <c r="A154" t="s">
        <v>3547</v>
      </c>
      <c r="C154" s="653">
        <f ca="1">D$86</f>
        <v>0.8562470710853245</v>
      </c>
      <c r="D154" t="str">
        <f>"tons/year - "&amp;$B$4</f>
        <v>tons/year - 2019</v>
      </c>
    </row>
    <row r="156" spans="1:4" x14ac:dyDescent="0.25">
      <c r="A156" t="s">
        <v>3306</v>
      </c>
      <c r="C156" s="712">
        <f ca="1">C$151/C153</f>
        <v>7002188.4045773214</v>
      </c>
      <c r="D156" s="411" t="s">
        <v>3271</v>
      </c>
    </row>
    <row r="157" spans="1:4" x14ac:dyDescent="0.25">
      <c r="C157" s="712">
        <f ca="1">C$151/C154</f>
        <v>554283.20299705362</v>
      </c>
      <c r="D157" s="411" t="s">
        <v>3548</v>
      </c>
    </row>
  </sheetData>
  <mergeCells count="29">
    <mergeCell ref="B75:H75"/>
    <mergeCell ref="B84:H84"/>
    <mergeCell ref="A99:C99"/>
    <mergeCell ref="A41:C41"/>
    <mergeCell ref="A1:I1"/>
    <mergeCell ref="A7:H7"/>
    <mergeCell ref="B17:C17"/>
    <mergeCell ref="B23:H23"/>
    <mergeCell ref="A29:H29"/>
    <mergeCell ref="B49:F49"/>
    <mergeCell ref="B50:F50"/>
    <mergeCell ref="B58:H58"/>
    <mergeCell ref="B63:H63"/>
    <mergeCell ref="A70:C70"/>
    <mergeCell ref="C134:D134"/>
    <mergeCell ref="E135:F135"/>
    <mergeCell ref="K106:L106"/>
    <mergeCell ref="I107:J107"/>
    <mergeCell ref="N107:O107"/>
    <mergeCell ref="K117:L117"/>
    <mergeCell ref="I118:J118"/>
    <mergeCell ref="N118:O118"/>
    <mergeCell ref="D108:E108"/>
    <mergeCell ref="G108:H108"/>
    <mergeCell ref="D109:E109"/>
    <mergeCell ref="A111:C111"/>
    <mergeCell ref="D119:E119"/>
    <mergeCell ref="G119:H119"/>
    <mergeCell ref="D120:E120"/>
  </mergeCells>
  <printOptions horizontalCentered="1"/>
  <pageMargins left="0.7" right="0.7" top="0.75" bottom="0.75" header="0.3" footer="0.3"/>
  <pageSetup scale="87" fitToHeight="5" orientation="portrait" r:id="rId1"/>
  <rowBreaks count="1" manualBreakCount="1">
    <brk id="69" max="16383" man="1"/>
  </rowBreaks>
  <extLst>
    <ext xmlns:x14="http://schemas.microsoft.com/office/spreadsheetml/2009/9/main" uri="{CCE6A557-97BC-4b89-ADB6-D9C93CAAB3DF}">
      <x14:dataValidations xmlns:xm="http://schemas.microsoft.com/office/excel/2006/main" count="1">
        <x14:dataValidation type="list" showInputMessage="1" showErrorMessage="1">
          <x14:formula1>
            <xm:f>CostData!$AB$10:$AB$13</xm:f>
          </x14:formula1>
          <xm:sqref>B142:C142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P145"/>
  <sheetViews>
    <sheetView zoomScale="84" zoomScaleNormal="84" workbookViewId="0">
      <selection sqref="A1:E1"/>
    </sheetView>
  </sheetViews>
  <sheetFormatPr defaultColWidth="9.140625" defaultRowHeight="15" x14ac:dyDescent="0.25"/>
  <cols>
    <col min="1" max="1" width="48.85546875" customWidth="1"/>
    <col min="2" max="2" width="14.7109375" customWidth="1"/>
    <col min="3" max="4" width="11.85546875" customWidth="1"/>
    <col min="5" max="5" width="53.140625" customWidth="1"/>
    <col min="6" max="6" width="13.7109375" customWidth="1"/>
    <col min="7" max="7" width="12.5703125" hidden="1" customWidth="1"/>
    <col min="8" max="9" width="9.140625" customWidth="1"/>
    <col min="15" max="15" width="93.28515625" customWidth="1"/>
  </cols>
  <sheetData>
    <row r="1" spans="1:14" ht="15.75" x14ac:dyDescent="0.25">
      <c r="A1" s="932" t="s">
        <v>2069</v>
      </c>
      <c r="B1" s="932"/>
      <c r="C1" s="932"/>
      <c r="D1" s="932"/>
      <c r="E1" s="932"/>
      <c r="F1" s="83"/>
    </row>
    <row r="2" spans="1:14" ht="16.5" thickBot="1" x14ac:dyDescent="0.3">
      <c r="A2" s="15" t="s">
        <v>2070</v>
      </c>
      <c r="B2" s="15"/>
      <c r="C2" s="15" t="s">
        <v>2071</v>
      </c>
      <c r="D2" s="15" t="s">
        <v>2072</v>
      </c>
      <c r="E2" s="15" t="s">
        <v>20</v>
      </c>
      <c r="G2" s="933" t="s">
        <v>2073</v>
      </c>
      <c r="H2" s="933"/>
      <c r="I2" s="933"/>
      <c r="J2" s="933"/>
      <c r="K2" s="933"/>
      <c r="L2" s="933"/>
      <c r="M2" s="933"/>
      <c r="N2" s="933"/>
    </row>
    <row r="3" spans="1:14" ht="15.75" thickTop="1" x14ac:dyDescent="0.25">
      <c r="A3" s="2" t="s">
        <v>2074</v>
      </c>
      <c r="B3" s="2"/>
      <c r="C3" s="84">
        <v>17.3</v>
      </c>
      <c r="D3" t="s">
        <v>2075</v>
      </c>
      <c r="E3" t="s">
        <v>2076</v>
      </c>
      <c r="H3" s="85" t="s">
        <v>2077</v>
      </c>
      <c r="I3" s="86">
        <v>5.63</v>
      </c>
      <c r="J3" s="87" t="s">
        <v>2078</v>
      </c>
    </row>
    <row r="4" spans="1:14" x14ac:dyDescent="0.25">
      <c r="A4" s="2" t="s">
        <v>2079</v>
      </c>
      <c r="B4" s="2"/>
      <c r="C4" s="88">
        <v>16.527501810052286</v>
      </c>
      <c r="D4" t="s">
        <v>2075</v>
      </c>
      <c r="E4" t="s">
        <v>2080</v>
      </c>
      <c r="H4" s="85" t="s">
        <v>2081</v>
      </c>
      <c r="I4" s="89">
        <f>90690/14274</f>
        <v>6.3535098781000423</v>
      </c>
      <c r="J4" s="87" t="s">
        <v>2078</v>
      </c>
      <c r="N4" s="90" t="s">
        <v>2082</v>
      </c>
    </row>
    <row r="5" spans="1:14" x14ac:dyDescent="0.25">
      <c r="A5" s="2" t="s">
        <v>2083</v>
      </c>
      <c r="B5" s="2"/>
      <c r="C5" s="88">
        <v>13.772918175043571</v>
      </c>
      <c r="D5" t="s">
        <v>2075</v>
      </c>
      <c r="E5" t="s">
        <v>2080</v>
      </c>
      <c r="H5" s="91"/>
      <c r="I5" s="91"/>
      <c r="J5" s="91"/>
      <c r="K5" s="91"/>
      <c r="L5" s="92" t="s">
        <v>2084</v>
      </c>
      <c r="M5" s="92" t="s">
        <v>2085</v>
      </c>
      <c r="N5" s="92" t="s">
        <v>2086</v>
      </c>
    </row>
    <row r="6" spans="1:14" x14ac:dyDescent="0.25">
      <c r="A6" s="2" t="s">
        <v>2087</v>
      </c>
      <c r="B6" s="2"/>
      <c r="C6" s="88">
        <v>12.109899970363385</v>
      </c>
      <c r="D6" t="s">
        <v>2075</v>
      </c>
      <c r="E6" t="s">
        <v>2080</v>
      </c>
      <c r="H6" s="85" t="s">
        <v>2088</v>
      </c>
      <c r="I6" s="93">
        <v>14274</v>
      </c>
      <c r="J6" s="87" t="s">
        <v>2089</v>
      </c>
      <c r="K6" s="91"/>
      <c r="L6" s="90">
        <v>1</v>
      </c>
      <c r="M6" s="94">
        <v>73.946236559139791</v>
      </c>
      <c r="N6" s="95">
        <v>1.9237725625309692</v>
      </c>
    </row>
    <row r="7" spans="1:14" x14ac:dyDescent="0.25">
      <c r="A7" s="2" t="s">
        <v>2090</v>
      </c>
      <c r="B7" s="2"/>
      <c r="C7" s="88">
        <v>12.141821186058127</v>
      </c>
      <c r="D7" t="s">
        <v>2075</v>
      </c>
      <c r="E7" t="s">
        <v>2080</v>
      </c>
      <c r="H7" s="85" t="s">
        <v>2091</v>
      </c>
      <c r="I7" s="96">
        <v>63.084095063985373</v>
      </c>
      <c r="J7" s="91"/>
      <c r="K7" s="91"/>
      <c r="L7" s="90">
        <v>2</v>
      </c>
      <c r="M7" s="94">
        <v>69.470588235294116</v>
      </c>
      <c r="N7" s="95">
        <v>1.807334866096399</v>
      </c>
    </row>
    <row r="8" spans="1:14" x14ac:dyDescent="0.25">
      <c r="A8" s="2" t="s">
        <v>2092</v>
      </c>
      <c r="B8" s="2"/>
      <c r="C8" s="88">
        <v>12.07221084835353</v>
      </c>
      <c r="D8" t="s">
        <v>2075</v>
      </c>
      <c r="E8" t="s">
        <v>2080</v>
      </c>
      <c r="H8" s="85" t="s">
        <v>2093</v>
      </c>
      <c r="I8" s="97">
        <v>13.881967213114756</v>
      </c>
      <c r="J8" s="91"/>
      <c r="K8" s="91"/>
      <c r="L8" s="90">
        <v>3</v>
      </c>
      <c r="M8" s="94">
        <v>59.827956989247312</v>
      </c>
      <c r="N8" s="95">
        <v>1.5564738313105004</v>
      </c>
    </row>
    <row r="9" spans="1:14" x14ac:dyDescent="0.25">
      <c r="A9" s="2" t="s">
        <v>2094</v>
      </c>
      <c r="B9" s="2"/>
      <c r="C9" s="98">
        <v>125000</v>
      </c>
      <c r="D9" t="s">
        <v>2095</v>
      </c>
      <c r="E9" t="s">
        <v>2096</v>
      </c>
      <c r="H9" s="85" t="s">
        <v>2097</v>
      </c>
      <c r="I9" s="99">
        <v>38.438138686131403</v>
      </c>
      <c r="J9" s="91"/>
      <c r="K9" s="91"/>
      <c r="L9" s="90">
        <v>4</v>
      </c>
      <c r="M9" s="94">
        <v>32.068888888888885</v>
      </c>
      <c r="N9" s="95">
        <v>0.83429869356445807</v>
      </c>
    </row>
    <row r="10" spans="1:14" x14ac:dyDescent="0.25">
      <c r="A10" s="2" t="s">
        <v>2098</v>
      </c>
      <c r="C10" s="98">
        <v>138500</v>
      </c>
      <c r="D10" t="s">
        <v>2095</v>
      </c>
      <c r="E10" t="s">
        <v>2099</v>
      </c>
      <c r="H10" s="91"/>
      <c r="I10" s="91"/>
      <c r="J10" s="91"/>
      <c r="K10" s="91"/>
      <c r="L10" s="90">
        <v>5</v>
      </c>
      <c r="M10" s="94">
        <v>14.520430107526881</v>
      </c>
      <c r="N10" s="95">
        <v>0.37776101038851539</v>
      </c>
    </row>
    <row r="11" spans="1:14" x14ac:dyDescent="0.25">
      <c r="A11" s="2" t="s">
        <v>2100</v>
      </c>
      <c r="B11" s="2"/>
      <c r="C11" s="98">
        <v>135000</v>
      </c>
      <c r="D11" t="s">
        <v>2095</v>
      </c>
      <c r="E11" s="100" t="s">
        <v>2101</v>
      </c>
      <c r="H11" s="101" t="s">
        <v>2102</v>
      </c>
      <c r="I11" s="91"/>
      <c r="J11" s="91"/>
      <c r="K11" s="91"/>
      <c r="L11" s="90">
        <v>6</v>
      </c>
      <c r="M11" s="94">
        <v>6.0477777777777773</v>
      </c>
      <c r="N11" s="95">
        <v>0.15733794570963017</v>
      </c>
    </row>
    <row r="12" spans="1:14" x14ac:dyDescent="0.25">
      <c r="A12" s="2" t="s">
        <v>2103</v>
      </c>
      <c r="B12" s="2"/>
      <c r="C12" s="98">
        <v>136995</v>
      </c>
      <c r="D12" t="s">
        <v>2095</v>
      </c>
      <c r="E12" t="s">
        <v>2104</v>
      </c>
      <c r="H12" s="91"/>
      <c r="I12" s="102" t="s">
        <v>2105</v>
      </c>
      <c r="J12" s="103" t="s">
        <v>2106</v>
      </c>
      <c r="K12" s="90"/>
      <c r="L12" s="90">
        <v>7</v>
      </c>
      <c r="M12" s="94">
        <v>4.2473118279569899</v>
      </c>
      <c r="N12" s="95">
        <v>0.11049733345931843</v>
      </c>
    </row>
    <row r="13" spans="1:14" x14ac:dyDescent="0.25">
      <c r="A13" s="2" t="s">
        <v>2107</v>
      </c>
      <c r="B13" s="2"/>
      <c r="C13" s="98">
        <v>135000</v>
      </c>
      <c r="D13" t="s">
        <v>2095</v>
      </c>
      <c r="E13" s="100" t="s">
        <v>2108</v>
      </c>
      <c r="H13" s="104" t="s">
        <v>2077</v>
      </c>
      <c r="I13" s="105">
        <v>355.16345521023766</v>
      </c>
      <c r="J13" s="106">
        <v>78.155475409836072</v>
      </c>
      <c r="K13" s="107"/>
      <c r="L13" s="90">
        <v>8</v>
      </c>
      <c r="M13" s="94">
        <v>9.1344086021505362</v>
      </c>
      <c r="N13" s="95">
        <v>0.23763920195871135</v>
      </c>
    </row>
    <row r="14" spans="1:14" x14ac:dyDescent="0.25">
      <c r="A14" s="2" t="s">
        <v>2109</v>
      </c>
      <c r="B14" s="2"/>
      <c r="C14" s="98">
        <v>91333</v>
      </c>
      <c r="D14" t="s">
        <v>2095</v>
      </c>
      <c r="E14" s="100" t="s">
        <v>2101</v>
      </c>
      <c r="H14" s="104" t="s">
        <v>2081</v>
      </c>
      <c r="I14" s="105">
        <v>400.80542114003316</v>
      </c>
      <c r="J14" s="106">
        <v>88.199215815985511</v>
      </c>
      <c r="K14" s="107"/>
      <c r="L14" s="90">
        <v>9</v>
      </c>
      <c r="M14" s="94">
        <v>17.731111111111112</v>
      </c>
      <c r="N14" s="95">
        <v>0.46128953474816797</v>
      </c>
    </row>
    <row r="15" spans="1:14" x14ac:dyDescent="0.25">
      <c r="A15" s="2" t="s">
        <v>2110</v>
      </c>
      <c r="B15" s="2"/>
      <c r="C15" s="98">
        <v>1015</v>
      </c>
      <c r="D15" t="s">
        <v>2111</v>
      </c>
      <c r="E15" s="100" t="s">
        <v>2112</v>
      </c>
      <c r="H15" s="91"/>
      <c r="I15" s="91"/>
      <c r="J15" s="91"/>
      <c r="K15" s="91"/>
      <c r="L15" s="90">
        <v>10</v>
      </c>
      <c r="M15" s="94">
        <v>42.064516129032256</v>
      </c>
      <c r="N15" s="95">
        <v>1.094343211374313</v>
      </c>
    </row>
    <row r="16" spans="1:14" x14ac:dyDescent="0.25">
      <c r="A16" s="2" t="s">
        <v>2113</v>
      </c>
      <c r="B16" s="2"/>
      <c r="C16" s="84">
        <v>15.2</v>
      </c>
      <c r="D16" s="108" t="s">
        <v>2075</v>
      </c>
      <c r="E16" t="s">
        <v>2101</v>
      </c>
      <c r="H16" s="109" t="s">
        <v>2114</v>
      </c>
      <c r="I16" s="110">
        <v>182</v>
      </c>
      <c r="J16" s="111">
        <v>183</v>
      </c>
      <c r="K16" s="91"/>
      <c r="L16" s="90">
        <v>11</v>
      </c>
      <c r="M16" s="94">
        <v>64.677777777777777</v>
      </c>
      <c r="N16" s="95">
        <v>1.6826459341829088</v>
      </c>
    </row>
    <row r="17" spans="1:16" x14ac:dyDescent="0.25">
      <c r="A17" s="2" t="s">
        <v>13</v>
      </c>
      <c r="B17" s="2"/>
      <c r="C17" s="98">
        <v>3413</v>
      </c>
      <c r="D17" s="112" t="s">
        <v>2115</v>
      </c>
      <c r="E17" t="s">
        <v>2101</v>
      </c>
      <c r="H17" s="91"/>
      <c r="I17" s="91"/>
      <c r="J17" s="91"/>
      <c r="K17" s="91"/>
      <c r="L17" s="90">
        <v>12</v>
      </c>
      <c r="M17" s="94">
        <v>69.118279569892479</v>
      </c>
      <c r="N17" s="95">
        <v>1.7981692644974654</v>
      </c>
    </row>
    <row r="18" spans="1:16" x14ac:dyDescent="0.25">
      <c r="A18" s="113" t="s">
        <v>2116</v>
      </c>
      <c r="B18" s="113"/>
      <c r="C18" s="2"/>
      <c r="D18" s="112"/>
      <c r="F18" s="114"/>
      <c r="H18" s="85" t="s">
        <v>2117</v>
      </c>
      <c r="I18" s="93">
        <v>33441</v>
      </c>
      <c r="J18" s="101" t="s">
        <v>2118</v>
      </c>
      <c r="K18" s="91"/>
      <c r="L18" s="91"/>
      <c r="M18" s="115">
        <v>462.85528357579585</v>
      </c>
      <c r="N18" s="115">
        <v>12.041563389821357</v>
      </c>
    </row>
    <row r="19" spans="1:16" x14ac:dyDescent="0.25">
      <c r="A19" s="1" t="s">
        <v>2119</v>
      </c>
      <c r="B19" s="1"/>
      <c r="C19" s="116">
        <v>1.6827555429317793</v>
      </c>
      <c r="D19" s="117" t="s">
        <v>2120</v>
      </c>
      <c r="H19" s="85" t="s">
        <v>2121</v>
      </c>
      <c r="I19" s="93">
        <v>25130</v>
      </c>
      <c r="J19" s="101" t="s">
        <v>2122</v>
      </c>
    </row>
    <row r="21" spans="1:16" ht="15.75" x14ac:dyDescent="0.25">
      <c r="A21" s="932" t="s">
        <v>2123</v>
      </c>
      <c r="B21" s="932"/>
      <c r="C21" s="932"/>
      <c r="D21" s="932"/>
      <c r="E21" s="932"/>
      <c r="F21" s="83"/>
    </row>
    <row r="23" spans="1:16" ht="15.75" thickBot="1" x14ac:dyDescent="0.3">
      <c r="A23" s="15" t="s">
        <v>2070</v>
      </c>
      <c r="B23" s="15"/>
      <c r="C23" s="15" t="s">
        <v>52</v>
      </c>
      <c r="D23" s="15" t="s">
        <v>2072</v>
      </c>
      <c r="E23" s="15" t="s">
        <v>2124</v>
      </c>
      <c r="H23" s="118"/>
      <c r="I23" s="118"/>
      <c r="J23" s="119" t="s">
        <v>2125</v>
      </c>
      <c r="K23" s="118"/>
      <c r="L23" s="118"/>
    </row>
    <row r="24" spans="1:16" ht="15.75" thickTop="1" x14ac:dyDescent="0.25">
      <c r="A24" t="str">
        <f>A4</f>
        <v>Fairbanks Wood - Oven Dry, 0% Moisture</v>
      </c>
      <c r="C24" s="120">
        <v>200</v>
      </c>
      <c r="D24" t="s">
        <v>2126</v>
      </c>
      <c r="E24" s="100" t="s">
        <v>2112</v>
      </c>
      <c r="I24" s="1" t="s">
        <v>2127</v>
      </c>
      <c r="J24" s="121">
        <v>0.98</v>
      </c>
    </row>
    <row r="25" spans="1:16" x14ac:dyDescent="0.25">
      <c r="A25" t="str">
        <f>A11</f>
        <v>Fuel Oil #1/#2 Weighted (76% #2 24% #1)*</v>
      </c>
      <c r="C25" s="122">
        <v>2.7</v>
      </c>
      <c r="D25" t="s">
        <v>2128</v>
      </c>
      <c r="E25" s="100" t="s">
        <v>2112</v>
      </c>
      <c r="I25" s="1" t="s">
        <v>2129</v>
      </c>
      <c r="J25" s="121">
        <f>1-J24</f>
        <v>2.0000000000000018E-2</v>
      </c>
    </row>
    <row r="26" spans="1:16" x14ac:dyDescent="0.25">
      <c r="A26" t="str">
        <f>A13</f>
        <v>Kerosene</v>
      </c>
      <c r="C26" s="122">
        <f>C25</f>
        <v>2.7</v>
      </c>
      <c r="D26" t="s">
        <v>2128</v>
      </c>
      <c r="E26" t="s">
        <v>2130</v>
      </c>
    </row>
    <row r="27" spans="1:16" x14ac:dyDescent="0.25">
      <c r="A27" t="str">
        <f>A14</f>
        <v>Propane</v>
      </c>
      <c r="C27" s="122">
        <v>2.74</v>
      </c>
      <c r="D27" t="s">
        <v>2128</v>
      </c>
      <c r="E27" s="100" t="s">
        <v>2112</v>
      </c>
    </row>
    <row r="28" spans="1:16" x14ac:dyDescent="0.25">
      <c r="A28" t="str">
        <f>A15</f>
        <v>Natural Gas</v>
      </c>
      <c r="C28" s="123">
        <v>2.335</v>
      </c>
      <c r="D28" t="s">
        <v>2131</v>
      </c>
      <c r="E28" s="100" t="s">
        <v>2112</v>
      </c>
    </row>
    <row r="29" spans="1:16" x14ac:dyDescent="0.25">
      <c r="A29" t="str">
        <f>A16</f>
        <v>Coal</v>
      </c>
    </row>
    <row r="30" spans="1:16" x14ac:dyDescent="0.25">
      <c r="A30" t="str">
        <f>A17</f>
        <v>Electric</v>
      </c>
      <c r="C30" s="123">
        <v>0.18026</v>
      </c>
      <c r="D30" s="112" t="s">
        <v>2132</v>
      </c>
    </row>
    <row r="31" spans="1:16" x14ac:dyDescent="0.25">
      <c r="O31">
        <f>L41/AVERAGE(L42:L43)</f>
        <v>1.5320930566654398</v>
      </c>
      <c r="P31">
        <f>L38/AVERAGE(L42:L43)</f>
        <v>3.8611377098493516</v>
      </c>
    </row>
    <row r="32" spans="1:16" x14ac:dyDescent="0.25">
      <c r="P32">
        <f>P31/O31</f>
        <v>2.5201717957347944</v>
      </c>
    </row>
    <row r="33" spans="1:15" ht="15.75" x14ac:dyDescent="0.25">
      <c r="A33" s="924" t="s">
        <v>2133</v>
      </c>
      <c r="B33" s="924"/>
      <c r="C33" s="924"/>
      <c r="D33" s="924"/>
      <c r="E33" s="924"/>
      <c r="F33" s="924"/>
      <c r="G33" s="924"/>
      <c r="H33" s="924"/>
      <c r="I33" s="924"/>
      <c r="J33" s="924"/>
      <c r="K33" s="924"/>
      <c r="L33" s="924"/>
      <c r="M33" s="924"/>
      <c r="N33" s="924"/>
      <c r="O33" s="924"/>
    </row>
    <row r="35" spans="1:15" x14ac:dyDescent="0.25">
      <c r="D35" s="2" t="s">
        <v>2134</v>
      </c>
      <c r="E35" s="2"/>
      <c r="F35" s="2" t="s">
        <v>2135</v>
      </c>
      <c r="H35" s="923" t="s">
        <v>2136</v>
      </c>
      <c r="I35" s="923"/>
      <c r="J35" s="923"/>
      <c r="K35" s="923"/>
      <c r="L35" s="923"/>
      <c r="M35" s="923"/>
      <c r="N35" s="923"/>
    </row>
    <row r="36" spans="1:15" ht="15.75" thickBot="1" x14ac:dyDescent="0.3">
      <c r="A36" s="118" t="s">
        <v>2137</v>
      </c>
      <c r="B36" s="15" t="s">
        <v>2138</v>
      </c>
      <c r="C36" s="15" t="s">
        <v>2139</v>
      </c>
      <c r="D36" s="15" t="s">
        <v>2140</v>
      </c>
      <c r="E36" s="15" t="s">
        <v>2141</v>
      </c>
      <c r="F36" s="15" t="s">
        <v>2142</v>
      </c>
      <c r="G36" s="118"/>
      <c r="H36" s="15" t="s">
        <v>2143</v>
      </c>
      <c r="I36" s="15" t="s">
        <v>2144</v>
      </c>
      <c r="J36" s="15" t="s">
        <v>2145</v>
      </c>
      <c r="K36" s="15" t="s">
        <v>2146</v>
      </c>
      <c r="L36" s="15" t="s">
        <v>2147</v>
      </c>
      <c r="M36" s="15" t="s">
        <v>2148</v>
      </c>
      <c r="N36" s="15" t="s">
        <v>2149</v>
      </c>
      <c r="O36" s="118" t="s">
        <v>2150</v>
      </c>
    </row>
    <row r="37" spans="1:15" ht="15.75" thickTop="1" x14ac:dyDescent="0.25">
      <c r="A37" t="s">
        <v>2151</v>
      </c>
      <c r="B37" s="124" t="s">
        <v>2152</v>
      </c>
      <c r="C37" s="2">
        <v>2104008100</v>
      </c>
      <c r="D37" s="125">
        <v>7.0000000000000007E-2</v>
      </c>
      <c r="E37" t="s">
        <v>2153</v>
      </c>
      <c r="F37" s="107">
        <f>L37*947.8171*453600/10^6</f>
        <v>859.85967312000002</v>
      </c>
      <c r="H37" s="23">
        <f>'EFs-OMNI'!H37/$C$3</f>
        <v>13.236994219653178</v>
      </c>
      <c r="I37" s="23">
        <f>'EFs-OMNI'!I37/$C$3</f>
        <v>0.15028901734104047</v>
      </c>
      <c r="J37" s="23">
        <f>'EFs-OMNI'!J37/$C$3</f>
        <v>2.3121387283236993E-2</v>
      </c>
      <c r="K37" s="23">
        <f>'EFs-OMNI'!K37/$C$3</f>
        <v>2</v>
      </c>
      <c r="L37" s="23">
        <f>'EFs-OMNI'!L37/$C$3</f>
        <v>2</v>
      </c>
      <c r="M37" s="23">
        <f>'EFs-OMNI'!M37/$C$3</f>
        <v>0.10404624277456648</v>
      </c>
      <c r="N37" s="23">
        <f>'EFs-OMNI'!N37/$C$3</f>
        <v>14.60115606936416</v>
      </c>
      <c r="O37" t="s">
        <v>2154</v>
      </c>
    </row>
    <row r="38" spans="1:15" ht="15" customHeight="1" x14ac:dyDescent="0.25">
      <c r="A38" t="s">
        <v>2155</v>
      </c>
      <c r="B38" s="124" t="s">
        <v>2156</v>
      </c>
      <c r="C38" s="2">
        <v>2104008210</v>
      </c>
      <c r="D38" s="125">
        <v>0.4</v>
      </c>
      <c r="E38" t="s">
        <v>2153</v>
      </c>
      <c r="F38" s="107">
        <f t="shared" ref="F38:F49" si="0">L38*947.8171*453600/10^6</f>
        <v>760.45393056277464</v>
      </c>
      <c r="H38" s="11">
        <f>'EFs-OMNI'!H38/$C$3</f>
        <v>3.0635838150289016</v>
      </c>
      <c r="I38" s="11">
        <f>'EFs-OMNI'!I38/$C$3</f>
        <v>0.16184971098265893</v>
      </c>
      <c r="J38" s="11">
        <f>'EFs-OMNI'!J38/$C$3</f>
        <v>2.3121387283236993E-2</v>
      </c>
      <c r="K38" s="11">
        <f>'EFs-OMNI'!K38/$C$3</f>
        <v>1.7687861271676302</v>
      </c>
      <c r="L38" s="11">
        <f>'EFs-OMNI'!L38/$C$3</f>
        <v>1.7687861271676302</v>
      </c>
      <c r="M38" s="11">
        <f>'EFs-OMNI'!M38/$C$3</f>
        <v>9.8265895953757218E-2</v>
      </c>
      <c r="N38" s="11">
        <f>'EFs-OMNI'!N38/$C$3</f>
        <v>13.341040462427745</v>
      </c>
      <c r="O38" t="s">
        <v>2157</v>
      </c>
    </row>
    <row r="39" spans="1:15" x14ac:dyDescent="0.25">
      <c r="A39" t="s">
        <v>2158</v>
      </c>
      <c r="B39" s="124" t="s">
        <v>2159</v>
      </c>
      <c r="C39" s="2">
        <v>2104008220</v>
      </c>
      <c r="D39" s="125">
        <v>0.66</v>
      </c>
      <c r="E39" t="s">
        <v>2153</v>
      </c>
      <c r="F39" s="107">
        <f t="shared" si="0"/>
        <v>298.21722767167626</v>
      </c>
      <c r="H39" s="11">
        <f>'EFs-OMNI'!H39/$C$3</f>
        <v>0.69364161849710981</v>
      </c>
      <c r="I39" s="11">
        <f>'EFs-OMNI'!I39/$C$3</f>
        <v>0.11560693641618497</v>
      </c>
      <c r="J39" s="11">
        <f>'EFs-OMNI'!J39/$C$3</f>
        <v>2.3121387283236993E-2</v>
      </c>
      <c r="K39" s="11">
        <f>'EFs-OMNI'!K39/$C$3</f>
        <v>1.7687861271676302</v>
      </c>
      <c r="L39" s="11">
        <f>'EFs-OMNI'!L40/$C$3</f>
        <v>0.69364161849710981</v>
      </c>
      <c r="M39" s="11">
        <f>'EFs-OMNI'!M40/$C$3</f>
        <v>5.2023121387283239E-2</v>
      </c>
      <c r="N39" s="11">
        <f>'EFs-OMNI'!N40/$C$3</f>
        <v>8.1387283236994215</v>
      </c>
      <c r="O39" t="s">
        <v>2160</v>
      </c>
    </row>
    <row r="40" spans="1:15" x14ac:dyDescent="0.25">
      <c r="A40" t="s">
        <v>2161</v>
      </c>
      <c r="B40" s="124" t="s">
        <v>2162</v>
      </c>
      <c r="C40" s="2">
        <v>2104008230</v>
      </c>
      <c r="D40" s="125">
        <v>0.7</v>
      </c>
      <c r="E40" t="s">
        <v>2153</v>
      </c>
      <c r="F40" s="107">
        <f t="shared" si="0"/>
        <v>323.06866331098263</v>
      </c>
      <c r="H40" s="11">
        <f>'EFs-OMNI'!H40/$C$3</f>
        <v>0.86705202312138729</v>
      </c>
      <c r="I40" s="11">
        <f>'EFs-OMNI'!I40/$C$3</f>
        <v>0.11560693641618497</v>
      </c>
      <c r="J40" s="11">
        <f>'EFs-OMNI'!J40/$C$3</f>
        <v>2.3121387283236993E-2</v>
      </c>
      <c r="K40" s="11">
        <f>'EFs-OMNI'!K40/$C$3</f>
        <v>0.75144508670520227</v>
      </c>
      <c r="L40" s="11">
        <f>'EFs-OMNI'!L41/$C$3</f>
        <v>0.75144508670520227</v>
      </c>
      <c r="M40" s="11">
        <f>'EFs-OMNI'!M41/$C$3</f>
        <v>5.2023121387283239E-2</v>
      </c>
      <c r="N40" s="11">
        <f>'EFs-OMNI'!N41/$C$3</f>
        <v>6.1849710982658959</v>
      </c>
      <c r="O40" t="s">
        <v>2163</v>
      </c>
    </row>
    <row r="41" spans="1:15" x14ac:dyDescent="0.25">
      <c r="A41" t="s">
        <v>2164</v>
      </c>
      <c r="B41" s="124" t="s">
        <v>2165</v>
      </c>
      <c r="C41" s="2">
        <v>2104008310</v>
      </c>
      <c r="D41" s="125">
        <v>0.54</v>
      </c>
      <c r="E41" t="s">
        <v>2166</v>
      </c>
      <c r="F41" s="107">
        <f t="shared" si="0"/>
        <v>301.74686180116254</v>
      </c>
      <c r="H41" s="11">
        <f>'EFs-OMNI'!H41/$C$3</f>
        <v>3.0635838150289016</v>
      </c>
      <c r="I41" s="126">
        <f>'EFs-OMNI'!I41/$C$4</f>
        <v>8.3938880536453639E-2</v>
      </c>
      <c r="J41" s="11">
        <f>'EFs-OMNI'!J41/$C$3</f>
        <v>2.3121387283236993E-2</v>
      </c>
      <c r="K41" s="127">
        <f>'EFs-OMNI'!K41/$C$4</f>
        <v>0.70185140955913039</v>
      </c>
      <c r="L41" s="127">
        <f>'EFs-OMNI'!L42/$C$4</f>
        <v>0.70185140955913039</v>
      </c>
      <c r="M41" s="128">
        <f>'EFs-OMNI'!M42/$C$4</f>
        <v>2.2949626892147957E-2</v>
      </c>
      <c r="N41" s="126">
        <f>'EFs-OMNI'!N42/$C$4</f>
        <v>7.0040833351833571</v>
      </c>
      <c r="O41" s="129" t="s">
        <v>2167</v>
      </c>
    </row>
    <row r="42" spans="1:15" x14ac:dyDescent="0.25">
      <c r="A42" t="s">
        <v>2168</v>
      </c>
      <c r="B42" s="124" t="s">
        <v>2169</v>
      </c>
      <c r="C42" s="2">
        <v>2104008320</v>
      </c>
      <c r="D42" s="125">
        <v>0.68</v>
      </c>
      <c r="E42" t="s">
        <v>2166</v>
      </c>
      <c r="F42" s="107">
        <f t="shared" si="0"/>
        <v>196.95074035379199</v>
      </c>
      <c r="H42" s="11">
        <f>'EFs-OMNI'!H42/$C$3</f>
        <v>0.69364161849710981</v>
      </c>
      <c r="I42" s="126">
        <f>'EFs-OMNI'!I42/$C$4</f>
        <v>9.2996510765176413E-2</v>
      </c>
      <c r="J42" s="11">
        <f>'EFs-OMNI'!J42/$C$3</f>
        <v>2.3121387283236993E-2</v>
      </c>
      <c r="K42" s="127">
        <f>'EFs-OMNI'!K42/$C$4</f>
        <v>0.45809972606147792</v>
      </c>
      <c r="L42" s="127">
        <f>'EFs-OMNI'!L43/$C$4</f>
        <v>0.45809972606147792</v>
      </c>
      <c r="M42" s="128">
        <f>'EFs-OMNI'!M43/$C$4</f>
        <v>1.4435938518844138E-2</v>
      </c>
      <c r="N42" s="126">
        <f>'EFs-OMNI'!N43/$C$4</f>
        <v>7.1468756353823277</v>
      </c>
      <c r="O42" s="129" t="s">
        <v>2170</v>
      </c>
    </row>
    <row r="43" spans="1:15" x14ac:dyDescent="0.25">
      <c r="A43" t="s">
        <v>2171</v>
      </c>
      <c r="B43" s="124" t="s">
        <v>2172</v>
      </c>
      <c r="C43" s="2">
        <v>2104008330</v>
      </c>
      <c r="D43" s="125">
        <v>0.72</v>
      </c>
      <c r="E43" t="s">
        <v>2166</v>
      </c>
      <c r="F43" s="107">
        <f t="shared" si="0"/>
        <v>196.95074035379199</v>
      </c>
      <c r="H43" s="11">
        <f>'EFs-OMNI'!H43/$C$3</f>
        <v>0.86705202312138729</v>
      </c>
      <c r="I43" s="126">
        <f>'EFs-OMNI'!I43/$C$4</f>
        <v>9.2996510765176413E-2</v>
      </c>
      <c r="J43" s="11">
        <f>'EFs-OMNI'!J43/$C$3</f>
        <v>2.3121387283236993E-2</v>
      </c>
      <c r="K43" s="127">
        <f>'EFs-OMNI'!K43/$C$4</f>
        <v>0.50830243576684553</v>
      </c>
      <c r="L43" s="127">
        <f>'EFs-OMNI'!L43/$C$4</f>
        <v>0.45809972606147792</v>
      </c>
      <c r="M43" s="127">
        <f>'EFs-OMNI'!M43/$C$4</f>
        <v>1.4435938518844138E-2</v>
      </c>
      <c r="N43" s="127">
        <f>'EFs-OMNI'!N43/$C$4</f>
        <v>7.1468756353823277</v>
      </c>
      <c r="O43" s="129" t="s">
        <v>2173</v>
      </c>
    </row>
    <row r="44" spans="1:15" x14ac:dyDescent="0.25">
      <c r="A44" t="s">
        <v>2174</v>
      </c>
      <c r="B44" s="124" t="s">
        <v>2175</v>
      </c>
      <c r="C44" s="2">
        <v>2104008410</v>
      </c>
      <c r="D44" s="125">
        <v>0.56000000000000005</v>
      </c>
      <c r="E44" t="s">
        <v>2176</v>
      </c>
      <c r="F44" s="107">
        <f t="shared" si="0"/>
        <v>76.998467817053225</v>
      </c>
      <c r="H44" s="11">
        <f>'EFs-OMNI'!H44/$C$3</f>
        <v>0.13872832369942195</v>
      </c>
      <c r="I44" s="126">
        <f>'EFs-OMNI'!I44/$C$4</f>
        <v>0.24226286864265861</v>
      </c>
      <c r="J44" s="130">
        <f>'EFs-OMNI'!J44/$C$4</f>
        <v>1.9361667823589102E-2</v>
      </c>
      <c r="K44" s="126">
        <f>'EFs-OMNI'!K44/$C$4</f>
        <v>0.17909542736819919</v>
      </c>
      <c r="L44" s="126">
        <f>'EFs-OMNI'!L44/$C$4</f>
        <v>0.17909542736819919</v>
      </c>
      <c r="M44" s="126">
        <f>'EFs-OMNI'!M44/$C$4</f>
        <v>4.3491146348737025E-3</v>
      </c>
      <c r="N44" s="126">
        <f>'EFs-OMNI'!N44/$C$4</f>
        <v>0.6009377650746468</v>
      </c>
      <c r="O44" s="129" t="s">
        <v>2177</v>
      </c>
    </row>
    <row r="45" spans="1:15" x14ac:dyDescent="0.25">
      <c r="A45" t="s">
        <v>2178</v>
      </c>
      <c r="B45" s="124" t="s">
        <v>2179</v>
      </c>
      <c r="C45" s="2">
        <v>2104008420</v>
      </c>
      <c r="D45" s="125">
        <v>0.78</v>
      </c>
      <c r="E45" t="s">
        <v>2180</v>
      </c>
      <c r="F45" s="107">
        <f t="shared" si="0"/>
        <v>76.998467817053225</v>
      </c>
      <c r="H45" s="11">
        <f>'EFs-OMNI'!H45/$C$3</f>
        <v>0.13872832369942195</v>
      </c>
      <c r="I45" s="126">
        <f>'EFs-OMNI'!I45/$C$4</f>
        <v>0.24226286864265861</v>
      </c>
      <c r="J45" s="130">
        <f>'EFs-OMNI'!J45/$C$4</f>
        <v>1.9361667823589102E-2</v>
      </c>
      <c r="K45" s="126">
        <f>'EFs-OMNI'!K45/$C$4</f>
        <v>0.17909542736819919</v>
      </c>
      <c r="L45" s="126">
        <f>'EFs-OMNI'!L45/$C$4</f>
        <v>0.17909542736819919</v>
      </c>
      <c r="M45" s="126">
        <f>'EFs-OMNI'!M45/$C$4</f>
        <v>4.3491146348737025E-3</v>
      </c>
      <c r="N45" s="126">
        <f>'EFs-OMNI'!N45/$C$4</f>
        <v>0.6009377650746468</v>
      </c>
      <c r="O45" s="129" t="s">
        <v>2177</v>
      </c>
    </row>
    <row r="46" spans="1:15" x14ac:dyDescent="0.25">
      <c r="A46" t="s">
        <v>2181</v>
      </c>
      <c r="B46" s="124" t="s">
        <v>2182</v>
      </c>
      <c r="C46" s="2">
        <v>2104008610</v>
      </c>
      <c r="D46" s="125">
        <v>0.43</v>
      </c>
      <c r="E46" t="s">
        <v>2183</v>
      </c>
      <c r="F46" s="107">
        <f t="shared" si="0"/>
        <v>245.28744914903737</v>
      </c>
      <c r="H46" s="131">
        <f>'EFs-OMNI'!H46/$C$3</f>
        <v>2.6242774566473992</v>
      </c>
      <c r="I46" s="132">
        <f>'EFs-OMNI'!I46/$C$4</f>
        <v>9.3221590153625633E-2</v>
      </c>
      <c r="J46" s="131">
        <f>'EFs-OMNI'!J46/$C$3</f>
        <v>2.3121387283236997E-2</v>
      </c>
      <c r="K46" s="126">
        <f>'EFs-OMNI'!K46/$C$4</f>
        <v>0.57052902192519883</v>
      </c>
      <c r="L46" s="126">
        <f>'EFs-OMNI'!L46/$C$4</f>
        <v>0.57052902192519883</v>
      </c>
      <c r="M46" s="126">
        <f>'EFs-OMNI'!M46/$C$4</f>
        <v>1.4090090727345279E-2</v>
      </c>
      <c r="N46" s="132">
        <f>'EFs-OMNI'!N46/$C$4</f>
        <v>3.5011945946243972</v>
      </c>
      <c r="O46" t="s">
        <v>2184</v>
      </c>
    </row>
    <row r="47" spans="1:15" x14ac:dyDescent="0.25">
      <c r="A47" t="s">
        <v>2185</v>
      </c>
      <c r="B47" s="124" t="s">
        <v>2186</v>
      </c>
      <c r="C47" s="2">
        <v>2104008610</v>
      </c>
      <c r="D47" s="125">
        <v>0.43</v>
      </c>
      <c r="E47" t="s">
        <v>2183</v>
      </c>
      <c r="F47" s="107">
        <f t="shared" si="0"/>
        <v>274.50872631481133</v>
      </c>
      <c r="H47" s="131">
        <f>'EFs-OMNI'!H47/$C$3</f>
        <v>3.0635838150289016</v>
      </c>
      <c r="I47" s="132">
        <f>'EFs-OMNI'!I47/$C$4</f>
        <v>8.5312348847689498E-2</v>
      </c>
      <c r="J47" s="131">
        <f>'EFs-OMNI'!J47/$C$3</f>
        <v>2.3121387283236993E-2</v>
      </c>
      <c r="K47" s="127">
        <f>'EFs-OMNI'!K47/$C$4</f>
        <v>0.63849657076894117</v>
      </c>
      <c r="L47" s="127">
        <f>'EFs-OMNI'!L47/$C$4</f>
        <v>0.63849657076894117</v>
      </c>
      <c r="M47" s="128">
        <f>'EFs-OMNI'!M47/$C$4</f>
        <v>1.5797910839809734E-2</v>
      </c>
      <c r="N47" s="132">
        <f>'EFs-OMNI'!N47/$C$4</f>
        <v>3.1964903472506632</v>
      </c>
      <c r="O47" s="129" t="s">
        <v>2187</v>
      </c>
    </row>
    <row r="48" spans="1:15" x14ac:dyDescent="0.25">
      <c r="A48" t="s">
        <v>2188</v>
      </c>
      <c r="B48" t="s">
        <v>2189</v>
      </c>
      <c r="C48" s="2">
        <v>2104008610</v>
      </c>
      <c r="D48" s="125">
        <v>0.43</v>
      </c>
      <c r="E48" t="s">
        <v>2183</v>
      </c>
      <c r="F48" s="107">
        <f t="shared" si="0"/>
        <v>241.87417626421546</v>
      </c>
      <c r="H48" s="131">
        <f>'EFs-OMNI'!H48/$C$3</f>
        <v>0.69364161849710981</v>
      </c>
      <c r="I48" s="132">
        <f>'EFs-OMNI'!I48/$C$4</f>
        <v>0.12485855537737023</v>
      </c>
      <c r="J48" s="131">
        <f>'EFs-OMNI'!J48/$C$3</f>
        <v>2.3121387283236993E-2</v>
      </c>
      <c r="K48" s="127">
        <f>'EFs-OMNI'!K48/$C$4</f>
        <v>0.56258988257136255</v>
      </c>
      <c r="L48" s="127">
        <f>'EFs-OMNI'!L48/$C$4</f>
        <v>0.56258988257136255</v>
      </c>
      <c r="M48" s="128">
        <f>'EFs-OMNI'!M48/$C$4</f>
        <v>7.2588102774874515E-3</v>
      </c>
      <c r="N48" s="132">
        <f>'EFs-OMNI'!N48/$C$4</f>
        <v>6.2110058976074933</v>
      </c>
      <c r="O48" s="129" t="s">
        <v>2190</v>
      </c>
    </row>
    <row r="49" spans="1:15" x14ac:dyDescent="0.25">
      <c r="A49" t="s">
        <v>2191</v>
      </c>
      <c r="B49" t="s">
        <v>2192</v>
      </c>
      <c r="C49" s="2">
        <v>2104008640</v>
      </c>
      <c r="D49" s="125">
        <v>0.43</v>
      </c>
      <c r="E49" t="s">
        <v>2183</v>
      </c>
      <c r="F49" s="107">
        <f t="shared" si="0"/>
        <v>128.40234048594152</v>
      </c>
      <c r="H49" s="131">
        <f>'EFs-OMNI'!H49/$C$3</f>
        <v>0.86705202312138729</v>
      </c>
      <c r="I49" s="132">
        <f>'EFs-OMNI'!I49/$C$4</f>
        <v>0.12485855537737023</v>
      </c>
      <c r="J49" s="131">
        <f>'EFs-OMNI'!J49/$C$3</f>
        <v>2.3121387283236993E-2</v>
      </c>
      <c r="K49" s="127">
        <f>'EFs-OMNI'!K49/$C$4</f>
        <v>0.29865882655022946</v>
      </c>
      <c r="L49" s="127">
        <f>'EFs-OMNI'!L49/$C$4</f>
        <v>0.29865882655022946</v>
      </c>
      <c r="M49" s="128">
        <f>'EFs-OMNI'!M49/$C$4</f>
        <v>7.2588102774874515E-3</v>
      </c>
      <c r="N49" s="132">
        <f>'EFs-OMNI'!N49/$C$4</f>
        <v>4.7200115841193302</v>
      </c>
      <c r="O49" s="129" t="s">
        <v>2190</v>
      </c>
    </row>
    <row r="50" spans="1:15" x14ac:dyDescent="0.25">
      <c r="A50" t="s">
        <v>10</v>
      </c>
      <c r="D50" s="125">
        <v>0.85</v>
      </c>
      <c r="E50" t="s">
        <v>2516</v>
      </c>
      <c r="K50" s="11">
        <f>K46*C$4/C$6</f>
        <v>0.77865378455914136</v>
      </c>
    </row>
    <row r="51" spans="1:15" x14ac:dyDescent="0.25">
      <c r="C51" s="2"/>
      <c r="D51" s="2"/>
      <c r="F51" s="107"/>
      <c r="G51" s="107"/>
      <c r="H51" s="107"/>
      <c r="I51" s="107"/>
      <c r="J51" s="107"/>
      <c r="K51" s="11">
        <f>K47*C$4/C$6</f>
        <v>0.87141539194556972</v>
      </c>
    </row>
    <row r="52" spans="1:15" x14ac:dyDescent="0.25">
      <c r="D52" s="2" t="s">
        <v>2134</v>
      </c>
      <c r="E52" s="2" t="s">
        <v>2140</v>
      </c>
      <c r="G52" s="2" t="s">
        <v>32</v>
      </c>
      <c r="H52" s="917" t="s">
        <v>2193</v>
      </c>
      <c r="I52" s="917"/>
      <c r="J52" s="917"/>
      <c r="K52" s="917"/>
      <c r="L52" s="917"/>
      <c r="M52" s="917"/>
      <c r="N52" s="917"/>
    </row>
    <row r="53" spans="1:15" ht="15.75" thickBot="1" x14ac:dyDescent="0.3">
      <c r="A53" s="118" t="s">
        <v>2194</v>
      </c>
      <c r="B53" s="15" t="s">
        <v>2138</v>
      </c>
      <c r="C53" s="15" t="s">
        <v>2139</v>
      </c>
      <c r="D53" s="15" t="s">
        <v>2140</v>
      </c>
      <c r="E53" s="15" t="s">
        <v>2124</v>
      </c>
      <c r="F53" s="15" t="s">
        <v>2070</v>
      </c>
      <c r="G53" s="15" t="s">
        <v>2072</v>
      </c>
      <c r="H53" s="15" t="s">
        <v>2143</v>
      </c>
      <c r="I53" s="15" t="s">
        <v>2144</v>
      </c>
      <c r="J53" s="15" t="s">
        <v>2145</v>
      </c>
      <c r="K53" s="15" t="s">
        <v>2146</v>
      </c>
      <c r="L53" s="15" t="s">
        <v>2147</v>
      </c>
      <c r="M53" s="15" t="s">
        <v>2148</v>
      </c>
      <c r="N53" s="15" t="s">
        <v>2149</v>
      </c>
      <c r="O53" s="118" t="s">
        <v>2150</v>
      </c>
    </row>
    <row r="54" spans="1:15" ht="15.75" thickTop="1" x14ac:dyDescent="0.25">
      <c r="A54" t="s">
        <v>2195</v>
      </c>
      <c r="B54" s="124" t="s">
        <v>2196</v>
      </c>
      <c r="C54" s="2">
        <v>2104004000</v>
      </c>
      <c r="D54" s="125">
        <v>0.81</v>
      </c>
      <c r="E54" t="s">
        <v>2197</v>
      </c>
      <c r="F54" s="2" t="s">
        <v>2198</v>
      </c>
      <c r="G54" s="2" t="s">
        <v>2199</v>
      </c>
      <c r="H54" s="133">
        <f>'EFs-OMNI'!H54*10^6/($C$11*10^3)</f>
        <v>5.2814814814814807E-3</v>
      </c>
      <c r="I54" s="134">
        <f>'EFs-OMNI'!I54*10^6/($C$11*10^3)</f>
        <v>8.2751178054475613E-2</v>
      </c>
      <c r="J54" s="134">
        <f>'EFs-OMNI'!J54*10^6/($C$11*10^3)</f>
        <v>0.21409317653036544</v>
      </c>
      <c r="K54" s="134">
        <f>'EFs-OMNI'!K54*10^6/($C$11*10^3)</f>
        <v>3.382200737921347E-3</v>
      </c>
      <c r="L54" s="134">
        <f>'EFs-OMNI'!L54*10^6/($C$11*10^3)</f>
        <v>3.382200737921347E-3</v>
      </c>
      <c r="M54" s="134">
        <f>'EFs-OMNI'!M54*10^6/($C$11*10^3)</f>
        <v>1.814550695894803E-4</v>
      </c>
      <c r="N54" s="134">
        <f>'EFs-OMNI'!N54*10^6/($C$11*10^3)</f>
        <v>3.3173752237778543E-3</v>
      </c>
      <c r="O54" s="129" t="s">
        <v>2200</v>
      </c>
    </row>
    <row r="55" spans="1:15" x14ac:dyDescent="0.25">
      <c r="A55" t="s">
        <v>2201</v>
      </c>
      <c r="B55" s="124" t="s">
        <v>2202</v>
      </c>
      <c r="C55" s="2">
        <v>2104004000</v>
      </c>
      <c r="D55" s="125">
        <v>0.81</v>
      </c>
      <c r="E55" t="s">
        <v>2197</v>
      </c>
      <c r="F55" s="2" t="s">
        <v>2094</v>
      </c>
      <c r="G55" s="2" t="s">
        <v>2199</v>
      </c>
      <c r="H55" s="133">
        <f>'EFs-OMNI'!H55*10^6/($C$9*10^3)</f>
        <v>5.703999999999999E-3</v>
      </c>
      <c r="I55" s="134">
        <f>'EFs-OMNI'!I55*10^6/($C$9*10^3)</f>
        <v>8.9371272298833668E-2</v>
      </c>
      <c r="J55" s="134">
        <f>'EFs-OMNI'!J55*10^6/($C$9*10^3)</f>
        <v>0.1017856</v>
      </c>
      <c r="K55" s="134">
        <f>'EFs-OMNI'!K55*10^6/($C$9*10^3)</f>
        <v>3.6527767969550548E-3</v>
      </c>
      <c r="L55" s="134">
        <f>'EFs-OMNI'!L55*10^6/($C$9*10^3)</f>
        <v>3.6527767969550548E-3</v>
      </c>
      <c r="M55" s="134">
        <f>'EFs-OMNI'!M55*10^6/($C$9*10^3)</f>
        <v>1.9597147515663872E-4</v>
      </c>
      <c r="N55" s="134">
        <f>'EFs-OMNI'!N55*10^6/($C$9*10^3)</f>
        <v>3.582765241680083E-3</v>
      </c>
      <c r="O55" s="129" t="s">
        <v>2200</v>
      </c>
    </row>
    <row r="56" spans="1:15" x14ac:dyDescent="0.25">
      <c r="A56" t="s">
        <v>2203</v>
      </c>
      <c r="B56" s="124" t="s">
        <v>2204</v>
      </c>
      <c r="C56" s="2">
        <v>2104004000</v>
      </c>
      <c r="D56" s="125">
        <v>0.81</v>
      </c>
      <c r="E56" t="s">
        <v>2197</v>
      </c>
      <c r="F56" s="2" t="s">
        <v>2098</v>
      </c>
      <c r="G56" s="2" t="s">
        <v>2199</v>
      </c>
      <c r="H56" s="133">
        <f>'EFs-OMNI'!H56*10^6/($C$10*10^3)</f>
        <v>5.1480144404332118E-3</v>
      </c>
      <c r="I56" s="134">
        <f>'EFs-OMNI'!I56*10^6/($C$10*10^3)</f>
        <v>8.0659993049488871E-2</v>
      </c>
      <c r="J56" s="134">
        <f>'EFs-OMNI'!J56*10^6/($C$10*10^3)</f>
        <v>0.26308447653429601</v>
      </c>
      <c r="K56" s="134">
        <f>'EFs-OMNI'!K56*10^6/($C$10*10^3)</f>
        <v>3.2967299611507714E-3</v>
      </c>
      <c r="L56" s="134">
        <f>'EFs-OMNI'!L56*10^6/($C$10*10^3)</f>
        <v>3.2967299611507714E-3</v>
      </c>
      <c r="M56" s="134">
        <f>'EFs-OMNI'!M56*10^6/($C$10*10^3)</f>
        <v>1.7686956241573892E-4</v>
      </c>
      <c r="N56" s="134">
        <f>'EFs-OMNI'!N56*10^6/($C$10*10^3)</f>
        <v>3.2335426368953818E-3</v>
      </c>
      <c r="O56" s="129" t="s">
        <v>2200</v>
      </c>
    </row>
    <row r="57" spans="1:15" x14ac:dyDescent="0.25">
      <c r="A57" t="s">
        <v>2205</v>
      </c>
      <c r="B57" s="124" t="s">
        <v>2206</v>
      </c>
      <c r="C57" s="2" t="s">
        <v>2207</v>
      </c>
      <c r="D57" s="125">
        <v>0.81</v>
      </c>
      <c r="E57" t="s">
        <v>2197</v>
      </c>
      <c r="F57" s="2" t="s">
        <v>2098</v>
      </c>
      <c r="G57" s="2" t="s">
        <v>2199</v>
      </c>
      <c r="H57" s="133">
        <f>'EFs-OMNI'!H57*10^6/($C$10*10^3)</f>
        <v>5.1480144404332118E-3</v>
      </c>
      <c r="I57" s="133">
        <f>'EFs-OMNI'!I57*10^6/($C$10*10^3)</f>
        <v>0.1299638989169675</v>
      </c>
      <c r="J57" s="134">
        <f>'EFs-OMNI'!J57*10^6/($C$10*10^3)</f>
        <v>9.1864259927797828E-2</v>
      </c>
      <c r="K57" s="134">
        <f>'EFs-OMNI'!K57*10^6/($C$10*10^3)</f>
        <v>3.2967299611507714E-3</v>
      </c>
      <c r="L57" s="134">
        <f>'EFs-OMNI'!L57*10^6/($C$10*10^3)</f>
        <v>3.2967299611507714E-3</v>
      </c>
      <c r="M57" s="134">
        <f>'EFs-OMNI'!M57*10^6/($C$10*10^3)</f>
        <v>1.7686956241573892E-4</v>
      </c>
      <c r="N57" s="134">
        <f>'EFs-OMNI'!N57*10^6/($C$10*10^3)</f>
        <v>3.2335426368953818E-3</v>
      </c>
      <c r="O57" s="129" t="s">
        <v>2208</v>
      </c>
    </row>
    <row r="58" spans="1:15" x14ac:dyDescent="0.25">
      <c r="A58" t="s">
        <v>2209</v>
      </c>
      <c r="B58" s="124" t="s">
        <v>2210</v>
      </c>
      <c r="C58" s="2">
        <v>2104004000</v>
      </c>
      <c r="D58" s="125">
        <v>0.81</v>
      </c>
      <c r="F58" s="2" t="s">
        <v>2211</v>
      </c>
      <c r="G58" s="2" t="s">
        <v>2199</v>
      </c>
      <c r="H58" s="133">
        <f>'EFs-OMNI'!H58*10^6/($C$12*10^3)</f>
        <v>5.2045695098361247E-3</v>
      </c>
      <c r="I58" s="133">
        <f>'EFs-OMNI'!I58*10^6/($C$12*10^3)</f>
        <v>0.13139165662980401</v>
      </c>
      <c r="J58" s="134">
        <f>'EFs-OMNI'!J58*10^6/($C$12*10^3)</f>
        <v>0.21097542853096343</v>
      </c>
      <c r="K58" s="133">
        <f>'EFs-OMNI'!K58*10^6/($C$12*10^3)</f>
        <v>2.9198145917734225E-3</v>
      </c>
      <c r="L58" s="133">
        <f>'EFs-OMNI'!L58*10^6/($C$12*10^3)</f>
        <v>2.9198145917734225E-3</v>
      </c>
      <c r="M58" s="134">
        <f>'EFs-OMNI'!M58*10^6/($C$12*10^3)</f>
        <v>1.7881261647928638E-4</v>
      </c>
      <c r="N58" s="134">
        <f>'EFs-OMNI'!N58*10^6/($C$12*10^3)</f>
        <v>3.2690656973612931E-3</v>
      </c>
      <c r="O58" s="129" t="s">
        <v>2212</v>
      </c>
    </row>
    <row r="59" spans="1:15" x14ac:dyDescent="0.25">
      <c r="A59" t="s">
        <v>2213</v>
      </c>
      <c r="B59" s="124" t="s">
        <v>2214</v>
      </c>
      <c r="C59" s="2">
        <v>2104007000</v>
      </c>
      <c r="D59" s="125">
        <v>0.81</v>
      </c>
      <c r="F59" s="2" t="s">
        <v>2094</v>
      </c>
      <c r="G59" s="2" t="s">
        <v>2199</v>
      </c>
      <c r="H59" s="133">
        <f>'EFs-OMNI'!H61*10^6/($C$9*10^3)</f>
        <v>4.3999999999999997E-2</v>
      </c>
      <c r="I59" s="133">
        <f>'EFs-OMNI'!I61*10^6/($C$9*10^3)</f>
        <v>0.8</v>
      </c>
      <c r="J59" s="134">
        <f>'EFs-OMNI'!J61*10^6/($C$9*10^3)</f>
        <v>4.7999999999999996E-3</v>
      </c>
      <c r="K59" s="133">
        <f>'EFs-OMNI'!K61*10^6/($C$9*10^3)</f>
        <v>6.08E-2</v>
      </c>
      <c r="L59" s="133">
        <f>'EFs-OMNI'!L61*10^6/($C$9*10^3)</f>
        <v>6.08E-2</v>
      </c>
      <c r="M59" s="134">
        <f>'EFs-OMNI'!M61*10^6/($C$9*10^3)</f>
        <v>0.16</v>
      </c>
      <c r="N59" s="134">
        <f>'EFs-OMNI'!N61*10^6/($C$9*10^3)</f>
        <v>0.32</v>
      </c>
      <c r="O59" s="129" t="s">
        <v>2215</v>
      </c>
    </row>
    <row r="60" spans="1:15" x14ac:dyDescent="0.25">
      <c r="A60" t="s">
        <v>2216</v>
      </c>
      <c r="B60" s="124" t="s">
        <v>2217</v>
      </c>
      <c r="C60" s="903">
        <v>2104006010</v>
      </c>
      <c r="D60" s="125">
        <v>0.81</v>
      </c>
      <c r="F60" s="903" t="s">
        <v>2110</v>
      </c>
      <c r="G60" s="903" t="s">
        <v>2218</v>
      </c>
      <c r="H60" s="133">
        <f>'EFs-OMNI'!H60*10^6/($C$15*10^6)</f>
        <v>5.4187192118226599E-3</v>
      </c>
      <c r="I60" s="133">
        <f>'EFs-OMNI'!I60*10^6/($C$15*10^6)</f>
        <v>9.2610837438423646E-2</v>
      </c>
      <c r="J60" s="133">
        <f>'EFs-OMNI'!J60*10^6/($C$15*10^6)</f>
        <v>5.9113300492610833E-4</v>
      </c>
      <c r="K60" s="133">
        <f>'EFs-OMNI'!K60*10^6/($C$15*10^6)</f>
        <v>7.4876847290640397E-3</v>
      </c>
      <c r="L60" s="133">
        <f>'EFs-OMNI'!L60*10^6/($C$15*10^6)</f>
        <v>7.4876847290640397E-3</v>
      </c>
      <c r="M60" s="133">
        <f>'EFs-OMNI'!M60*10^6/($C$15*10^6)</f>
        <v>1.9704433497536946E-2</v>
      </c>
      <c r="N60" s="133">
        <f>'EFs-OMNI'!N60*10^6/($C$15*10^6)</f>
        <v>3.9408866995073892E-2</v>
      </c>
      <c r="O60" t="s">
        <v>2219</v>
      </c>
    </row>
    <row r="61" spans="1:15" x14ac:dyDescent="0.25">
      <c r="A61" t="s">
        <v>2220</v>
      </c>
      <c r="B61" s="124" t="s">
        <v>2221</v>
      </c>
      <c r="C61" s="903">
        <v>2103006000</v>
      </c>
      <c r="D61" s="125">
        <v>0.81</v>
      </c>
      <c r="F61" s="903" t="s">
        <v>2110</v>
      </c>
      <c r="G61" s="903" t="s">
        <v>2218</v>
      </c>
      <c r="H61" s="133">
        <f>'EFs-OMNI'!H61*10^6/($C$15*10^6)</f>
        <v>5.4187192118226599E-3</v>
      </c>
      <c r="I61" s="133">
        <f>'EFs-OMNI'!I61*10^6/($C$15*10^6)</f>
        <v>9.8522167487684734E-2</v>
      </c>
      <c r="J61" s="133">
        <f>'EFs-OMNI'!J61*10^6/($C$15*10^6)</f>
        <v>5.9113300492610833E-4</v>
      </c>
      <c r="K61" s="133">
        <f>'EFs-OMNI'!K61*10^6/($C$15*10^6)</f>
        <v>7.4876847290640397E-3</v>
      </c>
      <c r="L61" s="133">
        <f>'EFs-OMNI'!L61*10^6/($C$15*10^6)</f>
        <v>7.4876847290640397E-3</v>
      </c>
      <c r="M61" s="133">
        <f>'EFs-OMNI'!M61*10^6/($C$15*10^6)</f>
        <v>1.9704433497536946E-2</v>
      </c>
      <c r="N61" s="133">
        <f>'EFs-OMNI'!N61*10^6/($C$15*10^6)</f>
        <v>3.9408866995073892E-2</v>
      </c>
      <c r="O61" t="s">
        <v>2219</v>
      </c>
    </row>
    <row r="62" spans="1:15" x14ac:dyDescent="0.25">
      <c r="A62" t="s">
        <v>2222</v>
      </c>
      <c r="B62" s="124" t="s">
        <v>2223</v>
      </c>
      <c r="C62" s="2">
        <v>2104002000</v>
      </c>
      <c r="D62" s="125">
        <v>0.43</v>
      </c>
      <c r="E62" t="s">
        <v>2224</v>
      </c>
      <c r="F62" s="2" t="s">
        <v>2113</v>
      </c>
      <c r="G62" s="2" t="s">
        <v>2225</v>
      </c>
      <c r="H62" s="133">
        <f>'EFs-OMNI'!H62/$C$16</f>
        <v>0.65789473684210531</v>
      </c>
      <c r="I62" s="134">
        <f>'EFs-OMNI'!I62/$C$16</f>
        <v>0.31052631578947371</v>
      </c>
      <c r="J62" s="133">
        <f>'EFs-OMNI'!J62/$C$16</f>
        <v>0.61184210526315785</v>
      </c>
      <c r="K62" s="134">
        <f>'EFs-OMNI'!K62/$C$16</f>
        <v>0.5256578947368421</v>
      </c>
      <c r="L62" s="134">
        <f>'EFs-OMNI'!L62/$C$16</f>
        <v>0.5256578947368421</v>
      </c>
      <c r="M62" s="134">
        <f>'EFs-OMNI'!M62/$C$16</f>
        <v>8.3286184210526332E-2</v>
      </c>
      <c r="N62" s="134">
        <f>'EFs-OMNI'!N62/$C$16</f>
        <v>8.5904605263157894</v>
      </c>
      <c r="O62" s="129" t="s">
        <v>2226</v>
      </c>
    </row>
    <row r="63" spans="1:15" x14ac:dyDescent="0.25">
      <c r="A63" t="s">
        <v>2227</v>
      </c>
      <c r="B63" s="124" t="s">
        <v>2228</v>
      </c>
      <c r="C63" s="2" t="s">
        <v>2229</v>
      </c>
      <c r="D63" s="2" t="s">
        <v>65</v>
      </c>
      <c r="F63" s="2" t="s">
        <v>2098</v>
      </c>
      <c r="G63" s="2" t="s">
        <v>2199</v>
      </c>
      <c r="H63" s="133">
        <f>'EFs-OMNI'!H63*10^6/($C$10*10^3)</f>
        <v>7.2202166064981952E-3</v>
      </c>
      <c r="I63" s="134">
        <f>'EFs-OMNI'!I63*10^6/($C$10*10^3)</f>
        <v>0.37693099395384777</v>
      </c>
      <c r="J63" s="134">
        <f>'EFs-OMNI'!J63*10^6/($C$10*10^3)</f>
        <v>0.26689697964980835</v>
      </c>
      <c r="K63" s="134">
        <f>'EFs-OMNI'!K63*10^6/($C$10*10^3)</f>
        <v>3.7575325985579236E-2</v>
      </c>
      <c r="L63" s="134">
        <f>'EFs-OMNI'!L63*10^6/($C$10*10^3)</f>
        <v>3.7575325985579236E-2</v>
      </c>
      <c r="M63" s="134">
        <f>'EFs-OMNI'!M63*10^6/($C$10*10^3)</f>
        <v>2.6269078644246729E-4</v>
      </c>
      <c r="N63" s="134">
        <f>'EFs-OMNI'!N63*10^6/($C$10*10^3)</f>
        <v>8.9732121756607122E-2</v>
      </c>
      <c r="O63" s="129" t="s">
        <v>2230</v>
      </c>
    </row>
    <row r="64" spans="1:15" x14ac:dyDescent="0.25">
      <c r="A64" t="s">
        <v>2231</v>
      </c>
      <c r="B64" t="s">
        <v>65</v>
      </c>
      <c r="C64" s="2" t="s">
        <v>65</v>
      </c>
      <c r="D64" s="2" t="s">
        <v>65</v>
      </c>
    </row>
    <row r="67" spans="4:14" ht="15.75" x14ac:dyDescent="0.25">
      <c r="D67" s="924" t="s">
        <v>2232</v>
      </c>
      <c r="E67" s="924"/>
      <c r="F67" s="924"/>
      <c r="G67" s="924"/>
      <c r="H67" s="924"/>
      <c r="I67" s="924"/>
      <c r="J67" s="924"/>
      <c r="K67" s="924"/>
      <c r="L67" s="924"/>
      <c r="M67" s="924"/>
      <c r="N67" s="924"/>
    </row>
    <row r="68" spans="4:14" ht="15.75" x14ac:dyDescent="0.25">
      <c r="D68" s="931" t="s">
        <v>2233</v>
      </c>
      <c r="E68" s="924"/>
      <c r="F68" s="924"/>
      <c r="G68" s="924"/>
      <c r="H68" s="924"/>
      <c r="I68" s="924"/>
      <c r="J68" s="924"/>
      <c r="K68" s="924"/>
      <c r="L68" s="924"/>
      <c r="M68" s="924"/>
      <c r="N68" s="924"/>
    </row>
    <row r="69" spans="4:14" x14ac:dyDescent="0.25">
      <c r="F69" s="2" t="s">
        <v>2234</v>
      </c>
      <c r="H69" s="917" t="s">
        <v>2235</v>
      </c>
      <c r="I69" s="917"/>
      <c r="J69" s="917"/>
      <c r="K69" s="917"/>
      <c r="L69" s="917"/>
      <c r="M69" s="917"/>
      <c r="N69" s="917"/>
    </row>
    <row r="70" spans="4:14" ht="15.75" thickBot="1" x14ac:dyDescent="0.3">
      <c r="D70" s="15" t="s">
        <v>2070</v>
      </c>
      <c r="E70" s="15" t="s">
        <v>2236</v>
      </c>
      <c r="F70" s="15" t="s">
        <v>2140</v>
      </c>
      <c r="G70" s="15"/>
      <c r="H70" s="15" t="s">
        <v>2143</v>
      </c>
      <c r="I70" s="15" t="s">
        <v>2144</v>
      </c>
      <c r="J70" s="15" t="s">
        <v>2145</v>
      </c>
      <c r="K70" s="15" t="s">
        <v>2146</v>
      </c>
      <c r="L70" s="135" t="s">
        <v>2147</v>
      </c>
      <c r="M70" s="15" t="s">
        <v>2148</v>
      </c>
      <c r="N70" s="15" t="s">
        <v>2149</v>
      </c>
    </row>
    <row r="71" spans="4:14" ht="15.75" thickTop="1" x14ac:dyDescent="0.25">
      <c r="D71" s="2" t="s">
        <v>18</v>
      </c>
      <c r="E71" t="str">
        <f>A37</f>
        <v>Fireplace, No Insert</v>
      </c>
      <c r="F71" s="136">
        <f>D37</f>
        <v>7.0000000000000007E-2</v>
      </c>
      <c r="H71" s="11">
        <f>H37/$D37</f>
        <v>189.09991742361683</v>
      </c>
      <c r="I71" s="11">
        <f t="shared" ref="I71:N71" si="1">I37/$D37</f>
        <v>2.1469859620148637</v>
      </c>
      <c r="J71" s="11">
        <f t="shared" si="1"/>
        <v>0.33030553261767132</v>
      </c>
      <c r="K71" s="11">
        <f t="shared" si="1"/>
        <v>28.571428571428569</v>
      </c>
      <c r="L71" s="137">
        <f t="shared" si="1"/>
        <v>28.571428571428569</v>
      </c>
      <c r="M71" s="11">
        <f t="shared" si="1"/>
        <v>1.4863748967795209</v>
      </c>
      <c r="N71" s="11">
        <f t="shared" si="1"/>
        <v>208.58794384805941</v>
      </c>
    </row>
    <row r="72" spans="4:14" x14ac:dyDescent="0.25">
      <c r="D72" s="2" t="s">
        <v>18</v>
      </c>
      <c r="E72" t="str">
        <f t="shared" ref="E72:E83" si="2">A38</f>
        <v>Fireplace, With Insert - Non-EPA Certified</v>
      </c>
      <c r="F72" s="136">
        <f t="shared" ref="F72:F83" si="3">D38</f>
        <v>0.4</v>
      </c>
      <c r="H72" s="11">
        <f t="shared" ref="H72:N83" si="4">H38/$D38</f>
        <v>7.6589595375722537</v>
      </c>
      <c r="I72" s="11">
        <f t="shared" si="4"/>
        <v>0.40462427745664731</v>
      </c>
      <c r="J72" s="11">
        <f t="shared" si="4"/>
        <v>5.7803468208092477E-2</v>
      </c>
      <c r="K72" s="11">
        <f t="shared" si="4"/>
        <v>4.4219653179190752</v>
      </c>
      <c r="L72" s="137">
        <f t="shared" si="4"/>
        <v>4.4219653179190752</v>
      </c>
      <c r="M72" s="11">
        <f t="shared" si="4"/>
        <v>0.24566473988439302</v>
      </c>
      <c r="N72" s="11">
        <f t="shared" si="4"/>
        <v>33.352601156069362</v>
      </c>
    </row>
    <row r="73" spans="4:14" x14ac:dyDescent="0.25">
      <c r="D73" s="2" t="s">
        <v>18</v>
      </c>
      <c r="E73" t="str">
        <f t="shared" si="2"/>
        <v>Fireplace, With Insert - EPA Certified Non-Catalytic</v>
      </c>
      <c r="F73" s="136">
        <f t="shared" si="3"/>
        <v>0.66</v>
      </c>
      <c r="H73" s="11">
        <f t="shared" si="4"/>
        <v>1.0509721492380451</v>
      </c>
      <c r="I73" s="11">
        <f t="shared" si="4"/>
        <v>0.17516202487300753</v>
      </c>
      <c r="J73" s="11">
        <f t="shared" si="4"/>
        <v>3.50324049746015E-2</v>
      </c>
      <c r="K73" s="11">
        <f t="shared" si="4"/>
        <v>2.6799789805570153</v>
      </c>
      <c r="L73" s="137">
        <f t="shared" si="4"/>
        <v>1.0509721492380451</v>
      </c>
      <c r="M73" s="11">
        <f t="shared" si="4"/>
        <v>7.8822911192853382E-2</v>
      </c>
      <c r="N73" s="11">
        <f t="shared" si="4"/>
        <v>12.331406551059729</v>
      </c>
    </row>
    <row r="74" spans="4:14" x14ac:dyDescent="0.25">
      <c r="D74" s="2" t="s">
        <v>18</v>
      </c>
      <c r="E74" t="str">
        <f t="shared" si="2"/>
        <v>Fireplace, With Insert - EPA Certified Catalytic</v>
      </c>
      <c r="F74" s="136">
        <f t="shared" si="3"/>
        <v>0.7</v>
      </c>
      <c r="H74" s="11">
        <f t="shared" si="4"/>
        <v>1.2386457473162675</v>
      </c>
      <c r="I74" s="11">
        <f t="shared" si="4"/>
        <v>0.16515276630883569</v>
      </c>
      <c r="J74" s="11">
        <f t="shared" si="4"/>
        <v>3.3030553261767133E-2</v>
      </c>
      <c r="K74" s="11">
        <f t="shared" si="4"/>
        <v>1.0734929810074318</v>
      </c>
      <c r="L74" s="137">
        <f t="shared" si="4"/>
        <v>1.0734929810074318</v>
      </c>
      <c r="M74" s="11">
        <f t="shared" si="4"/>
        <v>7.4318744838976061E-2</v>
      </c>
      <c r="N74" s="11">
        <f t="shared" si="4"/>
        <v>8.8356729975227086</v>
      </c>
    </row>
    <row r="75" spans="4:14" x14ac:dyDescent="0.25">
      <c r="D75" s="2" t="s">
        <v>18</v>
      </c>
      <c r="E75" t="str">
        <f t="shared" si="2"/>
        <v>Woodstove - Non-EPA Certified</v>
      </c>
      <c r="F75" s="136">
        <f t="shared" si="3"/>
        <v>0.54</v>
      </c>
      <c r="H75" s="11">
        <f t="shared" si="4"/>
        <v>5.6733033611646322</v>
      </c>
      <c r="I75" s="11">
        <f t="shared" si="4"/>
        <v>0.15544237136380301</v>
      </c>
      <c r="J75" s="11">
        <f t="shared" si="4"/>
        <v>4.2817383857846281E-2</v>
      </c>
      <c r="K75" s="11">
        <f t="shared" si="4"/>
        <v>1.299724832516908</v>
      </c>
      <c r="L75" s="137">
        <f t="shared" si="4"/>
        <v>1.299724832516908</v>
      </c>
      <c r="M75" s="11">
        <f t="shared" si="4"/>
        <v>4.2499309059533252E-2</v>
      </c>
      <c r="N75" s="11">
        <f t="shared" si="4"/>
        <v>12.970524694783993</v>
      </c>
    </row>
    <row r="76" spans="4:14" x14ac:dyDescent="0.25">
      <c r="D76" s="2" t="s">
        <v>18</v>
      </c>
      <c r="E76" t="str">
        <f t="shared" si="2"/>
        <v>Woodstove - EPA Certified Non-Catalytic</v>
      </c>
      <c r="F76" s="136">
        <f t="shared" si="3"/>
        <v>0.68</v>
      </c>
      <c r="H76" s="11">
        <f t="shared" si="4"/>
        <v>1.0200612036722203</v>
      </c>
      <c r="I76" s="11">
        <f t="shared" si="4"/>
        <v>0.13675957465467117</v>
      </c>
      <c r="J76" s="11">
        <f t="shared" si="4"/>
        <v>3.4002040122407338E-2</v>
      </c>
      <c r="K76" s="11">
        <f t="shared" si="4"/>
        <v>0.67367606773746747</v>
      </c>
      <c r="L76" s="137">
        <f t="shared" si="4"/>
        <v>0.67367606773746747</v>
      </c>
      <c r="M76" s="11">
        <f t="shared" si="4"/>
        <v>2.1229321351241379E-2</v>
      </c>
      <c r="N76" s="11">
        <f t="shared" si="4"/>
        <v>10.510111228503423</v>
      </c>
    </row>
    <row r="77" spans="4:14" x14ac:dyDescent="0.25">
      <c r="D77" s="2" t="s">
        <v>18</v>
      </c>
      <c r="E77" t="str">
        <f t="shared" si="2"/>
        <v>Woodstove - EPA Certified Catalytic</v>
      </c>
      <c r="F77" s="136">
        <f t="shared" si="3"/>
        <v>0.72</v>
      </c>
      <c r="H77" s="11">
        <f t="shared" si="4"/>
        <v>1.2042389210019269</v>
      </c>
      <c r="I77" s="11">
        <f t="shared" si="4"/>
        <v>0.12916182050718947</v>
      </c>
      <c r="J77" s="11">
        <f t="shared" si="4"/>
        <v>3.211303789338471E-2</v>
      </c>
      <c r="K77" s="11">
        <f t="shared" si="4"/>
        <v>0.70597560523172997</v>
      </c>
      <c r="L77" s="137">
        <f>L43/$D43</f>
        <v>0.6362496195298305</v>
      </c>
      <c r="M77" s="11">
        <f t="shared" si="4"/>
        <v>2.004991460950575E-2</v>
      </c>
      <c r="N77" s="11">
        <f t="shared" si="4"/>
        <v>9.9262161602532331</v>
      </c>
    </row>
    <row r="78" spans="4:14" x14ac:dyDescent="0.25">
      <c r="D78" s="2" t="s">
        <v>18</v>
      </c>
      <c r="E78" t="str">
        <f t="shared" si="2"/>
        <v>Pellet Stove (Exempt)</v>
      </c>
      <c r="F78" s="136">
        <f t="shared" si="3"/>
        <v>0.56000000000000005</v>
      </c>
      <c r="H78" s="11">
        <f t="shared" si="4"/>
        <v>0.24772914946325347</v>
      </c>
      <c r="I78" s="11">
        <f t="shared" si="4"/>
        <v>0.43261226543331893</v>
      </c>
      <c r="J78" s="11">
        <f t="shared" si="4"/>
        <v>3.4574406827837682E-2</v>
      </c>
      <c r="K78" s="11">
        <f t="shared" si="4"/>
        <v>0.31981326315749853</v>
      </c>
      <c r="L78" s="137">
        <f t="shared" si="4"/>
        <v>0.31981326315749853</v>
      </c>
      <c r="M78" s="11">
        <f t="shared" si="4"/>
        <v>7.7662761337030399E-3</v>
      </c>
      <c r="N78" s="11">
        <f t="shared" si="4"/>
        <v>1.073103151919012</v>
      </c>
    </row>
    <row r="79" spans="4:14" x14ac:dyDescent="0.25">
      <c r="D79" s="2" t="s">
        <v>18</v>
      </c>
      <c r="E79" t="str">
        <f t="shared" si="2"/>
        <v>Pellet Stove (EPA Certified)</v>
      </c>
      <c r="F79" s="136">
        <f t="shared" si="3"/>
        <v>0.78</v>
      </c>
      <c r="H79" s="11">
        <f t="shared" si="4"/>
        <v>0.17785682525566915</v>
      </c>
      <c r="I79" s="11">
        <f t="shared" si="4"/>
        <v>0.31059342133674178</v>
      </c>
      <c r="J79" s="11">
        <f t="shared" si="4"/>
        <v>2.4822651055883462E-2</v>
      </c>
      <c r="K79" s="11">
        <f t="shared" si="4"/>
        <v>0.22960952226692205</v>
      </c>
      <c r="L79" s="137">
        <f t="shared" si="4"/>
        <v>0.22960952226692205</v>
      </c>
      <c r="M79" s="11">
        <f t="shared" si="4"/>
        <v>5.5757879934278231E-3</v>
      </c>
      <c r="N79" s="11">
        <f t="shared" si="4"/>
        <v>0.770433032146983</v>
      </c>
    </row>
    <row r="80" spans="4:14" x14ac:dyDescent="0.25">
      <c r="D80" s="2" t="s">
        <v>18</v>
      </c>
      <c r="E80" t="str">
        <f t="shared" si="2"/>
        <v>OWB (Hydronic Heater) - 80/20 Unqual/Phase 2 Wtd</v>
      </c>
      <c r="F80" s="136">
        <f t="shared" si="3"/>
        <v>0.43</v>
      </c>
      <c r="H80" s="11">
        <f t="shared" si="4"/>
        <v>6.1029708294125564</v>
      </c>
      <c r="I80" s="11">
        <f t="shared" si="4"/>
        <v>0.21679439570610612</v>
      </c>
      <c r="J80" s="11">
        <f t="shared" si="4"/>
        <v>5.3770668100551158E-2</v>
      </c>
      <c r="K80" s="11">
        <f t="shared" si="4"/>
        <v>1.3268116788958113</v>
      </c>
      <c r="L80" s="137">
        <f t="shared" si="4"/>
        <v>1.3268116788958113</v>
      </c>
      <c r="M80" s="11">
        <f t="shared" si="4"/>
        <v>3.2767652854291347E-2</v>
      </c>
      <c r="N80" s="11">
        <f t="shared" si="4"/>
        <v>8.1423130107544122</v>
      </c>
    </row>
    <row r="81" spans="4:14" x14ac:dyDescent="0.25">
      <c r="D81" s="2" t="s">
        <v>18</v>
      </c>
      <c r="E81" t="str">
        <f t="shared" si="2"/>
        <v>OWB (Hydronic Heater) - Unqualified</v>
      </c>
      <c r="F81" s="136">
        <f t="shared" si="3"/>
        <v>0.43</v>
      </c>
      <c r="H81" s="11">
        <f t="shared" si="4"/>
        <v>7.1246135233230268</v>
      </c>
      <c r="I81" s="11">
        <f t="shared" si="4"/>
        <v>0.19840081127369652</v>
      </c>
      <c r="J81" s="11">
        <f t="shared" si="4"/>
        <v>5.3770668100551144E-2</v>
      </c>
      <c r="K81" s="11">
        <f t="shared" si="4"/>
        <v>1.4848757459742818</v>
      </c>
      <c r="L81" s="137">
        <f t="shared" si="4"/>
        <v>1.4848757459742818</v>
      </c>
      <c r="M81" s="11">
        <f t="shared" si="4"/>
        <v>3.6739327534441243E-2</v>
      </c>
      <c r="N81" s="11">
        <f t="shared" si="4"/>
        <v>7.4336984819782863</v>
      </c>
    </row>
    <row r="82" spans="4:14" x14ac:dyDescent="0.25">
      <c r="D82" s="2" t="s">
        <v>18</v>
      </c>
      <c r="E82" t="str">
        <f t="shared" si="2"/>
        <v>OWB (Hydronic Heater) - Phase 1</v>
      </c>
      <c r="F82" s="136">
        <f t="shared" si="3"/>
        <v>0.43</v>
      </c>
      <c r="H82" s="11">
        <f t="shared" si="4"/>
        <v>1.6131200430165344</v>
      </c>
      <c r="I82" s="11">
        <f t="shared" si="4"/>
        <v>0.29036873343574471</v>
      </c>
      <c r="J82" s="11">
        <f t="shared" si="4"/>
        <v>5.3770668100551144E-2</v>
      </c>
      <c r="K82" s="11">
        <f t="shared" si="4"/>
        <v>1.3083485641194479</v>
      </c>
      <c r="L82" s="137">
        <f t="shared" si="4"/>
        <v>1.3083485641194479</v>
      </c>
      <c r="M82" s="11">
        <f t="shared" si="4"/>
        <v>1.6880954133691749E-2</v>
      </c>
      <c r="N82" s="11">
        <f t="shared" si="4"/>
        <v>14.444199761877892</v>
      </c>
    </row>
    <row r="83" spans="4:14" x14ac:dyDescent="0.25">
      <c r="D83" s="2" t="s">
        <v>18</v>
      </c>
      <c r="E83" t="str">
        <f t="shared" si="2"/>
        <v>OWB (Hydronic Heater) - Phase 2</v>
      </c>
      <c r="F83" s="136">
        <f t="shared" si="3"/>
        <v>0.43</v>
      </c>
      <c r="H83" s="11">
        <f t="shared" si="4"/>
        <v>2.0164000537706683</v>
      </c>
      <c r="I83" s="11">
        <f t="shared" si="4"/>
        <v>0.29036873343574471</v>
      </c>
      <c r="J83" s="11">
        <f t="shared" si="4"/>
        <v>5.3770668100551144E-2</v>
      </c>
      <c r="K83" s="11">
        <f t="shared" si="4"/>
        <v>0.69455541058192904</v>
      </c>
      <c r="L83" s="137">
        <f t="shared" si="4"/>
        <v>0.69455541058192904</v>
      </c>
      <c r="M83" s="11">
        <f t="shared" si="4"/>
        <v>1.6880954133691749E-2</v>
      </c>
      <c r="N83" s="11">
        <f t="shared" si="4"/>
        <v>10.976771125858908</v>
      </c>
    </row>
    <row r="84" spans="4:14" x14ac:dyDescent="0.25">
      <c r="D84" s="2" t="s">
        <v>2113</v>
      </c>
      <c r="E84" t="str">
        <f>A62</f>
        <v>Coal Boiler (bituminous/subbituminous, hand-fed)</v>
      </c>
      <c r="F84" s="136">
        <f>D62</f>
        <v>0.43</v>
      </c>
      <c r="H84" s="11">
        <f t="shared" ref="H84:N84" si="5">H62/$D62</f>
        <v>1.5299877600979193</v>
      </c>
      <c r="I84" s="11">
        <f t="shared" si="5"/>
        <v>0.72215422276621788</v>
      </c>
      <c r="J84" s="11">
        <f t="shared" si="5"/>
        <v>1.4228886168910648</v>
      </c>
      <c r="K84" s="11">
        <f t="shared" si="5"/>
        <v>1.2224602203182375</v>
      </c>
      <c r="L84" s="137">
        <f t="shared" si="5"/>
        <v>1.2224602203182375</v>
      </c>
      <c r="M84" s="11">
        <f t="shared" si="5"/>
        <v>0.19368880048959614</v>
      </c>
      <c r="N84" s="11">
        <f t="shared" si="5"/>
        <v>19.977815177478579</v>
      </c>
    </row>
    <row r="85" spans="4:14" x14ac:dyDescent="0.25">
      <c r="D85" s="2" t="s">
        <v>14</v>
      </c>
      <c r="E85" t="str">
        <f>A54</f>
        <v>Central Oil (Weighted # 1 &amp; #2), Residential</v>
      </c>
      <c r="F85" s="136">
        <f>D54</f>
        <v>0.81</v>
      </c>
      <c r="H85" s="11">
        <f>H54/$D54</f>
        <v>6.5203475080018274E-3</v>
      </c>
      <c r="I85" s="11">
        <f t="shared" ref="I85:N87" si="6">I54/$D54</f>
        <v>0.10216194821540199</v>
      </c>
      <c r="J85" s="11">
        <f t="shared" si="6"/>
        <v>0.26431256361773509</v>
      </c>
      <c r="K85" s="11">
        <f t="shared" si="6"/>
        <v>4.1755564665695638E-3</v>
      </c>
      <c r="L85" s="137">
        <f t="shared" si="6"/>
        <v>4.1755564665695638E-3</v>
      </c>
      <c r="M85" s="11">
        <f t="shared" si="6"/>
        <v>2.2401860443145715E-4</v>
      </c>
      <c r="N85" s="11">
        <f t="shared" si="6"/>
        <v>4.09552496762698E-3</v>
      </c>
    </row>
    <row r="86" spans="4:14" x14ac:dyDescent="0.25">
      <c r="D86" s="2" t="s">
        <v>14</v>
      </c>
      <c r="E86" t="str">
        <f>A55</f>
        <v>Central Oil (#1 distillate), Residential</v>
      </c>
      <c r="F86" s="136">
        <f>D55</f>
        <v>0.81</v>
      </c>
      <c r="H86" s="11">
        <f>H55/$D55</f>
        <v>7.0419753086419738E-3</v>
      </c>
      <c r="I86" s="11">
        <f t="shared" si="6"/>
        <v>0.11033490407263415</v>
      </c>
      <c r="J86" s="11">
        <f t="shared" si="6"/>
        <v>0.12566123456790124</v>
      </c>
      <c r="K86" s="11">
        <f t="shared" si="6"/>
        <v>4.5096009838951293E-3</v>
      </c>
      <c r="L86" s="137">
        <f t="shared" si="6"/>
        <v>4.5096009838951293E-3</v>
      </c>
      <c r="M86" s="11">
        <f t="shared" si="6"/>
        <v>2.4194009278597371E-4</v>
      </c>
      <c r="N86" s="11">
        <f t="shared" si="6"/>
        <v>4.4231669650371388E-3</v>
      </c>
    </row>
    <row r="87" spans="4:14" x14ac:dyDescent="0.25">
      <c r="D87" s="2" t="s">
        <v>14</v>
      </c>
      <c r="E87" t="str">
        <f>A56</f>
        <v>Central Oil (#2 distillate), Residential</v>
      </c>
      <c r="F87" s="136">
        <f>D56</f>
        <v>0.81</v>
      </c>
      <c r="H87" s="11">
        <f>H56/$D56</f>
        <v>6.3555733832508787E-3</v>
      </c>
      <c r="I87" s="11">
        <f t="shared" si="6"/>
        <v>9.9580238332702298E-2</v>
      </c>
      <c r="J87" s="11">
        <f t="shared" si="6"/>
        <v>0.32479565004234073</v>
      </c>
      <c r="K87" s="11">
        <f t="shared" si="6"/>
        <v>4.0700369890750258E-3</v>
      </c>
      <c r="L87" s="137">
        <f t="shared" si="6"/>
        <v>4.0700369890750258E-3</v>
      </c>
      <c r="M87" s="11">
        <f t="shared" si="6"/>
        <v>2.1835748446387518E-4</v>
      </c>
      <c r="N87" s="11">
        <f t="shared" si="6"/>
        <v>3.9920279467844213E-3</v>
      </c>
    </row>
    <row r="88" spans="4:14" x14ac:dyDescent="0.25">
      <c r="D88" s="2" t="s">
        <v>14</v>
      </c>
      <c r="E88" t="str">
        <f>A58</f>
        <v>Portable: 43% Kerosene &amp; 57% Fuel Oil</v>
      </c>
      <c r="F88" s="136">
        <f>D58</f>
        <v>0.81</v>
      </c>
      <c r="H88" s="11">
        <f t="shared" ref="H88:N91" si="7">H58/$D58</f>
        <v>6.4253944565878076E-3</v>
      </c>
      <c r="I88" s="11">
        <f t="shared" si="7"/>
        <v>0.16221192176519011</v>
      </c>
      <c r="J88" s="11">
        <f t="shared" si="7"/>
        <v>0.26046349201353508</v>
      </c>
      <c r="K88" s="11">
        <f t="shared" si="7"/>
        <v>3.6047093725597805E-3</v>
      </c>
      <c r="L88" s="137">
        <f t="shared" si="7"/>
        <v>3.6047093725597805E-3</v>
      </c>
      <c r="M88" s="11">
        <f t="shared" si="7"/>
        <v>2.207563166410943E-4</v>
      </c>
      <c r="N88" s="11">
        <f t="shared" si="7"/>
        <v>4.0358835769892503E-3</v>
      </c>
    </row>
    <row r="89" spans="4:14" x14ac:dyDescent="0.25">
      <c r="D89" s="2" t="s">
        <v>14</v>
      </c>
      <c r="E89" t="str">
        <f>A59</f>
        <v>Direct Vent</v>
      </c>
      <c r="F89" s="136">
        <f>D59</f>
        <v>0.81</v>
      </c>
      <c r="H89" s="11">
        <f t="shared" si="7"/>
        <v>5.432098765432098E-2</v>
      </c>
      <c r="I89" s="11">
        <f t="shared" si="7"/>
        <v>0.98765432098765427</v>
      </c>
      <c r="J89" s="11">
        <f t="shared" si="7"/>
        <v>5.9259259259259248E-3</v>
      </c>
      <c r="K89" s="11">
        <f t="shared" si="7"/>
        <v>7.5061728395061728E-2</v>
      </c>
      <c r="L89" s="137">
        <f t="shared" si="7"/>
        <v>7.5061728395061728E-2</v>
      </c>
      <c r="M89" s="11">
        <f t="shared" si="7"/>
        <v>0.19753086419753085</v>
      </c>
      <c r="N89" s="11">
        <f t="shared" si="7"/>
        <v>0.39506172839506171</v>
      </c>
    </row>
    <row r="90" spans="4:14" x14ac:dyDescent="0.25">
      <c r="D90" s="2" t="s">
        <v>2237</v>
      </c>
      <c r="E90" t="str">
        <f>A60</f>
        <v>Natural Gas - Residential</v>
      </c>
      <c r="F90" s="136">
        <f>D60</f>
        <v>0.81</v>
      </c>
      <c r="H90" s="11">
        <f t="shared" si="7"/>
        <v>6.6897768047193325E-3</v>
      </c>
      <c r="I90" s="11">
        <f t="shared" si="7"/>
        <v>0.11433436720793042</v>
      </c>
      <c r="J90" s="11">
        <f t="shared" si="7"/>
        <v>7.2979383324210895E-4</v>
      </c>
      <c r="K90" s="11">
        <f t="shared" si="7"/>
        <v>9.2440552210667146E-3</v>
      </c>
      <c r="L90" s="137">
        <f t="shared" si="7"/>
        <v>9.2440552210667146E-3</v>
      </c>
      <c r="M90" s="11">
        <f t="shared" si="7"/>
        <v>2.4326461108070303E-2</v>
      </c>
      <c r="N90" s="11">
        <f t="shared" si="7"/>
        <v>4.8652922216140607E-2</v>
      </c>
    </row>
    <row r="91" spans="4:14" x14ac:dyDescent="0.25">
      <c r="D91" s="2" t="s">
        <v>2237</v>
      </c>
      <c r="E91" t="str">
        <f>A61</f>
        <v>Natural Gas - Commercial, small uncontrolled</v>
      </c>
      <c r="F91" s="136">
        <f>D61</f>
        <v>0.81</v>
      </c>
      <c r="H91" s="11">
        <f t="shared" si="7"/>
        <v>6.6897768047193325E-3</v>
      </c>
      <c r="I91" s="11">
        <f t="shared" si="7"/>
        <v>0.12163230554035151</v>
      </c>
      <c r="J91" s="11">
        <f t="shared" si="7"/>
        <v>7.2979383324210895E-4</v>
      </c>
      <c r="K91" s="11">
        <f t="shared" si="7"/>
        <v>9.2440552210667146E-3</v>
      </c>
      <c r="L91" s="137">
        <f t="shared" si="7"/>
        <v>9.2440552210667146E-3</v>
      </c>
      <c r="M91" s="11">
        <f t="shared" si="7"/>
        <v>2.4326461108070303E-2</v>
      </c>
      <c r="N91" s="11">
        <f t="shared" si="7"/>
        <v>4.8652922216140607E-2</v>
      </c>
    </row>
    <row r="94" spans="4:14" ht="15.75" x14ac:dyDescent="0.25">
      <c r="D94" s="924" t="s">
        <v>2232</v>
      </c>
      <c r="E94" s="924"/>
      <c r="F94" s="924"/>
      <c r="G94" s="924"/>
      <c r="H94" s="924"/>
      <c r="I94" s="924"/>
      <c r="J94" s="924"/>
      <c r="K94" s="924"/>
      <c r="L94" s="924"/>
      <c r="M94" s="924"/>
      <c r="N94" s="924"/>
    </row>
    <row r="95" spans="4:14" ht="15.75" x14ac:dyDescent="0.25">
      <c r="D95" s="931" t="s">
        <v>2238</v>
      </c>
      <c r="E95" s="924"/>
      <c r="F95" s="924"/>
      <c r="G95" s="924"/>
      <c r="H95" s="924"/>
      <c r="I95" s="924"/>
      <c r="J95" s="924"/>
      <c r="K95" s="924"/>
      <c r="L95" s="924"/>
      <c r="M95" s="924"/>
      <c r="N95" s="924"/>
    </row>
    <row r="96" spans="4:14" x14ac:dyDescent="0.25">
      <c r="F96" s="2" t="s">
        <v>2234</v>
      </c>
      <c r="H96" s="917" t="s">
        <v>2235</v>
      </c>
      <c r="I96" s="917"/>
      <c r="J96" s="917"/>
      <c r="K96" s="917"/>
      <c r="L96" s="917"/>
      <c r="M96" s="917"/>
      <c r="N96" s="917"/>
    </row>
    <row r="97" spans="4:14" ht="15.75" thickBot="1" x14ac:dyDescent="0.3">
      <c r="D97" s="15" t="s">
        <v>2070</v>
      </c>
      <c r="E97" s="15" t="s">
        <v>2236</v>
      </c>
      <c r="F97" s="15" t="s">
        <v>2140</v>
      </c>
      <c r="G97" s="15"/>
      <c r="H97" s="15" t="s">
        <v>2143</v>
      </c>
      <c r="I97" s="15" t="s">
        <v>2144</v>
      </c>
      <c r="J97" s="15" t="s">
        <v>2145</v>
      </c>
      <c r="K97" s="15" t="s">
        <v>2146</v>
      </c>
      <c r="L97" s="135" t="s">
        <v>2147</v>
      </c>
      <c r="M97" s="15" t="s">
        <v>2148</v>
      </c>
      <c r="N97" s="15" t="s">
        <v>2149</v>
      </c>
    </row>
    <row r="98" spans="4:14" ht="15.75" thickTop="1" x14ac:dyDescent="0.25">
      <c r="D98" s="2" t="str">
        <f t="shared" ref="D98:F113" si="8">D71</f>
        <v>Wood</v>
      </c>
      <c r="E98" t="str">
        <f>E71</f>
        <v>Fireplace, No Insert</v>
      </c>
      <c r="F98" s="138">
        <f>F71</f>
        <v>7.0000000000000007E-2</v>
      </c>
      <c r="H98" s="11">
        <f t="shared" ref="H98:N110" si="9">H71*$C$4/$C$5</f>
        <v>226.91990090834022</v>
      </c>
      <c r="I98" s="11">
        <f t="shared" si="9"/>
        <v>2.5763831544178362</v>
      </c>
      <c r="J98" s="11">
        <f t="shared" si="9"/>
        <v>0.39636663914120562</v>
      </c>
      <c r="K98" s="11">
        <f t="shared" si="9"/>
        <v>34.285714285714285</v>
      </c>
      <c r="L98" s="137">
        <f t="shared" si="9"/>
        <v>34.285714285714285</v>
      </c>
      <c r="M98" s="11">
        <f t="shared" si="9"/>
        <v>1.7836498761354251</v>
      </c>
      <c r="N98" s="11">
        <f t="shared" si="9"/>
        <v>250.30553261767128</v>
      </c>
    </row>
    <row r="99" spans="4:14" x14ac:dyDescent="0.25">
      <c r="D99" s="2" t="str">
        <f t="shared" si="8"/>
        <v>Wood</v>
      </c>
      <c r="E99" t="str">
        <f t="shared" si="8"/>
        <v>Fireplace, With Insert - Non-EPA Certified</v>
      </c>
      <c r="F99" s="138">
        <f t="shared" si="8"/>
        <v>0.4</v>
      </c>
      <c r="H99" s="11">
        <f t="shared" si="9"/>
        <v>9.1907514450867041</v>
      </c>
      <c r="I99" s="11">
        <f t="shared" si="9"/>
        <v>0.48554913294797675</v>
      </c>
      <c r="J99" s="11">
        <f t="shared" si="9"/>
        <v>6.9364161849710976E-2</v>
      </c>
      <c r="K99" s="11">
        <f t="shared" si="9"/>
        <v>5.3063583815028901</v>
      </c>
      <c r="L99" s="137">
        <f t="shared" si="9"/>
        <v>5.3063583815028901</v>
      </c>
      <c r="M99" s="11">
        <f t="shared" si="9"/>
        <v>0.29479768786127158</v>
      </c>
      <c r="N99" s="11">
        <f t="shared" si="9"/>
        <v>40.023121387283233</v>
      </c>
    </row>
    <row r="100" spans="4:14" x14ac:dyDescent="0.25">
      <c r="D100" s="2" t="str">
        <f t="shared" si="8"/>
        <v>Wood</v>
      </c>
      <c r="E100" t="str">
        <f t="shared" si="8"/>
        <v>Fireplace, With Insert - EPA Certified Non-Catalytic</v>
      </c>
      <c r="F100" s="138">
        <f t="shared" si="8"/>
        <v>0.66</v>
      </c>
      <c r="H100" s="11">
        <f t="shared" si="9"/>
        <v>1.2611665790856539</v>
      </c>
      <c r="I100" s="11">
        <f t="shared" si="9"/>
        <v>0.21019442984760903</v>
      </c>
      <c r="J100" s="11">
        <f t="shared" si="9"/>
        <v>4.2038885969521801E-2</v>
      </c>
      <c r="K100" s="11">
        <f t="shared" si="9"/>
        <v>3.2159747766684186</v>
      </c>
      <c r="L100" s="137">
        <f t="shared" si="9"/>
        <v>1.2611665790856539</v>
      </c>
      <c r="M100" s="11">
        <f t="shared" si="9"/>
        <v>9.4587493431424058E-2</v>
      </c>
      <c r="N100" s="11">
        <f t="shared" si="9"/>
        <v>14.797687861271674</v>
      </c>
    </row>
    <row r="101" spans="4:14" x14ac:dyDescent="0.25">
      <c r="D101" s="2" t="str">
        <f t="shared" si="8"/>
        <v>Wood</v>
      </c>
      <c r="E101" t="str">
        <f t="shared" si="8"/>
        <v>Fireplace, With Insert - EPA Certified Catalytic</v>
      </c>
      <c r="F101" s="138">
        <f t="shared" si="8"/>
        <v>0.7</v>
      </c>
      <c r="H101" s="11">
        <f t="shared" si="9"/>
        <v>1.4863748967795212</v>
      </c>
      <c r="I101" s="11">
        <f t="shared" si="9"/>
        <v>0.19818331957060284</v>
      </c>
      <c r="J101" s="11">
        <f t="shared" si="9"/>
        <v>3.963666391412056E-2</v>
      </c>
      <c r="K101" s="11">
        <f t="shared" si="9"/>
        <v>1.2881915772089181</v>
      </c>
      <c r="L101" s="137">
        <f t="shared" si="9"/>
        <v>1.2881915772089181</v>
      </c>
      <c r="M101" s="11">
        <f t="shared" si="9"/>
        <v>8.9182493806771262E-2</v>
      </c>
      <c r="N101" s="11">
        <f t="shared" si="9"/>
        <v>10.602807597027251</v>
      </c>
    </row>
    <row r="102" spans="4:14" x14ac:dyDescent="0.25">
      <c r="D102" s="2" t="str">
        <f t="shared" si="8"/>
        <v>Wood</v>
      </c>
      <c r="E102" t="str">
        <f t="shared" si="8"/>
        <v>Woodstove - Non-EPA Certified</v>
      </c>
      <c r="F102" s="138">
        <f t="shared" si="8"/>
        <v>0.54</v>
      </c>
      <c r="H102" s="11">
        <f t="shared" si="9"/>
        <v>6.8079640333975586</v>
      </c>
      <c r="I102" s="11">
        <f t="shared" si="9"/>
        <v>0.18653084563656364</v>
      </c>
      <c r="J102" s="11">
        <f t="shared" si="9"/>
        <v>5.1380860629415541E-2</v>
      </c>
      <c r="K102" s="11">
        <f t="shared" si="9"/>
        <v>1.5596697990202895</v>
      </c>
      <c r="L102" s="137">
        <f t="shared" si="9"/>
        <v>1.5596697990202895</v>
      </c>
      <c r="M102" s="11">
        <f t="shared" si="9"/>
        <v>5.0999170871439903E-2</v>
      </c>
      <c r="N102" s="11">
        <f t="shared" si="9"/>
        <v>15.564629633740791</v>
      </c>
    </row>
    <row r="103" spans="4:14" x14ac:dyDescent="0.25">
      <c r="D103" s="2" t="str">
        <f t="shared" si="8"/>
        <v>Wood</v>
      </c>
      <c r="E103" t="str">
        <f t="shared" si="8"/>
        <v>Woodstove - EPA Certified Non-Catalytic</v>
      </c>
      <c r="F103" s="138">
        <f t="shared" si="8"/>
        <v>0.68</v>
      </c>
      <c r="H103" s="11">
        <f t="shared" si="9"/>
        <v>1.2240734444066643</v>
      </c>
      <c r="I103" s="11">
        <f t="shared" si="9"/>
        <v>0.1641114895856054</v>
      </c>
      <c r="J103" s="11">
        <f t="shared" si="9"/>
        <v>4.0802448146888805E-2</v>
      </c>
      <c r="K103" s="11">
        <f t="shared" si="9"/>
        <v>0.80841128128496098</v>
      </c>
      <c r="L103" s="137">
        <f t="shared" si="9"/>
        <v>0.80841128128496098</v>
      </c>
      <c r="M103" s="11">
        <f t="shared" si="9"/>
        <v>2.5475185621489652E-2</v>
      </c>
      <c r="N103" s="11">
        <f t="shared" si="9"/>
        <v>12.612133474204107</v>
      </c>
    </row>
    <row r="104" spans="4:14" x14ac:dyDescent="0.25">
      <c r="D104" s="2" t="str">
        <f t="shared" si="8"/>
        <v>Wood</v>
      </c>
      <c r="E104" t="str">
        <f t="shared" si="8"/>
        <v>Woodstove - EPA Certified Catalytic</v>
      </c>
      <c r="F104" s="138">
        <f t="shared" si="8"/>
        <v>0.72</v>
      </c>
      <c r="H104" s="11">
        <f t="shared" si="9"/>
        <v>1.4450867052023122</v>
      </c>
      <c r="I104" s="11">
        <f t="shared" si="9"/>
        <v>0.15499418460862738</v>
      </c>
      <c r="J104" s="11">
        <f t="shared" si="9"/>
        <v>3.8535645472061654E-2</v>
      </c>
      <c r="K104" s="11">
        <f t="shared" si="9"/>
        <v>0.84717072627807599</v>
      </c>
      <c r="L104" s="137">
        <f>L77*$C$4/$C$5</f>
        <v>0.76349954343579662</v>
      </c>
      <c r="M104" s="11">
        <f t="shared" si="9"/>
        <v>2.4059897531406898E-2</v>
      </c>
      <c r="N104" s="11">
        <f t="shared" si="9"/>
        <v>11.911459392303881</v>
      </c>
    </row>
    <row r="105" spans="4:14" x14ac:dyDescent="0.25">
      <c r="D105" s="2" t="str">
        <f t="shared" si="8"/>
        <v>Wood</v>
      </c>
      <c r="E105" t="str">
        <f t="shared" si="8"/>
        <v>Pellet Stove (Exempt)</v>
      </c>
      <c r="F105" s="138">
        <f t="shared" si="8"/>
        <v>0.56000000000000005</v>
      </c>
      <c r="H105" s="11">
        <f t="shared" si="9"/>
        <v>0.29727497935590419</v>
      </c>
      <c r="I105" s="11">
        <f t="shared" si="9"/>
        <v>0.51913471851998272</v>
      </c>
      <c r="J105" s="11">
        <f t="shared" si="9"/>
        <v>4.1489288193405222E-2</v>
      </c>
      <c r="K105" s="11">
        <f t="shared" si="9"/>
        <v>0.38377591578899822</v>
      </c>
      <c r="L105" s="137">
        <f t="shared" si="9"/>
        <v>0.38377591578899822</v>
      </c>
      <c r="M105" s="11">
        <f t="shared" si="9"/>
        <v>9.3195313604436478E-3</v>
      </c>
      <c r="N105" s="11">
        <f t="shared" si="9"/>
        <v>1.2877237823028145</v>
      </c>
    </row>
    <row r="106" spans="4:14" x14ac:dyDescent="0.25">
      <c r="D106" s="2" t="str">
        <f t="shared" si="8"/>
        <v>Wood</v>
      </c>
      <c r="E106" t="str">
        <f t="shared" si="8"/>
        <v>Pellet Stove (EPA Certified)</v>
      </c>
      <c r="F106" s="138">
        <f t="shared" si="8"/>
        <v>0.78</v>
      </c>
      <c r="H106" s="11">
        <f t="shared" si="9"/>
        <v>0.21342819030680299</v>
      </c>
      <c r="I106" s="11">
        <f t="shared" si="9"/>
        <v>0.37271210560409013</v>
      </c>
      <c r="J106" s="11">
        <f t="shared" si="9"/>
        <v>2.9787181267060155E-2</v>
      </c>
      <c r="K106" s="11">
        <f t="shared" si="9"/>
        <v>0.27553142672030645</v>
      </c>
      <c r="L106" s="137">
        <f t="shared" si="9"/>
        <v>0.27553142672030645</v>
      </c>
      <c r="M106" s="11">
        <f t="shared" si="9"/>
        <v>6.6909455921133872E-3</v>
      </c>
      <c r="N106" s="11">
        <f t="shared" si="9"/>
        <v>0.92451963857637964</v>
      </c>
    </row>
    <row r="107" spans="4:14" x14ac:dyDescent="0.25">
      <c r="D107" s="2" t="str">
        <f t="shared" si="8"/>
        <v>Wood</v>
      </c>
      <c r="E107" t="str">
        <f t="shared" si="8"/>
        <v>OWB (Hydronic Heater) - 80/20 Unqual/Phase 2 Wtd</v>
      </c>
      <c r="F107" s="138">
        <f t="shared" si="8"/>
        <v>0.43</v>
      </c>
      <c r="H107" s="11">
        <f t="shared" si="9"/>
        <v>7.3235649952950679</v>
      </c>
      <c r="I107" s="11">
        <f t="shared" si="9"/>
        <v>0.26015327484732736</v>
      </c>
      <c r="J107" s="11">
        <f t="shared" si="9"/>
        <v>6.4524801720661384E-2</v>
      </c>
      <c r="K107" s="11">
        <f t="shared" si="9"/>
        <v>1.5921740146749737</v>
      </c>
      <c r="L107" s="137">
        <f t="shared" si="9"/>
        <v>1.5921740146749737</v>
      </c>
      <c r="M107" s="11">
        <f t="shared" si="9"/>
        <v>3.932118342514962E-2</v>
      </c>
      <c r="N107" s="11">
        <f t="shared" si="9"/>
        <v>9.7707756129052949</v>
      </c>
    </row>
    <row r="108" spans="4:14" x14ac:dyDescent="0.25">
      <c r="D108" s="2" t="str">
        <f t="shared" si="8"/>
        <v>Wood</v>
      </c>
      <c r="E108" t="str">
        <f t="shared" si="8"/>
        <v>OWB (Hydronic Heater) - Unqualified</v>
      </c>
      <c r="F108" s="138">
        <f t="shared" si="8"/>
        <v>0.43</v>
      </c>
      <c r="H108" s="11">
        <f t="shared" si="9"/>
        <v>8.5495362279876321</v>
      </c>
      <c r="I108" s="11">
        <f t="shared" si="9"/>
        <v>0.2380809735284358</v>
      </c>
      <c r="J108" s="11">
        <f t="shared" si="9"/>
        <v>6.4524801720661371E-2</v>
      </c>
      <c r="K108" s="11">
        <f t="shared" si="9"/>
        <v>1.7818508951691381</v>
      </c>
      <c r="L108" s="137">
        <f t="shared" si="9"/>
        <v>1.7818508951691381</v>
      </c>
      <c r="M108" s="11">
        <f t="shared" si="9"/>
        <v>4.4087193041329492E-2</v>
      </c>
      <c r="N108" s="11">
        <f t="shared" si="9"/>
        <v>8.9204381783739439</v>
      </c>
    </row>
    <row r="109" spans="4:14" x14ac:dyDescent="0.25">
      <c r="D109" s="2" t="str">
        <f t="shared" si="8"/>
        <v>Wood</v>
      </c>
      <c r="E109" t="str">
        <f t="shared" si="8"/>
        <v>OWB (Hydronic Heater) - Phase 1</v>
      </c>
      <c r="F109" s="138">
        <f t="shared" si="8"/>
        <v>0.43</v>
      </c>
      <c r="H109" s="11">
        <f t="shared" si="9"/>
        <v>1.9357440516198412</v>
      </c>
      <c r="I109" s="11">
        <f t="shared" si="9"/>
        <v>0.34844248012289364</v>
      </c>
      <c r="J109" s="11">
        <f t="shared" si="9"/>
        <v>6.4524801720661371E-2</v>
      </c>
      <c r="K109" s="11">
        <f t="shared" si="9"/>
        <v>1.5700182769433375</v>
      </c>
      <c r="L109" s="137">
        <f t="shared" si="9"/>
        <v>1.5700182769433375</v>
      </c>
      <c r="M109" s="11">
        <f t="shared" si="9"/>
        <v>2.0257144960430098E-2</v>
      </c>
      <c r="N109" s="11">
        <f t="shared" si="9"/>
        <v>17.33303971425347</v>
      </c>
    </row>
    <row r="110" spans="4:14" x14ac:dyDescent="0.25">
      <c r="D110" s="2" t="str">
        <f t="shared" si="8"/>
        <v>Wood</v>
      </c>
      <c r="E110" t="str">
        <f t="shared" si="8"/>
        <v>OWB (Hydronic Heater) - Phase 2</v>
      </c>
      <c r="F110" s="138">
        <f t="shared" si="8"/>
        <v>0.43</v>
      </c>
      <c r="H110" s="11">
        <f t="shared" si="9"/>
        <v>2.419680064524802</v>
      </c>
      <c r="I110" s="11">
        <f t="shared" si="9"/>
        <v>0.34844248012289364</v>
      </c>
      <c r="J110" s="11">
        <f t="shared" si="9"/>
        <v>6.4524801720661371E-2</v>
      </c>
      <c r="K110" s="11">
        <f t="shared" si="9"/>
        <v>0.83346649269831485</v>
      </c>
      <c r="L110" s="137">
        <f t="shared" si="9"/>
        <v>0.83346649269831485</v>
      </c>
      <c r="M110" s="11">
        <f t="shared" si="9"/>
        <v>2.0257144960430098E-2</v>
      </c>
      <c r="N110" s="11">
        <f t="shared" si="9"/>
        <v>13.17212535103069</v>
      </c>
    </row>
    <row r="111" spans="4:14" x14ac:dyDescent="0.25">
      <c r="D111" s="2" t="str">
        <f t="shared" si="8"/>
        <v>Coal</v>
      </c>
      <c r="E111" t="str">
        <f t="shared" si="8"/>
        <v>Coal Boiler (bituminous/subbituminous, hand-fed)</v>
      </c>
      <c r="F111" s="138">
        <f t="shared" si="8"/>
        <v>0.43</v>
      </c>
      <c r="H111" s="11">
        <f t="shared" ref="H111:N118" si="10">H84</f>
        <v>1.5299877600979193</v>
      </c>
      <c r="I111" s="11">
        <f t="shared" si="10"/>
        <v>0.72215422276621788</v>
      </c>
      <c r="J111" s="11">
        <f t="shared" si="10"/>
        <v>1.4228886168910648</v>
      </c>
      <c r="K111" s="11">
        <f t="shared" si="10"/>
        <v>1.2224602203182375</v>
      </c>
      <c r="L111" s="137">
        <f t="shared" si="10"/>
        <v>1.2224602203182375</v>
      </c>
      <c r="M111" s="11">
        <f t="shared" si="10"/>
        <v>0.19368880048959614</v>
      </c>
      <c r="N111" s="11">
        <f t="shared" si="10"/>
        <v>19.977815177478579</v>
      </c>
    </row>
    <row r="112" spans="4:14" x14ac:dyDescent="0.25">
      <c r="D112" s="2" t="str">
        <f t="shared" si="8"/>
        <v>Oil</v>
      </c>
      <c r="E112" t="str">
        <f t="shared" si="8"/>
        <v>Central Oil (Weighted # 1 &amp; #2), Residential</v>
      </c>
      <c r="F112" s="138">
        <f t="shared" si="8"/>
        <v>0.81</v>
      </c>
      <c r="H112" s="11">
        <f t="shared" si="10"/>
        <v>6.5203475080018274E-3</v>
      </c>
      <c r="I112" s="11">
        <f t="shared" si="10"/>
        <v>0.10216194821540199</v>
      </c>
      <c r="J112" s="11">
        <f t="shared" si="10"/>
        <v>0.26431256361773509</v>
      </c>
      <c r="K112" s="11">
        <f t="shared" si="10"/>
        <v>4.1755564665695638E-3</v>
      </c>
      <c r="L112" s="137">
        <f t="shared" si="10"/>
        <v>4.1755564665695638E-3</v>
      </c>
      <c r="M112" s="11">
        <f t="shared" si="10"/>
        <v>2.2401860443145715E-4</v>
      </c>
      <c r="N112" s="11">
        <f t="shared" si="10"/>
        <v>4.09552496762698E-3</v>
      </c>
    </row>
    <row r="113" spans="4:14" x14ac:dyDescent="0.25">
      <c r="D113" s="2" t="str">
        <f t="shared" si="8"/>
        <v>Oil</v>
      </c>
      <c r="E113" t="str">
        <f t="shared" si="8"/>
        <v>Central Oil (#1 distillate), Residential</v>
      </c>
      <c r="F113" s="138">
        <f t="shared" si="8"/>
        <v>0.81</v>
      </c>
      <c r="H113" s="11">
        <f t="shared" si="10"/>
        <v>7.0419753086419738E-3</v>
      </c>
      <c r="I113" s="11">
        <f t="shared" si="10"/>
        <v>0.11033490407263415</v>
      </c>
      <c r="J113" s="11">
        <f t="shared" si="10"/>
        <v>0.12566123456790124</v>
      </c>
      <c r="K113" s="11">
        <f t="shared" si="10"/>
        <v>4.5096009838951293E-3</v>
      </c>
      <c r="L113" s="137">
        <f t="shared" si="10"/>
        <v>4.5096009838951293E-3</v>
      </c>
      <c r="M113" s="11">
        <f t="shared" si="10"/>
        <v>2.4194009278597371E-4</v>
      </c>
      <c r="N113" s="11">
        <f t="shared" si="10"/>
        <v>4.4231669650371388E-3</v>
      </c>
    </row>
    <row r="114" spans="4:14" x14ac:dyDescent="0.25">
      <c r="D114" s="2" t="str">
        <f t="shared" ref="D114:F118" si="11">D87</f>
        <v>Oil</v>
      </c>
      <c r="E114" t="str">
        <f t="shared" si="11"/>
        <v>Central Oil (#2 distillate), Residential</v>
      </c>
      <c r="F114" s="138">
        <f t="shared" si="11"/>
        <v>0.81</v>
      </c>
      <c r="H114" s="11">
        <f t="shared" si="10"/>
        <v>6.3555733832508787E-3</v>
      </c>
      <c r="I114" s="11">
        <f t="shared" si="10"/>
        <v>9.9580238332702298E-2</v>
      </c>
      <c r="J114" s="11">
        <f t="shared" si="10"/>
        <v>0.32479565004234073</v>
      </c>
      <c r="K114" s="11">
        <f t="shared" si="10"/>
        <v>4.0700369890750258E-3</v>
      </c>
      <c r="L114" s="137">
        <f t="shared" si="10"/>
        <v>4.0700369890750258E-3</v>
      </c>
      <c r="M114" s="11">
        <f t="shared" si="10"/>
        <v>2.1835748446387518E-4</v>
      </c>
      <c r="N114" s="11">
        <f t="shared" si="10"/>
        <v>3.9920279467844213E-3</v>
      </c>
    </row>
    <row r="115" spans="4:14" x14ac:dyDescent="0.25">
      <c r="D115" s="2" t="str">
        <f t="shared" si="11"/>
        <v>Oil</v>
      </c>
      <c r="E115" t="str">
        <f t="shared" si="11"/>
        <v>Portable: 43% Kerosene &amp; 57% Fuel Oil</v>
      </c>
      <c r="F115" s="138">
        <f t="shared" si="11"/>
        <v>0.81</v>
      </c>
      <c r="H115" s="11">
        <f t="shared" si="10"/>
        <v>6.4253944565878076E-3</v>
      </c>
      <c r="I115" s="11">
        <f t="shared" si="10"/>
        <v>0.16221192176519011</v>
      </c>
      <c r="J115" s="11">
        <f t="shared" si="10"/>
        <v>0.26046349201353508</v>
      </c>
      <c r="K115" s="11">
        <f t="shared" si="10"/>
        <v>3.6047093725597805E-3</v>
      </c>
      <c r="L115" s="137">
        <f t="shared" si="10"/>
        <v>3.6047093725597805E-3</v>
      </c>
      <c r="M115" s="11">
        <f t="shared" si="10"/>
        <v>2.207563166410943E-4</v>
      </c>
      <c r="N115" s="11">
        <f t="shared" si="10"/>
        <v>4.0358835769892503E-3</v>
      </c>
    </row>
    <row r="116" spans="4:14" x14ac:dyDescent="0.25">
      <c r="D116" s="2" t="str">
        <f t="shared" si="11"/>
        <v>Oil</v>
      </c>
      <c r="E116" t="str">
        <f t="shared" si="11"/>
        <v>Direct Vent</v>
      </c>
      <c r="F116" s="138">
        <f t="shared" si="11"/>
        <v>0.81</v>
      </c>
      <c r="H116" s="11">
        <f t="shared" si="10"/>
        <v>5.432098765432098E-2</v>
      </c>
      <c r="I116" s="11">
        <f t="shared" si="10"/>
        <v>0.98765432098765427</v>
      </c>
      <c r="J116" s="11">
        <f t="shared" si="10"/>
        <v>5.9259259259259248E-3</v>
      </c>
      <c r="K116" s="11">
        <f t="shared" si="10"/>
        <v>7.5061728395061728E-2</v>
      </c>
      <c r="L116" s="137">
        <f t="shared" si="10"/>
        <v>7.5061728395061728E-2</v>
      </c>
      <c r="M116" s="11">
        <f t="shared" si="10"/>
        <v>0.19753086419753085</v>
      </c>
      <c r="N116" s="11">
        <f t="shared" si="10"/>
        <v>0.39506172839506171</v>
      </c>
    </row>
    <row r="117" spans="4:14" x14ac:dyDescent="0.25">
      <c r="D117" s="2" t="str">
        <f t="shared" si="11"/>
        <v>Gas</v>
      </c>
      <c r="E117" t="str">
        <f t="shared" si="11"/>
        <v>Natural Gas - Residential</v>
      </c>
      <c r="F117" s="138">
        <f t="shared" si="11"/>
        <v>0.81</v>
      </c>
      <c r="H117" s="11">
        <f t="shared" si="10"/>
        <v>6.6897768047193325E-3</v>
      </c>
      <c r="I117" s="11">
        <f t="shared" si="10"/>
        <v>0.11433436720793042</v>
      </c>
      <c r="J117" s="11">
        <f t="shared" si="10"/>
        <v>7.2979383324210895E-4</v>
      </c>
      <c r="K117" s="11">
        <f t="shared" si="10"/>
        <v>9.2440552210667146E-3</v>
      </c>
      <c r="L117" s="137">
        <f t="shared" si="10"/>
        <v>9.2440552210667146E-3</v>
      </c>
      <c r="M117" s="11">
        <f t="shared" si="10"/>
        <v>2.4326461108070303E-2</v>
      </c>
      <c r="N117" s="11">
        <f t="shared" si="10"/>
        <v>4.8652922216140607E-2</v>
      </c>
    </row>
    <row r="118" spans="4:14" x14ac:dyDescent="0.25">
      <c r="D118" s="2" t="str">
        <f t="shared" si="11"/>
        <v>Gas</v>
      </c>
      <c r="E118" t="str">
        <f t="shared" si="11"/>
        <v>Natural Gas - Commercial, small uncontrolled</v>
      </c>
      <c r="F118" s="138">
        <f t="shared" si="11"/>
        <v>0.81</v>
      </c>
      <c r="H118" s="11">
        <f t="shared" si="10"/>
        <v>6.6897768047193325E-3</v>
      </c>
      <c r="I118" s="11">
        <f t="shared" si="10"/>
        <v>0.12163230554035151</v>
      </c>
      <c r="J118" s="11">
        <f t="shared" si="10"/>
        <v>7.2979383324210895E-4</v>
      </c>
      <c r="K118" s="11">
        <f t="shared" si="10"/>
        <v>9.2440552210667146E-3</v>
      </c>
      <c r="L118" s="137">
        <f t="shared" si="10"/>
        <v>9.2440552210667146E-3</v>
      </c>
      <c r="M118" s="11">
        <f t="shared" si="10"/>
        <v>2.4326461108070303E-2</v>
      </c>
      <c r="N118" s="11">
        <f t="shared" si="10"/>
        <v>4.8652922216140607E-2</v>
      </c>
    </row>
    <row r="121" spans="4:14" ht="15.75" x14ac:dyDescent="0.25">
      <c r="D121" s="924" t="s">
        <v>2239</v>
      </c>
      <c r="E121" s="924"/>
      <c r="F121" s="924"/>
      <c r="G121" s="924"/>
      <c r="H121" s="924"/>
      <c r="I121" s="924"/>
      <c r="J121" s="924"/>
      <c r="K121" s="924"/>
      <c r="L121" s="924"/>
      <c r="M121" s="924"/>
      <c r="N121" s="924"/>
    </row>
    <row r="122" spans="4:14" ht="15.75" x14ac:dyDescent="0.25">
      <c r="D122" s="931" t="s">
        <v>2240</v>
      </c>
      <c r="E122" s="924"/>
      <c r="F122" s="924"/>
      <c r="G122" s="924"/>
      <c r="H122" s="924"/>
      <c r="I122" s="924"/>
      <c r="J122" s="924"/>
      <c r="K122" s="924"/>
      <c r="L122" s="924"/>
      <c r="M122" s="924"/>
      <c r="N122" s="924"/>
    </row>
    <row r="123" spans="4:14" x14ac:dyDescent="0.25">
      <c r="F123" s="2" t="s">
        <v>2234</v>
      </c>
      <c r="H123" s="917" t="s">
        <v>2235</v>
      </c>
      <c r="I123" s="917"/>
      <c r="J123" s="917"/>
      <c r="K123" s="917"/>
      <c r="L123" s="917"/>
      <c r="M123" s="917"/>
      <c r="N123" s="917"/>
    </row>
    <row r="124" spans="4:14" ht="15.75" thickBot="1" x14ac:dyDescent="0.3">
      <c r="D124" s="15" t="s">
        <v>2070</v>
      </c>
      <c r="E124" s="15" t="s">
        <v>2236</v>
      </c>
      <c r="F124" s="15" t="s">
        <v>2140</v>
      </c>
      <c r="G124" s="15"/>
      <c r="H124" s="15" t="s">
        <v>2143</v>
      </c>
      <c r="I124" s="15" t="s">
        <v>2144</v>
      </c>
      <c r="J124" s="15" t="s">
        <v>2145</v>
      </c>
      <c r="K124" s="15" t="s">
        <v>2146</v>
      </c>
      <c r="L124" s="135" t="s">
        <v>2147</v>
      </c>
      <c r="M124" s="15" t="s">
        <v>2148</v>
      </c>
      <c r="N124" s="15" t="s">
        <v>2149</v>
      </c>
    </row>
    <row r="125" spans="4:14" ht="15.75" thickTop="1" x14ac:dyDescent="0.25">
      <c r="D125" s="2" t="str">
        <f t="shared" ref="D125:F140" si="12">D98</f>
        <v>Wood</v>
      </c>
      <c r="E125" t="str">
        <f t="shared" si="12"/>
        <v>Fireplace, No Insert</v>
      </c>
      <c r="F125" s="138">
        <f t="shared" si="12"/>
        <v>7.0000000000000007E-2</v>
      </c>
      <c r="H125" s="11">
        <f t="shared" ref="H125:N137" si="13">H71*$C$4/((19*$C$7+16*$C$8)/35)</f>
        <v>258.0800498486185</v>
      </c>
      <c r="I125" s="11">
        <f t="shared" si="13"/>
        <v>2.9301665048314764</v>
      </c>
      <c r="J125" s="11">
        <f t="shared" si="13"/>
        <v>0.45079484689715027</v>
      </c>
      <c r="K125" s="11">
        <f t="shared" si="13"/>
        <v>38.993754256603495</v>
      </c>
      <c r="L125" s="137">
        <f t="shared" si="13"/>
        <v>38.993754256603495</v>
      </c>
      <c r="M125" s="11">
        <f t="shared" si="13"/>
        <v>2.0285768110371762</v>
      </c>
      <c r="N125" s="11">
        <f t="shared" si="13"/>
        <v>284.67694581555031</v>
      </c>
    </row>
    <row r="126" spans="4:14" x14ac:dyDescent="0.25">
      <c r="D126" s="2" t="str">
        <f t="shared" si="12"/>
        <v>Wood</v>
      </c>
      <c r="E126" t="str">
        <f t="shared" si="12"/>
        <v>Fireplace, With Insert - Non-EPA Certified</v>
      </c>
      <c r="F126" s="138">
        <f t="shared" si="12"/>
        <v>0.4</v>
      </c>
      <c r="H126" s="11">
        <f t="shared" si="13"/>
        <v>10.452805512427672</v>
      </c>
      <c r="I126" s="11">
        <f t="shared" si="13"/>
        <v>0.55222368744900896</v>
      </c>
      <c r="J126" s="11">
        <f t="shared" si="13"/>
        <v>7.8889098207001296E-2</v>
      </c>
      <c r="K126" s="11">
        <f t="shared" si="13"/>
        <v>6.0350160128355999</v>
      </c>
      <c r="L126" s="137">
        <f t="shared" si="13"/>
        <v>6.0350160128355999</v>
      </c>
      <c r="M126" s="11">
        <f t="shared" si="13"/>
        <v>0.33527866737975542</v>
      </c>
      <c r="N126" s="11">
        <f t="shared" si="13"/>
        <v>45.519009665439739</v>
      </c>
    </row>
    <row r="127" spans="4:14" x14ac:dyDescent="0.25">
      <c r="D127" s="2" t="str">
        <f t="shared" si="12"/>
        <v>Wood</v>
      </c>
      <c r="E127" t="str">
        <f t="shared" si="12"/>
        <v>Fireplace, With Insert - EPA Certified Non-Catalytic</v>
      </c>
      <c r="F127" s="138">
        <f t="shared" si="12"/>
        <v>0.66</v>
      </c>
      <c r="H127" s="11">
        <f t="shared" si="13"/>
        <v>1.4343472401272961</v>
      </c>
      <c r="I127" s="11">
        <f t="shared" si="13"/>
        <v>0.23905787335454937</v>
      </c>
      <c r="J127" s="11">
        <f t="shared" si="13"/>
        <v>4.7811574670909865E-2</v>
      </c>
      <c r="K127" s="11">
        <f t="shared" si="13"/>
        <v>3.6575854623246058</v>
      </c>
      <c r="L127" s="137">
        <f t="shared" si="13"/>
        <v>1.4343472401272961</v>
      </c>
      <c r="M127" s="11">
        <f t="shared" si="13"/>
        <v>0.10757604300954721</v>
      </c>
      <c r="N127" s="11">
        <f t="shared" si="13"/>
        <v>16.829674284160273</v>
      </c>
    </row>
    <row r="128" spans="4:14" x14ac:dyDescent="0.25">
      <c r="D128" s="2" t="str">
        <f t="shared" si="12"/>
        <v>Wood</v>
      </c>
      <c r="E128" t="str">
        <f t="shared" si="12"/>
        <v>Fireplace, With Insert - EPA Certified Catalytic</v>
      </c>
      <c r="F128" s="138">
        <f t="shared" si="12"/>
        <v>0.7</v>
      </c>
      <c r="H128" s="11">
        <f t="shared" si="13"/>
        <v>1.6904806758643136</v>
      </c>
      <c r="I128" s="11">
        <f t="shared" si="13"/>
        <v>0.22539742344857516</v>
      </c>
      <c r="J128" s="11">
        <f t="shared" si="13"/>
        <v>4.5079484689715024E-2</v>
      </c>
      <c r="K128" s="11">
        <f t="shared" si="13"/>
        <v>1.4650832524157382</v>
      </c>
      <c r="L128" s="137">
        <f t="shared" si="13"/>
        <v>1.4650832524157382</v>
      </c>
      <c r="M128" s="11">
        <f t="shared" si="13"/>
        <v>0.10142884055185881</v>
      </c>
      <c r="N128" s="11">
        <f t="shared" si="13"/>
        <v>12.058762154498771</v>
      </c>
    </row>
    <row r="129" spans="4:14" x14ac:dyDescent="0.25">
      <c r="D129" s="2" t="str">
        <f t="shared" si="12"/>
        <v>Wood</v>
      </c>
      <c r="E129" t="str">
        <f t="shared" si="12"/>
        <v>Woodstove - Non-EPA Certified</v>
      </c>
      <c r="F129" s="138">
        <f t="shared" si="12"/>
        <v>0.54</v>
      </c>
      <c r="H129" s="11">
        <f t="shared" si="13"/>
        <v>7.7428188980945709</v>
      </c>
      <c r="I129" s="11">
        <f t="shared" si="13"/>
        <v>0.21214485705083425</v>
      </c>
      <c r="J129" s="11">
        <f t="shared" si="13"/>
        <v>5.8436369042223178E-2</v>
      </c>
      <c r="K129" s="11">
        <f t="shared" si="13"/>
        <v>1.7738402752129308</v>
      </c>
      <c r="L129" s="137">
        <f t="shared" si="13"/>
        <v>1.7738402752129308</v>
      </c>
      <c r="M129" s="11">
        <f t="shared" si="13"/>
        <v>5.8002266474000884E-2</v>
      </c>
      <c r="N129" s="11">
        <f t="shared" si="13"/>
        <v>17.701930838466495</v>
      </c>
    </row>
    <row r="130" spans="4:14" x14ac:dyDescent="0.25">
      <c r="D130" s="2" t="str">
        <f t="shared" si="12"/>
        <v>Wood</v>
      </c>
      <c r="E130" t="str">
        <f t="shared" si="12"/>
        <v>Woodstove - EPA Certified Non-Catalytic</v>
      </c>
      <c r="F130" s="138">
        <f t="shared" si="12"/>
        <v>0.68</v>
      </c>
      <c r="H130" s="11">
        <f t="shared" si="13"/>
        <v>1.3921605565941404</v>
      </c>
      <c r="I130" s="11">
        <f t="shared" si="13"/>
        <v>0.18664692362126536</v>
      </c>
      <c r="J130" s="11">
        <f t="shared" si="13"/>
        <v>4.6405351886471345E-2</v>
      </c>
      <c r="K130" s="11">
        <f t="shared" si="13"/>
        <v>0.9194205661868422</v>
      </c>
      <c r="L130" s="137">
        <f t="shared" si="13"/>
        <v>0.9194205661868422</v>
      </c>
      <c r="M130" s="11">
        <f t="shared" si="13"/>
        <v>2.8973382893167022E-2</v>
      </c>
      <c r="N130" s="11">
        <f t="shared" si="13"/>
        <v>14.344004305884104</v>
      </c>
    </row>
    <row r="131" spans="4:14" x14ac:dyDescent="0.25">
      <c r="D131" s="2" t="str">
        <f t="shared" si="12"/>
        <v>Wood</v>
      </c>
      <c r="E131" t="str">
        <f t="shared" si="12"/>
        <v>Woodstove - EPA Certified Catalytic</v>
      </c>
      <c r="F131" s="138">
        <f t="shared" si="12"/>
        <v>0.72</v>
      </c>
      <c r="H131" s="11">
        <f t="shared" si="13"/>
        <v>1.6435228793125269</v>
      </c>
      <c r="I131" s="11">
        <f t="shared" si="13"/>
        <v>0.17627765008675067</v>
      </c>
      <c r="J131" s="11">
        <f t="shared" si="13"/>
        <v>4.3827276781667389E-2</v>
      </c>
      <c r="K131" s="11">
        <f t="shared" si="13"/>
        <v>0.96350237415470508</v>
      </c>
      <c r="L131" s="137">
        <f t="shared" si="13"/>
        <v>0.86834164584312901</v>
      </c>
      <c r="M131" s="11">
        <f t="shared" si="13"/>
        <v>2.7363750510213301E-2</v>
      </c>
      <c r="N131" s="11">
        <f t="shared" si="13"/>
        <v>13.547115177779434</v>
      </c>
    </row>
    <row r="132" spans="4:14" x14ac:dyDescent="0.25">
      <c r="D132" s="2" t="str">
        <f t="shared" si="12"/>
        <v>Wood</v>
      </c>
      <c r="E132" t="str">
        <f t="shared" si="12"/>
        <v>Pellet Stove (Exempt)</v>
      </c>
      <c r="F132" s="138">
        <f t="shared" si="12"/>
        <v>0.56000000000000005</v>
      </c>
      <c r="H132" s="11">
        <f t="shared" si="13"/>
        <v>0.33809613517286263</v>
      </c>
      <c r="I132" s="11">
        <f t="shared" si="13"/>
        <v>0.5904211728344777</v>
      </c>
      <c r="J132" s="11">
        <f t="shared" si="13"/>
        <v>4.7186507319438784E-2</v>
      </c>
      <c r="K132" s="11">
        <f t="shared" si="13"/>
        <v>0.43647519270480867</v>
      </c>
      <c r="L132" s="137">
        <f t="shared" si="13"/>
        <v>0.43647519270480867</v>
      </c>
      <c r="M132" s="11">
        <f t="shared" si="13"/>
        <v>1.0599269206628938E-2</v>
      </c>
      <c r="N132" s="11">
        <f t="shared" si="13"/>
        <v>1.4645512209270812</v>
      </c>
    </row>
    <row r="133" spans="4:14" x14ac:dyDescent="0.25">
      <c r="D133" s="2" t="str">
        <f t="shared" si="12"/>
        <v>Wood</v>
      </c>
      <c r="E133" t="str">
        <f t="shared" si="12"/>
        <v>Pellet Stove (EPA Certified)</v>
      </c>
      <c r="F133" s="138">
        <f t="shared" si="12"/>
        <v>0.78</v>
      </c>
      <c r="H133" s="11">
        <f t="shared" si="13"/>
        <v>0.24273568679077318</v>
      </c>
      <c r="I133" s="11">
        <f t="shared" si="13"/>
        <v>0.42389212408629168</v>
      </c>
      <c r="J133" s="11">
        <f t="shared" si="13"/>
        <v>3.3877492434468866E-2</v>
      </c>
      <c r="K133" s="11">
        <f t="shared" si="13"/>
        <v>0.31336680501883707</v>
      </c>
      <c r="L133" s="137">
        <f t="shared" si="13"/>
        <v>0.31336680501883707</v>
      </c>
      <c r="M133" s="11">
        <f t="shared" si="13"/>
        <v>7.6097317380925695E-3</v>
      </c>
      <c r="N133" s="11">
        <f t="shared" si="13"/>
        <v>1.0514726714348275</v>
      </c>
    </row>
    <row r="134" spans="4:14" x14ac:dyDescent="0.25">
      <c r="D134" s="2" t="str">
        <f t="shared" si="12"/>
        <v>Wood</v>
      </c>
      <c r="E134" t="str">
        <f t="shared" si="12"/>
        <v>OWB (Hydronic Heater) - 80/20 Unqual/Phase 2 Wtd</v>
      </c>
      <c r="F134" s="138">
        <f t="shared" si="12"/>
        <v>0.43</v>
      </c>
      <c r="H134" s="11">
        <f t="shared" si="13"/>
        <v>8.3292210665066513</v>
      </c>
      <c r="I134" s="11">
        <f t="shared" si="13"/>
        <v>0.29587695866304653</v>
      </c>
      <c r="J134" s="11">
        <f t="shared" si="13"/>
        <v>7.338520763441983E-2</v>
      </c>
      <c r="K134" s="11">
        <f t="shared" si="13"/>
        <v>1.8108078993079173</v>
      </c>
      <c r="L134" s="137">
        <f t="shared" si="13"/>
        <v>1.8108078993079173</v>
      </c>
      <c r="M134" s="11">
        <f t="shared" si="13"/>
        <v>4.4720683103807522E-2</v>
      </c>
      <c r="N134" s="11">
        <f t="shared" si="13"/>
        <v>11.112477341759602</v>
      </c>
    </row>
    <row r="135" spans="4:14" x14ac:dyDescent="0.25">
      <c r="D135" s="2" t="str">
        <f t="shared" si="12"/>
        <v>Wood</v>
      </c>
      <c r="E135" t="str">
        <f t="shared" si="12"/>
        <v>OWB (Hydronic Heater) - Unqualified</v>
      </c>
      <c r="F135" s="138">
        <f t="shared" si="12"/>
        <v>0.43</v>
      </c>
      <c r="H135" s="11">
        <f t="shared" si="13"/>
        <v>9.7235400115606243</v>
      </c>
      <c r="I135" s="11">
        <f t="shared" si="13"/>
        <v>0.27077373676910516</v>
      </c>
      <c r="J135" s="11">
        <f t="shared" si="13"/>
        <v>7.3385207634419802E-2</v>
      </c>
      <c r="K135" s="11">
        <f t="shared" si="13"/>
        <v>2.0265307979039182</v>
      </c>
      <c r="L135" s="137">
        <f t="shared" si="13"/>
        <v>2.0265307979039182</v>
      </c>
      <c r="M135" s="11">
        <f t="shared" si="13"/>
        <v>5.0141150830080396E-2</v>
      </c>
      <c r="N135" s="11">
        <f t="shared" si="13"/>
        <v>10.145373413838172</v>
      </c>
    </row>
    <row r="136" spans="4:14" x14ac:dyDescent="0.25">
      <c r="D136" s="2" t="str">
        <f t="shared" si="12"/>
        <v>Wood</v>
      </c>
      <c r="E136" t="str">
        <f t="shared" si="12"/>
        <v>OWB (Hydronic Heater) - Phase 1</v>
      </c>
      <c r="F136" s="138">
        <f t="shared" si="12"/>
        <v>0.43</v>
      </c>
      <c r="H136" s="11">
        <f t="shared" si="13"/>
        <v>2.2015562290325943</v>
      </c>
      <c r="I136" s="11">
        <f t="shared" si="13"/>
        <v>0.3962898462388123</v>
      </c>
      <c r="J136" s="11">
        <f t="shared" si="13"/>
        <v>7.3385207634419802E-2</v>
      </c>
      <c r="K136" s="11">
        <f t="shared" si="13"/>
        <v>1.7856097836938829</v>
      </c>
      <c r="L136" s="137">
        <f t="shared" si="13"/>
        <v>1.7856097836938829</v>
      </c>
      <c r="M136" s="11">
        <f t="shared" si="13"/>
        <v>2.3038812198715983E-2</v>
      </c>
      <c r="N136" s="11">
        <f t="shared" si="13"/>
        <v>19.713175158178505</v>
      </c>
    </row>
    <row r="137" spans="4:14" x14ac:dyDescent="0.25">
      <c r="D137" s="2" t="str">
        <f t="shared" si="12"/>
        <v>Wood</v>
      </c>
      <c r="E137" t="str">
        <f t="shared" si="12"/>
        <v>OWB (Hydronic Heater) - Phase 2</v>
      </c>
      <c r="F137" s="138">
        <f t="shared" si="12"/>
        <v>0.43</v>
      </c>
      <c r="H137" s="11">
        <f t="shared" si="13"/>
        <v>2.7519452862907432</v>
      </c>
      <c r="I137" s="11">
        <f t="shared" si="13"/>
        <v>0.3962898462388123</v>
      </c>
      <c r="J137" s="11">
        <f t="shared" si="13"/>
        <v>7.3385207634419802E-2</v>
      </c>
      <c r="K137" s="11">
        <f t="shared" si="13"/>
        <v>0.94791630492391299</v>
      </c>
      <c r="L137" s="137">
        <f t="shared" si="13"/>
        <v>0.94791630492391299</v>
      </c>
      <c r="M137" s="11">
        <f t="shared" si="13"/>
        <v>2.3038812198715983E-2</v>
      </c>
      <c r="N137" s="11">
        <f t="shared" si="13"/>
        <v>14.980893053445312</v>
      </c>
    </row>
    <row r="138" spans="4:14" x14ac:dyDescent="0.25">
      <c r="D138" s="2" t="str">
        <f t="shared" si="12"/>
        <v>Coal</v>
      </c>
      <c r="E138" t="str">
        <f t="shared" si="12"/>
        <v>Coal Boiler (bituminous/subbituminous, hand-fed)</v>
      </c>
      <c r="F138" s="138">
        <f t="shared" si="12"/>
        <v>0.43</v>
      </c>
      <c r="H138" s="11">
        <f t="shared" ref="H138:N145" si="14">H84</f>
        <v>1.5299877600979193</v>
      </c>
      <c r="I138" s="11">
        <f t="shared" si="14"/>
        <v>0.72215422276621788</v>
      </c>
      <c r="J138" s="11">
        <f t="shared" si="14"/>
        <v>1.4228886168910648</v>
      </c>
      <c r="K138" s="11">
        <f t="shared" si="14"/>
        <v>1.2224602203182375</v>
      </c>
      <c r="L138" s="137">
        <f t="shared" si="14"/>
        <v>1.2224602203182375</v>
      </c>
      <c r="M138" s="11">
        <f t="shared" si="14"/>
        <v>0.19368880048959614</v>
      </c>
      <c r="N138" s="11">
        <f t="shared" si="14"/>
        <v>19.977815177478579</v>
      </c>
    </row>
    <row r="139" spans="4:14" x14ac:dyDescent="0.25">
      <c r="D139" s="2" t="str">
        <f t="shared" si="12"/>
        <v>Oil</v>
      </c>
      <c r="E139" t="str">
        <f t="shared" si="12"/>
        <v>Central Oil (Weighted # 1 &amp; #2), Residential</v>
      </c>
      <c r="F139" s="138">
        <f t="shared" si="12"/>
        <v>0.81</v>
      </c>
      <c r="H139" s="11">
        <f t="shared" si="14"/>
        <v>6.5203475080018274E-3</v>
      </c>
      <c r="I139" s="11">
        <f t="shared" si="14"/>
        <v>0.10216194821540199</v>
      </c>
      <c r="J139" s="11">
        <f t="shared" si="14"/>
        <v>0.26431256361773509</v>
      </c>
      <c r="K139" s="11">
        <f t="shared" si="14"/>
        <v>4.1755564665695638E-3</v>
      </c>
      <c r="L139" s="137">
        <f t="shared" si="14"/>
        <v>4.1755564665695638E-3</v>
      </c>
      <c r="M139" s="11">
        <f t="shared" si="14"/>
        <v>2.2401860443145715E-4</v>
      </c>
      <c r="N139" s="11">
        <f t="shared" si="14"/>
        <v>4.09552496762698E-3</v>
      </c>
    </row>
    <row r="140" spans="4:14" x14ac:dyDescent="0.25">
      <c r="D140" s="2" t="str">
        <f t="shared" si="12"/>
        <v>Oil</v>
      </c>
      <c r="E140" t="str">
        <f t="shared" si="12"/>
        <v>Central Oil (#1 distillate), Residential</v>
      </c>
      <c r="F140" s="138">
        <f t="shared" si="12"/>
        <v>0.81</v>
      </c>
      <c r="H140" s="11">
        <f t="shared" si="14"/>
        <v>7.0419753086419738E-3</v>
      </c>
      <c r="I140" s="11">
        <f t="shared" si="14"/>
        <v>0.11033490407263415</v>
      </c>
      <c r="J140" s="11">
        <f t="shared" si="14"/>
        <v>0.12566123456790124</v>
      </c>
      <c r="K140" s="11">
        <f t="shared" si="14"/>
        <v>4.5096009838951293E-3</v>
      </c>
      <c r="L140" s="137">
        <f t="shared" si="14"/>
        <v>4.5096009838951293E-3</v>
      </c>
      <c r="M140" s="11">
        <f t="shared" si="14"/>
        <v>2.4194009278597371E-4</v>
      </c>
      <c r="N140" s="11">
        <f t="shared" si="14"/>
        <v>4.4231669650371388E-3</v>
      </c>
    </row>
    <row r="141" spans="4:14" x14ac:dyDescent="0.25">
      <c r="D141" s="2" t="str">
        <f t="shared" ref="D141:F145" si="15">D114</f>
        <v>Oil</v>
      </c>
      <c r="E141" t="str">
        <f t="shared" si="15"/>
        <v>Central Oil (#2 distillate), Residential</v>
      </c>
      <c r="F141" s="138">
        <f t="shared" si="15"/>
        <v>0.81</v>
      </c>
      <c r="H141" s="11">
        <f t="shared" si="14"/>
        <v>6.3555733832508787E-3</v>
      </c>
      <c r="I141" s="11">
        <f t="shared" si="14"/>
        <v>9.9580238332702298E-2</v>
      </c>
      <c r="J141" s="11">
        <f t="shared" si="14"/>
        <v>0.32479565004234073</v>
      </c>
      <c r="K141" s="11">
        <f t="shared" si="14"/>
        <v>4.0700369890750258E-3</v>
      </c>
      <c r="L141" s="137">
        <f t="shared" si="14"/>
        <v>4.0700369890750258E-3</v>
      </c>
      <c r="M141" s="11">
        <f t="shared" si="14"/>
        <v>2.1835748446387518E-4</v>
      </c>
      <c r="N141" s="11">
        <f t="shared" si="14"/>
        <v>3.9920279467844213E-3</v>
      </c>
    </row>
    <row r="142" spans="4:14" x14ac:dyDescent="0.25">
      <c r="D142" s="2" t="str">
        <f t="shared" si="15"/>
        <v>Oil</v>
      </c>
      <c r="E142" t="str">
        <f t="shared" si="15"/>
        <v>Portable: 43% Kerosene &amp; 57% Fuel Oil</v>
      </c>
      <c r="F142" s="138">
        <f t="shared" si="15"/>
        <v>0.81</v>
      </c>
      <c r="H142" s="11">
        <f t="shared" si="14"/>
        <v>6.4253944565878076E-3</v>
      </c>
      <c r="I142" s="11">
        <f t="shared" si="14"/>
        <v>0.16221192176519011</v>
      </c>
      <c r="J142" s="11">
        <f t="shared" si="14"/>
        <v>0.26046349201353508</v>
      </c>
      <c r="K142" s="11">
        <f t="shared" si="14"/>
        <v>3.6047093725597805E-3</v>
      </c>
      <c r="L142" s="137">
        <f t="shared" si="14"/>
        <v>3.6047093725597805E-3</v>
      </c>
      <c r="M142" s="11">
        <f t="shared" si="14"/>
        <v>2.207563166410943E-4</v>
      </c>
      <c r="N142" s="11">
        <f t="shared" si="14"/>
        <v>4.0358835769892503E-3</v>
      </c>
    </row>
    <row r="143" spans="4:14" x14ac:dyDescent="0.25">
      <c r="D143" s="2" t="str">
        <f t="shared" si="15"/>
        <v>Oil</v>
      </c>
      <c r="E143" t="str">
        <f t="shared" si="15"/>
        <v>Direct Vent</v>
      </c>
      <c r="F143" s="138">
        <f t="shared" si="15"/>
        <v>0.81</v>
      </c>
      <c r="H143" s="11">
        <f t="shared" si="14"/>
        <v>5.432098765432098E-2</v>
      </c>
      <c r="I143" s="11">
        <f t="shared" si="14"/>
        <v>0.98765432098765427</v>
      </c>
      <c r="J143" s="11">
        <f t="shared" si="14"/>
        <v>5.9259259259259248E-3</v>
      </c>
      <c r="K143" s="11">
        <f t="shared" si="14"/>
        <v>7.5061728395061728E-2</v>
      </c>
      <c r="L143" s="137">
        <f t="shared" si="14"/>
        <v>7.5061728395061728E-2</v>
      </c>
      <c r="M143" s="11">
        <f t="shared" si="14"/>
        <v>0.19753086419753085</v>
      </c>
      <c r="N143" s="11">
        <f t="shared" si="14"/>
        <v>0.39506172839506171</v>
      </c>
    </row>
    <row r="144" spans="4:14" x14ac:dyDescent="0.25">
      <c r="D144" s="2" t="str">
        <f t="shared" si="15"/>
        <v>Gas</v>
      </c>
      <c r="E144" t="str">
        <f t="shared" si="15"/>
        <v>Natural Gas - Residential</v>
      </c>
      <c r="F144" s="138">
        <f t="shared" si="15"/>
        <v>0.81</v>
      </c>
      <c r="H144" s="11">
        <f t="shared" si="14"/>
        <v>6.6897768047193325E-3</v>
      </c>
      <c r="I144" s="11">
        <f t="shared" si="14"/>
        <v>0.11433436720793042</v>
      </c>
      <c r="J144" s="11">
        <f t="shared" si="14"/>
        <v>7.2979383324210895E-4</v>
      </c>
      <c r="K144" s="11">
        <f t="shared" si="14"/>
        <v>9.2440552210667146E-3</v>
      </c>
      <c r="L144" s="137">
        <f t="shared" si="14"/>
        <v>9.2440552210667146E-3</v>
      </c>
      <c r="M144" s="11">
        <f t="shared" si="14"/>
        <v>2.4326461108070303E-2</v>
      </c>
      <c r="N144" s="11">
        <f t="shared" si="14"/>
        <v>4.8652922216140607E-2</v>
      </c>
    </row>
    <row r="145" spans="4:14" x14ac:dyDescent="0.25">
      <c r="D145" s="2" t="str">
        <f t="shared" si="15"/>
        <v>Gas</v>
      </c>
      <c r="E145" t="str">
        <f t="shared" si="15"/>
        <v>Natural Gas - Commercial, small uncontrolled</v>
      </c>
      <c r="F145" s="138">
        <f t="shared" si="15"/>
        <v>0.81</v>
      </c>
      <c r="H145" s="11">
        <f t="shared" si="14"/>
        <v>6.6897768047193325E-3</v>
      </c>
      <c r="I145" s="11">
        <f t="shared" si="14"/>
        <v>0.12163230554035151</v>
      </c>
      <c r="J145" s="11">
        <f t="shared" si="14"/>
        <v>7.2979383324210895E-4</v>
      </c>
      <c r="K145" s="11">
        <f t="shared" si="14"/>
        <v>9.2440552210667146E-3</v>
      </c>
      <c r="L145" s="137">
        <f t="shared" si="14"/>
        <v>9.2440552210667146E-3</v>
      </c>
      <c r="M145" s="11">
        <f t="shared" si="14"/>
        <v>2.4326461108070303E-2</v>
      </c>
      <c r="N145" s="11">
        <f t="shared" si="14"/>
        <v>4.8652922216140607E-2</v>
      </c>
    </row>
  </sheetData>
  <mergeCells count="15">
    <mergeCell ref="H52:N52"/>
    <mergeCell ref="A1:E1"/>
    <mergeCell ref="G2:N2"/>
    <mergeCell ref="A21:E21"/>
    <mergeCell ref="A33:O33"/>
    <mergeCell ref="H35:N35"/>
    <mergeCell ref="D121:N121"/>
    <mergeCell ref="D122:N122"/>
    <mergeCell ref="H123:N123"/>
    <mergeCell ref="D67:N67"/>
    <mergeCell ref="D68:N68"/>
    <mergeCell ref="H69:N69"/>
    <mergeCell ref="D94:N94"/>
    <mergeCell ref="D95:N95"/>
    <mergeCell ref="H96:N96"/>
  </mergeCells>
  <hyperlinks>
    <hyperlink ref="E13" r:id="rId1"/>
    <hyperlink ref="E14:E15" r:id="rId2" display="http://www.fngas.com/calculate.html"/>
    <hyperlink ref="E24" r:id="rId3"/>
    <hyperlink ref="E11" r:id="rId4" display="http://www.fngas.com/calculate.html"/>
  </hyperlinks>
  <pageMargins left="0.7" right="0.7" top="0.75" bottom="0.75" header="0.3" footer="0.3"/>
  <pageSetup orientation="portrait" r:id="rId5"/>
  <drawing r:id="rId6"/>
  <legacy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tint="0.79998168889431442"/>
    <pageSetUpPr fitToPage="1"/>
  </sheetPr>
  <dimension ref="A1:BG92"/>
  <sheetViews>
    <sheetView topLeftCell="A4" workbookViewId="0">
      <pane xSplit="1" ySplit="2" topLeftCell="B6" activePane="bottomRight" state="frozen"/>
      <selection activeCell="A4" sqref="A4"/>
      <selection pane="topRight" activeCell="B4" sqref="B4"/>
      <selection pane="bottomLeft" activeCell="A6" sqref="A6"/>
      <selection pane="bottomRight" activeCell="B6" sqref="B6"/>
    </sheetView>
  </sheetViews>
  <sheetFormatPr defaultRowHeight="15" x14ac:dyDescent="0.25"/>
  <cols>
    <col min="1" max="1" width="47.5703125" customWidth="1"/>
  </cols>
  <sheetData>
    <row r="1" spans="1:59" ht="15.75" x14ac:dyDescent="0.25">
      <c r="A1" s="924" t="s">
        <v>2517</v>
      </c>
      <c r="B1" s="924"/>
      <c r="C1" s="924"/>
      <c r="D1" s="924"/>
      <c r="E1" s="924"/>
      <c r="F1" s="924"/>
      <c r="G1" s="924"/>
      <c r="H1" s="924"/>
      <c r="I1" s="924"/>
      <c r="J1" s="924"/>
      <c r="K1" s="924"/>
      <c r="L1" s="924"/>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924"/>
      <c r="AP1" s="243" t="s">
        <v>3192</v>
      </c>
      <c r="AQ1" s="243"/>
      <c r="AR1" s="243"/>
      <c r="AS1" s="243"/>
      <c r="AT1" s="243"/>
      <c r="AU1" s="243"/>
      <c r="AV1" s="243"/>
    </row>
    <row r="2" spans="1:59" x14ac:dyDescent="0.25">
      <c r="A2" s="113"/>
      <c r="B2" s="246"/>
      <c r="C2" s="246"/>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P2" s="934" t="s">
        <v>3193</v>
      </c>
      <c r="AQ2" s="934"/>
      <c r="AR2" s="934"/>
      <c r="AS2" s="934"/>
      <c r="AT2" s="934"/>
      <c r="AU2" s="934"/>
    </row>
    <row r="3" spans="1:59" ht="15.75" x14ac:dyDescent="0.25">
      <c r="B3" s="935" t="s">
        <v>2464</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B3" s="935"/>
      <c r="AC3" s="935"/>
      <c r="AD3" s="935"/>
      <c r="AE3" s="935"/>
      <c r="AF3" s="935"/>
      <c r="AG3" s="935"/>
      <c r="AH3" s="935"/>
      <c r="AI3" s="935"/>
      <c r="AJ3" s="935"/>
      <c r="AK3" s="247"/>
      <c r="AL3" s="247" t="s">
        <v>2465</v>
      </c>
      <c r="AN3" s="247"/>
      <c r="AP3" s="243"/>
      <c r="AV3" s="243"/>
    </row>
    <row r="4" spans="1:59" x14ac:dyDescent="0.25">
      <c r="B4" s="914" t="s">
        <v>2467</v>
      </c>
      <c r="C4" s="914"/>
      <c r="D4" s="914"/>
      <c r="E4" s="914"/>
      <c r="F4" s="914"/>
      <c r="G4" s="914"/>
      <c r="H4" s="914"/>
      <c r="I4" s="914"/>
      <c r="J4" s="914"/>
      <c r="K4" s="914"/>
      <c r="L4" s="914"/>
      <c r="M4" s="914"/>
      <c r="N4" s="914"/>
      <c r="O4" s="914"/>
      <c r="P4" s="914"/>
      <c r="Q4" s="914"/>
      <c r="R4" s="914"/>
      <c r="S4" s="605"/>
      <c r="T4" s="914" t="s">
        <v>2468</v>
      </c>
      <c r="U4" s="914"/>
      <c r="V4" s="914"/>
      <c r="W4" s="914"/>
      <c r="X4" s="914"/>
      <c r="Y4" s="914"/>
      <c r="Z4" s="914"/>
      <c r="AA4" s="914"/>
      <c r="AB4" s="914"/>
      <c r="AC4" s="914"/>
      <c r="AD4" s="914"/>
      <c r="AE4" s="914"/>
      <c r="AF4" s="914"/>
      <c r="AG4" s="914"/>
      <c r="AH4" s="914"/>
      <c r="AI4" s="914"/>
      <c r="AJ4" s="914"/>
      <c r="AK4" s="247"/>
      <c r="AL4" s="20" t="s">
        <v>2469</v>
      </c>
      <c r="AN4" s="247"/>
      <c r="AP4" s="2" t="s">
        <v>68</v>
      </c>
      <c r="AV4" s="914" t="s">
        <v>3197</v>
      </c>
      <c r="AW4" s="914"/>
      <c r="AX4" s="914"/>
      <c r="AY4" s="914"/>
      <c r="AZ4" s="914"/>
      <c r="BA4" s="914"/>
      <c r="BB4" s="914"/>
      <c r="BC4" s="914"/>
      <c r="BD4" s="914"/>
      <c r="BE4" s="914"/>
      <c r="BF4" s="914"/>
    </row>
    <row r="5" spans="1:59" ht="15.75" thickBot="1" x14ac:dyDescent="0.3">
      <c r="A5" s="248" t="s">
        <v>2463</v>
      </c>
      <c r="B5" s="15" t="s">
        <v>3159</v>
      </c>
      <c r="C5" s="15">
        <v>2011</v>
      </c>
      <c r="D5" s="15">
        <v>2012</v>
      </c>
      <c r="E5" s="15">
        <v>2013</v>
      </c>
      <c r="F5" s="15">
        <v>2014</v>
      </c>
      <c r="G5" s="15">
        <v>2015</v>
      </c>
      <c r="H5" s="15">
        <v>2016</v>
      </c>
      <c r="I5" s="15">
        <v>2017</v>
      </c>
      <c r="J5" s="15">
        <v>2018</v>
      </c>
      <c r="K5" s="15">
        <v>2019</v>
      </c>
      <c r="L5" s="15">
        <v>2020</v>
      </c>
      <c r="M5" s="15">
        <v>2021</v>
      </c>
      <c r="N5" s="15">
        <v>2022</v>
      </c>
      <c r="O5" s="15">
        <v>2023</v>
      </c>
      <c r="P5" s="15">
        <v>2024</v>
      </c>
      <c r="Q5" s="15">
        <v>2025</v>
      </c>
      <c r="R5" s="15">
        <v>2026</v>
      </c>
      <c r="S5" s="605"/>
      <c r="T5" s="15" t="s">
        <v>3159</v>
      </c>
      <c r="U5" s="15">
        <v>2011</v>
      </c>
      <c r="V5" s="15">
        <v>2012</v>
      </c>
      <c r="W5" s="15">
        <v>2013</v>
      </c>
      <c r="X5" s="15">
        <v>2014</v>
      </c>
      <c r="Y5" s="15">
        <v>2015</v>
      </c>
      <c r="Z5" s="15">
        <v>2016</v>
      </c>
      <c r="AA5" s="15">
        <v>2017</v>
      </c>
      <c r="AB5" s="15">
        <v>2018</v>
      </c>
      <c r="AC5" s="15">
        <v>2019</v>
      </c>
      <c r="AD5" s="15">
        <v>2020</v>
      </c>
      <c r="AE5" s="15">
        <v>2021</v>
      </c>
      <c r="AF5" s="15">
        <v>2022</v>
      </c>
      <c r="AG5" s="15">
        <v>2023</v>
      </c>
      <c r="AH5" s="15">
        <v>2024</v>
      </c>
      <c r="AI5" s="15">
        <v>2025</v>
      </c>
      <c r="AJ5" s="15">
        <v>2026</v>
      </c>
      <c r="AK5" s="247"/>
      <c r="AL5" s="15">
        <v>2008</v>
      </c>
      <c r="AM5" s="15">
        <v>2011</v>
      </c>
      <c r="AN5" s="247"/>
      <c r="AP5" s="15" t="s">
        <v>3159</v>
      </c>
      <c r="AQ5" s="15">
        <v>2011</v>
      </c>
      <c r="AR5" s="15">
        <v>2012</v>
      </c>
      <c r="AS5" s="15">
        <v>2013</v>
      </c>
      <c r="AT5" s="15">
        <v>2014</v>
      </c>
      <c r="AU5" s="15">
        <v>2015</v>
      </c>
      <c r="AV5" s="15">
        <v>2016</v>
      </c>
      <c r="AW5" s="15">
        <v>2017</v>
      </c>
      <c r="AX5" s="15">
        <v>2018</v>
      </c>
      <c r="AY5" s="15">
        <v>2019</v>
      </c>
      <c r="AZ5" s="15">
        <v>2020</v>
      </c>
      <c r="BA5" s="15">
        <v>2021</v>
      </c>
      <c r="BB5" s="15">
        <v>2022</v>
      </c>
      <c r="BC5" s="15">
        <v>2023</v>
      </c>
      <c r="BD5" s="15">
        <v>2024</v>
      </c>
      <c r="BE5" s="15">
        <v>2025</v>
      </c>
      <c r="BF5" s="15">
        <v>2026</v>
      </c>
    </row>
    <row r="6" spans="1:59" ht="15.75" thickTop="1" x14ac:dyDescent="0.25">
      <c r="A6" s="250" t="s">
        <v>2470</v>
      </c>
      <c r="B6" s="251">
        <f>AP6</f>
        <v>12537.290211874006</v>
      </c>
      <c r="C6" s="251">
        <f t="shared" ref="C6:G21" si="0">AQ6</f>
        <v>10816.796003240108</v>
      </c>
      <c r="D6" s="251">
        <f t="shared" si="0"/>
        <v>11790.264604476739</v>
      </c>
      <c r="E6" s="251">
        <f t="shared" si="0"/>
        <v>13376.78359229661</v>
      </c>
      <c r="F6" s="251">
        <f t="shared" si="0"/>
        <v>13898.348899353254</v>
      </c>
      <c r="G6" s="251">
        <f t="shared" si="0"/>
        <v>12899.275677203046</v>
      </c>
      <c r="H6" s="251">
        <f t="shared" ref="H6:H36" si="1">AV6</f>
        <v>12871.467359388909</v>
      </c>
      <c r="I6" s="251">
        <f t="shared" ref="I6:I36" si="2">AW6</f>
        <v>12973.267942330145</v>
      </c>
      <c r="J6" s="251">
        <f t="shared" ref="J6:J36" si="3">AX6</f>
        <v>13195.831497921294</v>
      </c>
      <c r="K6" s="251">
        <f t="shared" ref="K6:K36" si="4">AY6</f>
        <v>13418.395053512446</v>
      </c>
      <c r="L6" s="251">
        <f t="shared" ref="L6:L36" si="5">AZ6</f>
        <v>13708.555588099951</v>
      </c>
      <c r="M6" s="251">
        <f t="shared" ref="M6:M36" si="6">BA6</f>
        <v>13782.556639823573</v>
      </c>
      <c r="N6" s="251">
        <f t="shared" ref="N6:N36" si="7">BB6</f>
        <v>14032.427757673047</v>
      </c>
      <c r="O6" s="251">
        <f t="shared" ref="O6:O36" si="8">BC6</f>
        <v>14002.00451005926</v>
      </c>
      <c r="P6" s="251">
        <f t="shared" ref="P6:P36" si="9">BD6</f>
        <v>14087.799817168885</v>
      </c>
      <c r="Q6" s="251">
        <f t="shared" ref="Q6:Q36" si="10">BE6</f>
        <v>14175.696919565409</v>
      </c>
      <c r="R6" s="251">
        <f t="shared" ref="R6:R36" si="11">BF6</f>
        <v>14258.894459393503</v>
      </c>
      <c r="S6" s="825"/>
      <c r="T6" s="253">
        <f>B6/B$36</f>
        <v>0.25221322282915803</v>
      </c>
      <c r="U6" s="253">
        <f t="shared" ref="U6:AJ6" si="12">C6/C$36</f>
        <v>0.22038567493112948</v>
      </c>
      <c r="V6" s="253">
        <f t="shared" si="12"/>
        <v>0.25273631840796024</v>
      </c>
      <c r="W6" s="253">
        <f t="shared" si="12"/>
        <v>0.26051188299817185</v>
      </c>
      <c r="X6" s="253">
        <f t="shared" si="12"/>
        <v>0.26937269372693723</v>
      </c>
      <c r="Y6" s="253">
        <f t="shared" si="12"/>
        <v>0.25843780135004818</v>
      </c>
      <c r="Z6" s="253">
        <f t="shared" si="12"/>
        <v>0.25221322282915798</v>
      </c>
      <c r="AA6" s="253">
        <f t="shared" si="12"/>
        <v>0.25221322282915798</v>
      </c>
      <c r="AB6" s="253">
        <f t="shared" si="12"/>
        <v>0.25221322282915803</v>
      </c>
      <c r="AC6" s="253">
        <f t="shared" si="12"/>
        <v>0.25221322282915803</v>
      </c>
      <c r="AD6" s="253">
        <f t="shared" si="12"/>
        <v>0.25221322282915803</v>
      </c>
      <c r="AE6" s="253">
        <f t="shared" si="12"/>
        <v>0.25221322282915803</v>
      </c>
      <c r="AF6" s="253">
        <f t="shared" si="12"/>
        <v>0.25221322282915803</v>
      </c>
      <c r="AG6" s="253">
        <f t="shared" si="12"/>
        <v>0.25221322282915803</v>
      </c>
      <c r="AH6" s="253">
        <f t="shared" si="12"/>
        <v>0.25221322282915803</v>
      </c>
      <c r="AI6" s="253">
        <f t="shared" si="12"/>
        <v>0.25221322282915803</v>
      </c>
      <c r="AJ6" s="253">
        <f t="shared" si="12"/>
        <v>0.25221322282915803</v>
      </c>
      <c r="AL6" s="254">
        <v>0.22358479519125557</v>
      </c>
      <c r="AM6" s="254">
        <v>0.22358479519125557</v>
      </c>
      <c r="AN6" s="247"/>
      <c r="AP6" s="614">
        <v>12537.290211874006</v>
      </c>
      <c r="AQ6" s="614">
        <v>10816.796003240108</v>
      </c>
      <c r="AR6" s="614">
        <v>11790.264604476739</v>
      </c>
      <c r="AS6" s="614">
        <v>13376.78359229661</v>
      </c>
      <c r="AT6" s="614">
        <v>13898.348899353254</v>
      </c>
      <c r="AU6" s="614">
        <v>12899.275677203046</v>
      </c>
      <c r="AV6" s="614">
        <f t="shared" ref="AV6:BF19" si="13">$AP6*AV$40/$AP$40</f>
        <v>12871.467359388909</v>
      </c>
      <c r="AW6" s="614">
        <f t="shared" si="13"/>
        <v>12973.267942330145</v>
      </c>
      <c r="AX6" s="614">
        <f t="shared" si="13"/>
        <v>13195.831497921294</v>
      </c>
      <c r="AY6" s="614">
        <f>$AP6*AY$40/$AP$40</f>
        <v>13418.395053512446</v>
      </c>
      <c r="AZ6" s="614">
        <f t="shared" si="13"/>
        <v>13708.555588099951</v>
      </c>
      <c r="BA6" s="614">
        <f t="shared" si="13"/>
        <v>13782.556639823573</v>
      </c>
      <c r="BB6" s="614">
        <f t="shared" si="13"/>
        <v>14032.427757673047</v>
      </c>
      <c r="BC6" s="614">
        <f t="shared" si="13"/>
        <v>14002.00451005926</v>
      </c>
      <c r="BD6" s="614">
        <f t="shared" si="13"/>
        <v>14087.799817168885</v>
      </c>
      <c r="BE6" s="614">
        <f t="shared" si="13"/>
        <v>14175.696919565409</v>
      </c>
      <c r="BF6" s="614">
        <f t="shared" si="13"/>
        <v>14258.894459393503</v>
      </c>
      <c r="BG6" s="114">
        <f>SUM(AY7:AY8,AY14,AY25)</f>
        <v>13418.395053512446</v>
      </c>
    </row>
    <row r="7" spans="1:59" x14ac:dyDescent="0.25">
      <c r="A7" s="255" t="s">
        <v>2471</v>
      </c>
      <c r="B7" s="256">
        <f t="shared" ref="B7:B36" si="14">AP7</f>
        <v>750.33782328639882</v>
      </c>
      <c r="C7" s="256">
        <f t="shared" si="0"/>
        <v>571.8130045765696</v>
      </c>
      <c r="D7" s="256">
        <f t="shared" si="0"/>
        <v>557.02037501464906</v>
      </c>
      <c r="E7" s="256">
        <f t="shared" si="0"/>
        <v>894.9256628649141</v>
      </c>
      <c r="F7" s="256">
        <f t="shared" si="0"/>
        <v>916.90496211011043</v>
      </c>
      <c r="G7" s="256">
        <f t="shared" si="0"/>
        <v>866.36926190169709</v>
      </c>
      <c r="H7" s="256">
        <f t="shared" si="1"/>
        <v>770.33781923615436</v>
      </c>
      <c r="I7" s="256">
        <f t="shared" si="2"/>
        <v>776.43042988187983</v>
      </c>
      <c r="J7" s="256">
        <f t="shared" si="3"/>
        <v>789.75052146650171</v>
      </c>
      <c r="K7" s="256">
        <f t="shared" si="4"/>
        <v>803.07061305112359</v>
      </c>
      <c r="L7" s="256">
        <f t="shared" si="5"/>
        <v>820.43628140901217</v>
      </c>
      <c r="M7" s="256">
        <f t="shared" si="6"/>
        <v>824.86513223186535</v>
      </c>
      <c r="N7" s="256">
        <f t="shared" si="7"/>
        <v>839.81954004255363</v>
      </c>
      <c r="O7" s="256">
        <f t="shared" si="8"/>
        <v>837.99875476869818</v>
      </c>
      <c r="P7" s="256">
        <f t="shared" si="9"/>
        <v>843.13347390631964</v>
      </c>
      <c r="Q7" s="256">
        <f t="shared" si="10"/>
        <v>848.39398230732365</v>
      </c>
      <c r="R7" s="256">
        <f t="shared" si="11"/>
        <v>853.37322900915672</v>
      </c>
      <c r="S7" s="605"/>
      <c r="T7" s="257">
        <f t="shared" ref="T7:T27" si="15">B7/B$6</f>
        <v>5.9848484848484845E-2</v>
      </c>
      <c r="U7" s="257">
        <f t="shared" ref="U7:AJ22" si="16">C7/C$6</f>
        <v>5.2863436123348019E-2</v>
      </c>
      <c r="V7" s="257">
        <f t="shared" si="16"/>
        <v>4.7244094488188976E-2</v>
      </c>
      <c r="W7" s="257">
        <f t="shared" si="16"/>
        <v>6.6901408450704233E-2</v>
      </c>
      <c r="X7" s="257">
        <f t="shared" si="16"/>
        <v>6.5972222222222224E-2</v>
      </c>
      <c r="Y7" s="257">
        <f t="shared" si="16"/>
        <v>6.7164179104477612E-2</v>
      </c>
      <c r="Z7" s="257">
        <f t="shared" si="16"/>
        <v>5.9848484848484845E-2</v>
      </c>
      <c r="AA7" s="257">
        <f t="shared" si="16"/>
        <v>5.9848484848484845E-2</v>
      </c>
      <c r="AB7" s="257">
        <f t="shared" si="16"/>
        <v>5.9848484848484852E-2</v>
      </c>
      <c r="AC7" s="257">
        <f t="shared" si="16"/>
        <v>5.9848484848484845E-2</v>
      </c>
      <c r="AD7" s="257">
        <f t="shared" si="16"/>
        <v>5.9848484848484845E-2</v>
      </c>
      <c r="AE7" s="257">
        <f t="shared" si="16"/>
        <v>5.9848484848484845E-2</v>
      </c>
      <c r="AF7" s="257">
        <f t="shared" si="16"/>
        <v>5.9848484848484852E-2</v>
      </c>
      <c r="AG7" s="257">
        <f t="shared" si="16"/>
        <v>5.9848484848484852E-2</v>
      </c>
      <c r="AH7" s="257">
        <f t="shared" si="16"/>
        <v>5.9848484848484845E-2</v>
      </c>
      <c r="AI7" s="257">
        <f t="shared" si="16"/>
        <v>5.9848484848484845E-2</v>
      </c>
      <c r="AJ7" s="257">
        <f t="shared" si="16"/>
        <v>5.9848484848484852E-2</v>
      </c>
      <c r="AM7" s="254">
        <v>2.9129729705276653E-2</v>
      </c>
      <c r="AN7" s="254"/>
      <c r="AP7" s="615">
        <v>750.33782328639882</v>
      </c>
      <c r="AQ7" s="615">
        <v>571.8130045765696</v>
      </c>
      <c r="AR7" s="615">
        <v>557.02037501464906</v>
      </c>
      <c r="AS7" s="615">
        <v>894.9256628649141</v>
      </c>
      <c r="AT7" s="615">
        <v>916.90496211011043</v>
      </c>
      <c r="AU7" s="615">
        <v>866.36926190169709</v>
      </c>
      <c r="AV7" s="615">
        <f t="shared" si="13"/>
        <v>770.33781923615436</v>
      </c>
      <c r="AW7" s="615">
        <f t="shared" si="13"/>
        <v>776.43042988187983</v>
      </c>
      <c r="AX7" s="615">
        <f t="shared" si="13"/>
        <v>789.75052146650171</v>
      </c>
      <c r="AY7" s="615">
        <f t="shared" si="13"/>
        <v>803.07061305112359</v>
      </c>
      <c r="AZ7" s="615">
        <f t="shared" si="13"/>
        <v>820.43628140901217</v>
      </c>
      <c r="BA7" s="615">
        <f t="shared" si="13"/>
        <v>824.86513223186535</v>
      </c>
      <c r="BB7" s="615">
        <f t="shared" si="13"/>
        <v>839.81954004255363</v>
      </c>
      <c r="BC7" s="615">
        <f t="shared" si="13"/>
        <v>837.99875476869818</v>
      </c>
      <c r="BD7" s="615">
        <f t="shared" si="13"/>
        <v>843.13347390631964</v>
      </c>
      <c r="BE7" s="615">
        <f t="shared" si="13"/>
        <v>848.39398230732365</v>
      </c>
      <c r="BF7" s="615">
        <f t="shared" si="13"/>
        <v>853.37322900915672</v>
      </c>
    </row>
    <row r="8" spans="1:59" x14ac:dyDescent="0.25">
      <c r="A8" s="255" t="s">
        <v>2472</v>
      </c>
      <c r="B8" s="256">
        <f t="shared" si="14"/>
        <v>721.8439818957761</v>
      </c>
      <c r="C8" s="256">
        <f t="shared" si="0"/>
        <v>619.46408829128382</v>
      </c>
      <c r="D8" s="256">
        <f t="shared" si="0"/>
        <v>557.02037501464906</v>
      </c>
      <c r="E8" s="256">
        <f t="shared" si="0"/>
        <v>565.21620812520882</v>
      </c>
      <c r="F8" s="256">
        <f t="shared" si="0"/>
        <v>820.38865030904617</v>
      </c>
      <c r="G8" s="256">
        <f t="shared" si="0"/>
        <v>1058.8957645465186</v>
      </c>
      <c r="H8" s="256">
        <f t="shared" si="1"/>
        <v>741.08448432845228</v>
      </c>
      <c r="I8" s="256">
        <f t="shared" si="2"/>
        <v>746.94573001294771</v>
      </c>
      <c r="J8" s="256">
        <f t="shared" si="3"/>
        <v>759.75999533486242</v>
      </c>
      <c r="K8" s="256">
        <f t="shared" si="4"/>
        <v>772.57426065677714</v>
      </c>
      <c r="L8" s="256">
        <f t="shared" si="5"/>
        <v>789.2804732542395</v>
      </c>
      <c r="M8" s="256">
        <f t="shared" si="6"/>
        <v>793.54113986863001</v>
      </c>
      <c r="N8" s="256">
        <f t="shared" si="7"/>
        <v>807.92765877511488</v>
      </c>
      <c r="O8" s="256">
        <f t="shared" si="8"/>
        <v>806.17601724583619</v>
      </c>
      <c r="P8" s="256">
        <f t="shared" si="9"/>
        <v>811.11574704911766</v>
      </c>
      <c r="Q8" s="256">
        <f t="shared" si="10"/>
        <v>816.17648930831137</v>
      </c>
      <c r="R8" s="256">
        <f t="shared" si="11"/>
        <v>820.96665069235337</v>
      </c>
      <c r="S8" s="605"/>
      <c r="T8" s="258">
        <f t="shared" si="15"/>
        <v>5.7575757575757579E-2</v>
      </c>
      <c r="U8" s="258">
        <f t="shared" si="16"/>
        <v>5.726872246696036E-2</v>
      </c>
      <c r="V8" s="258">
        <f t="shared" si="16"/>
        <v>4.7244094488188976E-2</v>
      </c>
      <c r="W8" s="258">
        <f t="shared" si="16"/>
        <v>4.2253521126760563E-2</v>
      </c>
      <c r="X8" s="258">
        <f t="shared" si="16"/>
        <v>5.9027777777777776E-2</v>
      </c>
      <c r="Y8" s="258">
        <f t="shared" si="16"/>
        <v>8.2089552238805971E-2</v>
      </c>
      <c r="Z8" s="258">
        <f t="shared" si="16"/>
        <v>5.7575757575757572E-2</v>
      </c>
      <c r="AA8" s="258">
        <f t="shared" si="16"/>
        <v>5.7575757575757572E-2</v>
      </c>
      <c r="AB8" s="258">
        <f t="shared" si="16"/>
        <v>5.7575757575757579E-2</v>
      </c>
      <c r="AC8" s="258">
        <f t="shared" si="16"/>
        <v>5.7575757575757572E-2</v>
      </c>
      <c r="AD8" s="258">
        <f t="shared" si="16"/>
        <v>5.7575757575757565E-2</v>
      </c>
      <c r="AE8" s="258">
        <f t="shared" si="16"/>
        <v>5.7575757575757579E-2</v>
      </c>
      <c r="AF8" s="258">
        <f t="shared" si="16"/>
        <v>5.7575757575757579E-2</v>
      </c>
      <c r="AG8" s="258">
        <f t="shared" si="16"/>
        <v>5.7575757575757579E-2</v>
      </c>
      <c r="AH8" s="258">
        <f t="shared" si="16"/>
        <v>5.7575757575757579E-2</v>
      </c>
      <c r="AI8" s="258">
        <f t="shared" si="16"/>
        <v>5.7575757575757572E-2</v>
      </c>
      <c r="AJ8" s="258">
        <f t="shared" si="16"/>
        <v>5.7575757575757586E-2</v>
      </c>
      <c r="AM8" s="254">
        <v>5.9031914988817734E-2</v>
      </c>
      <c r="AN8" s="254"/>
      <c r="AP8" s="615">
        <v>721.8439818957761</v>
      </c>
      <c r="AQ8" s="615">
        <v>619.46408829128382</v>
      </c>
      <c r="AR8" s="615">
        <v>557.02037501464906</v>
      </c>
      <c r="AS8" s="615">
        <v>565.21620812520882</v>
      </c>
      <c r="AT8" s="615">
        <v>820.38865030904617</v>
      </c>
      <c r="AU8" s="615">
        <v>1058.8957645465186</v>
      </c>
      <c r="AV8" s="615">
        <f t="shared" si="13"/>
        <v>741.08448432845228</v>
      </c>
      <c r="AW8" s="615">
        <f t="shared" si="13"/>
        <v>746.94573001294771</v>
      </c>
      <c r="AX8" s="615">
        <f t="shared" si="13"/>
        <v>759.75999533486242</v>
      </c>
      <c r="AY8" s="615">
        <f t="shared" si="13"/>
        <v>772.57426065677714</v>
      </c>
      <c r="AZ8" s="615">
        <f t="shared" si="13"/>
        <v>789.2804732542395</v>
      </c>
      <c r="BA8" s="615">
        <f t="shared" si="13"/>
        <v>793.54113986863001</v>
      </c>
      <c r="BB8" s="615">
        <f t="shared" si="13"/>
        <v>807.92765877511488</v>
      </c>
      <c r="BC8" s="615">
        <f t="shared" si="13"/>
        <v>806.17601724583619</v>
      </c>
      <c r="BD8" s="615">
        <f t="shared" si="13"/>
        <v>811.11574704911766</v>
      </c>
      <c r="BE8" s="615">
        <f t="shared" si="13"/>
        <v>816.17648930831137</v>
      </c>
      <c r="BF8" s="615">
        <f t="shared" si="13"/>
        <v>820.96665069235337</v>
      </c>
    </row>
    <row r="9" spans="1:59" x14ac:dyDescent="0.25">
      <c r="A9" s="259" t="s">
        <v>2473</v>
      </c>
      <c r="B9" s="261">
        <f t="shared" si="14"/>
        <v>209.75490360247147</v>
      </c>
      <c r="C9" s="261">
        <f t="shared" si="0"/>
        <v>230.22939481074576</v>
      </c>
      <c r="D9" s="261">
        <f t="shared" si="0"/>
        <v>188.86102558462829</v>
      </c>
      <c r="E9" s="261">
        <f t="shared" si="0"/>
        <v>164.92707124655959</v>
      </c>
      <c r="F9" s="261">
        <f t="shared" si="0"/>
        <v>191.92635419677183</v>
      </c>
      <c r="G9" s="261">
        <f t="shared" si="0"/>
        <v>250.62449435366139</v>
      </c>
      <c r="H9" s="261">
        <f t="shared" si="1"/>
        <v>215.34584823074135</v>
      </c>
      <c r="I9" s="261">
        <f t="shared" si="2"/>
        <v>217.04902101374759</v>
      </c>
      <c r="J9" s="261">
        <f t="shared" si="3"/>
        <v>220.77261649247637</v>
      </c>
      <c r="K9" s="261">
        <f t="shared" si="4"/>
        <v>224.49621197120521</v>
      </c>
      <c r="L9" s="261">
        <f t="shared" si="5"/>
        <v>229.35073746539857</v>
      </c>
      <c r="M9" s="261">
        <f t="shared" si="6"/>
        <v>230.58881070199556</v>
      </c>
      <c r="N9" s="261">
        <f t="shared" si="7"/>
        <v>234.76927484949684</v>
      </c>
      <c r="O9" s="261">
        <f t="shared" si="8"/>
        <v>234.26027926411425</v>
      </c>
      <c r="P9" s="261">
        <f t="shared" si="9"/>
        <v>235.69567607380765</v>
      </c>
      <c r="Q9" s="261">
        <f t="shared" si="10"/>
        <v>237.16623693094229</v>
      </c>
      <c r="R9" s="261">
        <f t="shared" si="11"/>
        <v>238.55817184284831</v>
      </c>
      <c r="S9" s="605"/>
      <c r="T9" s="262">
        <f t="shared" si="15"/>
        <v>1.673048163181336E-2</v>
      </c>
      <c r="U9" s="262">
        <f t="shared" si="16"/>
        <v>2.1284435311693214E-2</v>
      </c>
      <c r="V9" s="262">
        <f t="shared" si="16"/>
        <v>1.6018387366210439E-2</v>
      </c>
      <c r="W9" s="262">
        <f t="shared" si="16"/>
        <v>1.2329351828756309E-2</v>
      </c>
      <c r="X9" s="262">
        <f t="shared" si="16"/>
        <v>1.3809291706995708E-2</v>
      </c>
      <c r="Y9" s="262">
        <f t="shared" si="16"/>
        <v>1.9429346315668818E-2</v>
      </c>
      <c r="Z9" s="262">
        <f t="shared" si="16"/>
        <v>1.673048163181336E-2</v>
      </c>
      <c r="AA9" s="262">
        <f t="shared" si="16"/>
        <v>1.673048163181336E-2</v>
      </c>
      <c r="AB9" s="262">
        <f t="shared" si="16"/>
        <v>1.673048163181336E-2</v>
      </c>
      <c r="AC9" s="262">
        <f t="shared" si="16"/>
        <v>1.673048163181336E-2</v>
      </c>
      <c r="AD9" s="262">
        <f t="shared" si="16"/>
        <v>1.6730481631813357E-2</v>
      </c>
      <c r="AE9" s="262">
        <f t="shared" si="16"/>
        <v>1.673048163181336E-2</v>
      </c>
      <c r="AF9" s="262">
        <f t="shared" si="16"/>
        <v>1.673048163181336E-2</v>
      </c>
      <c r="AG9" s="262">
        <f t="shared" si="16"/>
        <v>1.6730481631813357E-2</v>
      </c>
      <c r="AH9" s="262">
        <f t="shared" si="16"/>
        <v>1.673048163181336E-2</v>
      </c>
      <c r="AI9" s="262">
        <f t="shared" si="16"/>
        <v>1.6730481631813357E-2</v>
      </c>
      <c r="AJ9" s="262">
        <f t="shared" si="16"/>
        <v>1.673048163181336E-2</v>
      </c>
      <c r="AM9" s="254">
        <v>2.0760278302529116E-2</v>
      </c>
      <c r="AN9" s="254"/>
      <c r="AP9" s="616">
        <v>209.75490360247147</v>
      </c>
      <c r="AQ9" s="616">
        <v>230.22939481074576</v>
      </c>
      <c r="AR9" s="616">
        <v>188.86102558462829</v>
      </c>
      <c r="AS9" s="616">
        <v>164.92707124655959</v>
      </c>
      <c r="AT9" s="616">
        <v>191.92635419677183</v>
      </c>
      <c r="AU9" s="616">
        <v>250.62449435366139</v>
      </c>
      <c r="AV9" s="616">
        <f t="shared" si="13"/>
        <v>215.34584823074135</v>
      </c>
      <c r="AW9" s="616">
        <f t="shared" si="13"/>
        <v>217.04902101374759</v>
      </c>
      <c r="AX9" s="616">
        <f t="shared" si="13"/>
        <v>220.77261649247637</v>
      </c>
      <c r="AY9" s="616">
        <f t="shared" si="13"/>
        <v>224.49621197120521</v>
      </c>
      <c r="AZ9" s="616">
        <f t="shared" si="13"/>
        <v>229.35073746539857</v>
      </c>
      <c r="BA9" s="616">
        <f t="shared" si="13"/>
        <v>230.58881070199556</v>
      </c>
      <c r="BB9" s="616">
        <f t="shared" si="13"/>
        <v>234.76927484949684</v>
      </c>
      <c r="BC9" s="616">
        <f t="shared" si="13"/>
        <v>234.26027926411425</v>
      </c>
      <c r="BD9" s="616">
        <f t="shared" si="13"/>
        <v>235.69567607380765</v>
      </c>
      <c r="BE9" s="616">
        <f t="shared" si="13"/>
        <v>237.16623693094229</v>
      </c>
      <c r="BF9" s="616">
        <f t="shared" si="13"/>
        <v>238.55817184284831</v>
      </c>
    </row>
    <row r="10" spans="1:59" x14ac:dyDescent="0.25">
      <c r="A10" s="259" t="s">
        <v>2474</v>
      </c>
      <c r="B10" s="261">
        <f t="shared" si="14"/>
        <v>261.08192621969755</v>
      </c>
      <c r="C10" s="261">
        <f t="shared" si="0"/>
        <v>224.57542376601722</v>
      </c>
      <c r="D10" s="261">
        <f t="shared" si="0"/>
        <v>215.52259521380904</v>
      </c>
      <c r="E10" s="261">
        <f t="shared" si="0"/>
        <v>183.67890678647785</v>
      </c>
      <c r="F10" s="261">
        <f t="shared" si="0"/>
        <v>285.51469385112068</v>
      </c>
      <c r="G10" s="261">
        <f t="shared" si="0"/>
        <v>399.05955763199086</v>
      </c>
      <c r="H10" s="261">
        <f t="shared" si="1"/>
        <v>268.04097493735128</v>
      </c>
      <c r="I10" s="261">
        <f t="shared" si="2"/>
        <v>270.16091408172986</v>
      </c>
      <c r="J10" s="261">
        <f t="shared" si="3"/>
        <v>274.79567333337496</v>
      </c>
      <c r="K10" s="261">
        <f t="shared" si="4"/>
        <v>279.43043258502001</v>
      </c>
      <c r="L10" s="261">
        <f t="shared" si="5"/>
        <v>285.47286041454373</v>
      </c>
      <c r="M10" s="261">
        <f t="shared" si="6"/>
        <v>287.01389015859394</v>
      </c>
      <c r="N10" s="261">
        <f t="shared" si="7"/>
        <v>292.21731383726291</v>
      </c>
      <c r="O10" s="261">
        <f t="shared" si="8"/>
        <v>291.58376703770455</v>
      </c>
      <c r="P10" s="261">
        <f t="shared" si="9"/>
        <v>293.37040543102961</v>
      </c>
      <c r="Q10" s="261">
        <f t="shared" si="10"/>
        <v>295.20081251382004</v>
      </c>
      <c r="R10" s="261">
        <f t="shared" si="11"/>
        <v>296.93335388344451</v>
      </c>
      <c r="S10" s="605"/>
      <c r="T10" s="262">
        <f t="shared" si="15"/>
        <v>2.0824430304120116E-2</v>
      </c>
      <c r="U10" s="262">
        <f t="shared" si="16"/>
        <v>2.0761732374239745E-2</v>
      </c>
      <c r="V10" s="262">
        <f t="shared" si="16"/>
        <v>1.8279708084920805E-2</v>
      </c>
      <c r="W10" s="262">
        <f t="shared" si="16"/>
        <v>1.3731171287861338E-2</v>
      </c>
      <c r="X10" s="262">
        <f t="shared" si="16"/>
        <v>2.0543065648928042E-2</v>
      </c>
      <c r="Y10" s="262">
        <f t="shared" si="16"/>
        <v>3.0936586488902691E-2</v>
      </c>
      <c r="Z10" s="262">
        <f t="shared" si="16"/>
        <v>2.0824430304120112E-2</v>
      </c>
      <c r="AA10" s="262">
        <f t="shared" si="16"/>
        <v>2.0824430304120112E-2</v>
      </c>
      <c r="AB10" s="262">
        <f t="shared" si="16"/>
        <v>2.0824430304120119E-2</v>
      </c>
      <c r="AC10" s="262">
        <f t="shared" si="16"/>
        <v>2.0824430304120112E-2</v>
      </c>
      <c r="AD10" s="262">
        <f t="shared" si="16"/>
        <v>2.0824430304120112E-2</v>
      </c>
      <c r="AE10" s="262">
        <f t="shared" si="16"/>
        <v>2.0824430304120116E-2</v>
      </c>
      <c r="AF10" s="262">
        <f t="shared" si="16"/>
        <v>2.0824430304120116E-2</v>
      </c>
      <c r="AG10" s="262">
        <f t="shared" si="16"/>
        <v>2.0824430304120112E-2</v>
      </c>
      <c r="AH10" s="262">
        <f t="shared" si="16"/>
        <v>2.0824430304120119E-2</v>
      </c>
      <c r="AI10" s="262">
        <f t="shared" si="16"/>
        <v>2.0824430304120112E-2</v>
      </c>
      <c r="AJ10" s="262">
        <f t="shared" si="16"/>
        <v>2.0824430304120119E-2</v>
      </c>
      <c r="AM10" s="254">
        <v>2.1704545584334847E-2</v>
      </c>
      <c r="AN10" s="254"/>
      <c r="AP10" s="616">
        <v>261.08192621969755</v>
      </c>
      <c r="AQ10" s="616">
        <v>224.57542376601722</v>
      </c>
      <c r="AR10" s="616">
        <v>215.52259521380904</v>
      </c>
      <c r="AS10" s="616">
        <v>183.67890678647785</v>
      </c>
      <c r="AT10" s="616">
        <v>285.51469385112068</v>
      </c>
      <c r="AU10" s="616">
        <v>399.05955763199086</v>
      </c>
      <c r="AV10" s="616">
        <f t="shared" si="13"/>
        <v>268.04097493735128</v>
      </c>
      <c r="AW10" s="616">
        <f t="shared" si="13"/>
        <v>270.16091408172986</v>
      </c>
      <c r="AX10" s="616">
        <f t="shared" si="13"/>
        <v>274.79567333337496</v>
      </c>
      <c r="AY10" s="616">
        <f t="shared" si="13"/>
        <v>279.43043258502001</v>
      </c>
      <c r="AZ10" s="616">
        <f t="shared" si="13"/>
        <v>285.47286041454373</v>
      </c>
      <c r="BA10" s="616">
        <f t="shared" si="13"/>
        <v>287.01389015859394</v>
      </c>
      <c r="BB10" s="616">
        <f t="shared" si="13"/>
        <v>292.21731383726291</v>
      </c>
      <c r="BC10" s="616">
        <f t="shared" si="13"/>
        <v>291.58376703770455</v>
      </c>
      <c r="BD10" s="616">
        <f t="shared" si="13"/>
        <v>293.37040543102961</v>
      </c>
      <c r="BE10" s="616">
        <f t="shared" si="13"/>
        <v>295.20081251382004</v>
      </c>
      <c r="BF10" s="616">
        <f t="shared" si="13"/>
        <v>296.93335388344451</v>
      </c>
    </row>
    <row r="11" spans="1:59" x14ac:dyDescent="0.25">
      <c r="A11" s="260" t="s">
        <v>2475</v>
      </c>
      <c r="B11" s="261">
        <f t="shared" si="14"/>
        <v>188.86639497320303</v>
      </c>
      <c r="C11" s="261">
        <f t="shared" si="0"/>
        <v>145.24154995733812</v>
      </c>
      <c r="D11" s="261">
        <f t="shared" si="0"/>
        <v>129.76038245340646</v>
      </c>
      <c r="E11" s="261">
        <f t="shared" si="0"/>
        <v>153.92131221663237</v>
      </c>
      <c r="F11" s="261">
        <f t="shared" si="0"/>
        <v>230.77289554457514</v>
      </c>
      <c r="G11" s="261">
        <f t="shared" si="0"/>
        <v>294.13498265821187</v>
      </c>
      <c r="H11" s="261">
        <f t="shared" si="1"/>
        <v>193.90056360669229</v>
      </c>
      <c r="I11" s="261">
        <f t="shared" si="2"/>
        <v>195.43412538769599</v>
      </c>
      <c r="J11" s="261">
        <f t="shared" si="3"/>
        <v>198.78690542920029</v>
      </c>
      <c r="K11" s="261">
        <f t="shared" si="4"/>
        <v>202.13968547070462</v>
      </c>
      <c r="L11" s="261">
        <f t="shared" si="5"/>
        <v>206.51077150324593</v>
      </c>
      <c r="M11" s="261">
        <f t="shared" si="6"/>
        <v>207.62555082374294</v>
      </c>
      <c r="N11" s="261">
        <f t="shared" si="7"/>
        <v>211.38970212267824</v>
      </c>
      <c r="O11" s="261">
        <f t="shared" si="8"/>
        <v>210.9313950241673</v>
      </c>
      <c r="P11" s="261">
        <f t="shared" si="9"/>
        <v>212.22384738712429</v>
      </c>
      <c r="Q11" s="261">
        <f t="shared" si="10"/>
        <v>213.54796197470074</v>
      </c>
      <c r="R11" s="261">
        <f t="shared" si="11"/>
        <v>214.8012806067517</v>
      </c>
      <c r="S11" s="605"/>
      <c r="T11" s="262">
        <f t="shared" si="15"/>
        <v>1.5064371310024282E-2</v>
      </c>
      <c r="U11" s="262">
        <f t="shared" si="16"/>
        <v>1.3427409550280127E-2</v>
      </c>
      <c r="V11" s="262">
        <f t="shared" si="16"/>
        <v>1.1005722670900593E-2</v>
      </c>
      <c r="W11" s="262">
        <f t="shared" si="16"/>
        <v>1.1506601056570297E-2</v>
      </c>
      <c r="X11" s="262">
        <f t="shared" si="16"/>
        <v>1.6604338919374368E-2</v>
      </c>
      <c r="Y11" s="262">
        <f t="shared" si="16"/>
        <v>2.2802441781908583E-2</v>
      </c>
      <c r="Z11" s="262">
        <f t="shared" si="16"/>
        <v>1.5064371310024282E-2</v>
      </c>
      <c r="AA11" s="262">
        <f t="shared" si="16"/>
        <v>1.5064371310024282E-2</v>
      </c>
      <c r="AB11" s="262">
        <f t="shared" si="16"/>
        <v>1.5064371310024282E-2</v>
      </c>
      <c r="AC11" s="262">
        <f t="shared" si="16"/>
        <v>1.5064371310024281E-2</v>
      </c>
      <c r="AD11" s="262">
        <f t="shared" si="16"/>
        <v>1.5064371310024281E-2</v>
      </c>
      <c r="AE11" s="262">
        <f t="shared" si="16"/>
        <v>1.5064371310024284E-2</v>
      </c>
      <c r="AF11" s="262">
        <f t="shared" si="16"/>
        <v>1.5064371310024284E-2</v>
      </c>
      <c r="AG11" s="262">
        <f t="shared" si="16"/>
        <v>1.5064371310024281E-2</v>
      </c>
      <c r="AH11" s="262">
        <f t="shared" si="16"/>
        <v>1.5064371310024284E-2</v>
      </c>
      <c r="AI11" s="262">
        <f t="shared" si="16"/>
        <v>1.5064371310024282E-2</v>
      </c>
      <c r="AJ11" s="262">
        <f t="shared" si="16"/>
        <v>1.5064371310024284E-2</v>
      </c>
      <c r="AM11" s="254">
        <v>1.4218802641575441E-2</v>
      </c>
      <c r="AN11" s="254"/>
      <c r="AP11" s="616">
        <v>188.86639497320303</v>
      </c>
      <c r="AQ11" s="616">
        <v>145.24154995733812</v>
      </c>
      <c r="AR11" s="616">
        <v>129.76038245340646</v>
      </c>
      <c r="AS11" s="616">
        <v>153.92131221663237</v>
      </c>
      <c r="AT11" s="616">
        <v>230.77289554457514</v>
      </c>
      <c r="AU11" s="616">
        <v>294.13498265821187</v>
      </c>
      <c r="AV11" s="616">
        <f t="shared" si="13"/>
        <v>193.90056360669229</v>
      </c>
      <c r="AW11" s="616">
        <f t="shared" si="13"/>
        <v>195.43412538769599</v>
      </c>
      <c r="AX11" s="616">
        <f t="shared" si="13"/>
        <v>198.78690542920029</v>
      </c>
      <c r="AY11" s="616">
        <f t="shared" si="13"/>
        <v>202.13968547070462</v>
      </c>
      <c r="AZ11" s="616">
        <f t="shared" si="13"/>
        <v>206.51077150324593</v>
      </c>
      <c r="BA11" s="616">
        <f t="shared" si="13"/>
        <v>207.62555082374294</v>
      </c>
      <c r="BB11" s="616">
        <f t="shared" si="13"/>
        <v>211.38970212267824</v>
      </c>
      <c r="BC11" s="616">
        <f t="shared" si="13"/>
        <v>210.9313950241673</v>
      </c>
      <c r="BD11" s="616">
        <f t="shared" si="13"/>
        <v>212.22384738712429</v>
      </c>
      <c r="BE11" s="616">
        <f t="shared" si="13"/>
        <v>213.54796197470074</v>
      </c>
      <c r="BF11" s="616">
        <f t="shared" si="13"/>
        <v>214.8012806067517</v>
      </c>
    </row>
    <row r="12" spans="1:59" x14ac:dyDescent="0.25">
      <c r="A12" s="259" t="s">
        <v>2476</v>
      </c>
      <c r="B12" s="261">
        <f t="shared" si="14"/>
        <v>19.757866909659018</v>
      </c>
      <c r="C12" s="261">
        <f t="shared" si="0"/>
        <v>7.4503073474508801</v>
      </c>
      <c r="D12" s="261">
        <f t="shared" si="0"/>
        <v>8.0885585281794743</v>
      </c>
      <c r="E12" s="261">
        <f t="shared" si="0"/>
        <v>20.574205272895714</v>
      </c>
      <c r="F12" s="261">
        <f t="shared" si="0"/>
        <v>30.399404993350206</v>
      </c>
      <c r="G12" s="261">
        <f t="shared" si="0"/>
        <v>30.557814777075723</v>
      </c>
      <c r="H12" s="261">
        <f t="shared" si="1"/>
        <v>20.284506039268987</v>
      </c>
      <c r="I12" s="261">
        <f t="shared" si="2"/>
        <v>20.444936430133971</v>
      </c>
      <c r="J12" s="261">
        <f t="shared" si="3"/>
        <v>20.795680573086461</v>
      </c>
      <c r="K12" s="261">
        <f t="shared" si="4"/>
        <v>21.146424716038961</v>
      </c>
      <c r="L12" s="261">
        <f t="shared" si="5"/>
        <v>21.603696832096841</v>
      </c>
      <c r="M12" s="261">
        <f t="shared" si="6"/>
        <v>21.720317162839876</v>
      </c>
      <c r="N12" s="261">
        <f t="shared" si="7"/>
        <v>22.114096058247586</v>
      </c>
      <c r="O12" s="261">
        <f t="shared" si="8"/>
        <v>22.066151209946675</v>
      </c>
      <c r="P12" s="261">
        <f t="shared" si="9"/>
        <v>22.201358438199222</v>
      </c>
      <c r="Q12" s="261">
        <f t="shared" si="10"/>
        <v>22.339877944531651</v>
      </c>
      <c r="R12" s="261">
        <f t="shared" si="11"/>
        <v>22.470991278542037</v>
      </c>
      <c r="S12" s="825"/>
      <c r="T12" s="262">
        <f t="shared" si="15"/>
        <v>1.5759280175987663E-3</v>
      </c>
      <c r="U12" s="262">
        <f t="shared" si="16"/>
        <v>6.8877210453254217E-4</v>
      </c>
      <c r="V12" s="262">
        <f t="shared" si="16"/>
        <v>6.8603706528420623E-4</v>
      </c>
      <c r="W12" s="262">
        <f t="shared" si="16"/>
        <v>1.5380532346164243E-3</v>
      </c>
      <c r="X12" s="262">
        <f t="shared" si="16"/>
        <v>2.1872673663247016E-3</v>
      </c>
      <c r="Y12" s="262">
        <f t="shared" si="16"/>
        <v>2.3689558655669869E-3</v>
      </c>
      <c r="Z12" s="262">
        <f t="shared" si="16"/>
        <v>1.5759280175987661E-3</v>
      </c>
      <c r="AA12" s="262">
        <f t="shared" si="16"/>
        <v>1.5759280175987663E-3</v>
      </c>
      <c r="AB12" s="262">
        <f t="shared" si="16"/>
        <v>1.5759280175987661E-3</v>
      </c>
      <c r="AC12" s="262">
        <f t="shared" si="16"/>
        <v>1.5759280175987663E-3</v>
      </c>
      <c r="AD12" s="262">
        <f t="shared" si="16"/>
        <v>1.5759280175987659E-3</v>
      </c>
      <c r="AE12" s="262">
        <f t="shared" si="16"/>
        <v>1.5759280175987663E-3</v>
      </c>
      <c r="AF12" s="262">
        <f t="shared" si="16"/>
        <v>1.5759280175987663E-3</v>
      </c>
      <c r="AG12" s="262">
        <f t="shared" si="16"/>
        <v>1.5759280175987663E-3</v>
      </c>
      <c r="AH12" s="262">
        <f t="shared" si="16"/>
        <v>1.5759280175987663E-3</v>
      </c>
      <c r="AI12" s="262">
        <f t="shared" si="16"/>
        <v>1.5759280175987661E-3</v>
      </c>
      <c r="AJ12" s="262">
        <f t="shared" si="16"/>
        <v>1.5759280175987665E-3</v>
      </c>
      <c r="AM12" s="254">
        <v>8.6005650939804197E-4</v>
      </c>
      <c r="AN12" s="254"/>
      <c r="AP12" s="616">
        <v>19.757866909659018</v>
      </c>
      <c r="AQ12" s="616">
        <v>7.4503073474508801</v>
      </c>
      <c r="AR12" s="616">
        <v>8.0885585281794743</v>
      </c>
      <c r="AS12" s="616">
        <v>20.574205272895714</v>
      </c>
      <c r="AT12" s="616">
        <v>30.399404993350206</v>
      </c>
      <c r="AU12" s="616">
        <v>30.557814777075723</v>
      </c>
      <c r="AV12" s="616">
        <f t="shared" si="13"/>
        <v>20.284506039268987</v>
      </c>
      <c r="AW12" s="616">
        <f t="shared" si="13"/>
        <v>20.444936430133971</v>
      </c>
      <c r="AX12" s="616">
        <f t="shared" si="13"/>
        <v>20.795680573086461</v>
      </c>
      <c r="AY12" s="616">
        <f t="shared" si="13"/>
        <v>21.146424716038961</v>
      </c>
      <c r="AZ12" s="616">
        <f t="shared" si="13"/>
        <v>21.603696832096841</v>
      </c>
      <c r="BA12" s="616">
        <f t="shared" si="13"/>
        <v>21.720317162839876</v>
      </c>
      <c r="BB12" s="616">
        <f t="shared" si="13"/>
        <v>22.114096058247586</v>
      </c>
      <c r="BC12" s="616">
        <f t="shared" si="13"/>
        <v>22.066151209946675</v>
      </c>
      <c r="BD12" s="616">
        <f t="shared" si="13"/>
        <v>22.201358438199222</v>
      </c>
      <c r="BE12" s="616">
        <f t="shared" si="13"/>
        <v>22.339877944531651</v>
      </c>
      <c r="BF12" s="616">
        <f t="shared" si="13"/>
        <v>22.470991278542037</v>
      </c>
    </row>
    <row r="13" spans="1:59" x14ac:dyDescent="0.25">
      <c r="A13" s="263" t="s">
        <v>2477</v>
      </c>
      <c r="B13" s="264">
        <f t="shared" si="14"/>
        <v>42.382890190744938</v>
      </c>
      <c r="C13" s="264">
        <f t="shared" si="0"/>
        <v>11.967412409731811</v>
      </c>
      <c r="D13" s="264">
        <f t="shared" si="0"/>
        <v>14.787813234625753</v>
      </c>
      <c r="E13" s="264">
        <f t="shared" si="0"/>
        <v>42.114712602643337</v>
      </c>
      <c r="F13" s="264">
        <f t="shared" si="0"/>
        <v>81.77530172322858</v>
      </c>
      <c r="G13" s="264">
        <f t="shared" si="0"/>
        <v>84.518915125578644</v>
      </c>
      <c r="H13" s="264">
        <f t="shared" si="1"/>
        <v>43.512591514398302</v>
      </c>
      <c r="I13" s="264">
        <f t="shared" si="2"/>
        <v>43.856733099640223</v>
      </c>
      <c r="J13" s="264">
        <f t="shared" si="3"/>
        <v>44.609119506724227</v>
      </c>
      <c r="K13" s="264">
        <f t="shared" si="4"/>
        <v>45.361505913808251</v>
      </c>
      <c r="L13" s="264">
        <f t="shared" si="5"/>
        <v>46.342407038954327</v>
      </c>
      <c r="M13" s="264">
        <f t="shared" si="6"/>
        <v>46.592571021457623</v>
      </c>
      <c r="N13" s="264">
        <f t="shared" si="7"/>
        <v>47.437271907429214</v>
      </c>
      <c r="O13" s="264">
        <f t="shared" si="8"/>
        <v>47.334424709903239</v>
      </c>
      <c r="P13" s="264">
        <f t="shared" si="9"/>
        <v>47.624459718956842</v>
      </c>
      <c r="Q13" s="264">
        <f t="shared" si="10"/>
        <v>47.921599944316561</v>
      </c>
      <c r="R13" s="264">
        <f t="shared" si="11"/>
        <v>48.202853080766637</v>
      </c>
      <c r="S13" s="605"/>
      <c r="T13" s="265">
        <f t="shared" si="15"/>
        <v>3.3805463122010457E-3</v>
      </c>
      <c r="U13" s="265">
        <f t="shared" si="16"/>
        <v>1.1063731262147352E-3</v>
      </c>
      <c r="V13" s="265">
        <f t="shared" si="16"/>
        <v>1.2542393008729297E-3</v>
      </c>
      <c r="W13" s="265">
        <f t="shared" si="16"/>
        <v>3.1483437189561963E-3</v>
      </c>
      <c r="X13" s="265">
        <f t="shared" si="16"/>
        <v>5.8838141361549729E-3</v>
      </c>
      <c r="Y13" s="265">
        <f t="shared" si="16"/>
        <v>6.5522217867588755E-3</v>
      </c>
      <c r="Z13" s="265">
        <f t="shared" si="16"/>
        <v>3.3805463122010453E-3</v>
      </c>
      <c r="AA13" s="265">
        <f t="shared" si="16"/>
        <v>3.3805463122010457E-3</v>
      </c>
      <c r="AB13" s="265">
        <f t="shared" si="16"/>
        <v>3.3805463122010453E-3</v>
      </c>
      <c r="AC13" s="265">
        <f t="shared" si="16"/>
        <v>3.3805463122010457E-3</v>
      </c>
      <c r="AD13" s="265">
        <f t="shared" si="16"/>
        <v>3.3805463122010457E-3</v>
      </c>
      <c r="AE13" s="265">
        <f t="shared" si="16"/>
        <v>3.3805463122010462E-3</v>
      </c>
      <c r="AF13" s="265">
        <f t="shared" si="16"/>
        <v>3.3805463122010462E-3</v>
      </c>
      <c r="AG13" s="265">
        <f t="shared" si="16"/>
        <v>3.3805463122010457E-3</v>
      </c>
      <c r="AH13" s="265">
        <f t="shared" si="16"/>
        <v>3.3805463122010457E-3</v>
      </c>
      <c r="AI13" s="265">
        <f t="shared" si="16"/>
        <v>3.3805463122010453E-3</v>
      </c>
      <c r="AJ13" s="265">
        <f t="shared" si="16"/>
        <v>3.3805463122010462E-3</v>
      </c>
      <c r="AM13" s="254">
        <v>1.4882319509802924E-3</v>
      </c>
      <c r="AN13" s="254"/>
      <c r="AP13" s="617">
        <v>42.382890190744938</v>
      </c>
      <c r="AQ13" s="617">
        <v>11.967412409731811</v>
      </c>
      <c r="AR13" s="617">
        <v>14.787813234625753</v>
      </c>
      <c r="AS13" s="617">
        <v>42.114712602643337</v>
      </c>
      <c r="AT13" s="617">
        <v>81.77530172322858</v>
      </c>
      <c r="AU13" s="617">
        <v>84.518915125578644</v>
      </c>
      <c r="AV13" s="617">
        <f t="shared" si="13"/>
        <v>43.512591514398302</v>
      </c>
      <c r="AW13" s="617">
        <f t="shared" si="13"/>
        <v>43.856733099640223</v>
      </c>
      <c r="AX13" s="617">
        <f t="shared" si="13"/>
        <v>44.609119506724227</v>
      </c>
      <c r="AY13" s="617">
        <f t="shared" si="13"/>
        <v>45.361505913808251</v>
      </c>
      <c r="AZ13" s="617">
        <f t="shared" si="13"/>
        <v>46.342407038954327</v>
      </c>
      <c r="BA13" s="617">
        <f t="shared" si="13"/>
        <v>46.592571021457623</v>
      </c>
      <c r="BB13" s="617">
        <f t="shared" si="13"/>
        <v>47.437271907429214</v>
      </c>
      <c r="BC13" s="617">
        <f t="shared" si="13"/>
        <v>47.334424709903239</v>
      </c>
      <c r="BD13" s="617">
        <f t="shared" si="13"/>
        <v>47.624459718956842</v>
      </c>
      <c r="BE13" s="617">
        <f t="shared" si="13"/>
        <v>47.921599944316561</v>
      </c>
      <c r="BF13" s="617">
        <f t="shared" si="13"/>
        <v>48.202853080766637</v>
      </c>
    </row>
    <row r="14" spans="1:59" x14ac:dyDescent="0.25">
      <c r="A14" s="255" t="s">
        <v>2478</v>
      </c>
      <c r="B14" s="256">
        <f t="shared" si="14"/>
        <v>10618.704891572075</v>
      </c>
      <c r="C14" s="256">
        <f t="shared" si="0"/>
        <v>9196.6591569398279</v>
      </c>
      <c r="D14" s="256">
        <f t="shared" si="0"/>
        <v>10304.876937771009</v>
      </c>
      <c r="E14" s="256">
        <f t="shared" si="0"/>
        <v>11681.134967920983</v>
      </c>
      <c r="F14" s="256">
        <f t="shared" si="0"/>
        <v>11533.69926022718</v>
      </c>
      <c r="G14" s="256">
        <f t="shared" si="0"/>
        <v>10396.431142820365</v>
      </c>
      <c r="H14" s="256">
        <f t="shared" si="1"/>
        <v>10901.74280893697</v>
      </c>
      <c r="I14" s="256">
        <f t="shared" si="2"/>
        <v>10987.964817822049</v>
      </c>
      <c r="J14" s="256">
        <f t="shared" si="3"/>
        <v>11176.46940505758</v>
      </c>
      <c r="K14" s="256">
        <f t="shared" si="4"/>
        <v>11364.973992293117</v>
      </c>
      <c r="L14" s="256">
        <f t="shared" si="5"/>
        <v>11610.731172345262</v>
      </c>
      <c r="M14" s="256">
        <f t="shared" si="6"/>
        <v>11673.407820699058</v>
      </c>
      <c r="N14" s="256">
        <f t="shared" si="7"/>
        <v>11885.041085665505</v>
      </c>
      <c r="O14" s="256">
        <f t="shared" si="8"/>
        <v>11859.273516853224</v>
      </c>
      <c r="P14" s="256">
        <f t="shared" si="9"/>
        <v>11931.939542117283</v>
      </c>
      <c r="Q14" s="256">
        <f t="shared" si="10"/>
        <v>12006.385724298581</v>
      </c>
      <c r="R14" s="256">
        <f t="shared" si="11"/>
        <v>12076.851519395408</v>
      </c>
      <c r="S14" s="605"/>
      <c r="T14" s="258">
        <f t="shared" si="15"/>
        <v>0.84696969696969704</v>
      </c>
      <c r="U14" s="258">
        <f t="shared" si="16"/>
        <v>0.85022026431718067</v>
      </c>
      <c r="V14" s="258">
        <f t="shared" si="16"/>
        <v>0.87401574803149606</v>
      </c>
      <c r="W14" s="258">
        <f t="shared" si="16"/>
        <v>0.87323943661971837</v>
      </c>
      <c r="X14" s="258">
        <f t="shared" si="16"/>
        <v>0.82986111111111116</v>
      </c>
      <c r="Y14" s="258">
        <f t="shared" si="16"/>
        <v>0.80597014925373134</v>
      </c>
      <c r="Z14" s="258">
        <f t="shared" si="16"/>
        <v>0.84696969696969693</v>
      </c>
      <c r="AA14" s="258">
        <f t="shared" si="16"/>
        <v>0.84696969696969704</v>
      </c>
      <c r="AB14" s="258">
        <f t="shared" si="16"/>
        <v>0.84696969696969693</v>
      </c>
      <c r="AC14" s="258">
        <f t="shared" si="16"/>
        <v>0.84696969696969693</v>
      </c>
      <c r="AD14" s="258">
        <f t="shared" si="16"/>
        <v>0.84696969696969704</v>
      </c>
      <c r="AE14" s="258">
        <f t="shared" si="16"/>
        <v>0.84696969696969704</v>
      </c>
      <c r="AF14" s="258">
        <f t="shared" si="16"/>
        <v>0.84696969696969693</v>
      </c>
      <c r="AG14" s="258">
        <f t="shared" si="16"/>
        <v>0.84696969696969715</v>
      </c>
      <c r="AH14" s="258">
        <f t="shared" si="16"/>
        <v>0.84696969696969693</v>
      </c>
      <c r="AI14" s="258">
        <f t="shared" si="16"/>
        <v>0.84696969696969693</v>
      </c>
      <c r="AJ14" s="258">
        <f t="shared" si="16"/>
        <v>0.84696969696969715</v>
      </c>
      <c r="AM14" s="254">
        <v>0.74143260370824005</v>
      </c>
      <c r="AN14" s="254"/>
      <c r="AP14" s="618">
        <v>10618.704891572075</v>
      </c>
      <c r="AQ14" s="618">
        <v>9196.6591569398279</v>
      </c>
      <c r="AR14" s="618">
        <v>10304.876937771009</v>
      </c>
      <c r="AS14" s="618">
        <v>11681.134967920983</v>
      </c>
      <c r="AT14" s="618">
        <v>11533.69926022718</v>
      </c>
      <c r="AU14" s="618">
        <v>10396.431142820365</v>
      </c>
      <c r="AV14" s="618">
        <f t="shared" si="13"/>
        <v>10901.74280893697</v>
      </c>
      <c r="AW14" s="618">
        <f t="shared" si="13"/>
        <v>10987.964817822049</v>
      </c>
      <c r="AX14" s="618">
        <f t="shared" si="13"/>
        <v>11176.46940505758</v>
      </c>
      <c r="AY14" s="618">
        <f t="shared" si="13"/>
        <v>11364.973992293117</v>
      </c>
      <c r="AZ14" s="618">
        <f t="shared" si="13"/>
        <v>11610.731172345262</v>
      </c>
      <c r="BA14" s="618">
        <f t="shared" si="13"/>
        <v>11673.407820699058</v>
      </c>
      <c r="BB14" s="618">
        <f t="shared" si="13"/>
        <v>11885.041085665505</v>
      </c>
      <c r="BC14" s="618">
        <f t="shared" si="13"/>
        <v>11859.273516853224</v>
      </c>
      <c r="BD14" s="618">
        <f t="shared" si="13"/>
        <v>11931.939542117283</v>
      </c>
      <c r="BE14" s="618">
        <f t="shared" si="13"/>
        <v>12006.385724298581</v>
      </c>
      <c r="BF14" s="618">
        <f t="shared" si="13"/>
        <v>12076.851519395408</v>
      </c>
    </row>
    <row r="15" spans="1:59" x14ac:dyDescent="0.25">
      <c r="A15" s="259" t="s">
        <v>2479</v>
      </c>
      <c r="B15" s="261">
        <f t="shared" si="14"/>
        <v>3085.6050293100416</v>
      </c>
      <c r="C15" s="261">
        <f t="shared" si="0"/>
        <v>3418.0210152672248</v>
      </c>
      <c r="D15" s="261">
        <f t="shared" si="0"/>
        <v>3493.9289733156238</v>
      </c>
      <c r="E15" s="261">
        <f t="shared" si="0"/>
        <v>3408.4928057622315</v>
      </c>
      <c r="F15" s="261">
        <f t="shared" si="0"/>
        <v>2698.2587442957924</v>
      </c>
      <c r="G15" s="261">
        <f t="shared" si="0"/>
        <v>2460.6768536541304</v>
      </c>
      <c r="H15" s="261">
        <f t="shared" si="1"/>
        <v>3167.8507673943272</v>
      </c>
      <c r="I15" s="261">
        <f t="shared" si="2"/>
        <v>3192.9053354390771</v>
      </c>
      <c r="J15" s="261">
        <f t="shared" si="3"/>
        <v>3247.6813847182716</v>
      </c>
      <c r="K15" s="261">
        <f t="shared" si="4"/>
        <v>3302.457433997467</v>
      </c>
      <c r="L15" s="261">
        <f t="shared" si="5"/>
        <v>3373.8700590304693</v>
      </c>
      <c r="M15" s="261">
        <f t="shared" si="6"/>
        <v>3392.0827679583035</v>
      </c>
      <c r="N15" s="261">
        <f t="shared" si="7"/>
        <v>3453.5795958123358</v>
      </c>
      <c r="O15" s="261">
        <f t="shared" si="8"/>
        <v>3446.0920028589449</v>
      </c>
      <c r="P15" s="261">
        <f t="shared" si="9"/>
        <v>3467.2074454015392</v>
      </c>
      <c r="Q15" s="261">
        <f t="shared" si="10"/>
        <v>3488.8401695893886</v>
      </c>
      <c r="R15" s="261">
        <f t="shared" si="11"/>
        <v>3509.3162647408481</v>
      </c>
      <c r="S15" s="605"/>
      <c r="T15" s="262">
        <f t="shared" si="15"/>
        <v>0.2461141903206229</v>
      </c>
      <c r="U15" s="262">
        <f t="shared" si="16"/>
        <v>0.31599200116590687</v>
      </c>
      <c r="V15" s="262">
        <f t="shared" si="16"/>
        <v>0.29634016627489312</v>
      </c>
      <c r="W15" s="262">
        <f t="shared" si="16"/>
        <v>0.2548066044609637</v>
      </c>
      <c r="X15" s="262">
        <f t="shared" si="16"/>
        <v>0.19414239517482204</v>
      </c>
      <c r="Y15" s="262">
        <f t="shared" si="16"/>
        <v>0.19076085473565751</v>
      </c>
      <c r="Z15" s="262">
        <f t="shared" si="16"/>
        <v>0.24611419032062287</v>
      </c>
      <c r="AA15" s="262">
        <f t="shared" si="16"/>
        <v>0.2461141903206229</v>
      </c>
      <c r="AB15" s="262">
        <f t="shared" si="16"/>
        <v>0.2461141903206229</v>
      </c>
      <c r="AC15" s="262">
        <f t="shared" si="16"/>
        <v>0.2461141903206229</v>
      </c>
      <c r="AD15" s="262">
        <f t="shared" si="16"/>
        <v>0.24611419032062284</v>
      </c>
      <c r="AE15" s="262">
        <f t="shared" si="16"/>
        <v>0.24611419032062287</v>
      </c>
      <c r="AF15" s="262">
        <f t="shared" si="16"/>
        <v>0.24611419032062287</v>
      </c>
      <c r="AG15" s="262">
        <f t="shared" si="16"/>
        <v>0.2461141903206229</v>
      </c>
      <c r="AH15" s="262">
        <f t="shared" si="16"/>
        <v>0.24611419032062287</v>
      </c>
      <c r="AI15" s="262">
        <f t="shared" si="16"/>
        <v>0.24611419032062287</v>
      </c>
      <c r="AJ15" s="262">
        <f t="shared" si="16"/>
        <v>0.2461141903206229</v>
      </c>
      <c r="AM15" s="254">
        <v>0.26074619463840165</v>
      </c>
      <c r="AN15" s="254"/>
      <c r="AP15" s="616">
        <v>3085.6050293100416</v>
      </c>
      <c r="AQ15" s="616">
        <v>3418.0210152672248</v>
      </c>
      <c r="AR15" s="616">
        <v>3493.9289733156238</v>
      </c>
      <c r="AS15" s="616">
        <v>3408.4928057622315</v>
      </c>
      <c r="AT15" s="616">
        <v>2698.2587442957924</v>
      </c>
      <c r="AU15" s="616">
        <v>2460.6768536541304</v>
      </c>
      <c r="AV15" s="616">
        <f t="shared" si="13"/>
        <v>3167.8507673943272</v>
      </c>
      <c r="AW15" s="616">
        <f t="shared" si="13"/>
        <v>3192.9053354390771</v>
      </c>
      <c r="AX15" s="616">
        <f t="shared" si="13"/>
        <v>3247.6813847182716</v>
      </c>
      <c r="AY15" s="616">
        <f t="shared" si="13"/>
        <v>3302.457433997467</v>
      </c>
      <c r="AZ15" s="616">
        <f t="shared" si="13"/>
        <v>3373.8700590304693</v>
      </c>
      <c r="BA15" s="616">
        <f t="shared" si="13"/>
        <v>3392.0827679583035</v>
      </c>
      <c r="BB15" s="616">
        <f t="shared" si="13"/>
        <v>3453.5795958123358</v>
      </c>
      <c r="BC15" s="616">
        <f t="shared" si="13"/>
        <v>3446.0920028589449</v>
      </c>
      <c r="BD15" s="616">
        <f t="shared" si="13"/>
        <v>3467.2074454015392</v>
      </c>
      <c r="BE15" s="616">
        <f t="shared" si="13"/>
        <v>3488.8401695893886</v>
      </c>
      <c r="BF15" s="616">
        <f t="shared" si="13"/>
        <v>3509.3162647408481</v>
      </c>
    </row>
    <row r="16" spans="1:59" x14ac:dyDescent="0.25">
      <c r="A16" s="259" t="s">
        <v>2480</v>
      </c>
      <c r="B16" s="261">
        <f t="shared" si="14"/>
        <v>3840.6525462318673</v>
      </c>
      <c r="C16" s="261">
        <f t="shared" si="0"/>
        <v>3334.0812912954862</v>
      </c>
      <c r="D16" s="261">
        <f t="shared" si="0"/>
        <v>3987.1680114554683</v>
      </c>
      <c r="E16" s="261">
        <f t="shared" si="0"/>
        <v>3796.030740253876</v>
      </c>
      <c r="F16" s="261">
        <f t="shared" si="0"/>
        <v>4014.0006959069315</v>
      </c>
      <c r="G16" s="261">
        <f t="shared" si="0"/>
        <v>3918.0392931140923</v>
      </c>
      <c r="H16" s="261">
        <f t="shared" si="1"/>
        <v>3943.0238155257739</v>
      </c>
      <c r="I16" s="261">
        <f t="shared" si="2"/>
        <v>3974.2092360970269</v>
      </c>
      <c r="J16" s="261">
        <f t="shared" si="3"/>
        <v>4042.3889840357001</v>
      </c>
      <c r="K16" s="261">
        <f t="shared" si="4"/>
        <v>4110.5687319743747</v>
      </c>
      <c r="L16" s="261">
        <f t="shared" si="5"/>
        <v>4199.4560255718416</v>
      </c>
      <c r="M16" s="261">
        <f t="shared" si="6"/>
        <v>4222.1253841751059</v>
      </c>
      <c r="N16" s="261">
        <f t="shared" si="7"/>
        <v>4298.6704851323675</v>
      </c>
      <c r="O16" s="261">
        <f t="shared" si="8"/>
        <v>4289.3506782651821</v>
      </c>
      <c r="P16" s="261">
        <f t="shared" si="9"/>
        <v>4315.6330693669879</v>
      </c>
      <c r="Q16" s="261">
        <f t="shared" si="10"/>
        <v>4342.5593209269855</v>
      </c>
      <c r="R16" s="261">
        <f t="shared" si="11"/>
        <v>4368.0459163380392</v>
      </c>
      <c r="S16" s="605"/>
      <c r="T16" s="262">
        <f t="shared" si="15"/>
        <v>0.30633833000008281</v>
      </c>
      <c r="U16" s="262">
        <f t="shared" si="16"/>
        <v>0.3082318729406362</v>
      </c>
      <c r="V16" s="262">
        <f t="shared" si="16"/>
        <v>0.33817459957103496</v>
      </c>
      <c r="W16" s="262">
        <f t="shared" si="16"/>
        <v>0.28377753994913435</v>
      </c>
      <c r="X16" s="262">
        <f t="shared" si="16"/>
        <v>0.28881133471140008</v>
      </c>
      <c r="Y16" s="262">
        <f t="shared" si="16"/>
        <v>0.30374103098195371</v>
      </c>
      <c r="Z16" s="262">
        <f t="shared" si="16"/>
        <v>0.30633833000008281</v>
      </c>
      <c r="AA16" s="262">
        <f t="shared" si="16"/>
        <v>0.30633833000008276</v>
      </c>
      <c r="AB16" s="262">
        <f t="shared" si="16"/>
        <v>0.30633833000008281</v>
      </c>
      <c r="AC16" s="262">
        <f t="shared" si="16"/>
        <v>0.30633833000008281</v>
      </c>
      <c r="AD16" s="262">
        <f t="shared" si="16"/>
        <v>0.30633833000008276</v>
      </c>
      <c r="AE16" s="262">
        <f t="shared" si="16"/>
        <v>0.30633833000008276</v>
      </c>
      <c r="AF16" s="262">
        <f t="shared" si="16"/>
        <v>0.30633833000008276</v>
      </c>
      <c r="AG16" s="262">
        <f t="shared" si="16"/>
        <v>0.30633833000008287</v>
      </c>
      <c r="AH16" s="262">
        <f t="shared" si="16"/>
        <v>0.30633833000008281</v>
      </c>
      <c r="AI16" s="262">
        <f t="shared" si="16"/>
        <v>0.30633833000008281</v>
      </c>
      <c r="AJ16" s="262">
        <f t="shared" si="16"/>
        <v>0.30633833000008281</v>
      </c>
      <c r="AM16" s="254">
        <v>0.27260605975506508</v>
      </c>
      <c r="AN16" s="254"/>
      <c r="AP16" s="616">
        <v>3840.6525462318673</v>
      </c>
      <c r="AQ16" s="616">
        <v>3334.0812912954862</v>
      </c>
      <c r="AR16" s="616">
        <v>3987.1680114554683</v>
      </c>
      <c r="AS16" s="616">
        <v>3796.030740253876</v>
      </c>
      <c r="AT16" s="616">
        <v>4014.0006959069315</v>
      </c>
      <c r="AU16" s="616">
        <v>3918.0392931140923</v>
      </c>
      <c r="AV16" s="616">
        <f t="shared" si="13"/>
        <v>3943.0238155257739</v>
      </c>
      <c r="AW16" s="616">
        <f t="shared" si="13"/>
        <v>3974.2092360970269</v>
      </c>
      <c r="AX16" s="616">
        <f t="shared" si="13"/>
        <v>4042.3889840357001</v>
      </c>
      <c r="AY16" s="616">
        <f t="shared" si="13"/>
        <v>4110.5687319743747</v>
      </c>
      <c r="AZ16" s="616">
        <f t="shared" si="13"/>
        <v>4199.4560255718416</v>
      </c>
      <c r="BA16" s="616">
        <f t="shared" si="13"/>
        <v>4222.1253841751059</v>
      </c>
      <c r="BB16" s="616">
        <f t="shared" si="13"/>
        <v>4298.6704851323675</v>
      </c>
      <c r="BC16" s="616">
        <f t="shared" si="13"/>
        <v>4289.3506782651821</v>
      </c>
      <c r="BD16" s="616">
        <f t="shared" si="13"/>
        <v>4315.6330693669879</v>
      </c>
      <c r="BE16" s="616">
        <f t="shared" si="13"/>
        <v>4342.5593209269855</v>
      </c>
      <c r="BF16" s="616">
        <f t="shared" si="13"/>
        <v>4368.0459163380392</v>
      </c>
    </row>
    <row r="17" spans="1:58" x14ac:dyDescent="0.25">
      <c r="A17" s="260" t="s">
        <v>2481</v>
      </c>
      <c r="B17" s="261">
        <f t="shared" si="14"/>
        <v>2778.3240734215924</v>
      </c>
      <c r="C17" s="261">
        <f t="shared" si="0"/>
        <v>2156.2783955204809</v>
      </c>
      <c r="D17" s="261">
        <f t="shared" si="0"/>
        <v>2400.5670753880204</v>
      </c>
      <c r="E17" s="261">
        <f t="shared" si="0"/>
        <v>3181.0404524770693</v>
      </c>
      <c r="F17" s="261">
        <f t="shared" si="0"/>
        <v>3244.3954138325562</v>
      </c>
      <c r="G17" s="261">
        <f t="shared" si="0"/>
        <v>2887.8707388260805</v>
      </c>
      <c r="H17" s="261">
        <f t="shared" si="1"/>
        <v>2852.3793435826578</v>
      </c>
      <c r="I17" s="261">
        <f t="shared" si="2"/>
        <v>2874.938844519002</v>
      </c>
      <c r="J17" s="261">
        <f t="shared" si="3"/>
        <v>2924.2600035506043</v>
      </c>
      <c r="K17" s="261">
        <f t="shared" si="4"/>
        <v>2973.581162582208</v>
      </c>
      <c r="L17" s="261">
        <f t="shared" si="5"/>
        <v>3037.8821386924865</v>
      </c>
      <c r="M17" s="261">
        <f t="shared" si="6"/>
        <v>3054.2811292229558</v>
      </c>
      <c r="N17" s="261">
        <f t="shared" si="7"/>
        <v>3109.6537759625567</v>
      </c>
      <c r="O17" s="261">
        <f t="shared" si="8"/>
        <v>3102.9118373291985</v>
      </c>
      <c r="P17" s="261">
        <f t="shared" si="9"/>
        <v>3121.9244918263817</v>
      </c>
      <c r="Q17" s="261">
        <f t="shared" si="10"/>
        <v>3141.4029143120456</v>
      </c>
      <c r="R17" s="261">
        <f t="shared" si="11"/>
        <v>3159.8398910309006</v>
      </c>
      <c r="S17" s="605"/>
      <c r="T17" s="262">
        <f t="shared" si="15"/>
        <v>0.2216048305869362</v>
      </c>
      <c r="U17" s="262">
        <f t="shared" si="16"/>
        <v>0.19934538793877413</v>
      </c>
      <c r="V17" s="262">
        <f t="shared" si="16"/>
        <v>0.20360586941166103</v>
      </c>
      <c r="W17" s="262">
        <f t="shared" si="16"/>
        <v>0.2378030885024528</v>
      </c>
      <c r="X17" s="262">
        <f t="shared" si="16"/>
        <v>0.23343747069002788</v>
      </c>
      <c r="Y17" s="262">
        <f t="shared" si="16"/>
        <v>0.22387851931328429</v>
      </c>
      <c r="Z17" s="262">
        <f t="shared" si="16"/>
        <v>0.22160483058693617</v>
      </c>
      <c r="AA17" s="262">
        <f t="shared" si="16"/>
        <v>0.2216048305869362</v>
      </c>
      <c r="AB17" s="262">
        <f t="shared" si="16"/>
        <v>0.22160483058693617</v>
      </c>
      <c r="AC17" s="262">
        <f t="shared" si="16"/>
        <v>0.22160483058693617</v>
      </c>
      <c r="AD17" s="262">
        <f t="shared" si="16"/>
        <v>0.22160483058693614</v>
      </c>
      <c r="AE17" s="262">
        <f t="shared" si="16"/>
        <v>0.22160483058693622</v>
      </c>
      <c r="AF17" s="262">
        <f t="shared" si="16"/>
        <v>0.2216048305869362</v>
      </c>
      <c r="AG17" s="262">
        <f t="shared" si="16"/>
        <v>0.22160483058693617</v>
      </c>
      <c r="AH17" s="262">
        <f t="shared" si="16"/>
        <v>0.2216048305869362</v>
      </c>
      <c r="AI17" s="262">
        <f t="shared" si="16"/>
        <v>0.22160483058693617</v>
      </c>
      <c r="AJ17" s="262">
        <f t="shared" si="16"/>
        <v>0.22160483058693622</v>
      </c>
      <c r="AM17" s="254">
        <v>0.17858617437963648</v>
      </c>
      <c r="AN17" s="254"/>
      <c r="AP17" s="616">
        <v>2778.3240734215924</v>
      </c>
      <c r="AQ17" s="616">
        <v>2156.2783955204809</v>
      </c>
      <c r="AR17" s="616">
        <v>2400.5670753880204</v>
      </c>
      <c r="AS17" s="616">
        <v>3181.0404524770693</v>
      </c>
      <c r="AT17" s="616">
        <v>3244.3954138325562</v>
      </c>
      <c r="AU17" s="616">
        <v>2887.8707388260805</v>
      </c>
      <c r="AV17" s="616">
        <f t="shared" si="13"/>
        <v>2852.3793435826578</v>
      </c>
      <c r="AW17" s="616">
        <f t="shared" si="13"/>
        <v>2874.938844519002</v>
      </c>
      <c r="AX17" s="616">
        <f t="shared" si="13"/>
        <v>2924.2600035506043</v>
      </c>
      <c r="AY17" s="616">
        <f t="shared" si="13"/>
        <v>2973.581162582208</v>
      </c>
      <c r="AZ17" s="616">
        <f t="shared" si="13"/>
        <v>3037.8821386924865</v>
      </c>
      <c r="BA17" s="616">
        <f t="shared" si="13"/>
        <v>3054.2811292229558</v>
      </c>
      <c r="BB17" s="616">
        <f t="shared" si="13"/>
        <v>3109.6537759625567</v>
      </c>
      <c r="BC17" s="616">
        <f t="shared" si="13"/>
        <v>3102.9118373291985</v>
      </c>
      <c r="BD17" s="616">
        <f t="shared" si="13"/>
        <v>3121.9244918263817</v>
      </c>
      <c r="BE17" s="616">
        <f t="shared" si="13"/>
        <v>3141.4029143120456</v>
      </c>
      <c r="BF17" s="616">
        <f t="shared" si="13"/>
        <v>3159.8398910309006</v>
      </c>
    </row>
    <row r="18" spans="1:58" x14ac:dyDescent="0.25">
      <c r="A18" s="259" t="s">
        <v>2482</v>
      </c>
      <c r="B18" s="261">
        <f t="shared" si="14"/>
        <v>290.64862111840495</v>
      </c>
      <c r="C18" s="261">
        <f t="shared" si="0"/>
        <v>110.60840908138617</v>
      </c>
      <c r="D18" s="261">
        <f t="shared" si="0"/>
        <v>149.63833277132031</v>
      </c>
      <c r="E18" s="261">
        <f t="shared" si="0"/>
        <v>425.20024230651143</v>
      </c>
      <c r="F18" s="261">
        <f t="shared" si="0"/>
        <v>427.37987020062945</v>
      </c>
      <c r="G18" s="261">
        <f t="shared" si="0"/>
        <v>300.0221814476526</v>
      </c>
      <c r="H18" s="261">
        <f t="shared" si="1"/>
        <v>298.39575989345684</v>
      </c>
      <c r="I18" s="261">
        <f t="shared" si="2"/>
        <v>300.75577538012857</v>
      </c>
      <c r="J18" s="261">
        <f t="shared" si="3"/>
        <v>305.91540632514028</v>
      </c>
      <c r="K18" s="261">
        <f t="shared" si="4"/>
        <v>311.07503727015194</v>
      </c>
      <c r="L18" s="261">
        <f t="shared" si="5"/>
        <v>317.80175076689818</v>
      </c>
      <c r="M18" s="261">
        <f t="shared" si="6"/>
        <v>319.51729721124968</v>
      </c>
      <c r="N18" s="261">
        <f t="shared" si="7"/>
        <v>325.30999201474731</v>
      </c>
      <c r="O18" s="261">
        <f t="shared" si="8"/>
        <v>324.60469806211017</v>
      </c>
      <c r="P18" s="261">
        <f t="shared" si="9"/>
        <v>326.59366755140428</v>
      </c>
      <c r="Q18" s="261">
        <f t="shared" si="10"/>
        <v>328.63136239455758</v>
      </c>
      <c r="R18" s="261">
        <f t="shared" si="11"/>
        <v>330.56010854486829</v>
      </c>
      <c r="S18" s="605"/>
      <c r="T18" s="262">
        <f t="shared" si="15"/>
        <v>2.3182730574676583E-2</v>
      </c>
      <c r="U18" s="262">
        <f t="shared" si="16"/>
        <v>1.0225616628829282E-2</v>
      </c>
      <c r="V18" s="262">
        <f t="shared" si="16"/>
        <v>1.2691685707757817E-2</v>
      </c>
      <c r="W18" s="262">
        <f t="shared" si="16"/>
        <v>3.1786433515406103E-2</v>
      </c>
      <c r="X18" s="262">
        <f t="shared" si="16"/>
        <v>3.0750405914800223E-2</v>
      </c>
      <c r="Y18" s="262">
        <f t="shared" si="16"/>
        <v>2.3258839407384966E-2</v>
      </c>
      <c r="Z18" s="262">
        <f t="shared" si="16"/>
        <v>2.3182730574676576E-2</v>
      </c>
      <c r="AA18" s="262">
        <f t="shared" si="16"/>
        <v>2.3182730574676579E-2</v>
      </c>
      <c r="AB18" s="262">
        <f t="shared" si="16"/>
        <v>2.3182730574676583E-2</v>
      </c>
      <c r="AC18" s="262">
        <f t="shared" si="16"/>
        <v>2.3182730574676579E-2</v>
      </c>
      <c r="AD18" s="262">
        <f t="shared" si="16"/>
        <v>2.3182730574676576E-2</v>
      </c>
      <c r="AE18" s="262">
        <f t="shared" si="16"/>
        <v>2.3182730574676583E-2</v>
      </c>
      <c r="AF18" s="262">
        <f t="shared" si="16"/>
        <v>2.3182730574676583E-2</v>
      </c>
      <c r="AG18" s="262">
        <f t="shared" si="16"/>
        <v>2.3182730574676579E-2</v>
      </c>
      <c r="AH18" s="262">
        <f t="shared" si="16"/>
        <v>2.3182730574676583E-2</v>
      </c>
      <c r="AI18" s="262">
        <f t="shared" si="16"/>
        <v>2.3182730574676576E-2</v>
      </c>
      <c r="AJ18" s="262">
        <f t="shared" si="16"/>
        <v>2.3182730574676583E-2</v>
      </c>
      <c r="AM18" s="254">
        <v>1.080218958202531E-2</v>
      </c>
      <c r="AN18" s="254"/>
      <c r="AP18" s="616">
        <v>290.64862111840495</v>
      </c>
      <c r="AQ18" s="616">
        <v>110.60840908138617</v>
      </c>
      <c r="AR18" s="616">
        <v>149.63833277132031</v>
      </c>
      <c r="AS18" s="616">
        <v>425.20024230651143</v>
      </c>
      <c r="AT18" s="616">
        <v>427.37987020062945</v>
      </c>
      <c r="AU18" s="616">
        <v>300.0221814476526</v>
      </c>
      <c r="AV18" s="616">
        <f t="shared" si="13"/>
        <v>298.39575989345684</v>
      </c>
      <c r="AW18" s="616">
        <f t="shared" si="13"/>
        <v>300.75577538012857</v>
      </c>
      <c r="AX18" s="616">
        <f t="shared" si="13"/>
        <v>305.91540632514028</v>
      </c>
      <c r="AY18" s="616">
        <f t="shared" si="13"/>
        <v>311.07503727015194</v>
      </c>
      <c r="AZ18" s="616">
        <f t="shared" si="13"/>
        <v>317.80175076689818</v>
      </c>
      <c r="BA18" s="616">
        <f t="shared" si="13"/>
        <v>319.51729721124968</v>
      </c>
      <c r="BB18" s="616">
        <f t="shared" si="13"/>
        <v>325.30999201474731</v>
      </c>
      <c r="BC18" s="616">
        <f t="shared" si="13"/>
        <v>324.60469806211017</v>
      </c>
      <c r="BD18" s="616">
        <f t="shared" si="13"/>
        <v>326.59366755140428</v>
      </c>
      <c r="BE18" s="616">
        <f t="shared" si="13"/>
        <v>328.63136239455758</v>
      </c>
      <c r="BF18" s="616">
        <f t="shared" si="13"/>
        <v>330.56010854486829</v>
      </c>
    </row>
    <row r="19" spans="1:58" x14ac:dyDescent="0.25">
      <c r="A19" s="263" t="s">
        <v>2483</v>
      </c>
      <c r="B19" s="264">
        <f t="shared" si="14"/>
        <v>623.47462149016883</v>
      </c>
      <c r="C19" s="264">
        <f t="shared" si="0"/>
        <v>177.67004577524921</v>
      </c>
      <c r="D19" s="264">
        <f t="shared" si="0"/>
        <v>273.57454484057649</v>
      </c>
      <c r="E19" s="264">
        <f t="shared" si="0"/>
        <v>870.37072712129566</v>
      </c>
      <c r="F19" s="264">
        <f t="shared" si="0"/>
        <v>1149.6645359912727</v>
      </c>
      <c r="G19" s="264">
        <f t="shared" si="0"/>
        <v>829.82207577840848</v>
      </c>
      <c r="H19" s="264">
        <f t="shared" si="1"/>
        <v>640.09312254075394</v>
      </c>
      <c r="I19" s="264">
        <f t="shared" si="2"/>
        <v>645.15562638681263</v>
      </c>
      <c r="J19" s="264">
        <f t="shared" si="3"/>
        <v>656.22362642786413</v>
      </c>
      <c r="K19" s="264">
        <f t="shared" si="4"/>
        <v>667.29162646891598</v>
      </c>
      <c r="L19" s="264">
        <f t="shared" si="5"/>
        <v>681.72119828356472</v>
      </c>
      <c r="M19" s="264">
        <f t="shared" si="6"/>
        <v>685.40124213144225</v>
      </c>
      <c r="N19" s="264">
        <f t="shared" si="7"/>
        <v>697.82723674349791</v>
      </c>
      <c r="O19" s="264">
        <f t="shared" si="8"/>
        <v>696.31430033778702</v>
      </c>
      <c r="P19" s="264">
        <f t="shared" si="9"/>
        <v>700.5808679709703</v>
      </c>
      <c r="Q19" s="264">
        <f t="shared" si="10"/>
        <v>704.95195707560401</v>
      </c>
      <c r="R19" s="264">
        <f t="shared" si="11"/>
        <v>709.08933874075103</v>
      </c>
      <c r="S19" s="605"/>
      <c r="T19" s="265">
        <f t="shared" si="15"/>
        <v>4.9729615487378531E-2</v>
      </c>
      <c r="U19" s="265">
        <f t="shared" si="16"/>
        <v>1.6425385643034147E-2</v>
      </c>
      <c r="V19" s="265">
        <f t="shared" si="16"/>
        <v>2.3203427066149203E-2</v>
      </c>
      <c r="W19" s="265">
        <f t="shared" si="16"/>
        <v>6.5065770191761393E-2</v>
      </c>
      <c r="X19" s="265">
        <f t="shared" si="16"/>
        <v>8.2719504620061113E-2</v>
      </c>
      <c r="Y19" s="265">
        <f t="shared" si="16"/>
        <v>6.4330904815450771E-2</v>
      </c>
      <c r="Z19" s="265">
        <f t="shared" si="16"/>
        <v>4.9729615487378531E-2</v>
      </c>
      <c r="AA19" s="265">
        <f t="shared" si="16"/>
        <v>4.9729615487378531E-2</v>
      </c>
      <c r="AB19" s="265">
        <f t="shared" si="16"/>
        <v>4.9729615487378524E-2</v>
      </c>
      <c r="AC19" s="265">
        <f t="shared" si="16"/>
        <v>4.9729615487378531E-2</v>
      </c>
      <c r="AD19" s="265">
        <f t="shared" si="16"/>
        <v>4.9729615487378524E-2</v>
      </c>
      <c r="AE19" s="265">
        <f t="shared" si="16"/>
        <v>4.9729615487378538E-2</v>
      </c>
      <c r="AF19" s="265">
        <f t="shared" si="16"/>
        <v>4.9729615487378524E-2</v>
      </c>
      <c r="AG19" s="265">
        <f t="shared" si="16"/>
        <v>4.9729615487378531E-2</v>
      </c>
      <c r="AH19" s="265">
        <f t="shared" si="16"/>
        <v>4.9729615487378538E-2</v>
      </c>
      <c r="AI19" s="265">
        <f t="shared" si="16"/>
        <v>4.9729615487378524E-2</v>
      </c>
      <c r="AJ19" s="265">
        <f t="shared" si="16"/>
        <v>4.9729615487378531E-2</v>
      </c>
      <c r="AM19" s="254">
        <v>1.8691985353111631E-2</v>
      </c>
      <c r="AN19" s="254"/>
      <c r="AP19" s="617">
        <v>623.47462149016883</v>
      </c>
      <c r="AQ19" s="617">
        <v>177.67004577524921</v>
      </c>
      <c r="AR19" s="617">
        <v>273.57454484057649</v>
      </c>
      <c r="AS19" s="617">
        <v>870.37072712129566</v>
      </c>
      <c r="AT19" s="617">
        <v>1149.6645359912727</v>
      </c>
      <c r="AU19" s="617">
        <v>829.82207577840848</v>
      </c>
      <c r="AV19" s="617">
        <f t="shared" si="13"/>
        <v>640.09312254075394</v>
      </c>
      <c r="AW19" s="617">
        <f t="shared" si="13"/>
        <v>645.15562638681263</v>
      </c>
      <c r="AX19" s="617">
        <f t="shared" si="13"/>
        <v>656.22362642786413</v>
      </c>
      <c r="AY19" s="617">
        <f t="shared" si="13"/>
        <v>667.29162646891598</v>
      </c>
      <c r="AZ19" s="617">
        <f t="shared" si="13"/>
        <v>681.72119828356472</v>
      </c>
      <c r="BA19" s="617">
        <f t="shared" si="13"/>
        <v>685.40124213144225</v>
      </c>
      <c r="BB19" s="617">
        <f t="shared" si="13"/>
        <v>697.82723674349791</v>
      </c>
      <c r="BC19" s="617">
        <f t="shared" si="13"/>
        <v>696.31430033778702</v>
      </c>
      <c r="BD19" s="617">
        <f t="shared" si="13"/>
        <v>700.5808679709703</v>
      </c>
      <c r="BE19" s="617">
        <f t="shared" si="13"/>
        <v>704.95195707560401</v>
      </c>
      <c r="BF19" s="617">
        <f t="shared" si="13"/>
        <v>709.08933874075103</v>
      </c>
    </row>
    <row r="20" spans="1:58" x14ac:dyDescent="0.25">
      <c r="A20" s="266" t="s">
        <v>2484</v>
      </c>
      <c r="B20" s="264">
        <f t="shared" si="14"/>
        <v>11340.548873467851</v>
      </c>
      <c r="C20" s="264">
        <f t="shared" si="0"/>
        <v>9816.1232452311124</v>
      </c>
      <c r="D20" s="264">
        <f t="shared" si="0"/>
        <v>10861.897312785657</v>
      </c>
      <c r="E20" s="264">
        <f t="shared" si="0"/>
        <v>12246.351176046192</v>
      </c>
      <c r="F20" s="264">
        <f t="shared" si="0"/>
        <v>12354.087910536226</v>
      </c>
      <c r="G20" s="264">
        <f t="shared" si="0"/>
        <v>11455.326907366883</v>
      </c>
      <c r="H20" s="264">
        <f t="shared" si="1"/>
        <v>11634.013646563482</v>
      </c>
      <c r="I20" s="264">
        <f t="shared" si="2"/>
        <v>11726.027193900223</v>
      </c>
      <c r="J20" s="264">
        <f t="shared" si="3"/>
        <v>11927.193647629088</v>
      </c>
      <c r="K20" s="264">
        <f t="shared" si="4"/>
        <v>12128.360101357957</v>
      </c>
      <c r="L20" s="264">
        <f t="shared" si="5"/>
        <v>12390.624808623272</v>
      </c>
      <c r="M20" s="264">
        <f t="shared" si="6"/>
        <v>12457.511451892013</v>
      </c>
      <c r="N20" s="264">
        <f t="shared" si="7"/>
        <v>12683.360138275262</v>
      </c>
      <c r="O20" s="264">
        <f t="shared" si="8"/>
        <v>12655.861760038424</v>
      </c>
      <c r="P20" s="264">
        <f t="shared" si="9"/>
        <v>12733.408767372939</v>
      </c>
      <c r="Q20" s="264">
        <f t="shared" si="10"/>
        <v>12812.855504891068</v>
      </c>
      <c r="R20" s="264">
        <f t="shared" si="11"/>
        <v>12888.054492441972</v>
      </c>
      <c r="S20" s="605"/>
      <c r="T20" s="265">
        <f t="shared" si="15"/>
        <v>0.90454545454545454</v>
      </c>
      <c r="U20" s="265">
        <f t="shared" si="16"/>
        <v>0.90748898678414114</v>
      </c>
      <c r="V20" s="265">
        <f t="shared" si="16"/>
        <v>0.92125984251968507</v>
      </c>
      <c r="W20" s="265">
        <f t="shared" si="16"/>
        <v>0.91549295774647887</v>
      </c>
      <c r="X20" s="265">
        <f t="shared" si="16"/>
        <v>0.88888888888888884</v>
      </c>
      <c r="Y20" s="265">
        <f t="shared" si="16"/>
        <v>0.88805970149253721</v>
      </c>
      <c r="Z20" s="265">
        <f t="shared" si="16"/>
        <v>0.90386071158213488</v>
      </c>
      <c r="AA20" s="265">
        <f t="shared" si="16"/>
        <v>0.90386071158213488</v>
      </c>
      <c r="AB20" s="265">
        <f t="shared" si="16"/>
        <v>0.90386071158213477</v>
      </c>
      <c r="AC20" s="265">
        <f t="shared" si="16"/>
        <v>0.90386071158213477</v>
      </c>
      <c r="AD20" s="265">
        <f t="shared" si="16"/>
        <v>0.90386071158213477</v>
      </c>
      <c r="AE20" s="265">
        <f t="shared" si="16"/>
        <v>0.90386071158213488</v>
      </c>
      <c r="AF20" s="265">
        <f t="shared" si="16"/>
        <v>0.90386071158213488</v>
      </c>
      <c r="AG20" s="265">
        <f t="shared" si="16"/>
        <v>0.90386071158213488</v>
      </c>
      <c r="AH20" s="265">
        <f t="shared" si="16"/>
        <v>0.90386071158213499</v>
      </c>
      <c r="AI20" s="265">
        <f t="shared" si="16"/>
        <v>0.90386071158213488</v>
      </c>
      <c r="AJ20" s="265">
        <f t="shared" si="16"/>
        <v>0.90386071158213488</v>
      </c>
      <c r="AM20" s="254">
        <v>0.80046451869705781</v>
      </c>
      <c r="AN20" s="254"/>
      <c r="AP20" s="615">
        <v>11340.548873467851</v>
      </c>
      <c r="AQ20" s="615">
        <v>9816.1232452311124</v>
      </c>
      <c r="AR20" s="615">
        <v>10861.897312785657</v>
      </c>
      <c r="AS20" s="615">
        <v>12246.351176046192</v>
      </c>
      <c r="AT20" s="615">
        <v>12354.087910536226</v>
      </c>
      <c r="AU20" s="615">
        <v>11455.326907366883</v>
      </c>
      <c r="AV20" s="615">
        <v>11634.013646563482</v>
      </c>
      <c r="AW20" s="615">
        <v>11726.027193900223</v>
      </c>
      <c r="AX20" s="615">
        <v>11927.193647629088</v>
      </c>
      <c r="AY20" s="615">
        <v>12128.360101357957</v>
      </c>
      <c r="AZ20" s="615">
        <v>12390.624808623272</v>
      </c>
      <c r="BA20" s="615">
        <v>12457.511451892013</v>
      </c>
      <c r="BB20" s="615">
        <v>12683.360138275262</v>
      </c>
      <c r="BC20" s="615">
        <v>12655.861760038424</v>
      </c>
      <c r="BD20" s="615">
        <v>12733.408767372939</v>
      </c>
      <c r="BE20" s="615">
        <v>12812.855504891068</v>
      </c>
      <c r="BF20" s="615">
        <v>12888.054492441972</v>
      </c>
    </row>
    <row r="21" spans="1:58" x14ac:dyDescent="0.25">
      <c r="A21" s="267" t="s">
        <v>3196</v>
      </c>
      <c r="B21" s="261">
        <f t="shared" si="14"/>
        <v>3605.7664209405771</v>
      </c>
      <c r="C21" s="261">
        <f t="shared" si="0"/>
        <v>3766.3091265068074</v>
      </c>
      <c r="D21" s="261">
        <f t="shared" si="0"/>
        <v>3840.5168901997517</v>
      </c>
      <c r="E21" s="261">
        <f t="shared" si="0"/>
        <v>4019.194324588198</v>
      </c>
      <c r="F21" s="261">
        <f t="shared" si="0"/>
        <v>3347.9643736865437</v>
      </c>
      <c r="G21" s="261">
        <f t="shared" si="0"/>
        <v>3041.88134423252</v>
      </c>
      <c r="H21" s="261">
        <f t="shared" si="1"/>
        <v>3701.8768815577946</v>
      </c>
      <c r="I21" s="261">
        <f t="shared" si="2"/>
        <v>3731.1550682630873</v>
      </c>
      <c r="J21" s="261">
        <f t="shared" si="3"/>
        <v>3795.1650881089745</v>
      </c>
      <c r="K21" s="261">
        <f t="shared" si="4"/>
        <v>3859.1751079548631</v>
      </c>
      <c r="L21" s="261">
        <f t="shared" si="5"/>
        <v>3942.6262440948631</v>
      </c>
      <c r="M21" s="261">
        <f t="shared" si="6"/>
        <v>3963.9091930343889</v>
      </c>
      <c r="N21" s="261">
        <f t="shared" si="7"/>
        <v>4035.7729587348276</v>
      </c>
      <c r="O21" s="261">
        <f t="shared" si="8"/>
        <v>4027.0231313951163</v>
      </c>
      <c r="P21" s="261">
        <f t="shared" si="9"/>
        <v>4051.698147464951</v>
      </c>
      <c r="Q21" s="261">
        <f t="shared" si="10"/>
        <v>4076.97764685942</v>
      </c>
      <c r="R21" s="261">
        <f t="shared" si="11"/>
        <v>4100.9055364071064</v>
      </c>
      <c r="S21" s="605"/>
      <c r="T21" s="262">
        <f t="shared" si="15"/>
        <v>0.2876033305447116</v>
      </c>
      <c r="U21" s="262">
        <f t="shared" si="16"/>
        <v>0.3481908252109619</v>
      </c>
      <c r="V21" s="262">
        <f t="shared" si="16"/>
        <v>0.3257362764141456</v>
      </c>
      <c r="W21" s="262">
        <f t="shared" si="16"/>
        <v>0.30046044303974251</v>
      </c>
      <c r="X21" s="262">
        <f t="shared" si="16"/>
        <v>0.24088936016294266</v>
      </c>
      <c r="Y21" s="262">
        <f t="shared" si="16"/>
        <v>0.23581799632427827</v>
      </c>
      <c r="Z21" s="262">
        <f t="shared" si="16"/>
        <v>0.2876033305447116</v>
      </c>
      <c r="AA21" s="262">
        <f t="shared" si="16"/>
        <v>0.2876033305447116</v>
      </c>
      <c r="AB21" s="262">
        <f t="shared" si="16"/>
        <v>0.2876033305447116</v>
      </c>
      <c r="AC21" s="262">
        <f t="shared" si="16"/>
        <v>0.2876033305447116</v>
      </c>
      <c r="AD21" s="262">
        <f t="shared" si="16"/>
        <v>0.28760333054471154</v>
      </c>
      <c r="AE21" s="262">
        <f t="shared" si="16"/>
        <v>0.2876033305447116</v>
      </c>
      <c r="AF21" s="262">
        <f t="shared" si="16"/>
        <v>0.2876033305447116</v>
      </c>
      <c r="AG21" s="262">
        <f t="shared" si="16"/>
        <v>0.28760333054471166</v>
      </c>
      <c r="AH21" s="262">
        <f t="shared" si="16"/>
        <v>0.28760333054471166</v>
      </c>
      <c r="AI21" s="262">
        <f t="shared" si="16"/>
        <v>0.2876033305447116</v>
      </c>
      <c r="AJ21" s="262">
        <f t="shared" si="16"/>
        <v>0.2876033305447116</v>
      </c>
      <c r="AM21" s="254">
        <v>0.36624823734792694</v>
      </c>
      <c r="AN21" s="254"/>
      <c r="AP21" s="619">
        <v>3605.7664209405771</v>
      </c>
      <c r="AQ21" s="619">
        <v>3766.3091265068074</v>
      </c>
      <c r="AR21" s="619">
        <v>3840.5168901997517</v>
      </c>
      <c r="AS21" s="619">
        <v>4019.194324588198</v>
      </c>
      <c r="AT21" s="619">
        <v>3347.9643736865437</v>
      </c>
      <c r="AU21" s="619">
        <v>3041.88134423252</v>
      </c>
      <c r="AV21" s="619">
        <f t="shared" ref="AV21:BF30" si="17">$AP21*AV$40/$AP$40</f>
        <v>3701.8768815577946</v>
      </c>
      <c r="AW21" s="619">
        <f t="shared" si="17"/>
        <v>3731.1550682630873</v>
      </c>
      <c r="AX21" s="619">
        <f t="shared" si="17"/>
        <v>3795.1650881089745</v>
      </c>
      <c r="AY21" s="619">
        <f t="shared" si="17"/>
        <v>3859.1751079548631</v>
      </c>
      <c r="AZ21" s="619">
        <f t="shared" si="17"/>
        <v>3942.6262440948631</v>
      </c>
      <c r="BA21" s="619">
        <f t="shared" si="17"/>
        <v>3963.9091930343889</v>
      </c>
      <c r="BB21" s="619">
        <f t="shared" si="17"/>
        <v>4035.7729587348276</v>
      </c>
      <c r="BC21" s="619">
        <f t="shared" si="17"/>
        <v>4027.0231313951163</v>
      </c>
      <c r="BD21" s="619">
        <f t="shared" si="17"/>
        <v>4051.698147464951</v>
      </c>
      <c r="BE21" s="619">
        <f t="shared" si="17"/>
        <v>4076.97764685942</v>
      </c>
      <c r="BF21" s="619">
        <f t="shared" si="17"/>
        <v>4100.9055364071064</v>
      </c>
    </row>
    <row r="22" spans="1:58" x14ac:dyDescent="0.25">
      <c r="A22" s="267" t="s">
        <v>2485</v>
      </c>
      <c r="B22" s="261">
        <f t="shared" si="14"/>
        <v>7734.7824525272745</v>
      </c>
      <c r="C22" s="261">
        <f t="shared" ref="C22:C36" si="18">AQ22</f>
        <v>6049.8141187243036</v>
      </c>
      <c r="D22" s="261">
        <f t="shared" ref="D22:D36" si="19">AR22</f>
        <v>7021.3804225859067</v>
      </c>
      <c r="E22" s="261">
        <f t="shared" ref="E22:E36" si="20">AS22</f>
        <v>8227.156851457994</v>
      </c>
      <c r="F22" s="261">
        <f t="shared" ref="F22:F36" si="21">AT22</f>
        <v>9006.1235368496855</v>
      </c>
      <c r="G22" s="261">
        <f t="shared" ref="G22:G36" si="22">AU22</f>
        <v>8413.4455631343626</v>
      </c>
      <c r="H22" s="261">
        <f t="shared" si="1"/>
        <v>7940.9504117076285</v>
      </c>
      <c r="I22" s="261">
        <f t="shared" si="2"/>
        <v>8003.7554795719079</v>
      </c>
      <c r="J22" s="261">
        <f t="shared" si="3"/>
        <v>8141.064312283469</v>
      </c>
      <c r="K22" s="261">
        <f t="shared" si="4"/>
        <v>8278.3731449950301</v>
      </c>
      <c r="L22" s="261">
        <f t="shared" si="5"/>
        <v>8457.3854015046381</v>
      </c>
      <c r="M22" s="261">
        <f t="shared" si="6"/>
        <v>8503.0397675332988</v>
      </c>
      <c r="N22" s="261">
        <f t="shared" si="7"/>
        <v>8657.1957857057932</v>
      </c>
      <c r="O22" s="261">
        <f t="shared" si="8"/>
        <v>8638.4264027039426</v>
      </c>
      <c r="P22" s="261">
        <f t="shared" si="9"/>
        <v>8691.35714170145</v>
      </c>
      <c r="Q22" s="261">
        <f t="shared" si="10"/>
        <v>8745.5845667474732</v>
      </c>
      <c r="R22" s="261">
        <f t="shared" si="11"/>
        <v>8796.912633680653</v>
      </c>
      <c r="S22" s="605"/>
      <c r="T22" s="262">
        <f t="shared" si="15"/>
        <v>0.616942124000743</v>
      </c>
      <c r="U22" s="262">
        <f t="shared" si="16"/>
        <v>0.55929816157317913</v>
      </c>
      <c r="V22" s="262">
        <f t="shared" si="16"/>
        <v>0.59552356610553958</v>
      </c>
      <c r="W22" s="262">
        <f t="shared" si="16"/>
        <v>0.61503251470673637</v>
      </c>
      <c r="X22" s="262">
        <f t="shared" si="16"/>
        <v>0.64799952872594646</v>
      </c>
      <c r="Y22" s="262">
        <f t="shared" si="16"/>
        <v>0.65224170516825897</v>
      </c>
      <c r="Z22" s="262">
        <f t="shared" si="16"/>
        <v>0.616942124000743</v>
      </c>
      <c r="AA22" s="262">
        <f t="shared" si="16"/>
        <v>0.616942124000743</v>
      </c>
      <c r="AB22" s="262">
        <f t="shared" si="16"/>
        <v>0.616942124000743</v>
      </c>
      <c r="AC22" s="262">
        <f t="shared" si="16"/>
        <v>0.61694212400074289</v>
      </c>
      <c r="AD22" s="262">
        <f t="shared" si="16"/>
        <v>0.616942124000743</v>
      </c>
      <c r="AE22" s="262">
        <f t="shared" si="16"/>
        <v>0.616942124000743</v>
      </c>
      <c r="AF22" s="262">
        <f t="shared" si="16"/>
        <v>0.616942124000743</v>
      </c>
      <c r="AG22" s="262">
        <f t="shared" si="16"/>
        <v>0.616942124000743</v>
      </c>
      <c r="AH22" s="262">
        <f t="shared" si="16"/>
        <v>0.61694212400074289</v>
      </c>
      <c r="AI22" s="262">
        <f t="shared" si="16"/>
        <v>0.616942124000743</v>
      </c>
      <c r="AJ22" s="262">
        <f t="shared" ref="AJ22:AJ27" si="23">R22/R$6</f>
        <v>0.616942124000743</v>
      </c>
      <c r="AM22" s="254">
        <v>0.633751762652073</v>
      </c>
      <c r="AN22" s="254"/>
      <c r="AP22" s="619">
        <v>7734.7824525272745</v>
      </c>
      <c r="AQ22" s="619">
        <v>6049.8141187243036</v>
      </c>
      <c r="AR22" s="619">
        <v>7021.3804225859067</v>
      </c>
      <c r="AS22" s="619">
        <v>8227.156851457994</v>
      </c>
      <c r="AT22" s="619">
        <v>9006.1235368496855</v>
      </c>
      <c r="AU22" s="619">
        <v>8413.4455631343626</v>
      </c>
      <c r="AV22" s="619">
        <f t="shared" si="17"/>
        <v>7940.9504117076285</v>
      </c>
      <c r="AW22" s="619">
        <f t="shared" si="17"/>
        <v>8003.7554795719079</v>
      </c>
      <c r="AX22" s="619">
        <f t="shared" si="17"/>
        <v>8141.064312283469</v>
      </c>
      <c r="AY22" s="619">
        <f t="shared" si="17"/>
        <v>8278.3731449950301</v>
      </c>
      <c r="AZ22" s="619">
        <f t="shared" si="17"/>
        <v>8457.3854015046381</v>
      </c>
      <c r="BA22" s="619">
        <f t="shared" si="17"/>
        <v>8503.0397675332988</v>
      </c>
      <c r="BB22" s="619">
        <f t="shared" si="17"/>
        <v>8657.1957857057932</v>
      </c>
      <c r="BC22" s="619">
        <f t="shared" si="17"/>
        <v>8638.4264027039426</v>
      </c>
      <c r="BD22" s="619">
        <f t="shared" si="17"/>
        <v>8691.35714170145</v>
      </c>
      <c r="BE22" s="619">
        <f t="shared" si="17"/>
        <v>8745.5845667474732</v>
      </c>
      <c r="BF22" s="619">
        <f t="shared" si="17"/>
        <v>8796.912633680653</v>
      </c>
    </row>
    <row r="23" spans="1:58" x14ac:dyDescent="0.25">
      <c r="A23" s="267" t="s">
        <v>3194</v>
      </c>
      <c r="B23" s="261">
        <f t="shared" si="14"/>
        <v>10364.284873758874</v>
      </c>
      <c r="C23" s="261">
        <f t="shared" si="18"/>
        <v>10108.473439151394</v>
      </c>
      <c r="D23" s="261">
        <f t="shared" si="19"/>
        <v>10949.952066662801</v>
      </c>
      <c r="E23" s="261">
        <f t="shared" si="20"/>
        <v>11390.618578992517</v>
      </c>
      <c r="F23" s="261">
        <f t="shared" si="21"/>
        <v>11373.082741220214</v>
      </c>
      <c r="G23" s="261">
        <f t="shared" si="22"/>
        <v>11154.224954882033</v>
      </c>
      <c r="H23" s="261">
        <f t="shared" si="1"/>
        <v>10640.541313277545</v>
      </c>
      <c r="I23" s="261">
        <f t="shared" si="2"/>
        <v>10724.69747653828</v>
      </c>
      <c r="J23" s="261">
        <f t="shared" si="3"/>
        <v>10908.685567559629</v>
      </c>
      <c r="K23" s="261">
        <f t="shared" si="4"/>
        <v>11092.673658580979</v>
      </c>
      <c r="L23" s="261">
        <f t="shared" si="5"/>
        <v>11332.542592677988</v>
      </c>
      <c r="M23" s="261">
        <f t="shared" si="6"/>
        <v>11393.717533040699</v>
      </c>
      <c r="N23" s="261">
        <f t="shared" si="7"/>
        <v>11600.280147716698</v>
      </c>
      <c r="O23" s="261">
        <f t="shared" si="8"/>
        <v>11575.129959779313</v>
      </c>
      <c r="P23" s="261">
        <f t="shared" si="9"/>
        <v>11646.054935486871</v>
      </c>
      <c r="Q23" s="261">
        <f t="shared" si="10"/>
        <v>11718.717416247882</v>
      </c>
      <c r="R23" s="261">
        <f t="shared" si="11"/>
        <v>11787.494878442832</v>
      </c>
      <c r="S23" s="605"/>
      <c r="T23" s="262">
        <f t="shared" si="15"/>
        <v>0.82667663415359971</v>
      </c>
      <c r="U23" s="262">
        <f t="shared" ref="U23:AI27" si="24">C23/C$6</f>
        <v>0.93451641651774331</v>
      </c>
      <c r="V23" s="262">
        <f t="shared" si="24"/>
        <v>0.92872827150165294</v>
      </c>
      <c r="W23" s="262">
        <f t="shared" si="24"/>
        <v>0.85152148125892679</v>
      </c>
      <c r="X23" s="262">
        <f t="shared" si="24"/>
        <v>0.81830459312684611</v>
      </c>
      <c r="Y23" s="262">
        <f t="shared" si="24"/>
        <v>0.86471715420385575</v>
      </c>
      <c r="Z23" s="262">
        <f t="shared" si="24"/>
        <v>0.82667663415359971</v>
      </c>
      <c r="AA23" s="262">
        <f t="shared" si="24"/>
        <v>0.82667663415359971</v>
      </c>
      <c r="AB23" s="262">
        <f t="shared" si="24"/>
        <v>0.82667663415359971</v>
      </c>
      <c r="AC23" s="262">
        <f t="shared" si="24"/>
        <v>0.8266766341535996</v>
      </c>
      <c r="AD23" s="262">
        <f t="shared" si="24"/>
        <v>0.82667663415359971</v>
      </c>
      <c r="AE23" s="262">
        <f t="shared" si="24"/>
        <v>0.82667663415359971</v>
      </c>
      <c r="AF23" s="262">
        <f t="shared" si="24"/>
        <v>0.8266766341535996</v>
      </c>
      <c r="AG23" s="262">
        <f t="shared" si="24"/>
        <v>0.82667663415359982</v>
      </c>
      <c r="AH23" s="262">
        <f t="shared" si="24"/>
        <v>0.82667663415359971</v>
      </c>
      <c r="AI23" s="262">
        <f t="shared" si="24"/>
        <v>0.8266766341535996</v>
      </c>
      <c r="AJ23" s="262">
        <f t="shared" si="23"/>
        <v>0.82667663415359971</v>
      </c>
      <c r="AM23" s="254"/>
      <c r="AN23" s="254"/>
      <c r="AP23" s="619">
        <v>10364.284873758874</v>
      </c>
      <c r="AQ23" s="619">
        <v>10108.473439151394</v>
      </c>
      <c r="AR23" s="619">
        <v>10949.952066662801</v>
      </c>
      <c r="AS23" s="619">
        <v>11390.618578992517</v>
      </c>
      <c r="AT23" s="619">
        <v>11373.082741220214</v>
      </c>
      <c r="AU23" s="619">
        <v>11154.224954882033</v>
      </c>
      <c r="AV23" s="619">
        <f t="shared" si="17"/>
        <v>10640.541313277545</v>
      </c>
      <c r="AW23" s="619">
        <f t="shared" si="17"/>
        <v>10724.69747653828</v>
      </c>
      <c r="AX23" s="619">
        <f t="shared" si="17"/>
        <v>10908.685567559629</v>
      </c>
      <c r="AY23" s="619">
        <f t="shared" si="17"/>
        <v>11092.673658580979</v>
      </c>
      <c r="AZ23" s="619">
        <f t="shared" si="17"/>
        <v>11332.542592677988</v>
      </c>
      <c r="BA23" s="619">
        <f t="shared" si="17"/>
        <v>11393.717533040699</v>
      </c>
      <c r="BB23" s="619">
        <f t="shared" si="17"/>
        <v>11600.280147716698</v>
      </c>
      <c r="BC23" s="619">
        <f t="shared" si="17"/>
        <v>11575.129959779313</v>
      </c>
      <c r="BD23" s="619">
        <f t="shared" si="17"/>
        <v>11646.054935486871</v>
      </c>
      <c r="BE23" s="619">
        <f t="shared" si="17"/>
        <v>11718.717416247882</v>
      </c>
      <c r="BF23" s="619">
        <f t="shared" si="17"/>
        <v>11787.494878442832</v>
      </c>
    </row>
    <row r="24" spans="1:58" x14ac:dyDescent="0.25">
      <c r="A24" s="267" t="s">
        <v>3195</v>
      </c>
      <c r="B24" s="261">
        <f t="shared" si="14"/>
        <v>976.26399970897785</v>
      </c>
      <c r="C24" s="261">
        <f t="shared" si="18"/>
        <v>327.11389437100075</v>
      </c>
      <c r="D24" s="261">
        <f t="shared" si="19"/>
        <v>468.9656211375073</v>
      </c>
      <c r="E24" s="261">
        <f t="shared" si="20"/>
        <v>1420.9488051788851</v>
      </c>
      <c r="F24" s="261">
        <f t="shared" si="21"/>
        <v>1801.3938196250595</v>
      </c>
      <c r="G24" s="261">
        <f t="shared" si="22"/>
        <v>1359.99771703137</v>
      </c>
      <c r="H24" s="261">
        <f t="shared" si="1"/>
        <v>1002.2859799878782</v>
      </c>
      <c r="I24" s="261">
        <f t="shared" si="2"/>
        <v>1010.2130712967154</v>
      </c>
      <c r="J24" s="261">
        <f t="shared" si="3"/>
        <v>1027.5438328328153</v>
      </c>
      <c r="K24" s="261">
        <f t="shared" si="4"/>
        <v>1044.8745943689153</v>
      </c>
      <c r="L24" s="261">
        <f t="shared" si="5"/>
        <v>1067.4690529215143</v>
      </c>
      <c r="M24" s="261">
        <f t="shared" si="6"/>
        <v>1073.2314275269896</v>
      </c>
      <c r="N24" s="261">
        <f t="shared" si="7"/>
        <v>1092.6885967239223</v>
      </c>
      <c r="O24" s="261">
        <f t="shared" si="8"/>
        <v>1090.3195743197473</v>
      </c>
      <c r="P24" s="261">
        <f t="shared" si="9"/>
        <v>1097.0003536795307</v>
      </c>
      <c r="Q24" s="261">
        <f t="shared" si="10"/>
        <v>1103.84479735901</v>
      </c>
      <c r="R24" s="261">
        <f t="shared" si="11"/>
        <v>1110.3232916449281</v>
      </c>
      <c r="S24" s="605"/>
      <c r="T24" s="262">
        <f t="shared" si="15"/>
        <v>7.7868820391854929E-2</v>
      </c>
      <c r="U24" s="262">
        <f t="shared" si="24"/>
        <v>3.0241292733357985E-2</v>
      </c>
      <c r="V24" s="262">
        <f t="shared" si="24"/>
        <v>3.9775665506221296E-2</v>
      </c>
      <c r="W24" s="262">
        <f t="shared" si="24"/>
        <v>0.10622499761431274</v>
      </c>
      <c r="X24" s="262">
        <f t="shared" si="24"/>
        <v>0.12961207353982065</v>
      </c>
      <c r="Y24" s="262">
        <f t="shared" si="24"/>
        <v>0.10543209952748749</v>
      </c>
      <c r="Z24" s="262">
        <f t="shared" si="24"/>
        <v>7.7868820391854929E-2</v>
      </c>
      <c r="AA24" s="262">
        <f t="shared" si="24"/>
        <v>7.7868820391854929E-2</v>
      </c>
      <c r="AB24" s="262">
        <f t="shared" si="24"/>
        <v>7.7868820391854929E-2</v>
      </c>
      <c r="AC24" s="262">
        <f t="shared" si="24"/>
        <v>7.7868820391854929E-2</v>
      </c>
      <c r="AD24" s="262">
        <f t="shared" si="24"/>
        <v>7.7868820391854929E-2</v>
      </c>
      <c r="AE24" s="262">
        <f t="shared" si="24"/>
        <v>7.7868820391854943E-2</v>
      </c>
      <c r="AF24" s="262">
        <f t="shared" si="24"/>
        <v>7.7868820391854943E-2</v>
      </c>
      <c r="AG24" s="262">
        <f t="shared" si="24"/>
        <v>7.7868820391854943E-2</v>
      </c>
      <c r="AH24" s="262">
        <f t="shared" si="24"/>
        <v>7.7868820391854929E-2</v>
      </c>
      <c r="AI24" s="262">
        <f t="shared" si="24"/>
        <v>7.7868820391854929E-2</v>
      </c>
      <c r="AJ24" s="262">
        <f t="shared" si="23"/>
        <v>7.7868820391854929E-2</v>
      </c>
      <c r="AM24" s="254"/>
      <c r="AN24" s="254"/>
      <c r="AP24" s="618">
        <v>976.26399970897785</v>
      </c>
      <c r="AQ24" s="618">
        <v>327.11389437100075</v>
      </c>
      <c r="AR24" s="618">
        <v>468.9656211375073</v>
      </c>
      <c r="AS24" s="618">
        <v>1420.9488051788851</v>
      </c>
      <c r="AT24" s="618">
        <v>1801.3938196250595</v>
      </c>
      <c r="AU24" s="618">
        <v>1359.99771703137</v>
      </c>
      <c r="AV24" s="618">
        <f t="shared" si="17"/>
        <v>1002.2859799878782</v>
      </c>
      <c r="AW24" s="618">
        <f t="shared" si="17"/>
        <v>1010.2130712967154</v>
      </c>
      <c r="AX24" s="618">
        <f t="shared" si="17"/>
        <v>1027.5438328328153</v>
      </c>
      <c r="AY24" s="618">
        <f t="shared" si="17"/>
        <v>1044.8745943689153</v>
      </c>
      <c r="AZ24" s="618">
        <f t="shared" si="17"/>
        <v>1067.4690529215143</v>
      </c>
      <c r="BA24" s="618">
        <f t="shared" si="17"/>
        <v>1073.2314275269896</v>
      </c>
      <c r="BB24" s="618">
        <f t="shared" si="17"/>
        <v>1092.6885967239223</v>
      </c>
      <c r="BC24" s="618">
        <f t="shared" si="17"/>
        <v>1090.3195743197473</v>
      </c>
      <c r="BD24" s="618">
        <f t="shared" si="17"/>
        <v>1097.0003536795307</v>
      </c>
      <c r="BE24" s="618">
        <f t="shared" si="17"/>
        <v>1103.84479735901</v>
      </c>
      <c r="BF24" s="618">
        <f t="shared" si="17"/>
        <v>1110.3232916449281</v>
      </c>
    </row>
    <row r="25" spans="1:58" x14ac:dyDescent="0.25">
      <c r="A25" s="255" t="s">
        <v>2486</v>
      </c>
      <c r="B25" s="256">
        <f t="shared" si="14"/>
        <v>446.40351511975632</v>
      </c>
      <c r="C25" s="256">
        <f t="shared" si="18"/>
        <v>428.85975343242728</v>
      </c>
      <c r="D25" s="256">
        <f t="shared" si="19"/>
        <v>371.34691667643273</v>
      </c>
      <c r="E25" s="256">
        <f t="shared" si="20"/>
        <v>235.50675338550371</v>
      </c>
      <c r="F25" s="256">
        <f t="shared" si="21"/>
        <v>627.35602670691776</v>
      </c>
      <c r="G25" s="256">
        <f t="shared" si="22"/>
        <v>577.5795079344648</v>
      </c>
      <c r="H25" s="256">
        <f t="shared" si="1"/>
        <v>458.30224688733239</v>
      </c>
      <c r="I25" s="256">
        <f t="shared" si="2"/>
        <v>461.92696461327034</v>
      </c>
      <c r="J25" s="256">
        <f t="shared" si="3"/>
        <v>469.85157606234918</v>
      </c>
      <c r="K25" s="256">
        <f t="shared" si="4"/>
        <v>477.77618751142808</v>
      </c>
      <c r="L25" s="256">
        <f t="shared" si="5"/>
        <v>488.10766109143771</v>
      </c>
      <c r="M25" s="256">
        <f t="shared" si="6"/>
        <v>490.74254702402123</v>
      </c>
      <c r="N25" s="256">
        <f t="shared" si="7"/>
        <v>499.63947318987374</v>
      </c>
      <c r="O25" s="256">
        <f t="shared" si="8"/>
        <v>498.55622119150399</v>
      </c>
      <c r="P25" s="256">
        <f t="shared" si="9"/>
        <v>501.61105409616493</v>
      </c>
      <c r="Q25" s="256">
        <f t="shared" si="10"/>
        <v>504.74072365119258</v>
      </c>
      <c r="R25" s="256">
        <f t="shared" si="11"/>
        <v>507.70306029658695</v>
      </c>
      <c r="S25" s="605"/>
      <c r="T25" s="258">
        <f t="shared" si="15"/>
        <v>3.5606060606060613E-2</v>
      </c>
      <c r="U25" s="258">
        <f t="shared" si="24"/>
        <v>3.9647577092511023E-2</v>
      </c>
      <c r="V25" s="258">
        <f t="shared" si="24"/>
        <v>3.1496062992125984E-2</v>
      </c>
      <c r="W25" s="258">
        <f t="shared" si="24"/>
        <v>1.7605633802816902E-2</v>
      </c>
      <c r="X25" s="258">
        <f t="shared" si="24"/>
        <v>4.5138888888888895E-2</v>
      </c>
      <c r="Y25" s="258">
        <f t="shared" si="24"/>
        <v>4.4776119402985079E-2</v>
      </c>
      <c r="Z25" s="258">
        <f t="shared" si="24"/>
        <v>3.5606060606060606E-2</v>
      </c>
      <c r="AA25" s="258">
        <f t="shared" si="24"/>
        <v>3.5606060606060606E-2</v>
      </c>
      <c r="AB25" s="258">
        <f t="shared" si="24"/>
        <v>3.5606060606060613E-2</v>
      </c>
      <c r="AC25" s="258">
        <f t="shared" si="24"/>
        <v>3.5606060606060613E-2</v>
      </c>
      <c r="AD25" s="258">
        <f t="shared" si="24"/>
        <v>3.5606060606060613E-2</v>
      </c>
      <c r="AE25" s="258">
        <f t="shared" si="24"/>
        <v>3.5606060606060613E-2</v>
      </c>
      <c r="AF25" s="258">
        <f t="shared" si="24"/>
        <v>3.5606060606060613E-2</v>
      </c>
      <c r="AG25" s="258">
        <f t="shared" si="24"/>
        <v>3.5606060606060606E-2</v>
      </c>
      <c r="AH25" s="258">
        <f t="shared" si="24"/>
        <v>3.5606060606060613E-2</v>
      </c>
      <c r="AI25" s="258">
        <f t="shared" si="24"/>
        <v>3.5606060606060606E-2</v>
      </c>
      <c r="AJ25" s="258">
        <f t="shared" si="23"/>
        <v>3.5606060606060613E-2</v>
      </c>
      <c r="AM25" s="254">
        <v>0.17040575159766558</v>
      </c>
      <c r="AN25" s="254"/>
      <c r="AP25" s="615">
        <v>446.40351511975632</v>
      </c>
      <c r="AQ25" s="615">
        <v>428.85975343242728</v>
      </c>
      <c r="AR25" s="615">
        <v>371.34691667643273</v>
      </c>
      <c r="AS25" s="615">
        <v>235.50675338550371</v>
      </c>
      <c r="AT25" s="615">
        <v>627.35602670691776</v>
      </c>
      <c r="AU25" s="615">
        <v>577.5795079344648</v>
      </c>
      <c r="AV25" s="615">
        <f t="shared" si="17"/>
        <v>458.30224688733239</v>
      </c>
      <c r="AW25" s="615">
        <f t="shared" si="17"/>
        <v>461.92696461327034</v>
      </c>
      <c r="AX25" s="615">
        <f t="shared" si="17"/>
        <v>469.85157606234918</v>
      </c>
      <c r="AY25" s="615">
        <f t="shared" si="17"/>
        <v>477.77618751142808</v>
      </c>
      <c r="AZ25" s="615">
        <f t="shared" si="17"/>
        <v>488.10766109143771</v>
      </c>
      <c r="BA25" s="615">
        <f t="shared" si="17"/>
        <v>490.74254702402123</v>
      </c>
      <c r="BB25" s="615">
        <f t="shared" si="17"/>
        <v>499.63947318987374</v>
      </c>
      <c r="BC25" s="615">
        <f t="shared" si="17"/>
        <v>498.55622119150399</v>
      </c>
      <c r="BD25" s="615">
        <f t="shared" si="17"/>
        <v>501.61105409616493</v>
      </c>
      <c r="BE25" s="615">
        <f t="shared" si="17"/>
        <v>504.74072365119258</v>
      </c>
      <c r="BF25" s="615">
        <f t="shared" si="17"/>
        <v>507.70306029658695</v>
      </c>
    </row>
    <row r="26" spans="1:58" x14ac:dyDescent="0.25">
      <c r="A26" s="268" t="s">
        <v>2487</v>
      </c>
      <c r="B26" s="261">
        <f t="shared" si="14"/>
        <v>357.1228120958051</v>
      </c>
      <c r="C26" s="261">
        <f t="shared" si="18"/>
        <v>343.08780274594187</v>
      </c>
      <c r="D26" s="261">
        <f t="shared" si="19"/>
        <v>297.07753334114619</v>
      </c>
      <c r="E26" s="261">
        <f t="shared" si="20"/>
        <v>188.40540270840299</v>
      </c>
      <c r="F26" s="261">
        <f t="shared" si="21"/>
        <v>501.88482136553421</v>
      </c>
      <c r="G26" s="261">
        <f t="shared" si="22"/>
        <v>462.06360634757186</v>
      </c>
      <c r="H26" s="261">
        <f t="shared" si="1"/>
        <v>366.64179750986597</v>
      </c>
      <c r="I26" s="261">
        <f t="shared" si="2"/>
        <v>369.54157169061637</v>
      </c>
      <c r="J26" s="261">
        <f t="shared" si="3"/>
        <v>375.88126084987937</v>
      </c>
      <c r="K26" s="261">
        <f t="shared" si="4"/>
        <v>382.22095000914248</v>
      </c>
      <c r="L26" s="261">
        <f t="shared" si="5"/>
        <v>390.48612887315016</v>
      </c>
      <c r="M26" s="261">
        <f t="shared" si="6"/>
        <v>392.59403761921703</v>
      </c>
      <c r="N26" s="261">
        <f t="shared" si="7"/>
        <v>399.71157855189904</v>
      </c>
      <c r="O26" s="261">
        <f t="shared" si="8"/>
        <v>398.84497695320329</v>
      </c>
      <c r="P26" s="261">
        <f t="shared" si="9"/>
        <v>401.28884327693203</v>
      </c>
      <c r="Q26" s="261">
        <f t="shared" si="10"/>
        <v>403.79257892095416</v>
      </c>
      <c r="R26" s="261">
        <f t="shared" si="11"/>
        <v>406.16244823726964</v>
      </c>
      <c r="S26" s="605"/>
      <c r="T26" s="262">
        <f t="shared" si="15"/>
        <v>2.8484848484848491E-2</v>
      </c>
      <c r="U26" s="262">
        <f t="shared" si="24"/>
        <v>3.171806167400882E-2</v>
      </c>
      <c r="V26" s="262">
        <f t="shared" si="24"/>
        <v>2.5196850393700787E-2</v>
      </c>
      <c r="W26" s="262">
        <f t="shared" si="24"/>
        <v>1.4084507042253523E-2</v>
      </c>
      <c r="X26" s="262">
        <f t="shared" si="24"/>
        <v>3.6111111111111115E-2</v>
      </c>
      <c r="Y26" s="262">
        <f t="shared" si="24"/>
        <v>3.5820895522388062E-2</v>
      </c>
      <c r="Z26" s="262">
        <f t="shared" si="24"/>
        <v>2.8484848484848491E-2</v>
      </c>
      <c r="AA26" s="262">
        <f t="shared" si="24"/>
        <v>2.8484848484848495E-2</v>
      </c>
      <c r="AB26" s="262">
        <f t="shared" si="24"/>
        <v>2.8484848484848491E-2</v>
      </c>
      <c r="AC26" s="262">
        <f t="shared" si="24"/>
        <v>2.8484848484848491E-2</v>
      </c>
      <c r="AD26" s="262">
        <f t="shared" si="24"/>
        <v>2.8484848484848488E-2</v>
      </c>
      <c r="AE26" s="262">
        <f t="shared" si="24"/>
        <v>2.8484848484848491E-2</v>
      </c>
      <c r="AF26" s="262">
        <f t="shared" si="24"/>
        <v>2.8484848484848491E-2</v>
      </c>
      <c r="AG26" s="262">
        <f t="shared" si="24"/>
        <v>2.8484848484848495E-2</v>
      </c>
      <c r="AH26" s="262">
        <f t="shared" si="24"/>
        <v>2.8484848484848495E-2</v>
      </c>
      <c r="AI26" s="262">
        <f t="shared" si="24"/>
        <v>2.8484848484848491E-2</v>
      </c>
      <c r="AJ26" s="262">
        <f t="shared" si="23"/>
        <v>2.8484848484848495E-2</v>
      </c>
      <c r="AK26" s="136"/>
      <c r="AL26" s="136"/>
      <c r="AM26" s="136"/>
      <c r="AN26" s="136"/>
      <c r="AP26" s="616">
        <v>357.1228120958051</v>
      </c>
      <c r="AQ26" s="616">
        <v>343.08780274594187</v>
      </c>
      <c r="AR26" s="616">
        <v>297.07753334114619</v>
      </c>
      <c r="AS26" s="616">
        <v>188.40540270840299</v>
      </c>
      <c r="AT26" s="616">
        <v>501.88482136553421</v>
      </c>
      <c r="AU26" s="616">
        <v>462.06360634757186</v>
      </c>
      <c r="AV26" s="616">
        <f t="shared" si="17"/>
        <v>366.64179750986597</v>
      </c>
      <c r="AW26" s="616">
        <f t="shared" si="17"/>
        <v>369.54157169061637</v>
      </c>
      <c r="AX26" s="616">
        <f t="shared" si="17"/>
        <v>375.88126084987937</v>
      </c>
      <c r="AY26" s="616">
        <f t="shared" si="17"/>
        <v>382.22095000914248</v>
      </c>
      <c r="AZ26" s="616">
        <f t="shared" si="17"/>
        <v>390.48612887315016</v>
      </c>
      <c r="BA26" s="616">
        <f t="shared" si="17"/>
        <v>392.59403761921703</v>
      </c>
      <c r="BB26" s="616">
        <f t="shared" si="17"/>
        <v>399.71157855189904</v>
      </c>
      <c r="BC26" s="616">
        <f t="shared" si="17"/>
        <v>398.84497695320329</v>
      </c>
      <c r="BD26" s="616">
        <f t="shared" si="17"/>
        <v>401.28884327693203</v>
      </c>
      <c r="BE26" s="616">
        <f t="shared" si="17"/>
        <v>403.79257892095416</v>
      </c>
      <c r="BF26" s="616">
        <f t="shared" si="17"/>
        <v>406.16244823726964</v>
      </c>
    </row>
    <row r="27" spans="1:58" ht="15.75" thickBot="1" x14ac:dyDescent="0.3">
      <c r="A27" s="270" t="s">
        <v>2488</v>
      </c>
      <c r="B27" s="271">
        <f t="shared" si="14"/>
        <v>89.280703023951276</v>
      </c>
      <c r="C27" s="271">
        <f t="shared" si="18"/>
        <v>85.771950686485468</v>
      </c>
      <c r="D27" s="271">
        <f t="shared" si="19"/>
        <v>74.269383335286548</v>
      </c>
      <c r="E27" s="271">
        <f t="shared" si="20"/>
        <v>47.101350677100747</v>
      </c>
      <c r="F27" s="271">
        <f t="shared" si="21"/>
        <v>125.47120534138355</v>
      </c>
      <c r="G27" s="271">
        <f t="shared" si="22"/>
        <v>115.51590158689297</v>
      </c>
      <c r="H27" s="271">
        <f t="shared" si="1"/>
        <v>91.660449377466492</v>
      </c>
      <c r="I27" s="271">
        <f t="shared" si="2"/>
        <v>92.385392922654091</v>
      </c>
      <c r="J27" s="271">
        <f t="shared" si="3"/>
        <v>93.970315212469842</v>
      </c>
      <c r="K27" s="271">
        <f t="shared" si="4"/>
        <v>95.555237502285621</v>
      </c>
      <c r="L27" s="271">
        <f t="shared" si="5"/>
        <v>97.621532218287541</v>
      </c>
      <c r="M27" s="271">
        <f t="shared" si="6"/>
        <v>98.148509404804258</v>
      </c>
      <c r="N27" s="271">
        <f t="shared" si="7"/>
        <v>99.927894637974759</v>
      </c>
      <c r="O27" s="271">
        <f t="shared" si="8"/>
        <v>99.711244238300822</v>
      </c>
      <c r="P27" s="271">
        <f t="shared" si="9"/>
        <v>100.32221081923301</v>
      </c>
      <c r="Q27" s="271">
        <f t="shared" si="10"/>
        <v>100.94814473023854</v>
      </c>
      <c r="R27" s="271">
        <f t="shared" si="11"/>
        <v>101.54061205931741</v>
      </c>
      <c r="S27" s="605"/>
      <c r="T27" s="272">
        <f t="shared" si="15"/>
        <v>7.1212121212121228E-3</v>
      </c>
      <c r="U27" s="272">
        <f t="shared" si="24"/>
        <v>7.9295154185022049E-3</v>
      </c>
      <c r="V27" s="272">
        <f t="shared" si="24"/>
        <v>6.2992125984251968E-3</v>
      </c>
      <c r="W27" s="272">
        <f t="shared" si="24"/>
        <v>3.5211267605633808E-3</v>
      </c>
      <c r="X27" s="272">
        <f t="shared" si="24"/>
        <v>9.0277777777777787E-3</v>
      </c>
      <c r="Y27" s="272">
        <f t="shared" si="24"/>
        <v>8.9552238805970154E-3</v>
      </c>
      <c r="Z27" s="272">
        <f t="shared" si="24"/>
        <v>7.1212121212121228E-3</v>
      </c>
      <c r="AA27" s="272">
        <f t="shared" si="24"/>
        <v>7.1212121212121237E-3</v>
      </c>
      <c r="AB27" s="272">
        <f t="shared" si="24"/>
        <v>7.1212121212121228E-3</v>
      </c>
      <c r="AC27" s="272">
        <f t="shared" si="24"/>
        <v>7.1212121212121228E-3</v>
      </c>
      <c r="AD27" s="272">
        <f t="shared" si="24"/>
        <v>7.121212121212122E-3</v>
      </c>
      <c r="AE27" s="272">
        <f t="shared" si="24"/>
        <v>7.1212121212121228E-3</v>
      </c>
      <c r="AF27" s="272">
        <f t="shared" si="24"/>
        <v>7.1212121212121228E-3</v>
      </c>
      <c r="AG27" s="272">
        <f t="shared" si="24"/>
        <v>7.1212121212121237E-3</v>
      </c>
      <c r="AH27" s="272">
        <f t="shared" si="24"/>
        <v>7.1212121212121237E-3</v>
      </c>
      <c r="AI27" s="272">
        <f t="shared" si="24"/>
        <v>7.1212121212121228E-3</v>
      </c>
      <c r="AJ27" s="272">
        <f t="shared" si="23"/>
        <v>7.1212121212121237E-3</v>
      </c>
      <c r="AK27" s="136"/>
      <c r="AL27" s="136"/>
      <c r="AM27" s="136"/>
      <c r="AN27" s="136"/>
      <c r="AP27" s="620">
        <v>89.280703023951276</v>
      </c>
      <c r="AQ27" s="620">
        <v>85.771950686485468</v>
      </c>
      <c r="AR27" s="620">
        <v>74.269383335286548</v>
      </c>
      <c r="AS27" s="620">
        <v>47.101350677100747</v>
      </c>
      <c r="AT27" s="620">
        <v>125.47120534138355</v>
      </c>
      <c r="AU27" s="620">
        <v>115.51590158689297</v>
      </c>
      <c r="AV27" s="620">
        <f t="shared" si="17"/>
        <v>91.660449377466492</v>
      </c>
      <c r="AW27" s="620">
        <f t="shared" si="17"/>
        <v>92.385392922654091</v>
      </c>
      <c r="AX27" s="620">
        <f t="shared" si="17"/>
        <v>93.970315212469842</v>
      </c>
      <c r="AY27" s="620">
        <f t="shared" si="17"/>
        <v>95.555237502285621</v>
      </c>
      <c r="AZ27" s="620">
        <f t="shared" si="17"/>
        <v>97.621532218287541</v>
      </c>
      <c r="BA27" s="620">
        <f t="shared" si="17"/>
        <v>98.148509404804258</v>
      </c>
      <c r="BB27" s="620">
        <f t="shared" si="17"/>
        <v>99.927894637974759</v>
      </c>
      <c r="BC27" s="620">
        <f t="shared" si="17"/>
        <v>99.711244238300822</v>
      </c>
      <c r="BD27" s="620">
        <f t="shared" si="17"/>
        <v>100.32221081923301</v>
      </c>
      <c r="BE27" s="620">
        <f t="shared" si="17"/>
        <v>100.94814473023854</v>
      </c>
      <c r="BF27" s="620">
        <f t="shared" si="17"/>
        <v>101.54061205931741</v>
      </c>
    </row>
    <row r="28" spans="1:58" ht="15.75" thickTop="1" x14ac:dyDescent="0.25">
      <c r="A28" s="273" t="s">
        <v>2489</v>
      </c>
      <c r="B28" s="274">
        <f t="shared" si="14"/>
        <v>26244.977194834086</v>
      </c>
      <c r="C28" s="274">
        <f t="shared" si="18"/>
        <v>25419.470607614254</v>
      </c>
      <c r="D28" s="274">
        <f t="shared" si="19"/>
        <v>26597.722906949493</v>
      </c>
      <c r="E28" s="274">
        <f t="shared" si="20"/>
        <v>27504.544509073032</v>
      </c>
      <c r="F28" s="274">
        <f t="shared" si="21"/>
        <v>25607.231876205653</v>
      </c>
      <c r="G28" s="274">
        <f t="shared" si="22"/>
        <v>26087.341108373326</v>
      </c>
      <c r="H28" s="274">
        <f t="shared" si="1"/>
        <v>26944.528012223385</v>
      </c>
      <c r="I28" s="274">
        <f t="shared" si="2"/>
        <v>27157.63259324227</v>
      </c>
      <c r="J28" s="274">
        <f t="shared" si="3"/>
        <v>27623.536735379679</v>
      </c>
      <c r="K28" s="274">
        <f t="shared" si="4"/>
        <v>28089.440877517092</v>
      </c>
      <c r="L28" s="274">
        <f t="shared" si="5"/>
        <v>28696.849375238358</v>
      </c>
      <c r="M28" s="274">
        <f t="shared" si="6"/>
        <v>28851.75971727071</v>
      </c>
      <c r="N28" s="274">
        <f t="shared" si="7"/>
        <v>29374.82823357547</v>
      </c>
      <c r="O28" s="274">
        <f t="shared" si="8"/>
        <v>29311.141629347356</v>
      </c>
      <c r="P28" s="274">
        <f t="shared" si="9"/>
        <v>29490.741514207908</v>
      </c>
      <c r="Q28" s="274">
        <f t="shared" si="10"/>
        <v>29674.741199060372</v>
      </c>
      <c r="R28" s="274">
        <f t="shared" si="11"/>
        <v>29848.903039342789</v>
      </c>
      <c r="S28" s="605"/>
      <c r="T28" s="275">
        <f t="shared" ref="T28:T35" si="25">B28/B$36</f>
        <v>0.52797136937276323</v>
      </c>
      <c r="U28" s="275">
        <f t="shared" ref="U28:U35" si="26">C28/C$36</f>
        <v>0.51790633608815428</v>
      </c>
      <c r="V28" s="275">
        <f t="shared" ref="V28:V35" si="27">D28/D$36</f>
        <v>0.57014925373134329</v>
      </c>
      <c r="W28" s="275">
        <f t="shared" ref="W28:W35" si="28">E28/E$36</f>
        <v>0.53564899451553938</v>
      </c>
      <c r="X28" s="275">
        <f t="shared" ref="X28:X35" si="29">F28/F$36</f>
        <v>0.49630996309963094</v>
      </c>
      <c r="Y28" s="275">
        <f t="shared" ref="Y28:Y35" si="30">G28/G$36</f>
        <v>0.52266152362584373</v>
      </c>
      <c r="Z28" s="275">
        <f t="shared" ref="Z28:Z35" si="31">H28/H$36</f>
        <v>0.52797136937276312</v>
      </c>
      <c r="AA28" s="275">
        <f t="shared" ref="AA28:AA35" si="32">I28/I$36</f>
        <v>0.52797136937276312</v>
      </c>
      <c r="AB28" s="275">
        <f t="shared" ref="AB28:AB35" si="33">J28/J$36</f>
        <v>0.52797136937276334</v>
      </c>
      <c r="AC28" s="275">
        <f t="shared" ref="AC28:AC35" si="34">K28/K$36</f>
        <v>0.52797136937276323</v>
      </c>
      <c r="AD28" s="275">
        <f t="shared" ref="AD28:AD35" si="35">L28/L$36</f>
        <v>0.52797136937276323</v>
      </c>
      <c r="AE28" s="275">
        <f t="shared" ref="AE28:AE35" si="36">M28/M$36</f>
        <v>0.52797136937276323</v>
      </c>
      <c r="AF28" s="275">
        <f t="shared" ref="AF28:AF35" si="37">N28/N$36</f>
        <v>0.52797136937276323</v>
      </c>
      <c r="AG28" s="275">
        <f t="shared" ref="AG28:AG35" si="38">O28/O$36</f>
        <v>0.52797136937276323</v>
      </c>
      <c r="AH28" s="275">
        <f t="shared" ref="AH28:AH35" si="39">P28/P$36</f>
        <v>0.52797136937276334</v>
      </c>
      <c r="AI28" s="275">
        <f t="shared" ref="AI28:AI35" si="40">Q28/Q$36</f>
        <v>0.52797136937276312</v>
      </c>
      <c r="AJ28" s="275">
        <f t="shared" ref="AJ28:AJ35" si="41">R28/R$36</f>
        <v>0.52797136937276334</v>
      </c>
      <c r="AM28" s="254">
        <v>0.67720999643681468</v>
      </c>
      <c r="AN28" s="254"/>
      <c r="AP28" s="619">
        <v>26244.977194834086</v>
      </c>
      <c r="AQ28" s="619">
        <v>25419.470607614254</v>
      </c>
      <c r="AR28" s="619">
        <v>26597.722906949493</v>
      </c>
      <c r="AS28" s="619">
        <v>27504.544509073032</v>
      </c>
      <c r="AT28" s="619">
        <v>25607.231876205653</v>
      </c>
      <c r="AU28" s="619">
        <v>26087.341108373326</v>
      </c>
      <c r="AV28" s="619">
        <f t="shared" si="17"/>
        <v>26944.528012223385</v>
      </c>
      <c r="AW28" s="619">
        <f t="shared" si="17"/>
        <v>27157.63259324227</v>
      </c>
      <c r="AX28" s="619">
        <f t="shared" si="17"/>
        <v>27623.536735379679</v>
      </c>
      <c r="AY28" s="619">
        <f t="shared" si="17"/>
        <v>28089.440877517092</v>
      </c>
      <c r="AZ28" s="619">
        <f t="shared" si="17"/>
        <v>28696.849375238358</v>
      </c>
      <c r="BA28" s="619">
        <f t="shared" si="17"/>
        <v>28851.75971727071</v>
      </c>
      <c r="BB28" s="619">
        <f t="shared" si="17"/>
        <v>29374.82823357547</v>
      </c>
      <c r="BC28" s="619">
        <f t="shared" si="17"/>
        <v>29311.141629347356</v>
      </c>
      <c r="BD28" s="619">
        <f t="shared" si="17"/>
        <v>29490.741514207908</v>
      </c>
      <c r="BE28" s="619">
        <f t="shared" si="17"/>
        <v>29674.741199060372</v>
      </c>
      <c r="BF28" s="619">
        <f t="shared" si="17"/>
        <v>29848.903039342789</v>
      </c>
    </row>
    <row r="29" spans="1:58" x14ac:dyDescent="0.25">
      <c r="A29" s="273" t="s">
        <v>2490</v>
      </c>
      <c r="B29" s="274">
        <f t="shared" si="14"/>
        <v>945.68059103754638</v>
      </c>
      <c r="C29" s="274">
        <f t="shared" si="18"/>
        <v>1622.5194004860161</v>
      </c>
      <c r="D29" s="274">
        <f t="shared" si="19"/>
        <v>278.51018750732453</v>
      </c>
      <c r="E29" s="274">
        <f t="shared" si="20"/>
        <v>938.72165559976213</v>
      </c>
      <c r="F29" s="274">
        <f t="shared" si="21"/>
        <v>1189.9271317939431</v>
      </c>
      <c r="G29" s="274">
        <f t="shared" si="22"/>
        <v>673.84275925687552</v>
      </c>
      <c r="H29" s="274">
        <f t="shared" si="1"/>
        <v>970.88738110401778</v>
      </c>
      <c r="I29" s="274">
        <f t="shared" si="2"/>
        <v>978.566140534238</v>
      </c>
      <c r="J29" s="274">
        <f t="shared" si="3"/>
        <v>995.3539815459676</v>
      </c>
      <c r="K29" s="274">
        <f t="shared" si="4"/>
        <v>1012.1418225576975</v>
      </c>
      <c r="L29" s="274">
        <f t="shared" si="5"/>
        <v>1034.0284648230731</v>
      </c>
      <c r="M29" s="274">
        <f t="shared" si="6"/>
        <v>1039.6103215998364</v>
      </c>
      <c r="N29" s="274">
        <f t="shared" si="7"/>
        <v>1058.4579563293337</v>
      </c>
      <c r="O29" s="274">
        <f t="shared" si="8"/>
        <v>1056.1631482568973</v>
      </c>
      <c r="P29" s="274">
        <f t="shared" si="9"/>
        <v>1062.634638935069</v>
      </c>
      <c r="Q29" s="274">
        <f t="shared" si="10"/>
        <v>1069.2646668230816</v>
      </c>
      <c r="R29" s="274">
        <f t="shared" si="11"/>
        <v>1075.5402094090693</v>
      </c>
      <c r="S29" s="605"/>
      <c r="T29" s="254">
        <f t="shared" si="25"/>
        <v>1.9024298361273308E-2</v>
      </c>
      <c r="U29" s="254">
        <f t="shared" si="26"/>
        <v>3.3057851239669422E-2</v>
      </c>
      <c r="V29" s="254">
        <f t="shared" si="27"/>
        <v>5.9701492537313433E-3</v>
      </c>
      <c r="W29" s="254">
        <f t="shared" si="28"/>
        <v>1.8281535648994516E-2</v>
      </c>
      <c r="X29" s="254">
        <f t="shared" si="29"/>
        <v>2.3062730627306273E-2</v>
      </c>
      <c r="Y29" s="254">
        <f t="shared" si="30"/>
        <v>1.3500482160077144E-2</v>
      </c>
      <c r="Z29" s="254">
        <f t="shared" si="31"/>
        <v>1.9024298361273308E-2</v>
      </c>
      <c r="AA29" s="254">
        <f t="shared" si="32"/>
        <v>1.9024298361273305E-2</v>
      </c>
      <c r="AB29" s="254">
        <f t="shared" si="33"/>
        <v>1.9024298361273308E-2</v>
      </c>
      <c r="AC29" s="254">
        <f t="shared" si="34"/>
        <v>1.9024298361273308E-2</v>
      </c>
      <c r="AD29" s="254">
        <f t="shared" si="35"/>
        <v>1.9024298361273308E-2</v>
      </c>
      <c r="AE29" s="254">
        <f t="shared" si="36"/>
        <v>1.9024298361273308E-2</v>
      </c>
      <c r="AF29" s="254">
        <f t="shared" si="37"/>
        <v>1.9024298361273308E-2</v>
      </c>
      <c r="AG29" s="254">
        <f t="shared" si="38"/>
        <v>1.9024298361273312E-2</v>
      </c>
      <c r="AH29" s="254">
        <f t="shared" si="39"/>
        <v>1.9024298361273308E-2</v>
      </c>
      <c r="AI29" s="254">
        <f t="shared" si="40"/>
        <v>1.9024298361273308E-2</v>
      </c>
      <c r="AJ29" s="254">
        <f t="shared" si="41"/>
        <v>1.9024298361273312E-2</v>
      </c>
      <c r="AM29" s="254">
        <v>1.0571861609093224E-2</v>
      </c>
      <c r="AN29" s="254"/>
      <c r="AP29" s="619">
        <v>945.68059103754638</v>
      </c>
      <c r="AQ29" s="619">
        <v>1622.5194004860161</v>
      </c>
      <c r="AR29" s="619">
        <v>278.51018750732453</v>
      </c>
      <c r="AS29" s="619">
        <v>938.72165559976213</v>
      </c>
      <c r="AT29" s="619">
        <v>1189.9271317939431</v>
      </c>
      <c r="AU29" s="619">
        <v>673.84275925687552</v>
      </c>
      <c r="AV29" s="619">
        <f t="shared" si="17"/>
        <v>970.88738110401778</v>
      </c>
      <c r="AW29" s="619">
        <f t="shared" si="17"/>
        <v>978.566140534238</v>
      </c>
      <c r="AX29" s="619">
        <f t="shared" si="17"/>
        <v>995.3539815459676</v>
      </c>
      <c r="AY29" s="619">
        <f t="shared" si="17"/>
        <v>1012.1418225576975</v>
      </c>
      <c r="AZ29" s="619">
        <f t="shared" si="17"/>
        <v>1034.0284648230731</v>
      </c>
      <c r="BA29" s="619">
        <f t="shared" si="17"/>
        <v>1039.6103215998364</v>
      </c>
      <c r="BB29" s="619">
        <f t="shared" si="17"/>
        <v>1058.4579563293337</v>
      </c>
      <c r="BC29" s="619">
        <f t="shared" si="17"/>
        <v>1056.1631482568973</v>
      </c>
      <c r="BD29" s="619">
        <f t="shared" si="17"/>
        <v>1062.634638935069</v>
      </c>
      <c r="BE29" s="619">
        <f t="shared" si="17"/>
        <v>1069.2646668230816</v>
      </c>
      <c r="BF29" s="619">
        <f t="shared" si="17"/>
        <v>1075.5402094090693</v>
      </c>
    </row>
    <row r="30" spans="1:58" x14ac:dyDescent="0.25">
      <c r="A30" s="273" t="s">
        <v>2491</v>
      </c>
      <c r="B30" s="274">
        <f t="shared" si="14"/>
        <v>4278.97059509068</v>
      </c>
      <c r="C30" s="274">
        <f t="shared" si="18"/>
        <v>5814.0278517415582</v>
      </c>
      <c r="D30" s="274">
        <f t="shared" si="19"/>
        <v>3945.5609896870974</v>
      </c>
      <c r="E30" s="274">
        <f t="shared" si="20"/>
        <v>3379.3979601591436</v>
      </c>
      <c r="F30" s="274">
        <f t="shared" si="21"/>
        <v>4045.7522480994062</v>
      </c>
      <c r="G30" s="274">
        <f t="shared" si="22"/>
        <v>4139.3198068636639</v>
      </c>
      <c r="H30" s="274">
        <f t="shared" si="1"/>
        <v>4393.0250808369919</v>
      </c>
      <c r="I30" s="274">
        <f t="shared" si="2"/>
        <v>4427.7695665757101</v>
      </c>
      <c r="J30" s="274">
        <f t="shared" si="3"/>
        <v>4503.7303917475965</v>
      </c>
      <c r="K30" s="274">
        <f t="shared" si="4"/>
        <v>4579.6912169194829</v>
      </c>
      <c r="L30" s="274">
        <f t="shared" si="5"/>
        <v>4678.7228556845985</v>
      </c>
      <c r="M30" s="274">
        <f t="shared" si="6"/>
        <v>4703.9793759517352</v>
      </c>
      <c r="N30" s="274">
        <f t="shared" si="7"/>
        <v>4789.2602578465885</v>
      </c>
      <c r="O30" s="274">
        <f t="shared" si="8"/>
        <v>4778.876819340614</v>
      </c>
      <c r="P30" s="274">
        <f t="shared" si="9"/>
        <v>4808.1587128052133</v>
      </c>
      <c r="Q30" s="274">
        <f t="shared" si="10"/>
        <v>4838.1579479024576</v>
      </c>
      <c r="R30" s="274">
        <f t="shared" si="11"/>
        <v>4866.5532247519277</v>
      </c>
      <c r="S30" s="605"/>
      <c r="T30" s="254">
        <f t="shared" si="25"/>
        <v>8.6080241100018828E-2</v>
      </c>
      <c r="U30" s="254">
        <f t="shared" si="26"/>
        <v>0.1184573002754821</v>
      </c>
      <c r="V30" s="254">
        <f t="shared" si="27"/>
        <v>8.45771144278607E-2</v>
      </c>
      <c r="W30" s="254">
        <f t="shared" si="28"/>
        <v>6.5813528336380253E-2</v>
      </c>
      <c r="X30" s="254">
        <f t="shared" si="29"/>
        <v>7.8413284132841321E-2</v>
      </c>
      <c r="Y30" s="254">
        <f t="shared" si="30"/>
        <v>8.2931533269045316E-2</v>
      </c>
      <c r="Z30" s="254">
        <f t="shared" si="31"/>
        <v>8.6080241100018842E-2</v>
      </c>
      <c r="AA30" s="254">
        <f t="shared" si="32"/>
        <v>8.6080241100018801E-2</v>
      </c>
      <c r="AB30" s="254">
        <f t="shared" si="33"/>
        <v>8.6080241100018842E-2</v>
      </c>
      <c r="AC30" s="254">
        <f t="shared" si="34"/>
        <v>8.6080241100018842E-2</v>
      </c>
      <c r="AD30" s="254">
        <f t="shared" si="35"/>
        <v>8.6080241100018828E-2</v>
      </c>
      <c r="AE30" s="254">
        <f t="shared" si="36"/>
        <v>8.6080241100018828E-2</v>
      </c>
      <c r="AF30" s="254">
        <f t="shared" si="37"/>
        <v>8.6080241100018828E-2</v>
      </c>
      <c r="AG30" s="254">
        <f t="shared" si="38"/>
        <v>8.6080241100018842E-2</v>
      </c>
      <c r="AH30" s="254">
        <f t="shared" si="39"/>
        <v>8.6080241100018842E-2</v>
      </c>
      <c r="AI30" s="254">
        <f t="shared" si="40"/>
        <v>8.6080241100018814E-2</v>
      </c>
      <c r="AJ30" s="254">
        <f t="shared" si="41"/>
        <v>8.6080241100018842E-2</v>
      </c>
      <c r="AM30" s="254">
        <v>5.2432710633630759E-2</v>
      </c>
      <c r="AN30" s="254"/>
      <c r="AP30" s="619">
        <v>4278.97059509068</v>
      </c>
      <c r="AQ30" s="619">
        <v>5814.0278517415582</v>
      </c>
      <c r="AR30" s="619">
        <v>3945.5609896870974</v>
      </c>
      <c r="AS30" s="619">
        <v>3379.3979601591436</v>
      </c>
      <c r="AT30" s="619">
        <v>4045.7522480994062</v>
      </c>
      <c r="AU30" s="619">
        <v>4139.3198068636639</v>
      </c>
      <c r="AV30" s="619">
        <f t="shared" si="17"/>
        <v>4393.0250808369919</v>
      </c>
      <c r="AW30" s="619">
        <f t="shared" si="17"/>
        <v>4427.7695665757101</v>
      </c>
      <c r="AX30" s="619">
        <f t="shared" si="17"/>
        <v>4503.7303917475965</v>
      </c>
      <c r="AY30" s="619">
        <f t="shared" si="17"/>
        <v>4579.6912169194829</v>
      </c>
      <c r="AZ30" s="619">
        <f t="shared" si="17"/>
        <v>4678.7228556845985</v>
      </c>
      <c r="BA30" s="619">
        <f t="shared" si="17"/>
        <v>4703.9793759517352</v>
      </c>
      <c r="BB30" s="619">
        <f t="shared" si="17"/>
        <v>4789.2602578465885</v>
      </c>
      <c r="BC30" s="619">
        <f t="shared" si="17"/>
        <v>4778.876819340614</v>
      </c>
      <c r="BD30" s="619">
        <f t="shared" si="17"/>
        <v>4808.1587128052133</v>
      </c>
      <c r="BE30" s="619">
        <f t="shared" si="17"/>
        <v>4838.1579479024576</v>
      </c>
      <c r="BF30" s="619">
        <f t="shared" si="17"/>
        <v>4866.5532247519277</v>
      </c>
    </row>
    <row r="31" spans="1:58" x14ac:dyDescent="0.25">
      <c r="A31" s="273" t="s">
        <v>2492</v>
      </c>
      <c r="B31" s="274">
        <f t="shared" si="14"/>
        <v>1029.9491585557437</v>
      </c>
      <c r="C31" s="274">
        <f t="shared" si="18"/>
        <v>1261.959533711346</v>
      </c>
      <c r="D31" s="274">
        <f t="shared" si="19"/>
        <v>1485.3876667057309</v>
      </c>
      <c r="E31" s="274">
        <f t="shared" si="20"/>
        <v>891.78557281977407</v>
      </c>
      <c r="F31" s="274">
        <f t="shared" si="21"/>
        <v>809.15044961988133</v>
      </c>
      <c r="G31" s="274">
        <f t="shared" si="22"/>
        <v>673.84275925687552</v>
      </c>
      <c r="H31" s="274">
        <f t="shared" si="1"/>
        <v>1057.4020982320988</v>
      </c>
      <c r="I31" s="274">
        <f t="shared" si="2"/>
        <v>1065.7651035521405</v>
      </c>
      <c r="J31" s="274">
        <f t="shared" si="3"/>
        <v>1084.0488907926381</v>
      </c>
      <c r="K31" s="274">
        <f t="shared" si="4"/>
        <v>1102.3326780331361</v>
      </c>
      <c r="L31" s="274">
        <f t="shared" si="5"/>
        <v>1126.1696151538422</v>
      </c>
      <c r="M31" s="274">
        <f t="shared" si="6"/>
        <v>1132.2488651087328</v>
      </c>
      <c r="N31" s="274">
        <f t="shared" si="7"/>
        <v>1152.7759920418489</v>
      </c>
      <c r="O31" s="274">
        <f t="shared" si="8"/>
        <v>1150.2766961213731</v>
      </c>
      <c r="P31" s="274">
        <f t="shared" si="9"/>
        <v>1157.3248542857189</v>
      </c>
      <c r="Q31" s="274">
        <f t="shared" si="10"/>
        <v>1164.5456767380097</v>
      </c>
      <c r="R31" s="274">
        <f t="shared" si="11"/>
        <v>1171.3804260890856</v>
      </c>
      <c r="S31" s="605"/>
      <c r="T31" s="254">
        <f t="shared" si="25"/>
        <v>2.0719532868713506E-2</v>
      </c>
      <c r="U31" s="254">
        <f t="shared" si="26"/>
        <v>2.5711662075298441E-2</v>
      </c>
      <c r="V31" s="254">
        <f t="shared" si="27"/>
        <v>3.1840796019900502E-2</v>
      </c>
      <c r="W31" s="254">
        <f t="shared" si="28"/>
        <v>1.736745886654479E-2</v>
      </c>
      <c r="X31" s="254">
        <f t="shared" si="29"/>
        <v>1.5682656826568265E-2</v>
      </c>
      <c r="Y31" s="254">
        <f t="shared" si="30"/>
        <v>1.3500482160077144E-2</v>
      </c>
      <c r="Z31" s="254">
        <f t="shared" si="31"/>
        <v>2.0719532868713506E-2</v>
      </c>
      <c r="AA31" s="254">
        <f t="shared" si="32"/>
        <v>2.0719532868713503E-2</v>
      </c>
      <c r="AB31" s="254">
        <f t="shared" si="33"/>
        <v>2.0719532868713506E-2</v>
      </c>
      <c r="AC31" s="254">
        <f t="shared" si="34"/>
        <v>2.071953286871351E-2</v>
      </c>
      <c r="AD31" s="254">
        <f t="shared" si="35"/>
        <v>2.0719532868713506E-2</v>
      </c>
      <c r="AE31" s="254">
        <f t="shared" si="36"/>
        <v>2.0719532868713506E-2</v>
      </c>
      <c r="AF31" s="254">
        <f t="shared" si="37"/>
        <v>2.0719532868713513E-2</v>
      </c>
      <c r="AG31" s="254">
        <f t="shared" si="38"/>
        <v>2.0719532868713506E-2</v>
      </c>
      <c r="AH31" s="254">
        <f t="shared" si="39"/>
        <v>2.071953286871351E-2</v>
      </c>
      <c r="AI31" s="254">
        <f t="shared" si="40"/>
        <v>2.0719532868713503E-2</v>
      </c>
      <c r="AJ31" s="254">
        <f t="shared" si="41"/>
        <v>2.071953286871351E-2</v>
      </c>
      <c r="AM31" s="254">
        <v>2.6992595604252545E-2</v>
      </c>
      <c r="AN31" s="254"/>
      <c r="AP31" s="619">
        <v>1029.9491585557437</v>
      </c>
      <c r="AQ31" s="619">
        <v>1261.959533711346</v>
      </c>
      <c r="AR31" s="619">
        <v>1485.3876667057309</v>
      </c>
      <c r="AS31" s="619">
        <v>891.78557281977407</v>
      </c>
      <c r="AT31" s="619">
        <v>809.15044961988133</v>
      </c>
      <c r="AU31" s="619">
        <v>673.84275925687552</v>
      </c>
      <c r="AV31" s="619">
        <f t="shared" ref="AV31:BF35" si="42">$AP31*AV$40/$AP$40</f>
        <v>1057.4020982320988</v>
      </c>
      <c r="AW31" s="619">
        <f t="shared" si="42"/>
        <v>1065.7651035521405</v>
      </c>
      <c r="AX31" s="619">
        <f t="shared" si="42"/>
        <v>1084.0488907926381</v>
      </c>
      <c r="AY31" s="619">
        <f t="shared" si="42"/>
        <v>1102.3326780331361</v>
      </c>
      <c r="AZ31" s="619">
        <f t="shared" si="42"/>
        <v>1126.1696151538422</v>
      </c>
      <c r="BA31" s="619">
        <f t="shared" si="42"/>
        <v>1132.2488651087328</v>
      </c>
      <c r="BB31" s="619">
        <f t="shared" si="42"/>
        <v>1152.7759920418489</v>
      </c>
      <c r="BC31" s="619">
        <f t="shared" si="42"/>
        <v>1150.2766961213731</v>
      </c>
      <c r="BD31" s="619">
        <f t="shared" si="42"/>
        <v>1157.3248542857189</v>
      </c>
      <c r="BE31" s="619">
        <f t="shared" si="42"/>
        <v>1164.5456767380097</v>
      </c>
      <c r="BF31" s="619">
        <f t="shared" si="42"/>
        <v>1171.3804260890856</v>
      </c>
    </row>
    <row r="32" spans="1:58" x14ac:dyDescent="0.25">
      <c r="A32" s="273" t="s">
        <v>2493</v>
      </c>
      <c r="B32" s="274">
        <f t="shared" si="14"/>
        <v>449.4323600970518</v>
      </c>
      <c r="C32" s="274">
        <f t="shared" si="18"/>
        <v>450.69983346833783</v>
      </c>
      <c r="D32" s="274">
        <f t="shared" si="19"/>
        <v>232.09182292277043</v>
      </c>
      <c r="E32" s="274">
        <f t="shared" si="20"/>
        <v>657.10515891983357</v>
      </c>
      <c r="F32" s="274">
        <f t="shared" si="21"/>
        <v>713.95627907636572</v>
      </c>
      <c r="G32" s="274">
        <f t="shared" si="22"/>
        <v>192.52650264482159</v>
      </c>
      <c r="H32" s="274">
        <f t="shared" si="1"/>
        <v>461.41182468309762</v>
      </c>
      <c r="I32" s="274">
        <f t="shared" si="2"/>
        <v>465.06113609547947</v>
      </c>
      <c r="J32" s="274">
        <f t="shared" si="3"/>
        <v>473.03951598224211</v>
      </c>
      <c r="K32" s="274">
        <f t="shared" si="4"/>
        <v>481.01789586900486</v>
      </c>
      <c r="L32" s="274">
        <f t="shared" si="5"/>
        <v>491.41946843076749</v>
      </c>
      <c r="M32" s="274">
        <f t="shared" si="6"/>
        <v>494.07223204744707</v>
      </c>
      <c r="N32" s="274">
        <f t="shared" si="7"/>
        <v>503.02952380007946</v>
      </c>
      <c r="O32" s="274">
        <f t="shared" si="8"/>
        <v>501.93892194387195</v>
      </c>
      <c r="P32" s="274">
        <f t="shared" si="9"/>
        <v>505.01448187013193</v>
      </c>
      <c r="Q32" s="274">
        <f t="shared" si="10"/>
        <v>508.16538621294973</v>
      </c>
      <c r="R32" s="274">
        <f t="shared" si="11"/>
        <v>511.14782229341921</v>
      </c>
      <c r="S32" s="605"/>
      <c r="T32" s="254">
        <f t="shared" si="25"/>
        <v>9.0412507063477119E-3</v>
      </c>
      <c r="U32" s="254">
        <f t="shared" si="26"/>
        <v>9.1827364554637279E-3</v>
      </c>
      <c r="V32" s="254">
        <f t="shared" si="27"/>
        <v>4.9751243781094526E-3</v>
      </c>
      <c r="W32" s="254">
        <f t="shared" si="28"/>
        <v>1.2797074954296163E-2</v>
      </c>
      <c r="X32" s="254">
        <f t="shared" si="29"/>
        <v>1.3837638376383762E-2</v>
      </c>
      <c r="Y32" s="254">
        <f t="shared" si="30"/>
        <v>3.8572806171648984E-3</v>
      </c>
      <c r="Z32" s="254">
        <f t="shared" si="31"/>
        <v>9.0412507063477119E-3</v>
      </c>
      <c r="AA32" s="254">
        <f t="shared" si="32"/>
        <v>9.0412507063477102E-3</v>
      </c>
      <c r="AB32" s="254">
        <f t="shared" si="33"/>
        <v>9.0412507063477136E-3</v>
      </c>
      <c r="AC32" s="254">
        <f t="shared" si="34"/>
        <v>9.0412507063477136E-3</v>
      </c>
      <c r="AD32" s="254">
        <f t="shared" si="35"/>
        <v>9.0412507063477119E-3</v>
      </c>
      <c r="AE32" s="254">
        <f t="shared" si="36"/>
        <v>9.0412507063477119E-3</v>
      </c>
      <c r="AF32" s="254">
        <f t="shared" si="37"/>
        <v>9.0412507063477136E-3</v>
      </c>
      <c r="AG32" s="254">
        <f t="shared" si="38"/>
        <v>9.0412507063477119E-3</v>
      </c>
      <c r="AH32" s="254">
        <f t="shared" si="39"/>
        <v>9.0412507063477136E-3</v>
      </c>
      <c r="AI32" s="254">
        <f t="shared" si="40"/>
        <v>9.0412507063477119E-3</v>
      </c>
      <c r="AJ32" s="254">
        <f t="shared" si="41"/>
        <v>9.0412507063477136E-3</v>
      </c>
      <c r="AM32" s="254">
        <v>4.5431324342674329E-3</v>
      </c>
      <c r="AN32" s="254"/>
      <c r="AP32" s="619">
        <v>449.4323600970518</v>
      </c>
      <c r="AQ32" s="619">
        <v>450.69983346833783</v>
      </c>
      <c r="AR32" s="619">
        <v>232.09182292277043</v>
      </c>
      <c r="AS32" s="619">
        <v>657.10515891983357</v>
      </c>
      <c r="AT32" s="619">
        <v>713.95627907636572</v>
      </c>
      <c r="AU32" s="619">
        <v>192.52650264482159</v>
      </c>
      <c r="AV32" s="619">
        <f t="shared" si="42"/>
        <v>461.41182468309762</v>
      </c>
      <c r="AW32" s="619">
        <f t="shared" si="42"/>
        <v>465.06113609547947</v>
      </c>
      <c r="AX32" s="619">
        <f t="shared" si="42"/>
        <v>473.03951598224211</v>
      </c>
      <c r="AY32" s="619">
        <f t="shared" si="42"/>
        <v>481.01789586900486</v>
      </c>
      <c r="AZ32" s="619">
        <f t="shared" si="42"/>
        <v>491.41946843076749</v>
      </c>
      <c r="BA32" s="619">
        <f t="shared" si="42"/>
        <v>494.07223204744707</v>
      </c>
      <c r="BB32" s="619">
        <f t="shared" si="42"/>
        <v>503.02952380007946</v>
      </c>
      <c r="BC32" s="619">
        <f t="shared" si="42"/>
        <v>501.93892194387195</v>
      </c>
      <c r="BD32" s="619">
        <f t="shared" si="42"/>
        <v>505.01448187013193</v>
      </c>
      <c r="BE32" s="619">
        <f t="shared" si="42"/>
        <v>508.16538621294973</v>
      </c>
      <c r="BF32" s="619">
        <f t="shared" si="42"/>
        <v>511.14782229341921</v>
      </c>
    </row>
    <row r="33" spans="1:59" x14ac:dyDescent="0.25">
      <c r="A33" s="273" t="s">
        <v>2494</v>
      </c>
      <c r="B33" s="274">
        <f t="shared" si="14"/>
        <v>786.50663016984061</v>
      </c>
      <c r="C33" s="274">
        <f t="shared" si="18"/>
        <v>946.46965028350951</v>
      </c>
      <c r="D33" s="274">
        <f t="shared" si="19"/>
        <v>928.36729169108173</v>
      </c>
      <c r="E33" s="274">
        <f t="shared" si="20"/>
        <v>750.97732447980979</v>
      </c>
      <c r="F33" s="274">
        <f t="shared" si="21"/>
        <v>523.56793798933484</v>
      </c>
      <c r="G33" s="274">
        <f t="shared" si="22"/>
        <v>770.10601057928636</v>
      </c>
      <c r="H33" s="274">
        <f t="shared" si="1"/>
        <v>807.47069319542072</v>
      </c>
      <c r="I33" s="274">
        <f t="shared" si="2"/>
        <v>813.85698816708907</v>
      </c>
      <c r="J33" s="274">
        <f t="shared" si="3"/>
        <v>827.81915296892362</v>
      </c>
      <c r="K33" s="274">
        <f t="shared" si="4"/>
        <v>841.78131777075851</v>
      </c>
      <c r="L33" s="274">
        <f t="shared" si="5"/>
        <v>859.98406975384307</v>
      </c>
      <c r="M33" s="274">
        <f t="shared" si="6"/>
        <v>864.62640608303229</v>
      </c>
      <c r="N33" s="274">
        <f t="shared" si="7"/>
        <v>880.30166665013894</v>
      </c>
      <c r="O33" s="274">
        <f t="shared" si="8"/>
        <v>878.39311340177585</v>
      </c>
      <c r="P33" s="274">
        <f t="shared" si="9"/>
        <v>883.77534327273077</v>
      </c>
      <c r="Q33" s="274">
        <f t="shared" si="10"/>
        <v>889.28942587266204</v>
      </c>
      <c r="R33" s="274">
        <f t="shared" si="11"/>
        <v>894.50868901348349</v>
      </c>
      <c r="S33" s="605"/>
      <c r="T33" s="254">
        <f t="shared" si="25"/>
        <v>1.5822188736108495E-2</v>
      </c>
      <c r="U33" s="254">
        <f t="shared" si="26"/>
        <v>1.928374655647383E-2</v>
      </c>
      <c r="V33" s="254">
        <f t="shared" si="27"/>
        <v>1.9900497512437811E-2</v>
      </c>
      <c r="W33" s="254">
        <f t="shared" si="28"/>
        <v>1.4625228519195614E-2</v>
      </c>
      <c r="X33" s="254">
        <f t="shared" si="29"/>
        <v>1.0147601476014758E-2</v>
      </c>
      <c r="Y33" s="254">
        <f t="shared" si="30"/>
        <v>1.5429122468659594E-2</v>
      </c>
      <c r="Z33" s="254">
        <f t="shared" si="31"/>
        <v>1.5822188736108491E-2</v>
      </c>
      <c r="AA33" s="254">
        <f t="shared" si="32"/>
        <v>1.5822188736108491E-2</v>
      </c>
      <c r="AB33" s="254">
        <f t="shared" si="33"/>
        <v>1.5822188736108495E-2</v>
      </c>
      <c r="AC33" s="254">
        <f t="shared" si="34"/>
        <v>1.5822188736108498E-2</v>
      </c>
      <c r="AD33" s="254">
        <f t="shared" si="35"/>
        <v>1.5822188736108495E-2</v>
      </c>
      <c r="AE33" s="254">
        <f t="shared" si="36"/>
        <v>1.5822188736108495E-2</v>
      </c>
      <c r="AF33" s="254">
        <f t="shared" si="37"/>
        <v>1.5822188736108495E-2</v>
      </c>
      <c r="AG33" s="254">
        <f t="shared" si="38"/>
        <v>1.5822188736108495E-2</v>
      </c>
      <c r="AH33" s="254">
        <f t="shared" si="39"/>
        <v>1.5822188736108498E-2</v>
      </c>
      <c r="AI33" s="254">
        <f t="shared" si="40"/>
        <v>1.5822188736108495E-2</v>
      </c>
      <c r="AJ33" s="254">
        <f t="shared" si="41"/>
        <v>1.5822188736108498E-2</v>
      </c>
      <c r="AM33" s="254">
        <v>4.6649080906857841E-3</v>
      </c>
      <c r="AN33" s="254"/>
      <c r="AP33" s="619">
        <v>786.50663016984061</v>
      </c>
      <c r="AQ33" s="619">
        <v>946.46965028350951</v>
      </c>
      <c r="AR33" s="619">
        <v>928.36729169108173</v>
      </c>
      <c r="AS33" s="619">
        <v>750.97732447980979</v>
      </c>
      <c r="AT33" s="619">
        <v>523.56793798933484</v>
      </c>
      <c r="AU33" s="619">
        <v>770.10601057928636</v>
      </c>
      <c r="AV33" s="619">
        <f t="shared" si="42"/>
        <v>807.47069319542072</v>
      </c>
      <c r="AW33" s="619">
        <f t="shared" si="42"/>
        <v>813.85698816708907</v>
      </c>
      <c r="AX33" s="619">
        <f t="shared" si="42"/>
        <v>827.81915296892362</v>
      </c>
      <c r="AY33" s="619">
        <f t="shared" si="42"/>
        <v>841.78131777075851</v>
      </c>
      <c r="AZ33" s="619">
        <f t="shared" si="42"/>
        <v>859.98406975384307</v>
      </c>
      <c r="BA33" s="619">
        <f t="shared" si="42"/>
        <v>864.62640608303229</v>
      </c>
      <c r="BB33" s="619">
        <f t="shared" si="42"/>
        <v>880.30166665013894</v>
      </c>
      <c r="BC33" s="619">
        <f t="shared" si="42"/>
        <v>878.39311340177585</v>
      </c>
      <c r="BD33" s="619">
        <f t="shared" si="42"/>
        <v>883.77534327273077</v>
      </c>
      <c r="BE33" s="619">
        <f t="shared" si="42"/>
        <v>889.28942587266204</v>
      </c>
      <c r="BF33" s="619">
        <f t="shared" si="42"/>
        <v>894.50868901348349</v>
      </c>
    </row>
    <row r="34" spans="1:59" x14ac:dyDescent="0.25">
      <c r="A34" s="273" t="s">
        <v>2495</v>
      </c>
      <c r="B34" s="274">
        <f t="shared" si="14"/>
        <v>1610.4659570144356</v>
      </c>
      <c r="C34" s="274">
        <f t="shared" si="18"/>
        <v>901.39966693667566</v>
      </c>
      <c r="D34" s="274">
        <f t="shared" si="19"/>
        <v>928.36729169108173</v>
      </c>
      <c r="E34" s="274">
        <f t="shared" si="20"/>
        <v>2393.7402217793938</v>
      </c>
      <c r="F34" s="274">
        <f t="shared" si="21"/>
        <v>2141.8688372290972</v>
      </c>
      <c r="G34" s="274">
        <f t="shared" si="22"/>
        <v>1732.7385238033942</v>
      </c>
      <c r="H34" s="274">
        <f t="shared" si="1"/>
        <v>1653.3923717810999</v>
      </c>
      <c r="I34" s="274">
        <f t="shared" si="2"/>
        <v>1666.4690710088014</v>
      </c>
      <c r="J34" s="274">
        <f t="shared" si="3"/>
        <v>1695.0582656030342</v>
      </c>
      <c r="K34" s="274">
        <f t="shared" si="4"/>
        <v>1723.6474601972673</v>
      </c>
      <c r="L34" s="274">
        <f t="shared" si="5"/>
        <v>1760.9197618769169</v>
      </c>
      <c r="M34" s="274">
        <f t="shared" si="6"/>
        <v>1770.4254981700187</v>
      </c>
      <c r="N34" s="274">
        <f t="shared" si="7"/>
        <v>1802.5224602836179</v>
      </c>
      <c r="O34" s="274">
        <f t="shared" si="8"/>
        <v>1798.6144702988747</v>
      </c>
      <c r="P34" s="274">
        <f t="shared" si="9"/>
        <v>1809.635226701306</v>
      </c>
      <c r="Q34" s="274">
        <f t="shared" si="10"/>
        <v>1820.9259672630699</v>
      </c>
      <c r="R34" s="274">
        <f t="shared" si="11"/>
        <v>1831.613029884752</v>
      </c>
      <c r="S34" s="605"/>
      <c r="T34" s="254">
        <f t="shared" si="25"/>
        <v>3.2397815031079302E-2</v>
      </c>
      <c r="U34" s="254">
        <f t="shared" si="26"/>
        <v>1.8365472910927456E-2</v>
      </c>
      <c r="V34" s="254">
        <f t="shared" si="27"/>
        <v>1.9900497512437811E-2</v>
      </c>
      <c r="W34" s="254">
        <f t="shared" si="28"/>
        <v>4.6617915904936025E-2</v>
      </c>
      <c r="X34" s="254">
        <f t="shared" si="29"/>
        <v>4.1512915129151284E-2</v>
      </c>
      <c r="Y34" s="254">
        <f t="shared" si="30"/>
        <v>3.4715525554484088E-2</v>
      </c>
      <c r="Z34" s="254">
        <f t="shared" si="31"/>
        <v>3.2397815031079302E-2</v>
      </c>
      <c r="AA34" s="254">
        <f t="shared" si="32"/>
        <v>3.2397815031079288E-2</v>
      </c>
      <c r="AB34" s="254">
        <f t="shared" si="33"/>
        <v>3.2397815031079302E-2</v>
      </c>
      <c r="AC34" s="254">
        <f t="shared" si="34"/>
        <v>3.2397815031079302E-2</v>
      </c>
      <c r="AD34" s="254">
        <f t="shared" si="35"/>
        <v>3.2397815031079302E-2</v>
      </c>
      <c r="AE34" s="254">
        <f t="shared" si="36"/>
        <v>3.2397815031079302E-2</v>
      </c>
      <c r="AF34" s="254">
        <f t="shared" si="37"/>
        <v>3.2397815031079302E-2</v>
      </c>
      <c r="AG34" s="254">
        <f t="shared" si="38"/>
        <v>3.2397815031079302E-2</v>
      </c>
      <c r="AH34" s="254">
        <f t="shared" si="39"/>
        <v>3.2397815031079309E-2</v>
      </c>
      <c r="AI34" s="254">
        <f t="shared" si="40"/>
        <v>3.2397815031079302E-2</v>
      </c>
      <c r="AJ34" s="254">
        <f t="shared" si="41"/>
        <v>3.2397815031079309E-2</v>
      </c>
      <c r="AM34" s="276" t="s">
        <v>65</v>
      </c>
      <c r="AN34" s="276"/>
      <c r="AP34" s="619">
        <v>1610.4659570144356</v>
      </c>
      <c r="AQ34" s="619">
        <v>901.39966693667566</v>
      </c>
      <c r="AR34" s="619">
        <v>928.36729169108173</v>
      </c>
      <c r="AS34" s="619">
        <v>2393.7402217793938</v>
      </c>
      <c r="AT34" s="619">
        <v>2141.8688372290972</v>
      </c>
      <c r="AU34" s="619">
        <v>1732.7385238033942</v>
      </c>
      <c r="AV34" s="619">
        <f t="shared" si="42"/>
        <v>1653.3923717810999</v>
      </c>
      <c r="AW34" s="619">
        <f t="shared" si="42"/>
        <v>1666.4690710088014</v>
      </c>
      <c r="AX34" s="619">
        <f t="shared" si="42"/>
        <v>1695.0582656030342</v>
      </c>
      <c r="AY34" s="619">
        <f t="shared" si="42"/>
        <v>1723.6474601972673</v>
      </c>
      <c r="AZ34" s="619">
        <f t="shared" si="42"/>
        <v>1760.9197618769169</v>
      </c>
      <c r="BA34" s="619">
        <f t="shared" si="42"/>
        <v>1770.4254981700187</v>
      </c>
      <c r="BB34" s="619">
        <f t="shared" si="42"/>
        <v>1802.5224602836179</v>
      </c>
      <c r="BC34" s="619">
        <f t="shared" si="42"/>
        <v>1798.6144702988747</v>
      </c>
      <c r="BD34" s="619">
        <f t="shared" si="42"/>
        <v>1809.635226701306</v>
      </c>
      <c r="BE34" s="619">
        <f t="shared" si="42"/>
        <v>1820.9259672630699</v>
      </c>
      <c r="BF34" s="619">
        <f t="shared" si="42"/>
        <v>1831.613029884752</v>
      </c>
    </row>
    <row r="35" spans="1:59" ht="15.75" thickBot="1" x14ac:dyDescent="0.3">
      <c r="A35" s="249" t="s">
        <v>2496</v>
      </c>
      <c r="B35" s="277">
        <f t="shared" si="14"/>
        <v>1825.8189628942728</v>
      </c>
      <c r="C35" s="277">
        <f t="shared" si="18"/>
        <v>1847.8693172201852</v>
      </c>
      <c r="D35" s="277">
        <f t="shared" si="19"/>
        <v>464.18364584554087</v>
      </c>
      <c r="E35" s="277">
        <f t="shared" si="20"/>
        <v>1455.0185661796313</v>
      </c>
      <c r="F35" s="277">
        <f t="shared" si="21"/>
        <v>2665.4367752184321</v>
      </c>
      <c r="G35" s="277">
        <f t="shared" si="22"/>
        <v>2743.5026626887075</v>
      </c>
      <c r="H35" s="277">
        <f t="shared" si="1"/>
        <v>1874.4855377750839</v>
      </c>
      <c r="I35" s="277">
        <f t="shared" si="2"/>
        <v>1889.3108653878853</v>
      </c>
      <c r="J35" s="277">
        <f t="shared" si="3"/>
        <v>1921.7230336778584</v>
      </c>
      <c r="K35" s="277">
        <f t="shared" si="4"/>
        <v>1954.1352019678318</v>
      </c>
      <c r="L35" s="277">
        <f t="shared" si="5"/>
        <v>1996.3915904999926</v>
      </c>
      <c r="M35" s="277">
        <f t="shared" si="6"/>
        <v>2007.1684426927536</v>
      </c>
      <c r="N35" s="277">
        <f t="shared" si="7"/>
        <v>2043.5574404378226</v>
      </c>
      <c r="O35" s="277">
        <f t="shared" si="8"/>
        <v>2039.1268703969797</v>
      </c>
      <c r="P35" s="277">
        <f t="shared" si="9"/>
        <v>2051.6213325974104</v>
      </c>
      <c r="Q35" s="277">
        <f t="shared" si="10"/>
        <v>2064.4218814901078</v>
      </c>
      <c r="R35" s="277">
        <f t="shared" si="11"/>
        <v>2076.5380280670151</v>
      </c>
      <c r="S35" s="605"/>
      <c r="T35" s="278">
        <f t="shared" si="25"/>
        <v>3.6730080994537576E-2</v>
      </c>
      <c r="U35" s="278">
        <f t="shared" si="26"/>
        <v>3.7649219467401289E-2</v>
      </c>
      <c r="V35" s="278">
        <f t="shared" si="27"/>
        <v>9.9502487562189053E-3</v>
      </c>
      <c r="W35" s="278">
        <f t="shared" si="28"/>
        <v>2.8336380255941498E-2</v>
      </c>
      <c r="X35" s="278">
        <f t="shared" si="29"/>
        <v>5.1660516605166046E-2</v>
      </c>
      <c r="Y35" s="278">
        <f t="shared" si="30"/>
        <v>5.4966248794599798E-2</v>
      </c>
      <c r="Z35" s="278">
        <f t="shared" si="31"/>
        <v>3.6730080994537576E-2</v>
      </c>
      <c r="AA35" s="278">
        <f t="shared" si="32"/>
        <v>3.6730080994537569E-2</v>
      </c>
      <c r="AB35" s="278">
        <f t="shared" si="33"/>
        <v>3.6730080994537583E-2</v>
      </c>
      <c r="AC35" s="278">
        <f t="shared" si="34"/>
        <v>3.6730080994537576E-2</v>
      </c>
      <c r="AD35" s="278">
        <f t="shared" si="35"/>
        <v>3.6730080994537569E-2</v>
      </c>
      <c r="AE35" s="278">
        <f t="shared" si="36"/>
        <v>3.6730080994537576E-2</v>
      </c>
      <c r="AF35" s="278">
        <f t="shared" si="37"/>
        <v>3.6730080994537583E-2</v>
      </c>
      <c r="AG35" s="278">
        <f t="shared" si="38"/>
        <v>3.6730080994537576E-2</v>
      </c>
      <c r="AH35" s="278">
        <f t="shared" si="39"/>
        <v>3.6730080994537576E-2</v>
      </c>
      <c r="AI35" s="278">
        <f t="shared" si="40"/>
        <v>3.6730080994537569E-2</v>
      </c>
      <c r="AJ35" s="278">
        <f t="shared" si="41"/>
        <v>3.6730080994537583E-2</v>
      </c>
      <c r="AM35" s="279" t="s">
        <v>65</v>
      </c>
      <c r="AN35" s="276"/>
      <c r="AP35" s="621">
        <v>1825.8189628942728</v>
      </c>
      <c r="AQ35" s="621">
        <v>1847.8693172201852</v>
      </c>
      <c r="AR35" s="621">
        <v>464.18364584554087</v>
      </c>
      <c r="AS35" s="621">
        <v>1455.0185661796313</v>
      </c>
      <c r="AT35" s="621">
        <v>2665.4367752184321</v>
      </c>
      <c r="AU35" s="621">
        <v>2743.5026626887075</v>
      </c>
      <c r="AV35" s="621">
        <f t="shared" si="42"/>
        <v>1874.4855377750839</v>
      </c>
      <c r="AW35" s="621">
        <f t="shared" si="42"/>
        <v>1889.3108653878853</v>
      </c>
      <c r="AX35" s="621">
        <f t="shared" si="42"/>
        <v>1921.7230336778584</v>
      </c>
      <c r="AY35" s="621">
        <f t="shared" si="42"/>
        <v>1954.1352019678318</v>
      </c>
      <c r="AZ35" s="621">
        <f t="shared" si="42"/>
        <v>1996.3915904999926</v>
      </c>
      <c r="BA35" s="621">
        <f t="shared" si="42"/>
        <v>2007.1684426927536</v>
      </c>
      <c r="BB35" s="621">
        <f t="shared" si="42"/>
        <v>2043.5574404378226</v>
      </c>
      <c r="BC35" s="621">
        <f t="shared" si="42"/>
        <v>2039.1268703969797</v>
      </c>
      <c r="BD35" s="621">
        <f t="shared" si="42"/>
        <v>2051.6213325974104</v>
      </c>
      <c r="BE35" s="621">
        <f t="shared" si="42"/>
        <v>2064.4218814901078</v>
      </c>
      <c r="BF35" s="621">
        <f t="shared" si="42"/>
        <v>2076.5380280670151</v>
      </c>
    </row>
    <row r="36" spans="1:59" ht="15.75" thickTop="1" x14ac:dyDescent="0.25">
      <c r="A36" s="273" t="s">
        <v>2497</v>
      </c>
      <c r="B36" s="274">
        <f t="shared" si="14"/>
        <v>49709.091661567662</v>
      </c>
      <c r="C36" s="274">
        <f t="shared" si="18"/>
        <v>49081.211864701989</v>
      </c>
      <c r="D36" s="274">
        <f t="shared" si="19"/>
        <v>46650.456407476857</v>
      </c>
      <c r="E36" s="274">
        <f t="shared" si="20"/>
        <v>51348.074561306988</v>
      </c>
      <c r="F36" s="274">
        <f t="shared" si="21"/>
        <v>51595.240434585372</v>
      </c>
      <c r="G36" s="274">
        <f t="shared" si="22"/>
        <v>49912.49581067</v>
      </c>
      <c r="H36" s="274">
        <f t="shared" si="1"/>
        <v>51034.07035922011</v>
      </c>
      <c r="I36" s="274">
        <f t="shared" si="2"/>
        <v>51437.699406893771</v>
      </c>
      <c r="J36" s="274">
        <f t="shared" si="3"/>
        <v>52320.141465619228</v>
      </c>
      <c r="K36" s="274">
        <f t="shared" si="4"/>
        <v>53202.583524344715</v>
      </c>
      <c r="L36" s="274">
        <f t="shared" si="5"/>
        <v>54353.040789561346</v>
      </c>
      <c r="M36" s="274">
        <f t="shared" si="6"/>
        <v>54646.447498747839</v>
      </c>
      <c r="N36" s="274">
        <f t="shared" si="7"/>
        <v>55637.161288637944</v>
      </c>
      <c r="O36" s="274">
        <f t="shared" si="8"/>
        <v>55516.536179167</v>
      </c>
      <c r="P36" s="274">
        <f t="shared" si="9"/>
        <v>55856.705921844368</v>
      </c>
      <c r="Q36" s="274">
        <f t="shared" si="10"/>
        <v>56205.209070928126</v>
      </c>
      <c r="R36" s="274">
        <f t="shared" si="11"/>
        <v>56535.078928245035</v>
      </c>
      <c r="S36" s="605"/>
      <c r="T36" s="254">
        <f>SUM(T6,T28:T35)</f>
        <v>1.0000000000000002</v>
      </c>
      <c r="U36" s="254">
        <f t="shared" ref="U36:AJ36" si="43">SUM(U6,U28:U35)</f>
        <v>1</v>
      </c>
      <c r="V36" s="254">
        <f t="shared" si="43"/>
        <v>1.0000000000000002</v>
      </c>
      <c r="W36" s="254">
        <f t="shared" si="43"/>
        <v>1</v>
      </c>
      <c r="X36" s="254">
        <f t="shared" si="43"/>
        <v>0.99999999999999978</v>
      </c>
      <c r="Y36" s="254">
        <f t="shared" si="43"/>
        <v>1</v>
      </c>
      <c r="Z36" s="254">
        <f t="shared" si="43"/>
        <v>0.99999999999999989</v>
      </c>
      <c r="AA36" s="254">
        <f t="shared" si="43"/>
        <v>0.99999999999999978</v>
      </c>
      <c r="AB36" s="254">
        <f t="shared" si="43"/>
        <v>1.0000000000000002</v>
      </c>
      <c r="AC36" s="254">
        <f t="shared" si="43"/>
        <v>1.0000000000000002</v>
      </c>
      <c r="AD36" s="254">
        <f t="shared" si="43"/>
        <v>1.0000000000000002</v>
      </c>
      <c r="AE36" s="254">
        <f t="shared" si="43"/>
        <v>1.0000000000000002</v>
      </c>
      <c r="AF36" s="254">
        <f t="shared" si="43"/>
        <v>1.0000000000000002</v>
      </c>
      <c r="AG36" s="254">
        <f t="shared" si="43"/>
        <v>1.0000000000000002</v>
      </c>
      <c r="AH36" s="254">
        <f t="shared" si="43"/>
        <v>1.0000000000000002</v>
      </c>
      <c r="AI36" s="254">
        <f t="shared" si="43"/>
        <v>0.99999999999999989</v>
      </c>
      <c r="AJ36" s="254">
        <f t="shared" si="43"/>
        <v>1.0000000000000002</v>
      </c>
      <c r="AM36" s="254">
        <v>0.99999999999999989</v>
      </c>
      <c r="AN36" s="254"/>
      <c r="AP36" s="619">
        <v>49709.091661567662</v>
      </c>
      <c r="AQ36" s="619">
        <v>49081.211864701989</v>
      </c>
      <c r="AR36" s="619">
        <v>46650.456407476857</v>
      </c>
      <c r="AS36" s="619">
        <v>51348.074561306988</v>
      </c>
      <c r="AT36" s="619">
        <v>51595.240434585372</v>
      </c>
      <c r="AU36" s="619">
        <v>49912.49581067</v>
      </c>
      <c r="AV36" s="619">
        <f>SUM(AV6,AV28:AV35)</f>
        <v>51034.07035922011</v>
      </c>
      <c r="AW36" s="619">
        <f>SUM(AW6,AW28:AW35)</f>
        <v>51437.699406893771</v>
      </c>
      <c r="AX36" s="619">
        <f t="shared" ref="AX36:BF36" si="44">SUM(AX6,AX28:AX35)</f>
        <v>52320.141465619228</v>
      </c>
      <c r="AY36" s="619">
        <f t="shared" si="44"/>
        <v>53202.583524344715</v>
      </c>
      <c r="AZ36" s="619">
        <f t="shared" si="44"/>
        <v>54353.040789561346</v>
      </c>
      <c r="BA36" s="619">
        <f t="shared" si="44"/>
        <v>54646.447498747839</v>
      </c>
      <c r="BB36" s="619">
        <f t="shared" si="44"/>
        <v>55637.161288637944</v>
      </c>
      <c r="BC36" s="619">
        <f t="shared" si="44"/>
        <v>55516.536179167</v>
      </c>
      <c r="BD36" s="619">
        <f t="shared" si="44"/>
        <v>55856.705921844368</v>
      </c>
      <c r="BE36" s="619">
        <f t="shared" si="44"/>
        <v>56205.209070928126</v>
      </c>
      <c r="BF36" s="619">
        <f t="shared" si="44"/>
        <v>56535.078928245035</v>
      </c>
    </row>
    <row r="37" spans="1:59" x14ac:dyDescent="0.25">
      <c r="A37" s="280" t="s">
        <v>2498</v>
      </c>
      <c r="B37" s="281" t="s">
        <v>65</v>
      </c>
      <c r="C37" s="281" t="s">
        <v>65</v>
      </c>
      <c r="D37" s="624">
        <f>D36-C36</f>
        <v>-2430.755457225132</v>
      </c>
      <c r="E37" s="624">
        <f t="shared" ref="E37:R37" si="45">E36-D36</f>
        <v>4697.6181538301316</v>
      </c>
      <c r="F37" s="624">
        <f t="shared" si="45"/>
        <v>247.16587327838351</v>
      </c>
      <c r="G37" s="624">
        <f t="shared" si="45"/>
        <v>-1682.7446239153724</v>
      </c>
      <c r="H37" s="624">
        <f t="shared" si="45"/>
        <v>1121.5745485501102</v>
      </c>
      <c r="I37" s="624">
        <f t="shared" si="45"/>
        <v>403.62904767366126</v>
      </c>
      <c r="J37" s="624">
        <f t="shared" si="45"/>
        <v>882.44205872545717</v>
      </c>
      <c r="K37" s="624">
        <f t="shared" si="45"/>
        <v>882.44205872548628</v>
      </c>
      <c r="L37" s="624">
        <f t="shared" si="45"/>
        <v>1150.4572652166316</v>
      </c>
      <c r="M37" s="624">
        <f t="shared" si="45"/>
        <v>293.40670918649266</v>
      </c>
      <c r="N37" s="624">
        <f t="shared" si="45"/>
        <v>990.71378989010555</v>
      </c>
      <c r="O37" s="624">
        <f t="shared" si="45"/>
        <v>-120.62510947094415</v>
      </c>
      <c r="P37" s="624">
        <f t="shared" si="45"/>
        <v>340.16974267736805</v>
      </c>
      <c r="Q37" s="624">
        <f t="shared" si="45"/>
        <v>348.50314908375731</v>
      </c>
      <c r="R37" s="624">
        <f t="shared" si="45"/>
        <v>329.86985731690947</v>
      </c>
      <c r="S37" s="605"/>
      <c r="U37" s="254"/>
      <c r="V37" s="254"/>
      <c r="W37" s="254"/>
      <c r="X37" s="254"/>
      <c r="Y37" s="254"/>
      <c r="Z37" s="254"/>
      <c r="AA37" s="254"/>
      <c r="AB37" s="254"/>
      <c r="AC37" s="254"/>
      <c r="AD37" s="254"/>
      <c r="AE37" s="254"/>
      <c r="AF37" s="254"/>
      <c r="AG37" s="254"/>
      <c r="AH37" s="254"/>
      <c r="AI37" s="254"/>
      <c r="AJ37" s="254"/>
      <c r="AM37" s="254"/>
      <c r="AN37" s="254"/>
      <c r="AU37" s="114"/>
      <c r="AY37" s="114"/>
    </row>
    <row r="38" spans="1:59" x14ac:dyDescent="0.25">
      <c r="A38" s="273" t="s">
        <v>2499</v>
      </c>
      <c r="B38" s="273"/>
      <c r="C38" s="114">
        <f>SUM(C6,C28:C32)</f>
        <v>45385.473230261625</v>
      </c>
      <c r="D38" s="114">
        <f t="shared" ref="D38:R38" si="46">SUM(D6,D28:D32)</f>
        <v>44329.538178249153</v>
      </c>
      <c r="E38" s="114">
        <f t="shared" si="46"/>
        <v>46748.338448868155</v>
      </c>
      <c r="F38" s="114">
        <f t="shared" si="46"/>
        <v>46264.366884148505</v>
      </c>
      <c r="G38" s="114">
        <f t="shared" si="46"/>
        <v>44666.148613598612</v>
      </c>
      <c r="H38" s="114">
        <f t="shared" si="46"/>
        <v>46698.721756468505</v>
      </c>
      <c r="I38" s="114">
        <f t="shared" si="46"/>
        <v>47068.062482329988</v>
      </c>
      <c r="J38" s="114">
        <f t="shared" si="46"/>
        <v>47875.541013369417</v>
      </c>
      <c r="K38" s="114">
        <f t="shared" si="46"/>
        <v>48683.01954440886</v>
      </c>
      <c r="L38" s="114">
        <f t="shared" si="46"/>
        <v>49735.745367430587</v>
      </c>
      <c r="M38" s="114">
        <f t="shared" si="46"/>
        <v>50004.227151802035</v>
      </c>
      <c r="N38" s="114">
        <f t="shared" si="46"/>
        <v>50910.779721266365</v>
      </c>
      <c r="O38" s="114">
        <f t="shared" si="46"/>
        <v>50800.401725069372</v>
      </c>
      <c r="P38" s="114">
        <f t="shared" si="46"/>
        <v>51111.674019272919</v>
      </c>
      <c r="Q38" s="114">
        <f t="shared" si="46"/>
        <v>51430.571796302283</v>
      </c>
      <c r="R38" s="114">
        <f t="shared" si="46"/>
        <v>51732.419181279787</v>
      </c>
      <c r="S38" s="605" t="s">
        <v>3202</v>
      </c>
      <c r="AP38" s="2" t="s">
        <v>41</v>
      </c>
    </row>
    <row r="39" spans="1:59" x14ac:dyDescent="0.25">
      <c r="A39" s="273" t="s">
        <v>2500</v>
      </c>
      <c r="B39" s="273"/>
      <c r="C39" s="114">
        <f>AQ42</f>
        <v>32410.710036832301</v>
      </c>
      <c r="D39" s="114">
        <f t="shared" ref="D39:Q39" si="47">AR42</f>
        <v>32817.725965581965</v>
      </c>
      <c r="E39" s="114">
        <f t="shared" si="47"/>
        <v>33231.118725223052</v>
      </c>
      <c r="F39" s="114">
        <f t="shared" si="47"/>
        <v>33485.33329214339</v>
      </c>
      <c r="G39" s="114">
        <f t="shared" si="47"/>
        <v>33739.668278242265</v>
      </c>
      <c r="H39" s="114">
        <f t="shared" si="47"/>
        <v>34031.936104801069</v>
      </c>
      <c r="I39" s="114">
        <f t="shared" si="47"/>
        <v>34324.345623022135</v>
      </c>
      <c r="J39" s="114">
        <f t="shared" si="47"/>
        <v>34940.189742244969</v>
      </c>
      <c r="K39" s="114">
        <f t="shared" si="47"/>
        <v>35556.177594802939</v>
      </c>
      <c r="L39" s="114">
        <f t="shared" si="47"/>
        <v>36353.273322848509</v>
      </c>
      <c r="M39" s="114">
        <f t="shared" si="47"/>
        <v>36567.376618820876</v>
      </c>
      <c r="N39" s="114">
        <f t="shared" si="47"/>
        <v>37252.389480937891</v>
      </c>
      <c r="O39" s="114">
        <f t="shared" si="47"/>
        <v>37187.119756756525</v>
      </c>
      <c r="P39" s="114">
        <f t="shared" si="47"/>
        <v>37433.068221101043</v>
      </c>
      <c r="Q39" s="114">
        <f t="shared" si="47"/>
        <v>37684.734693710263</v>
      </c>
      <c r="R39" s="114">
        <f>Q39*Q39/P39</f>
        <v>37938.093146604442</v>
      </c>
      <c r="S39" s="252">
        <f>(Q39/E39)^(1/12)-1</f>
        <v>1.0535810641524979E-2</v>
      </c>
      <c r="AP39" s="44" t="s">
        <v>3159</v>
      </c>
      <c r="AQ39" s="9">
        <v>2011</v>
      </c>
      <c r="AR39" s="9">
        <v>2012</v>
      </c>
      <c r="AS39" s="9">
        <v>2013</v>
      </c>
      <c r="AT39" s="9">
        <v>2014</v>
      </c>
      <c r="AU39" s="9">
        <v>2015</v>
      </c>
      <c r="AV39" s="9">
        <v>2016</v>
      </c>
      <c r="AW39" s="9">
        <v>2017</v>
      </c>
      <c r="AX39" s="9">
        <v>2018</v>
      </c>
      <c r="AY39" s="9">
        <v>2019</v>
      </c>
      <c r="AZ39" s="9">
        <v>2020</v>
      </c>
      <c r="BA39" s="9">
        <v>2021</v>
      </c>
      <c r="BB39" s="9">
        <v>2022</v>
      </c>
      <c r="BC39" s="9">
        <v>2023</v>
      </c>
      <c r="BD39" s="9">
        <v>2024</v>
      </c>
      <c r="BE39" s="9">
        <v>2025</v>
      </c>
      <c r="BF39" s="9">
        <v>2026</v>
      </c>
      <c r="BG39" s="9">
        <v>2030</v>
      </c>
    </row>
    <row r="40" spans="1:59" x14ac:dyDescent="0.25">
      <c r="A40" s="280" t="s">
        <v>2498</v>
      </c>
      <c r="B40" s="280"/>
      <c r="C40" s="281" t="s">
        <v>65</v>
      </c>
      <c r="D40" s="624">
        <f>D39-C39</f>
        <v>407.01592874966445</v>
      </c>
      <c r="E40" s="624">
        <f t="shared" ref="E40:R40" si="48">E39-D39</f>
        <v>413.39275964108674</v>
      </c>
      <c r="F40" s="624">
        <f t="shared" si="48"/>
        <v>254.21456692033826</v>
      </c>
      <c r="G40" s="624">
        <f t="shared" si="48"/>
        <v>254.33498609887465</v>
      </c>
      <c r="H40" s="624">
        <f t="shared" si="48"/>
        <v>292.26782655880379</v>
      </c>
      <c r="I40" s="624">
        <f t="shared" si="48"/>
        <v>292.40951822106581</v>
      </c>
      <c r="J40" s="624">
        <f t="shared" si="48"/>
        <v>615.84411922283471</v>
      </c>
      <c r="K40" s="624">
        <f t="shared" si="48"/>
        <v>615.98785255796975</v>
      </c>
      <c r="L40" s="624">
        <f t="shared" si="48"/>
        <v>797.09572804556956</v>
      </c>
      <c r="M40" s="624">
        <f t="shared" si="48"/>
        <v>214.10329597236705</v>
      </c>
      <c r="N40" s="624">
        <f t="shared" si="48"/>
        <v>685.01286211701517</v>
      </c>
      <c r="O40" s="624">
        <f t="shared" si="48"/>
        <v>-65.269724181365746</v>
      </c>
      <c r="P40" s="624">
        <f t="shared" si="48"/>
        <v>245.94846434451756</v>
      </c>
      <c r="Q40" s="624">
        <f t="shared" si="48"/>
        <v>251.66647260922036</v>
      </c>
      <c r="R40" s="624">
        <f t="shared" si="48"/>
        <v>253.35845289417921</v>
      </c>
      <c r="S40" s="274"/>
      <c r="AO40" s="622" t="s">
        <v>3198</v>
      </c>
      <c r="AP40" s="11">
        <f>AVERAGE(AQ40:AU40)</f>
        <v>0.99771007094957409</v>
      </c>
      <c r="AQ40" s="11">
        <v>0.97622398659192522</v>
      </c>
      <c r="AR40" s="11">
        <v>0.98802267929354248</v>
      </c>
      <c r="AS40" s="11">
        <v>1</v>
      </c>
      <c r="AT40" s="11">
        <v>1.0081012296208007</v>
      </c>
      <c r="AU40" s="11">
        <v>1.0162024592416015</v>
      </c>
      <c r="AV40" s="11">
        <v>1.0243036888624024</v>
      </c>
      <c r="AW40" s="11">
        <v>1.0324049184832031</v>
      </c>
      <c r="AX40" s="11">
        <v>1.0501163933782589</v>
      </c>
      <c r="AY40" s="11">
        <v>1.0678278682733149</v>
      </c>
      <c r="AZ40" s="11">
        <v>1.0909186704050136</v>
      </c>
      <c r="BA40" s="11">
        <v>1.0968076299263936</v>
      </c>
      <c r="BB40" s="11">
        <v>1.1166922243247699</v>
      </c>
      <c r="BC40" s="11">
        <v>1.114271160440764</v>
      </c>
      <c r="BD40" s="11">
        <v>1.1210986997652039</v>
      </c>
      <c r="BE40" s="11">
        <v>1.1280934987039124</v>
      </c>
      <c r="BF40" s="623">
        <f>BE40+1/5*(BG40-BE40)</f>
        <v>1.1347143092588203</v>
      </c>
      <c r="BG40" s="11">
        <v>1.1611975514784525</v>
      </c>
    </row>
    <row r="41" spans="1:59" x14ac:dyDescent="0.25">
      <c r="A41" s="273"/>
      <c r="B41" s="273"/>
      <c r="D41" s="252"/>
      <c r="E41" s="252"/>
      <c r="F41" s="252"/>
      <c r="G41" s="252"/>
      <c r="H41" s="252"/>
      <c r="I41" s="252"/>
      <c r="J41" s="252"/>
      <c r="K41" s="252"/>
      <c r="L41" s="252"/>
      <c r="M41" s="252"/>
      <c r="N41" s="252"/>
      <c r="O41" s="252"/>
      <c r="P41" s="252"/>
      <c r="Q41" s="252"/>
      <c r="R41" s="252"/>
      <c r="S41" s="252"/>
      <c r="AO41" s="622" t="s">
        <v>3199</v>
      </c>
      <c r="AP41" s="2" t="s">
        <v>3200</v>
      </c>
      <c r="AQ41" s="114">
        <v>36031.408028875012</v>
      </c>
      <c r="AR41" s="114">
        <v>36481.925371155972</v>
      </c>
      <c r="AS41" s="114">
        <v>36939.478074157225</v>
      </c>
      <c r="AT41" s="114">
        <v>37222.918961298456</v>
      </c>
      <c r="AU41" s="114">
        <v>37506.494668997235</v>
      </c>
      <c r="AV41" s="114">
        <v>37832.539747110211</v>
      </c>
      <c r="AW41" s="114">
        <v>38158.743462320024</v>
      </c>
      <c r="AX41" s="114">
        <v>38845.667179466611</v>
      </c>
      <c r="AY41" s="114">
        <v>39532.751819554411</v>
      </c>
      <c r="AZ41" s="114">
        <v>40421.822686570551</v>
      </c>
      <c r="BA41" s="114">
        <v>40660.676386821506</v>
      </c>
      <c r="BB41" s="114">
        <v>41424.725483474242</v>
      </c>
      <c r="BC41" s="114">
        <v>41352.001419498185</v>
      </c>
      <c r="BD41" s="114">
        <v>41626.372499863275</v>
      </c>
      <c r="BE41" s="114">
        <v>41907.121142304895</v>
      </c>
    </row>
    <row r="42" spans="1:59" x14ac:dyDescent="0.25">
      <c r="A42" s="273" t="s">
        <v>2501</v>
      </c>
      <c r="B42" s="273"/>
      <c r="C42" s="114">
        <v>639</v>
      </c>
      <c r="D42" s="114">
        <v>645</v>
      </c>
      <c r="E42" s="282">
        <v>670.5</v>
      </c>
      <c r="F42" s="282">
        <v>696</v>
      </c>
      <c r="G42" s="282">
        <v>721.5</v>
      </c>
      <c r="H42" s="282">
        <v>747</v>
      </c>
      <c r="I42" s="282">
        <v>772.5</v>
      </c>
      <c r="J42" s="282">
        <v>798</v>
      </c>
      <c r="K42" s="282">
        <v>823.5</v>
      </c>
      <c r="L42" s="114">
        <v>849</v>
      </c>
      <c r="M42" s="114"/>
      <c r="N42" s="114"/>
      <c r="O42" s="114"/>
      <c r="P42" s="114"/>
      <c r="Q42" s="114"/>
      <c r="R42" s="114"/>
      <c r="S42" s="114"/>
      <c r="AP42" s="2" t="s">
        <v>3201</v>
      </c>
      <c r="AQ42" s="114">
        <v>32410.710036832301</v>
      </c>
      <c r="AR42" s="114">
        <v>32817.725965581965</v>
      </c>
      <c r="AS42" s="114">
        <v>33231.118725223052</v>
      </c>
      <c r="AT42" s="114">
        <v>33485.33329214339</v>
      </c>
      <c r="AU42" s="114">
        <v>33739.668278242265</v>
      </c>
      <c r="AV42" s="114">
        <v>34031.936104801069</v>
      </c>
      <c r="AW42" s="114">
        <v>34324.345623022135</v>
      </c>
      <c r="AX42" s="114">
        <v>34940.189742244969</v>
      </c>
      <c r="AY42" s="114">
        <v>35556.177594802939</v>
      </c>
      <c r="AZ42" s="114">
        <v>36353.273322848509</v>
      </c>
      <c r="BA42" s="114">
        <v>36567.376618820876</v>
      </c>
      <c r="BB42" s="114">
        <v>37252.389480937891</v>
      </c>
      <c r="BC42" s="114">
        <v>37187.119756756525</v>
      </c>
      <c r="BD42" s="114">
        <v>37433.068221101043</v>
      </c>
      <c r="BE42" s="114">
        <v>37684.734693710263</v>
      </c>
    </row>
    <row r="43" spans="1:59" x14ac:dyDescent="0.25">
      <c r="A43" s="273" t="s">
        <v>2502</v>
      </c>
      <c r="B43" s="273"/>
      <c r="C43" s="114">
        <v>407</v>
      </c>
      <c r="D43" s="114">
        <v>358</v>
      </c>
      <c r="E43" s="282">
        <v>401.25</v>
      </c>
      <c r="F43" s="282">
        <v>444.5</v>
      </c>
      <c r="G43" s="282">
        <v>487.75</v>
      </c>
      <c r="H43" s="282">
        <v>531</v>
      </c>
      <c r="I43" s="282">
        <v>574.25</v>
      </c>
      <c r="J43" s="282">
        <v>617.5</v>
      </c>
      <c r="K43" s="282">
        <v>660.75</v>
      </c>
      <c r="L43" s="114">
        <v>704</v>
      </c>
      <c r="M43" s="114"/>
      <c r="N43" s="114"/>
      <c r="O43" s="114"/>
      <c r="P43" s="114"/>
      <c r="Q43" s="114"/>
      <c r="R43" s="114"/>
      <c r="S43" s="114"/>
    </row>
    <row r="44" spans="1:59" x14ac:dyDescent="0.25">
      <c r="A44" s="273" t="s">
        <v>2503</v>
      </c>
      <c r="B44" s="273"/>
      <c r="C44" s="114">
        <v>232</v>
      </c>
      <c r="D44" s="114">
        <v>287</v>
      </c>
      <c r="E44" s="114">
        <v>269.25</v>
      </c>
      <c r="F44" s="114">
        <v>251.5</v>
      </c>
      <c r="G44" s="114">
        <v>233.75</v>
      </c>
      <c r="H44" s="114">
        <v>216</v>
      </c>
      <c r="I44" s="114">
        <v>198.25</v>
      </c>
      <c r="J44" s="114">
        <v>180.5</v>
      </c>
      <c r="K44" s="114">
        <v>162.75</v>
      </c>
      <c r="L44" s="114">
        <v>145</v>
      </c>
      <c r="M44" s="114"/>
      <c r="N44" s="114"/>
      <c r="O44" s="114"/>
      <c r="P44" s="114"/>
      <c r="Q44" s="114"/>
      <c r="R44" s="114"/>
      <c r="S44" s="114"/>
    </row>
    <row r="45" spans="1:59" x14ac:dyDescent="0.25">
      <c r="G45" s="114">
        <f>SUM(G53:G57)</f>
        <v>1058.8957645465184</v>
      </c>
      <c r="H45" s="114">
        <f ca="1">SUM(H53:H57)</f>
        <v>741.08448432845216</v>
      </c>
      <c r="I45" s="114">
        <f ca="1">SUM(I53:I57)</f>
        <v>746.94573001294771</v>
      </c>
    </row>
    <row r="46" spans="1:59" x14ac:dyDescent="0.25">
      <c r="D46" s="114"/>
      <c r="E46" s="114"/>
      <c r="F46" s="114"/>
      <c r="I46" s="114"/>
      <c r="J46" s="114"/>
      <c r="K46" s="114"/>
      <c r="L46" s="114"/>
      <c r="M46" s="114"/>
      <c r="N46" s="114"/>
      <c r="O46" s="114"/>
      <c r="P46" s="114"/>
      <c r="Q46" s="114"/>
      <c r="R46" s="114"/>
      <c r="S46" s="114"/>
    </row>
    <row r="47" spans="1:59" ht="15.75" x14ac:dyDescent="0.25">
      <c r="B47" s="935" t="s">
        <v>2504</v>
      </c>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row>
    <row r="48" spans="1:59" x14ac:dyDescent="0.25">
      <c r="B48" s="914" t="s">
        <v>2467</v>
      </c>
      <c r="C48" s="914"/>
      <c r="D48" s="914"/>
      <c r="E48" s="914"/>
      <c r="F48" s="914"/>
      <c r="G48" s="914"/>
      <c r="H48" s="914"/>
      <c r="I48" s="914"/>
      <c r="J48" s="914"/>
      <c r="K48" s="914"/>
      <c r="L48" s="914"/>
      <c r="M48" s="914"/>
      <c r="N48" s="914"/>
      <c r="O48" s="914"/>
      <c r="P48" s="914"/>
      <c r="Q48" s="914"/>
      <c r="R48" s="914"/>
      <c r="S48" s="605"/>
      <c r="T48" s="914" t="s">
        <v>2468</v>
      </c>
      <c r="U48" s="914"/>
      <c r="V48" s="914"/>
      <c r="W48" s="914"/>
      <c r="X48" s="914"/>
      <c r="Y48" s="914"/>
      <c r="Z48" s="914"/>
      <c r="AA48" s="914"/>
      <c r="AB48" s="914"/>
      <c r="AC48" s="914"/>
      <c r="AD48" s="914"/>
      <c r="AE48" s="914"/>
      <c r="AF48" s="914"/>
      <c r="AG48" s="914"/>
      <c r="AH48" s="914"/>
      <c r="AI48" s="914"/>
      <c r="AJ48" s="914"/>
    </row>
    <row r="49" spans="1:36" ht="15.75" thickBot="1" x14ac:dyDescent="0.3">
      <c r="A49" s="248" t="s">
        <v>2463</v>
      </c>
      <c r="B49" s="15" t="s">
        <v>3159</v>
      </c>
      <c r="C49" s="15">
        <v>2011</v>
      </c>
      <c r="D49" s="15">
        <v>2012</v>
      </c>
      <c r="E49" s="15">
        <v>2013</v>
      </c>
      <c r="F49" s="15">
        <v>2014</v>
      </c>
      <c r="G49" s="15">
        <v>2015</v>
      </c>
      <c r="H49" s="15">
        <v>2016</v>
      </c>
      <c r="I49" s="15">
        <v>2017</v>
      </c>
      <c r="J49" s="15">
        <v>2018</v>
      </c>
      <c r="K49" s="15">
        <v>2019</v>
      </c>
      <c r="L49" s="15">
        <v>2020</v>
      </c>
      <c r="M49" s="15">
        <v>2021</v>
      </c>
      <c r="N49" s="15">
        <v>2022</v>
      </c>
      <c r="O49" s="15">
        <v>2023</v>
      </c>
      <c r="P49" s="15">
        <v>2024</v>
      </c>
      <c r="Q49" s="15">
        <v>2025</v>
      </c>
      <c r="R49" s="15">
        <v>2026</v>
      </c>
      <c r="S49" s="605"/>
      <c r="T49" s="15" t="s">
        <v>3159</v>
      </c>
      <c r="U49" s="15">
        <v>2011</v>
      </c>
      <c r="V49" s="15">
        <v>2012</v>
      </c>
      <c r="W49" s="15">
        <v>2013</v>
      </c>
      <c r="X49" s="15">
        <v>2014</v>
      </c>
      <c r="Y49" s="15">
        <v>2015</v>
      </c>
      <c r="Z49" s="15">
        <v>2016</v>
      </c>
      <c r="AA49" s="15">
        <v>2017</v>
      </c>
      <c r="AB49" s="15">
        <v>2018</v>
      </c>
      <c r="AC49" s="15">
        <v>2019</v>
      </c>
      <c r="AD49" s="15">
        <v>2020</v>
      </c>
      <c r="AE49" s="15">
        <v>2021</v>
      </c>
      <c r="AF49" s="15">
        <v>2022</v>
      </c>
      <c r="AG49" s="15">
        <v>2023</v>
      </c>
      <c r="AH49" s="15">
        <v>2024</v>
      </c>
      <c r="AI49" s="15">
        <v>2025</v>
      </c>
      <c r="AJ49" s="15">
        <v>2026</v>
      </c>
    </row>
    <row r="50" spans="1:36" ht="15.75" thickTop="1" x14ac:dyDescent="0.25">
      <c r="A50" s="250" t="s">
        <v>2470</v>
      </c>
      <c r="B50" s="251">
        <f t="shared" ref="B50:G59" si="49">B6</f>
        <v>12537.290211874006</v>
      </c>
      <c r="C50" s="251">
        <f t="shared" si="49"/>
        <v>10816.796003240108</v>
      </c>
      <c r="D50" s="251">
        <f t="shared" si="49"/>
        <v>11790.264604476739</v>
      </c>
      <c r="E50" s="251">
        <f t="shared" si="49"/>
        <v>13376.78359229661</v>
      </c>
      <c r="F50" s="251">
        <f t="shared" si="49"/>
        <v>13898.348899353254</v>
      </c>
      <c r="G50" s="251">
        <f t="shared" si="49"/>
        <v>12899.275677203046</v>
      </c>
      <c r="H50" s="251">
        <f t="shared" ref="H50:R50" si="50">H6</f>
        <v>12871.467359388909</v>
      </c>
      <c r="I50" s="251">
        <f t="shared" si="50"/>
        <v>12973.267942330145</v>
      </c>
      <c r="J50" s="251">
        <f t="shared" si="50"/>
        <v>13195.831497921294</v>
      </c>
      <c r="K50" s="251">
        <f t="shared" si="50"/>
        <v>13418.395053512446</v>
      </c>
      <c r="L50" s="251">
        <f t="shared" si="50"/>
        <v>13708.555588099951</v>
      </c>
      <c r="M50" s="251">
        <f t="shared" si="50"/>
        <v>13782.556639823573</v>
      </c>
      <c r="N50" s="251">
        <f t="shared" si="50"/>
        <v>14032.427757673047</v>
      </c>
      <c r="O50" s="251">
        <f t="shared" si="50"/>
        <v>14002.00451005926</v>
      </c>
      <c r="P50" s="251">
        <f t="shared" si="50"/>
        <v>14087.799817168885</v>
      </c>
      <c r="Q50" s="251">
        <f t="shared" si="50"/>
        <v>14175.696919565409</v>
      </c>
      <c r="R50" s="251">
        <f t="shared" si="50"/>
        <v>14258.894459393503</v>
      </c>
      <c r="S50" s="605"/>
      <c r="T50" s="253">
        <f>B50/B$80</f>
        <v>0.25221322282915803</v>
      </c>
      <c r="U50" s="253">
        <f>C50/C$80</f>
        <v>0.22038567493112948</v>
      </c>
      <c r="V50" s="253">
        <f t="shared" ref="V50:AJ50" si="51">D50/D$80</f>
        <v>0.25273631840796024</v>
      </c>
      <c r="W50" s="253">
        <f t="shared" si="51"/>
        <v>0.26051188299817185</v>
      </c>
      <c r="X50" s="253">
        <f t="shared" si="51"/>
        <v>0.26937269372693723</v>
      </c>
      <c r="Y50" s="253">
        <f t="shared" si="51"/>
        <v>0.25843780135004818</v>
      </c>
      <c r="Z50" s="253">
        <f t="shared" si="51"/>
        <v>0.25221322282915798</v>
      </c>
      <c r="AA50" s="253">
        <f t="shared" si="51"/>
        <v>0.25221322282915798</v>
      </c>
      <c r="AB50" s="253">
        <f t="shared" si="51"/>
        <v>0.25221322282915803</v>
      </c>
      <c r="AC50" s="253">
        <f t="shared" si="51"/>
        <v>0.25221322282915803</v>
      </c>
      <c r="AD50" s="253">
        <f t="shared" si="51"/>
        <v>0.25221322282915803</v>
      </c>
      <c r="AE50" s="253">
        <f t="shared" si="51"/>
        <v>0.25221322282915803</v>
      </c>
      <c r="AF50" s="253">
        <f t="shared" si="51"/>
        <v>0.25221322282915803</v>
      </c>
      <c r="AG50" s="253">
        <f t="shared" si="51"/>
        <v>0.25221322282915803</v>
      </c>
      <c r="AH50" s="253">
        <f t="shared" si="51"/>
        <v>0.25221322282915803</v>
      </c>
      <c r="AI50" s="253">
        <f t="shared" si="51"/>
        <v>0.25221322282915803</v>
      </c>
      <c r="AJ50" s="253">
        <f t="shared" si="51"/>
        <v>0.25221322282915803</v>
      </c>
    </row>
    <row r="51" spans="1:36" x14ac:dyDescent="0.25">
      <c r="A51" s="255" t="s">
        <v>2471</v>
      </c>
      <c r="B51" s="256">
        <f t="shared" si="49"/>
        <v>750.33782328639882</v>
      </c>
      <c r="C51" s="256">
        <f t="shared" si="49"/>
        <v>571.8130045765696</v>
      </c>
      <c r="D51" s="256">
        <f t="shared" si="49"/>
        <v>557.02037501464906</v>
      </c>
      <c r="E51" s="256">
        <f t="shared" si="49"/>
        <v>894.9256628649141</v>
      </c>
      <c r="F51" s="256">
        <f t="shared" si="49"/>
        <v>916.90496211011043</v>
      </c>
      <c r="G51" s="256">
        <f t="shared" si="49"/>
        <v>866.36926190169709</v>
      </c>
      <c r="H51" s="256">
        <f t="shared" ref="H51:R51" si="52">H7</f>
        <v>770.33781923615436</v>
      </c>
      <c r="I51" s="256">
        <f t="shared" si="52"/>
        <v>776.43042988187983</v>
      </c>
      <c r="J51" s="256">
        <f t="shared" si="52"/>
        <v>789.75052146650171</v>
      </c>
      <c r="K51" s="256">
        <f t="shared" si="52"/>
        <v>803.07061305112359</v>
      </c>
      <c r="L51" s="256">
        <f t="shared" si="52"/>
        <v>820.43628140901217</v>
      </c>
      <c r="M51" s="256">
        <f t="shared" si="52"/>
        <v>824.86513223186535</v>
      </c>
      <c r="N51" s="256">
        <f t="shared" si="52"/>
        <v>839.81954004255363</v>
      </c>
      <c r="O51" s="256">
        <f t="shared" si="52"/>
        <v>837.99875476869818</v>
      </c>
      <c r="P51" s="256">
        <f t="shared" si="52"/>
        <v>843.13347390631964</v>
      </c>
      <c r="Q51" s="256">
        <f t="shared" si="52"/>
        <v>848.39398230732365</v>
      </c>
      <c r="R51" s="256">
        <f t="shared" si="52"/>
        <v>853.37322900915672</v>
      </c>
      <c r="S51" s="605"/>
      <c r="T51" s="257">
        <f>B51/B$50</f>
        <v>5.9848484848484845E-2</v>
      </c>
      <c r="U51" s="257">
        <f>C51/C$50</f>
        <v>5.2863436123348019E-2</v>
      </c>
      <c r="V51" s="257">
        <f t="shared" ref="V51:AJ66" si="53">D51/D$50</f>
        <v>4.7244094488188976E-2</v>
      </c>
      <c r="W51" s="257">
        <f t="shared" si="53"/>
        <v>6.6901408450704233E-2</v>
      </c>
      <c r="X51" s="257">
        <f t="shared" si="53"/>
        <v>6.5972222222222224E-2</v>
      </c>
      <c r="Y51" s="257">
        <f t="shared" si="53"/>
        <v>6.7164179104477612E-2</v>
      </c>
      <c r="Z51" s="257">
        <f t="shared" si="53"/>
        <v>5.9848484848484845E-2</v>
      </c>
      <c r="AA51" s="257">
        <f t="shared" si="53"/>
        <v>5.9848484848484845E-2</v>
      </c>
      <c r="AB51" s="257">
        <f t="shared" si="53"/>
        <v>5.9848484848484852E-2</v>
      </c>
      <c r="AC51" s="257">
        <f t="shared" si="53"/>
        <v>5.9848484848484845E-2</v>
      </c>
      <c r="AD51" s="257">
        <f t="shared" si="53"/>
        <v>5.9848484848484845E-2</v>
      </c>
      <c r="AE51" s="257">
        <f t="shared" si="53"/>
        <v>5.9848484848484845E-2</v>
      </c>
      <c r="AF51" s="257">
        <f t="shared" si="53"/>
        <v>5.9848484848484852E-2</v>
      </c>
      <c r="AG51" s="257">
        <f t="shared" si="53"/>
        <v>5.9848484848484852E-2</v>
      </c>
      <c r="AH51" s="257">
        <f t="shared" si="53"/>
        <v>5.9848484848484845E-2</v>
      </c>
      <c r="AI51" s="257">
        <f t="shared" si="53"/>
        <v>5.9848484848484845E-2</v>
      </c>
      <c r="AJ51" s="257">
        <f t="shared" si="53"/>
        <v>5.9848484848484852E-2</v>
      </c>
    </row>
    <row r="52" spans="1:36" x14ac:dyDescent="0.25">
      <c r="A52" s="255" t="s">
        <v>2472</v>
      </c>
      <c r="B52" s="256">
        <f t="shared" si="49"/>
        <v>721.8439818957761</v>
      </c>
      <c r="C52" s="256">
        <f t="shared" si="49"/>
        <v>619.46408829128382</v>
      </c>
      <c r="D52" s="256">
        <f t="shared" si="49"/>
        <v>557.02037501464906</v>
      </c>
      <c r="E52" s="256">
        <f t="shared" si="49"/>
        <v>565.21620812520882</v>
      </c>
      <c r="F52" s="256">
        <f t="shared" si="49"/>
        <v>820.38865030904617</v>
      </c>
      <c r="G52" s="256">
        <f t="shared" si="49"/>
        <v>1058.8957645465186</v>
      </c>
      <c r="H52" s="625">
        <f ca="1">SUM(H53:H57)</f>
        <v>741.08448432845216</v>
      </c>
      <c r="I52" s="625">
        <f t="shared" ref="I52:R52" ca="1" si="54">SUM(I53:I57)</f>
        <v>746.94573001294771</v>
      </c>
      <c r="J52" s="625">
        <f t="shared" ca="1" si="54"/>
        <v>759.7599953348622</v>
      </c>
      <c r="K52" s="625">
        <f t="shared" ca="1" si="54"/>
        <v>772.57426065677703</v>
      </c>
      <c r="L52" s="625">
        <f t="shared" ca="1" si="54"/>
        <v>789.28047325423927</v>
      </c>
      <c r="M52" s="625">
        <f t="shared" ca="1" si="54"/>
        <v>793.5411398686299</v>
      </c>
      <c r="N52" s="625">
        <f t="shared" ca="1" si="54"/>
        <v>807.92765877511488</v>
      </c>
      <c r="O52" s="625">
        <f t="shared" ca="1" si="54"/>
        <v>806.17601724583608</v>
      </c>
      <c r="P52" s="625">
        <f t="shared" ca="1" si="54"/>
        <v>811.11574704911777</v>
      </c>
      <c r="Q52" s="625">
        <f t="shared" ca="1" si="54"/>
        <v>816.17648930831126</v>
      </c>
      <c r="R52" s="625">
        <f t="shared" ca="1" si="54"/>
        <v>820.96665069235326</v>
      </c>
      <c r="S52" s="605"/>
      <c r="T52" s="258">
        <f t="shared" ref="T52:U71" si="55">B52/B$50</f>
        <v>5.7575757575757579E-2</v>
      </c>
      <c r="U52" s="258">
        <f t="shared" si="55"/>
        <v>5.726872246696036E-2</v>
      </c>
      <c r="V52" s="258">
        <f t="shared" si="53"/>
        <v>4.7244094488188976E-2</v>
      </c>
      <c r="W52" s="258">
        <f t="shared" si="53"/>
        <v>4.2253521126760563E-2</v>
      </c>
      <c r="X52" s="258">
        <f t="shared" si="53"/>
        <v>5.9027777777777776E-2</v>
      </c>
      <c r="Y52" s="258">
        <f t="shared" si="53"/>
        <v>8.2089552238805971E-2</v>
      </c>
      <c r="Z52" s="258">
        <f t="shared" ca="1" si="53"/>
        <v>5.7575757575757558E-2</v>
      </c>
      <c r="AA52" s="258">
        <f t="shared" ca="1" si="53"/>
        <v>5.7575757575757572E-2</v>
      </c>
      <c r="AB52" s="258">
        <f t="shared" ca="1" si="53"/>
        <v>5.7575757575757565E-2</v>
      </c>
      <c r="AC52" s="258">
        <f t="shared" ca="1" si="53"/>
        <v>5.7575757575757565E-2</v>
      </c>
      <c r="AD52" s="258">
        <f t="shared" ca="1" si="53"/>
        <v>5.7575757575757551E-2</v>
      </c>
      <c r="AE52" s="258">
        <f t="shared" ca="1" si="53"/>
        <v>5.7575757575757572E-2</v>
      </c>
      <c r="AF52" s="258">
        <f t="shared" ca="1" si="53"/>
        <v>5.7575757575757579E-2</v>
      </c>
      <c r="AG52" s="258">
        <f t="shared" ca="1" si="53"/>
        <v>5.7575757575757572E-2</v>
      </c>
      <c r="AH52" s="258">
        <f t="shared" ca="1" si="53"/>
        <v>5.7575757575757586E-2</v>
      </c>
      <c r="AI52" s="258">
        <f t="shared" ca="1" si="53"/>
        <v>5.7575757575757565E-2</v>
      </c>
      <c r="AJ52" s="258">
        <f t="shared" ca="1" si="53"/>
        <v>5.7575757575757579E-2</v>
      </c>
    </row>
    <row r="53" spans="1:36" x14ac:dyDescent="0.25">
      <c r="A53" s="259" t="s">
        <v>2473</v>
      </c>
      <c r="B53" s="261">
        <f t="shared" si="49"/>
        <v>209.75490360247147</v>
      </c>
      <c r="C53" s="261">
        <f t="shared" si="49"/>
        <v>230.22939481074576</v>
      </c>
      <c r="D53" s="261">
        <f t="shared" si="49"/>
        <v>188.86102558462829</v>
      </c>
      <c r="E53" s="261">
        <f t="shared" si="49"/>
        <v>164.92707124655959</v>
      </c>
      <c r="F53" s="261">
        <f t="shared" si="49"/>
        <v>191.92635419677183</v>
      </c>
      <c r="G53" s="261">
        <f t="shared" si="49"/>
        <v>250.62449435366139</v>
      </c>
      <c r="H53" s="283">
        <f ca="1">SUM(H$9:H$11)*OFFSET(HHSurveyG2!$A$289,MATCH(H$49,HHSurveyG2!$A$290:$A$300,0),1)</f>
        <v>166.60718560664515</v>
      </c>
      <c r="I53" s="283">
        <f ca="1">SUM(I$9:I$11)*OFFSET(HHSurveyG2!$A$289,MATCH(I$49,HHSurveyG2!$A$290:$A$300,0),1)</f>
        <v>156.1031806575356</v>
      </c>
      <c r="J53" s="283">
        <f ca="1">SUM(J$9:J$11)*OFFSET(HHSurveyG2!$A$289,MATCH(J$49,HHSurveyG2!$A$290:$A$300,0),1)</f>
        <v>148.5041781002879</v>
      </c>
      <c r="K53" s="283">
        <f ca="1">SUM(K$9:K$11)*OFFSET(HHSurveyG2!$A$289,MATCH(K$49,HHSurveyG2!$A$290:$A$300,0),1)</f>
        <v>142.07721575376908</v>
      </c>
      <c r="L53" s="283">
        <f ca="1">SUM(L$9:L$11)*OFFSET(HHSurveyG2!$A$289,MATCH(L$49,HHSurveyG2!$A$290:$A$300,0),1)</f>
        <v>137.35077268926366</v>
      </c>
      <c r="M53" s="283">
        <f ca="1">SUM(M$9:M$11)*OFFSET(HHSurveyG2!$A$289,MATCH(M$49,HHSurveyG2!$A$290:$A$300,0),1)</f>
        <v>131.39085858304307</v>
      </c>
      <c r="N53" s="283">
        <f ca="1">SUM(N$9:N$11)*OFFSET(HHSurveyG2!$A$289,MATCH(N$49,HHSurveyG2!$A$290:$A$300,0),1)</f>
        <v>127.94159925300167</v>
      </c>
      <c r="O53" s="283">
        <f ca="1">SUM(O$9:O$11)*OFFSET(HHSurveyG2!$A$289,MATCH(O$49,HHSurveyG2!$A$290:$A$300,0),1)</f>
        <v>122.691146728471</v>
      </c>
      <c r="P53" s="283">
        <f ca="1">SUM(P$9:P$11)*OFFSET(HHSurveyG2!$A$289,MATCH(P$49,HHSurveyG2!$A$290:$A$300,0),1)</f>
        <v>119.16652460975105</v>
      </c>
      <c r="Q53" s="283">
        <f ca="1">SUM(Q$9:Q$11)*OFFSET(HHSurveyG2!$A$289,MATCH(Q$49,HHSurveyG2!$A$290:$A$300,0),1)</f>
        <v>116.23230462547977</v>
      </c>
      <c r="R53" s="283">
        <f ca="1">SUM(R$9:R$11)*OFFSET(HHSurveyG2!$A$289,MATCH(R$49,HHSurveyG2!$A$290:$A$300,0),1)</f>
        <v>113.75276818192005</v>
      </c>
      <c r="S53" s="605"/>
      <c r="T53" s="284">
        <f t="shared" si="55"/>
        <v>1.673048163181336E-2</v>
      </c>
      <c r="U53" s="284">
        <f t="shared" si="55"/>
        <v>2.1284435311693214E-2</v>
      </c>
      <c r="V53" s="284">
        <f t="shared" si="53"/>
        <v>1.6018387366210439E-2</v>
      </c>
      <c r="W53" s="284">
        <f t="shared" si="53"/>
        <v>1.2329351828756309E-2</v>
      </c>
      <c r="X53" s="284">
        <f t="shared" si="53"/>
        <v>1.3809291706995708E-2</v>
      </c>
      <c r="Y53" s="284">
        <f t="shared" si="53"/>
        <v>1.9429346315668818E-2</v>
      </c>
      <c r="Z53" s="284">
        <f t="shared" ca="1" si="53"/>
        <v>1.2943915480243665E-2</v>
      </c>
      <c r="AA53" s="284">
        <f t="shared" ca="1" si="53"/>
        <v>1.2032679919312428E-2</v>
      </c>
      <c r="AB53" s="284">
        <f t="shared" ca="1" si="53"/>
        <v>1.1253870445654098E-2</v>
      </c>
      <c r="AC53" s="284">
        <f t="shared" ca="1" si="53"/>
        <v>1.0588242124871592E-2</v>
      </c>
      <c r="AD53" s="284">
        <f t="shared" ca="1" si="53"/>
        <v>1.0019346809119291E-2</v>
      </c>
      <c r="AE53" s="284">
        <f t="shared" ca="1" si="53"/>
        <v>9.5331266917053625E-3</v>
      </c>
      <c r="AF53" s="284">
        <f t="shared" ca="1" si="53"/>
        <v>9.117566928719241E-3</v>
      </c>
      <c r="AG53" s="284">
        <f t="shared" ca="1" si="53"/>
        <v>8.7623987437175695E-3</v>
      </c>
      <c r="AH53" s="284">
        <f t="shared" ca="1" si="53"/>
        <v>8.4588456789769333E-3</v>
      </c>
      <c r="AI53" s="284">
        <f t="shared" ca="1" si="53"/>
        <v>8.1994067229989257E-3</v>
      </c>
      <c r="AJ53" s="284">
        <f t="shared" ca="1" si="53"/>
        <v>7.9776709551967941E-3</v>
      </c>
    </row>
    <row r="54" spans="1:36" x14ac:dyDescent="0.25">
      <c r="A54" s="259" t="s">
        <v>2474</v>
      </c>
      <c r="B54" s="261">
        <f t="shared" si="49"/>
        <v>261.08192621969755</v>
      </c>
      <c r="C54" s="261">
        <f t="shared" si="49"/>
        <v>224.57542376601722</v>
      </c>
      <c r="D54" s="261">
        <f t="shared" si="49"/>
        <v>215.52259521380904</v>
      </c>
      <c r="E54" s="261">
        <f t="shared" si="49"/>
        <v>183.67890678647785</v>
      </c>
      <c r="F54" s="261">
        <f t="shared" si="49"/>
        <v>285.51469385112068</v>
      </c>
      <c r="G54" s="261">
        <f t="shared" si="49"/>
        <v>399.05955763199086</v>
      </c>
      <c r="H54" s="283">
        <f ca="1">SUM(H$9:H$11)*OFFSET(HHSurveyG2!$A$289,MATCH(H$49,HHSurveyG2!$A$290:$A$300,0),2)</f>
        <v>318.76208616964209</v>
      </c>
      <c r="I54" s="283">
        <f ca="1">SUM(I$9:I$11)*OFFSET(HHSurveyG2!$A$289,MATCH(I$49,HHSurveyG2!$A$290:$A$300,0),2)</f>
        <v>328.66218216977239</v>
      </c>
      <c r="J54" s="283">
        <f ca="1">SUM(J$9:J$11)*OFFSET(HHSurveyG2!$A$289,MATCH(J$49,HHSurveyG2!$A$290:$A$300,0),2)</f>
        <v>340.71539990794702</v>
      </c>
      <c r="K54" s="283">
        <f ca="1">SUM(K$9:K$11)*OFFSET(HHSurveyG2!$A$289,MATCH(K$49,HHSurveyG2!$A$290:$A$300,0),2)</f>
        <v>352.03704046378328</v>
      </c>
      <c r="L54" s="283">
        <f ca="1">SUM(L$9:L$11)*OFFSET(HHSurveyG2!$A$289,MATCH(L$49,HHSurveyG2!$A$290:$A$300,0),2)</f>
        <v>364.51742038402699</v>
      </c>
      <c r="M54" s="283">
        <f ca="1">SUM(M$9:M$11)*OFFSET(HHSurveyG2!$A$289,MATCH(M$49,HHSurveyG2!$A$290:$A$300,0),2)</f>
        <v>370.66807336081706</v>
      </c>
      <c r="N54" s="283">
        <f ca="1">SUM(N$9:N$11)*OFFSET(HHSurveyG2!$A$289,MATCH(N$49,HHSurveyG2!$A$290:$A$300,0),2)</f>
        <v>381.02796095434627</v>
      </c>
      <c r="O54" s="283">
        <f ca="1">SUM(O$9:O$11)*OFFSET(HHSurveyG2!$A$289,MATCH(O$49,HHSurveyG2!$A$290:$A$300,0),2)</f>
        <v>383.30601104597747</v>
      </c>
      <c r="P54" s="283">
        <f ca="1">SUM(P$9:P$11)*OFFSET(HHSurveyG2!$A$289,MATCH(P$49,HHSurveyG2!$A$290:$A$300,0),2)</f>
        <v>388.32395254474415</v>
      </c>
      <c r="Q54" s="283">
        <f ca="1">SUM(Q$9:Q$11)*OFFSET(HHSurveyG2!$A$289,MATCH(Q$49,HHSurveyG2!$A$290:$A$300,0),2)</f>
        <v>393.0424026298038</v>
      </c>
      <c r="R54" s="283">
        <f ca="1">SUM(R$9:R$11)*OFFSET(HHSurveyG2!$A$289,MATCH(R$49,HHSurveyG2!$A$290:$A$300,0),2)</f>
        <v>397.32268849943193</v>
      </c>
      <c r="S54" s="605"/>
      <c r="T54" s="284">
        <f t="shared" si="55"/>
        <v>2.0824430304120116E-2</v>
      </c>
      <c r="U54" s="284">
        <f t="shared" si="55"/>
        <v>2.0761732374239745E-2</v>
      </c>
      <c r="V54" s="284">
        <f t="shared" si="53"/>
        <v>1.8279708084920805E-2</v>
      </c>
      <c r="W54" s="284">
        <f t="shared" si="53"/>
        <v>1.3731171287861338E-2</v>
      </c>
      <c r="X54" s="284">
        <f t="shared" si="53"/>
        <v>2.0543065648928042E-2</v>
      </c>
      <c r="Y54" s="284">
        <f t="shared" si="53"/>
        <v>3.0936586488902691E-2</v>
      </c>
      <c r="Z54" s="284">
        <f t="shared" ca="1" si="53"/>
        <v>2.4765015306287174E-2</v>
      </c>
      <c r="AA54" s="284">
        <f t="shared" ca="1" si="53"/>
        <v>2.5333800522024906E-2</v>
      </c>
      <c r="AB54" s="284">
        <f t="shared" ca="1" si="53"/>
        <v>2.5819926539803046E-2</v>
      </c>
      <c r="AC54" s="284">
        <f t="shared" ca="1" si="53"/>
        <v>2.6235405878263573E-2</v>
      </c>
      <c r="AD54" s="284">
        <f t="shared" ca="1" si="53"/>
        <v>2.6590505326502475E-2</v>
      </c>
      <c r="AE54" s="284">
        <f t="shared" ca="1" si="53"/>
        <v>2.6893999643709202E-2</v>
      </c>
      <c r="AF54" s="284">
        <f t="shared" ca="1" si="53"/>
        <v>2.7153388389688806E-2</v>
      </c>
      <c r="AG54" s="284">
        <f t="shared" ca="1" si="53"/>
        <v>2.7375081244303587E-2</v>
      </c>
      <c r="AH54" s="284">
        <f t="shared" ca="1" si="53"/>
        <v>2.7564556395207395E-2</v>
      </c>
      <c r="AI54" s="284">
        <f t="shared" ca="1" si="53"/>
        <v>2.7726495907747829E-2</v>
      </c>
      <c r="AJ54" s="284">
        <f t="shared" ca="1" si="53"/>
        <v>2.7864901422121328E-2</v>
      </c>
    </row>
    <row r="55" spans="1:36" x14ac:dyDescent="0.25">
      <c r="A55" s="260" t="s">
        <v>2475</v>
      </c>
      <c r="B55" s="261">
        <f t="shared" si="49"/>
        <v>188.86639497320303</v>
      </c>
      <c r="C55" s="261">
        <f t="shared" si="49"/>
        <v>145.24154995733812</v>
      </c>
      <c r="D55" s="261">
        <f t="shared" si="49"/>
        <v>129.76038245340646</v>
      </c>
      <c r="E55" s="261">
        <f t="shared" si="49"/>
        <v>153.92131221663237</v>
      </c>
      <c r="F55" s="261">
        <f t="shared" si="49"/>
        <v>230.77289554457514</v>
      </c>
      <c r="G55" s="261">
        <f t="shared" si="49"/>
        <v>294.13498265821187</v>
      </c>
      <c r="H55" s="283">
        <f ca="1">SUM(H$9:H$11)*OFFSET(HHSurveyG2!$A$289,MATCH(H$49,HHSurveyG2!$A$290:$A$300,0),3)</f>
        <v>191.91811499849766</v>
      </c>
      <c r="I55" s="283">
        <f ca="1">SUM(I$9:I$11)*OFFSET(HHSurveyG2!$A$289,MATCH(I$49,HHSurveyG2!$A$290:$A$300,0),3)</f>
        <v>197.87869765586552</v>
      </c>
      <c r="J55" s="283">
        <f ca="1">SUM(J$9:J$11)*OFFSET(HHSurveyG2!$A$289,MATCH(J$49,HHSurveyG2!$A$290:$A$300,0),3)</f>
        <v>205.13561724681665</v>
      </c>
      <c r="K55" s="283">
        <f ca="1">SUM(K$9:K$11)*OFFSET(HHSurveyG2!$A$289,MATCH(K$49,HHSurveyG2!$A$290:$A$300,0),3)</f>
        <v>211.95207380937751</v>
      </c>
      <c r="L55" s="283">
        <f ca="1">SUM(L$9:L$11)*OFFSET(HHSurveyG2!$A$289,MATCH(L$49,HHSurveyG2!$A$290:$A$300,0),3)</f>
        <v>219.46617630989749</v>
      </c>
      <c r="M55" s="283">
        <f ca="1">SUM(M$9:M$11)*OFFSET(HHSurveyG2!$A$289,MATCH(M$49,HHSurveyG2!$A$290:$A$300,0),3)</f>
        <v>223.1693197404723</v>
      </c>
      <c r="N55" s="283">
        <f ca="1">SUM(N$9:N$11)*OFFSET(HHSurveyG2!$A$289,MATCH(N$49,HHSurveyG2!$A$290:$A$300,0),3)</f>
        <v>229.40673060209005</v>
      </c>
      <c r="O55" s="283">
        <f ca="1">SUM(O$9:O$11)*OFFSET(HHSurveyG2!$A$289,MATCH(O$49,HHSurveyG2!$A$290:$A$300,0),3)</f>
        <v>230.77828355153758</v>
      </c>
      <c r="P55" s="283">
        <f ca="1">SUM(P$9:P$11)*OFFSET(HHSurveyG2!$A$289,MATCH(P$49,HHSurveyG2!$A$290:$A$300,0),3)</f>
        <v>233.7994517374664</v>
      </c>
      <c r="Q55" s="283">
        <f ca="1">SUM(Q$9:Q$11)*OFFSET(HHSurveyG2!$A$289,MATCH(Q$49,HHSurveyG2!$A$290:$A$300,0),3)</f>
        <v>236.64030416417953</v>
      </c>
      <c r="R55" s="283">
        <f ca="1">SUM(R$9:R$11)*OFFSET(HHSurveyG2!$A$289,MATCH(R$49,HHSurveyG2!$A$290:$A$300,0),3)</f>
        <v>239.21734965169259</v>
      </c>
      <c r="S55" s="605"/>
      <c r="T55" s="284">
        <f t="shared" si="55"/>
        <v>1.5064371310024282E-2</v>
      </c>
      <c r="U55" s="284">
        <f t="shared" si="55"/>
        <v>1.3427409550280127E-2</v>
      </c>
      <c r="V55" s="284">
        <f t="shared" si="53"/>
        <v>1.1005722670900593E-2</v>
      </c>
      <c r="W55" s="284">
        <f t="shared" si="53"/>
        <v>1.1506601056570297E-2</v>
      </c>
      <c r="X55" s="284">
        <f t="shared" si="53"/>
        <v>1.6604338919374368E-2</v>
      </c>
      <c r="Y55" s="284">
        <f t="shared" si="53"/>
        <v>2.2802441781908583E-2</v>
      </c>
      <c r="Z55" s="284">
        <f t="shared" ca="1" si="53"/>
        <v>1.4910352459426913E-2</v>
      </c>
      <c r="AA55" s="284">
        <f t="shared" ca="1" si="53"/>
        <v>1.5252802804620427E-2</v>
      </c>
      <c r="AB55" s="284">
        <f t="shared" ca="1" si="53"/>
        <v>1.554548626050061E-2</v>
      </c>
      <c r="AC55" s="284">
        <f t="shared" ca="1" si="53"/>
        <v>1.5795635242822591E-2</v>
      </c>
      <c r="AD55" s="284">
        <f t="shared" ca="1" si="53"/>
        <v>1.6009431110335981E-2</v>
      </c>
      <c r="AE55" s="284">
        <f t="shared" ca="1" si="53"/>
        <v>1.6192156910543199E-2</v>
      </c>
      <c r="AF55" s="284">
        <f t="shared" ca="1" si="53"/>
        <v>1.634832792754971E-2</v>
      </c>
      <c r="AG55" s="284">
        <f t="shared" ca="1" si="53"/>
        <v>1.6481803257936592E-2</v>
      </c>
      <c r="AH55" s="284">
        <f t="shared" ca="1" si="53"/>
        <v>1.6595881171773439E-2</v>
      </c>
      <c r="AI55" s="284">
        <f t="shared" ca="1" si="53"/>
        <v>1.6693380615211001E-2</v>
      </c>
      <c r="AJ55" s="284">
        <f t="shared" ca="1" si="53"/>
        <v>1.6776710868639643E-2</v>
      </c>
    </row>
    <row r="56" spans="1:36" x14ac:dyDescent="0.25">
      <c r="A56" s="259" t="s">
        <v>2476</v>
      </c>
      <c r="B56" s="261">
        <f t="shared" si="49"/>
        <v>19.757866909659018</v>
      </c>
      <c r="C56" s="261">
        <f t="shared" si="49"/>
        <v>7.4503073474508801</v>
      </c>
      <c r="D56" s="261">
        <f t="shared" si="49"/>
        <v>8.0885585281794743</v>
      </c>
      <c r="E56" s="261">
        <f t="shared" si="49"/>
        <v>20.574205272895714</v>
      </c>
      <c r="F56" s="261">
        <f t="shared" si="49"/>
        <v>30.399404993350206</v>
      </c>
      <c r="G56" s="261">
        <f t="shared" si="49"/>
        <v>30.557814777075723</v>
      </c>
      <c r="H56" s="283">
        <f ca="1">SUM(H$12:H$13)*OFFSET(HHSurveyG2!$A$289,MATCH(H$49,HHSurveyG2!$A$290:$A$300,0),1)</f>
        <v>15.693566838597457</v>
      </c>
      <c r="I56" s="283">
        <f ca="1">SUM(I$12:I$13)*OFFSET(HHSurveyG2!$A$289,MATCH(I$49,HHSurveyG2!$A$290:$A$300,0),1)</f>
        <v>14.704141903883029</v>
      </c>
      <c r="J56" s="283">
        <f ca="1">SUM(J$12:J$13)*OFFSET(HHSurveyG2!$A$289,MATCH(J$49,HHSurveyG2!$A$290:$A$300,0),1)</f>
        <v>13.988353721610995</v>
      </c>
      <c r="K56" s="283">
        <f ca="1">SUM(K$12:K$13)*OFFSET(HHSurveyG2!$A$289,MATCH(K$49,HHSurveyG2!$A$290:$A$300,0),1)</f>
        <v>13.382965888025149</v>
      </c>
      <c r="L56" s="283">
        <f ca="1">SUM(L$12:L$13)*OFFSET(HHSurveyG2!$A$289,MATCH(L$49,HHSurveyG2!$A$290:$A$300,0),1)</f>
        <v>12.937758498730634</v>
      </c>
      <c r="M56" s="283">
        <f ca="1">SUM(M$12:M$13)*OFFSET(HHSurveyG2!$A$289,MATCH(M$49,HHSurveyG2!$A$290:$A$300,0),1)</f>
        <v>12.376364282522577</v>
      </c>
      <c r="N56" s="283">
        <f ca="1">SUM(N$12:N$13)*OFFSET(HHSurveyG2!$A$289,MATCH(N$49,HHSurveyG2!$A$290:$A$300,0),1)</f>
        <v>12.051461238019668</v>
      </c>
      <c r="O56" s="283">
        <f ca="1">SUM(O$12:O$13)*OFFSET(HHSurveyG2!$A$289,MATCH(O$49,HHSurveyG2!$A$290:$A$300,0),1)</f>
        <v>11.556894768232794</v>
      </c>
      <c r="P56" s="283">
        <f ca="1">SUM(P$12:P$13)*OFFSET(HHSurveyG2!$A$289,MATCH(P$49,HHSurveyG2!$A$290:$A$300,0),1)</f>
        <v>11.224892924497642</v>
      </c>
      <c r="Q56" s="283">
        <f ca="1">SUM(Q$12:Q$13)*OFFSET(HHSurveyG2!$A$289,MATCH(Q$49,HHSurveyG2!$A$290:$A$300,0),1)</f>
        <v>10.948504020413827</v>
      </c>
      <c r="R56" s="283">
        <f ca="1">SUM(R$12:R$13)*OFFSET(HHSurveyG2!$A$289,MATCH(R$49,HHSurveyG2!$A$290:$A$300,0),1)</f>
        <v>10.714944040608305</v>
      </c>
      <c r="S56" s="605"/>
      <c r="T56" s="284">
        <f t="shared" si="55"/>
        <v>1.5759280175987663E-3</v>
      </c>
      <c r="U56" s="284">
        <f t="shared" si="55"/>
        <v>6.8877210453254217E-4</v>
      </c>
      <c r="V56" s="284">
        <f t="shared" si="53"/>
        <v>6.8603706528420623E-4</v>
      </c>
      <c r="W56" s="284">
        <f t="shared" si="53"/>
        <v>1.5380532346164243E-3</v>
      </c>
      <c r="X56" s="284">
        <f t="shared" si="53"/>
        <v>2.1872673663247016E-3</v>
      </c>
      <c r="Y56" s="284">
        <f t="shared" si="53"/>
        <v>2.3689558655669869E-3</v>
      </c>
      <c r="Z56" s="284">
        <f t="shared" ca="1" si="53"/>
        <v>1.2192523509877845E-3</v>
      </c>
      <c r="AA56" s="284">
        <f t="shared" ca="1" si="53"/>
        <v>1.1334185009703884E-3</v>
      </c>
      <c r="AB56" s="284">
        <f t="shared" ca="1" si="53"/>
        <v>1.060058528620538E-3</v>
      </c>
      <c r="AC56" s="284">
        <f t="shared" ca="1" si="53"/>
        <v>9.9735965699727838E-4</v>
      </c>
      <c r="AD56" s="284">
        <f t="shared" ca="1" si="53"/>
        <v>9.4377255251906875E-4</v>
      </c>
      <c r="AE56" s="284">
        <f t="shared" ca="1" si="53"/>
        <v>8.9797303983225299E-4</v>
      </c>
      <c r="AF56" s="284">
        <f t="shared" ca="1" si="53"/>
        <v>8.5882938049902516E-4</v>
      </c>
      <c r="AG56" s="284">
        <f t="shared" ca="1" si="53"/>
        <v>8.2537430693799165E-4</v>
      </c>
      <c r="AH56" s="284">
        <f t="shared" ca="1" si="53"/>
        <v>7.9678112055636945E-4</v>
      </c>
      <c r="AI56" s="284">
        <f t="shared" ca="1" si="53"/>
        <v>7.7234326344143369E-4</v>
      </c>
      <c r="AJ56" s="284">
        <f t="shared" ca="1" si="53"/>
        <v>7.5145685881344696E-4</v>
      </c>
    </row>
    <row r="57" spans="1:36" x14ac:dyDescent="0.25">
      <c r="A57" s="263" t="s">
        <v>2477</v>
      </c>
      <c r="B57" s="264">
        <f t="shared" si="49"/>
        <v>42.382890190744938</v>
      </c>
      <c r="C57" s="264">
        <f t="shared" si="49"/>
        <v>11.967412409731811</v>
      </c>
      <c r="D57" s="264">
        <f t="shared" si="49"/>
        <v>14.787813234625753</v>
      </c>
      <c r="E57" s="264">
        <f t="shared" si="49"/>
        <v>42.114712602643337</v>
      </c>
      <c r="F57" s="264">
        <f t="shared" si="49"/>
        <v>81.77530172322858</v>
      </c>
      <c r="G57" s="264">
        <f t="shared" si="49"/>
        <v>84.518915125578644</v>
      </c>
      <c r="H57" s="285">
        <f ca="1">SUM(H$12:H$13)*(1-OFFSET(HHSurveyG2!$A$289,MATCH(H$49,HHSurveyG2!$A$290:$A$300,0),1))</f>
        <v>48.10353071506983</v>
      </c>
      <c r="I57" s="285">
        <f ca="1">SUM(I$12:I$13)*(1-OFFSET(HHSurveyG2!$A$289,MATCH(I$49,HHSurveyG2!$A$290:$A$300,0),1))</f>
        <v>49.597527625891161</v>
      </c>
      <c r="J57" s="285">
        <f ca="1">SUM(J$12:J$13)*(1-OFFSET(HHSurveyG2!$A$289,MATCH(J$49,HHSurveyG2!$A$290:$A$300,0),1))</f>
        <v>51.416446358199686</v>
      </c>
      <c r="K57" s="285">
        <f ca="1">SUM(K$12:K$13)*(1-OFFSET(HHSurveyG2!$A$289,MATCH(K$49,HHSurveyG2!$A$290:$A$300,0),1))</f>
        <v>53.124964741822062</v>
      </c>
      <c r="L57" s="285">
        <f ca="1">SUM(L$12:L$13)*(1-OFFSET(HHSurveyG2!$A$289,MATCH(L$49,HHSurveyG2!$A$290:$A$300,0),1))</f>
        <v>55.008345372320527</v>
      </c>
      <c r="M57" s="285">
        <f ca="1">SUM(M$12:M$13)*(1-OFFSET(HHSurveyG2!$A$289,MATCH(M$49,HHSurveyG2!$A$290:$A$300,0),1))</f>
        <v>55.936523901774912</v>
      </c>
      <c r="N57" s="285">
        <f ca="1">SUM(N$12:N$13)*(1-OFFSET(HHSurveyG2!$A$289,MATCH(N$49,HHSurveyG2!$A$290:$A$300,0),1))</f>
        <v>57.499906727657134</v>
      </c>
      <c r="O57" s="285">
        <f ca="1">SUM(O$12:O$13)*(1-OFFSET(HHSurveyG2!$A$289,MATCH(O$49,HHSurveyG2!$A$290:$A$300,0),1))</f>
        <v>57.843681151617119</v>
      </c>
      <c r="P57" s="285">
        <f ca="1">SUM(P$12:P$13)*(1-OFFSET(HHSurveyG2!$A$289,MATCH(P$49,HHSurveyG2!$A$290:$A$300,0),1))</f>
        <v>58.600925232658426</v>
      </c>
      <c r="Q57" s="285">
        <f ca="1">SUM(Q$12:Q$13)*(1-OFFSET(HHSurveyG2!$A$289,MATCH(Q$49,HHSurveyG2!$A$290:$A$300,0),1))</f>
        <v>59.312973868434398</v>
      </c>
      <c r="R57" s="285">
        <f ca="1">SUM(R$12:R$13)*(1-OFFSET(HHSurveyG2!$A$289,MATCH(R$49,HHSurveyG2!$A$290:$A$300,0),1))</f>
        <v>59.958900318700366</v>
      </c>
      <c r="S57" s="605"/>
      <c r="T57" s="286">
        <f t="shared" si="55"/>
        <v>3.3805463122010457E-3</v>
      </c>
      <c r="U57" s="286">
        <f t="shared" si="55"/>
        <v>1.1063731262147352E-3</v>
      </c>
      <c r="V57" s="286">
        <f t="shared" si="53"/>
        <v>1.2542393008729297E-3</v>
      </c>
      <c r="W57" s="286">
        <f t="shared" si="53"/>
        <v>3.1483437189561963E-3</v>
      </c>
      <c r="X57" s="286">
        <f t="shared" si="53"/>
        <v>5.8838141361549729E-3</v>
      </c>
      <c r="Y57" s="286">
        <f t="shared" si="53"/>
        <v>6.5522217867588755E-3</v>
      </c>
      <c r="Z57" s="286">
        <f t="shared" ca="1" si="53"/>
        <v>3.7372219788120264E-3</v>
      </c>
      <c r="AA57" s="286">
        <f t="shared" ca="1" si="53"/>
        <v>3.8230558288294232E-3</v>
      </c>
      <c r="AB57" s="286">
        <f t="shared" ca="1" si="53"/>
        <v>3.896415801179273E-3</v>
      </c>
      <c r="AC57" s="286">
        <f t="shared" ca="1" si="53"/>
        <v>3.9591146728025339E-3</v>
      </c>
      <c r="AD57" s="286">
        <f t="shared" ca="1" si="53"/>
        <v>4.0127017772807428E-3</v>
      </c>
      <c r="AE57" s="286">
        <f t="shared" ca="1" si="53"/>
        <v>4.0585012899675586E-3</v>
      </c>
      <c r="AF57" s="286">
        <f t="shared" ca="1" si="53"/>
        <v>4.0976449493007874E-3</v>
      </c>
      <c r="AG57" s="286">
        <f t="shared" ca="1" si="53"/>
        <v>4.1311000228618205E-3</v>
      </c>
      <c r="AH57" s="286">
        <f t="shared" ca="1" si="53"/>
        <v>4.1596932092434428E-3</v>
      </c>
      <c r="AI57" s="286">
        <f t="shared" ca="1" si="53"/>
        <v>4.1841310663583786E-3</v>
      </c>
      <c r="AJ57" s="286">
        <f t="shared" ca="1" si="53"/>
        <v>4.2050174709863655E-3</v>
      </c>
    </row>
    <row r="58" spans="1:36" x14ac:dyDescent="0.25">
      <c r="A58" s="255" t="s">
        <v>2478</v>
      </c>
      <c r="B58" s="256">
        <f t="shared" si="49"/>
        <v>10618.704891572075</v>
      </c>
      <c r="C58" s="256">
        <f t="shared" si="49"/>
        <v>9196.6591569398279</v>
      </c>
      <c r="D58" s="256">
        <f t="shared" si="49"/>
        <v>10304.876937771009</v>
      </c>
      <c r="E58" s="256">
        <f t="shared" si="49"/>
        <v>11681.134967920983</v>
      </c>
      <c r="F58" s="256">
        <f t="shared" si="49"/>
        <v>11533.69926022718</v>
      </c>
      <c r="G58" s="256">
        <f t="shared" si="49"/>
        <v>10396.431142820365</v>
      </c>
      <c r="H58" s="625">
        <f ca="1">SUM(H59:H63)</f>
        <v>10901.742808936971</v>
      </c>
      <c r="I58" s="625">
        <f t="shared" ref="I58:R58" ca="1" si="56">SUM(I59:I63)</f>
        <v>10987.964817822049</v>
      </c>
      <c r="J58" s="625">
        <f t="shared" ca="1" si="56"/>
        <v>11176.46940505758</v>
      </c>
      <c r="K58" s="625">
        <f t="shared" ca="1" si="56"/>
        <v>11364.973992293118</v>
      </c>
      <c r="L58" s="625">
        <f t="shared" ca="1" si="56"/>
        <v>11610.73117234526</v>
      </c>
      <c r="M58" s="625">
        <f t="shared" ca="1" si="56"/>
        <v>11673.407820699058</v>
      </c>
      <c r="N58" s="625">
        <f t="shared" ca="1" si="56"/>
        <v>11885.041085665505</v>
      </c>
      <c r="O58" s="625">
        <f t="shared" ca="1" si="56"/>
        <v>11859.273516853224</v>
      </c>
      <c r="P58" s="625">
        <f t="shared" ca="1" si="56"/>
        <v>11931.939542117285</v>
      </c>
      <c r="Q58" s="625">
        <f t="shared" ca="1" si="56"/>
        <v>12006.385724298583</v>
      </c>
      <c r="R58" s="625">
        <f t="shared" ca="1" si="56"/>
        <v>12076.851519395406</v>
      </c>
      <c r="S58" s="605"/>
      <c r="T58" s="258">
        <f t="shared" si="55"/>
        <v>0.84696969696969704</v>
      </c>
      <c r="U58" s="258">
        <f t="shared" si="55"/>
        <v>0.85022026431718067</v>
      </c>
      <c r="V58" s="258">
        <f t="shared" si="53"/>
        <v>0.87401574803149606</v>
      </c>
      <c r="W58" s="258">
        <f t="shared" si="53"/>
        <v>0.87323943661971837</v>
      </c>
      <c r="X58" s="258">
        <f t="shared" si="53"/>
        <v>0.82986111111111116</v>
      </c>
      <c r="Y58" s="258">
        <f t="shared" si="53"/>
        <v>0.80597014925373134</v>
      </c>
      <c r="Z58" s="258">
        <f t="shared" ca="1" si="53"/>
        <v>0.84696969696969704</v>
      </c>
      <c r="AA58" s="258">
        <f t="shared" ca="1" si="53"/>
        <v>0.84696969696969704</v>
      </c>
      <c r="AB58" s="258">
        <f t="shared" ca="1" si="53"/>
        <v>0.84696969696969693</v>
      </c>
      <c r="AC58" s="258">
        <f t="shared" ca="1" si="53"/>
        <v>0.84696969696969704</v>
      </c>
      <c r="AD58" s="258">
        <f t="shared" ca="1" si="53"/>
        <v>0.84696969696969693</v>
      </c>
      <c r="AE58" s="258">
        <f t="shared" ca="1" si="53"/>
        <v>0.84696969696969704</v>
      </c>
      <c r="AF58" s="258">
        <f t="shared" ca="1" si="53"/>
        <v>0.84696969696969693</v>
      </c>
      <c r="AG58" s="258">
        <f t="shared" ca="1" si="53"/>
        <v>0.84696969696969715</v>
      </c>
      <c r="AH58" s="258">
        <f t="shared" ca="1" si="53"/>
        <v>0.84696969696969715</v>
      </c>
      <c r="AI58" s="258">
        <f t="shared" ca="1" si="53"/>
        <v>0.84696969696969715</v>
      </c>
      <c r="AJ58" s="258">
        <f t="shared" ca="1" si="53"/>
        <v>0.84696969696969693</v>
      </c>
    </row>
    <row r="59" spans="1:36" x14ac:dyDescent="0.25">
      <c r="A59" s="259" t="s">
        <v>2479</v>
      </c>
      <c r="B59" s="261">
        <f t="shared" si="49"/>
        <v>3085.6050293100416</v>
      </c>
      <c r="C59" s="261">
        <f t="shared" si="49"/>
        <v>3418.0210152672248</v>
      </c>
      <c r="D59" s="261">
        <f t="shared" si="49"/>
        <v>3493.9289733156238</v>
      </c>
      <c r="E59" s="261">
        <f t="shared" si="49"/>
        <v>3408.4928057622315</v>
      </c>
      <c r="F59" s="261">
        <f t="shared" si="49"/>
        <v>2698.2587442957924</v>
      </c>
      <c r="G59" s="261">
        <f t="shared" si="49"/>
        <v>2460.6768536541304</v>
      </c>
      <c r="H59" s="283">
        <f ca="1">SUM(H$15:H$17)*OFFSET(HHSurveyG2!$A$289,MATCH(H$49,HHSurveyG2!$A$290:$A$300,0),1)</f>
        <v>2450.8793882661753</v>
      </c>
      <c r="I59" s="283">
        <f ca="1">SUM(I$15:I$17)*OFFSET(HHSurveyG2!$A$289,MATCH(I$49,HHSurveyG2!$A$290:$A$300,0),1)</f>
        <v>2296.3599470411159</v>
      </c>
      <c r="J59" s="283">
        <f ca="1">SUM(J$15:J$17)*OFFSET(HHSurveyG2!$A$289,MATCH(J$49,HHSurveyG2!$A$290:$A$300,0),1)</f>
        <v>2184.5746199489722</v>
      </c>
      <c r="K59" s="283">
        <f ca="1">SUM(K$15:K$17)*OFFSET(HHSurveyG2!$A$289,MATCH(K$49,HHSurveyG2!$A$290:$A$300,0),1)</f>
        <v>2090.0306212199193</v>
      </c>
      <c r="L59" s="283">
        <f ca="1">SUM(L$15:L$17)*OFFSET(HHSurveyG2!$A$289,MATCH(L$49,HHSurveyG2!$A$290:$A$300,0),1)</f>
        <v>2020.5021561394317</v>
      </c>
      <c r="M59" s="283">
        <f ca="1">SUM(M$15:M$17)*OFFSET(HHSurveyG2!$A$289,MATCH(M$49,HHSurveyG2!$A$290:$A$300,0),1)</f>
        <v>1932.8286828400285</v>
      </c>
      <c r="N59" s="283">
        <f ca="1">SUM(N$15:N$17)*OFFSET(HHSurveyG2!$A$289,MATCH(N$49,HHSurveyG2!$A$290:$A$300,0),1)</f>
        <v>1882.0882626954722</v>
      </c>
      <c r="O59" s="283">
        <f ca="1">SUM(O$15:O$17)*OFFSET(HHSurveyG2!$A$289,MATCH(O$49,HHSurveyG2!$A$290:$A$300,0),1)</f>
        <v>1804.8513426635609</v>
      </c>
      <c r="P59" s="283">
        <f ca="1">SUM(P$15:P$17)*OFFSET(HHSurveyG2!$A$289,MATCH(P$49,HHSurveyG2!$A$290:$A$300,0),1)</f>
        <v>1753.0022962329167</v>
      </c>
      <c r="Q59" s="283">
        <f ca="1">SUM(Q$15:Q$17)*OFFSET(HHSurveyG2!$A$289,MATCH(Q$49,HHSurveyG2!$A$290:$A$300,0),1)</f>
        <v>1709.8383759379792</v>
      </c>
      <c r="R59" s="283">
        <f ca="1">SUM(R$15:R$17)*OFFSET(HHSurveyG2!$A$289,MATCH(R$49,HHSurveyG2!$A$290:$A$300,0),1)</f>
        <v>1673.3630898340343</v>
      </c>
      <c r="S59" s="605"/>
      <c r="T59" s="284">
        <f t="shared" si="55"/>
        <v>0.2461141903206229</v>
      </c>
      <c r="U59" s="284">
        <f t="shared" si="55"/>
        <v>0.31599200116590687</v>
      </c>
      <c r="V59" s="284">
        <f t="shared" si="53"/>
        <v>0.29634016627489312</v>
      </c>
      <c r="W59" s="284">
        <f t="shared" si="53"/>
        <v>0.2548066044609637</v>
      </c>
      <c r="X59" s="284">
        <f t="shared" si="53"/>
        <v>0.19414239517482204</v>
      </c>
      <c r="Y59" s="284">
        <f t="shared" si="53"/>
        <v>0.19076085473565751</v>
      </c>
      <c r="Z59" s="284">
        <f t="shared" ca="1" si="53"/>
        <v>0.19041180930147922</v>
      </c>
      <c r="AA59" s="284">
        <f t="shared" ca="1" si="53"/>
        <v>0.17700705460251703</v>
      </c>
      <c r="AB59" s="284">
        <f t="shared" ca="1" si="53"/>
        <v>0.16555035734528004</v>
      </c>
      <c r="AC59" s="284">
        <f t="shared" ca="1" si="53"/>
        <v>0.15575861441587424</v>
      </c>
      <c r="AD59" s="284">
        <f t="shared" ca="1" si="53"/>
        <v>0.14738986490257064</v>
      </c>
      <c r="AE59" s="284">
        <f t="shared" ca="1" si="53"/>
        <v>0.14023731107008677</v>
      </c>
      <c r="AF59" s="284">
        <f t="shared" ca="1" si="53"/>
        <v>0.13412420824089621</v>
      </c>
      <c r="AG59" s="284">
        <f t="shared" ca="1" si="53"/>
        <v>0.12889949730889796</v>
      </c>
      <c r="AH59" s="284">
        <f t="shared" ca="1" si="53"/>
        <v>0.12443407196179225</v>
      </c>
      <c r="AI59" s="284">
        <f t="shared" ca="1" si="53"/>
        <v>0.12061758837253686</v>
      </c>
      <c r="AJ59" s="284">
        <f t="shared" ca="1" si="53"/>
        <v>0.11735573852513179</v>
      </c>
    </row>
    <row r="60" spans="1:36" x14ac:dyDescent="0.25">
      <c r="A60" s="259" t="s">
        <v>2480</v>
      </c>
      <c r="B60" s="261">
        <f t="shared" ref="B60:Q69" si="57">B16</f>
        <v>3840.6525462318673</v>
      </c>
      <c r="C60" s="261">
        <f t="shared" si="57"/>
        <v>3334.0812912954862</v>
      </c>
      <c r="D60" s="261">
        <f t="shared" si="57"/>
        <v>3987.1680114554683</v>
      </c>
      <c r="E60" s="261">
        <f t="shared" si="57"/>
        <v>3796.030740253876</v>
      </c>
      <c r="F60" s="261">
        <f t="shared" si="57"/>
        <v>4014.0006959069315</v>
      </c>
      <c r="G60" s="261">
        <f t="shared" si="57"/>
        <v>3918.0392931140923</v>
      </c>
      <c r="H60" s="283">
        <f ca="1">SUM(H$15:H$17)*OFFSET(HHSurveyG2!$A$289,MATCH(H$49,HHSurveyG2!$A$290:$A$300,0),2)</f>
        <v>4689.1580570744727</v>
      </c>
      <c r="I60" s="283">
        <f ca="1">SUM(I$15:I$17)*OFFSET(HHSurveyG2!$A$289,MATCH(I$49,HHSurveyG2!$A$290:$A$300,0),2)</f>
        <v>4834.7936798132314</v>
      </c>
      <c r="J60" s="283">
        <f ca="1">SUM(J$15:J$17)*OFFSET(HHSurveyG2!$A$289,MATCH(J$49,HHSurveyG2!$A$290:$A$300,0),2)</f>
        <v>5012.1028565405895</v>
      </c>
      <c r="K60" s="283">
        <f ca="1">SUM(K$15:K$17)*OFFSET(HHSurveyG2!$A$289,MATCH(K$49,HHSurveyG2!$A$290:$A$300,0),2)</f>
        <v>5178.6501478751288</v>
      </c>
      <c r="L60" s="283">
        <f ca="1">SUM(L$15:L$17)*OFFSET(HHSurveyG2!$A$289,MATCH(L$49,HHSurveyG2!$A$290:$A$300,0),2)</f>
        <v>5362.243105122925</v>
      </c>
      <c r="M60" s="283">
        <f ca="1">SUM(M$15:M$17)*OFFSET(HHSurveyG2!$A$289,MATCH(M$49,HHSurveyG2!$A$290:$A$300,0),2)</f>
        <v>5452.7224475972835</v>
      </c>
      <c r="N60" s="283">
        <f ca="1">SUM(N$15:N$17)*OFFSET(HHSurveyG2!$A$289,MATCH(N$49,HHSurveyG2!$A$290:$A$300,0),2)</f>
        <v>5605.121846670515</v>
      </c>
      <c r="O60" s="283">
        <f ca="1">SUM(O$15:O$17)*OFFSET(HHSurveyG2!$A$289,MATCH(O$49,HHSurveyG2!$A$290:$A$300,0),2)</f>
        <v>5638.633162492144</v>
      </c>
      <c r="P60" s="283">
        <f ca="1">SUM(P$15:P$17)*OFFSET(HHSurveyG2!$A$289,MATCH(P$49,HHSurveyG2!$A$290:$A$300,0),2)</f>
        <v>5712.4497229608423</v>
      </c>
      <c r="Q60" s="283">
        <f ca="1">SUM(Q$15:Q$17)*OFFSET(HHSurveyG2!$A$289,MATCH(Q$49,HHSurveyG2!$A$290:$A$300,0),2)</f>
        <v>5781.8606071068525</v>
      </c>
      <c r="R60" s="283">
        <f ca="1">SUM(R$15:R$17)*OFFSET(HHSurveyG2!$A$289,MATCH(R$49,HHSurveyG2!$A$290:$A$300,0),2)</f>
        <v>5844.8258650311172</v>
      </c>
      <c r="S60" s="605"/>
      <c r="T60" s="284">
        <f t="shared" si="55"/>
        <v>0.30633833000008281</v>
      </c>
      <c r="U60" s="284">
        <f t="shared" si="55"/>
        <v>0.3082318729406362</v>
      </c>
      <c r="V60" s="284">
        <f t="shared" si="53"/>
        <v>0.33817459957103496</v>
      </c>
      <c r="W60" s="284">
        <f t="shared" si="53"/>
        <v>0.28377753994913435</v>
      </c>
      <c r="X60" s="284">
        <f t="shared" si="53"/>
        <v>0.28881133471140008</v>
      </c>
      <c r="Y60" s="284">
        <f t="shared" si="53"/>
        <v>0.30374103098195371</v>
      </c>
      <c r="Z60" s="284">
        <f t="shared" ca="1" si="53"/>
        <v>0.36430640937406666</v>
      </c>
      <c r="AA60" s="284">
        <f t="shared" ca="1" si="53"/>
        <v>0.37267353925820851</v>
      </c>
      <c r="AB60" s="284">
        <f t="shared" ca="1" si="53"/>
        <v>0.37982470883552383</v>
      </c>
      <c r="AC60" s="284">
        <f t="shared" ca="1" si="53"/>
        <v>0.38593662857761424</v>
      </c>
      <c r="AD60" s="284">
        <f t="shared" ca="1" si="53"/>
        <v>0.39116032835565495</v>
      </c>
      <c r="AE60" s="284">
        <f t="shared" ca="1" si="53"/>
        <v>0.39562488949561697</v>
      </c>
      <c r="AF60" s="284">
        <f t="shared" ca="1" si="53"/>
        <v>0.39944063446936956</v>
      </c>
      <c r="AG60" s="284">
        <f t="shared" ca="1" si="53"/>
        <v>0.40270185304120287</v>
      </c>
      <c r="AH60" s="284">
        <f t="shared" ca="1" si="53"/>
        <v>0.40548913223476146</v>
      </c>
      <c r="AI60" s="284">
        <f t="shared" ca="1" si="53"/>
        <v>0.40787134769555372</v>
      </c>
      <c r="AJ60" s="284">
        <f t="shared" ca="1" si="53"/>
        <v>0.40990736565699532</v>
      </c>
    </row>
    <row r="61" spans="1:36" x14ac:dyDescent="0.25">
      <c r="A61" s="260" t="s">
        <v>2481</v>
      </c>
      <c r="B61" s="261">
        <f t="shared" si="57"/>
        <v>2778.3240734215924</v>
      </c>
      <c r="C61" s="261">
        <f t="shared" si="57"/>
        <v>2156.2783955204809</v>
      </c>
      <c r="D61" s="261">
        <f t="shared" si="57"/>
        <v>2400.5670753880204</v>
      </c>
      <c r="E61" s="261">
        <f t="shared" si="57"/>
        <v>3181.0404524770693</v>
      </c>
      <c r="F61" s="261">
        <f t="shared" si="57"/>
        <v>3244.3954138325562</v>
      </c>
      <c r="G61" s="261">
        <f t="shared" si="57"/>
        <v>2887.8707388260805</v>
      </c>
      <c r="H61" s="283">
        <f ca="1">SUM(H$15:H$17)*OFFSET(HHSurveyG2!$A$289,MATCH(H$49,HHSurveyG2!$A$290:$A$300,0),3)</f>
        <v>2823.216481162111</v>
      </c>
      <c r="I61" s="283">
        <f ca="1">SUM(I$15:I$17)*OFFSET(HHSurveyG2!$A$289,MATCH(I$49,HHSurveyG2!$A$290:$A$300,0),3)</f>
        <v>2910.8997892007587</v>
      </c>
      <c r="J61" s="283">
        <f ca="1">SUM(J$15:J$17)*OFFSET(HHSurveyG2!$A$289,MATCH(J$49,HHSurveyG2!$A$290:$A$300,0),3)</f>
        <v>3017.6528958150134</v>
      </c>
      <c r="K61" s="283">
        <f ca="1">SUM(K$15:K$17)*OFFSET(HHSurveyG2!$A$289,MATCH(K$49,HHSurveyG2!$A$290:$A$300,0),3)</f>
        <v>3117.9265594590011</v>
      </c>
      <c r="L61" s="283">
        <f ca="1">SUM(L$15:L$17)*OFFSET(HHSurveyG2!$A$289,MATCH(L$49,HHSurveyG2!$A$290:$A$300,0),3)</f>
        <v>3228.4629620324399</v>
      </c>
      <c r="M61" s="283">
        <f ca="1">SUM(M$15:M$17)*OFFSET(HHSurveyG2!$A$289,MATCH(M$49,HHSurveyG2!$A$290:$A$300,0),3)</f>
        <v>3282.9381509190534</v>
      </c>
      <c r="N61" s="283">
        <f ca="1">SUM(N$15:N$17)*OFFSET(HHSurveyG2!$A$289,MATCH(N$49,HHSurveyG2!$A$290:$A$300,0),3)</f>
        <v>3374.6937475412724</v>
      </c>
      <c r="O61" s="283">
        <f ca="1">SUM(O$15:O$17)*OFFSET(HHSurveyG2!$A$289,MATCH(O$49,HHSurveyG2!$A$290:$A$300,0),3)</f>
        <v>3394.8700132976196</v>
      </c>
      <c r="P61" s="283">
        <f ca="1">SUM(P$15:P$17)*OFFSET(HHSurveyG2!$A$289,MATCH(P$49,HHSurveyG2!$A$290:$A$300,0),3)</f>
        <v>3439.3129874011506</v>
      </c>
      <c r="Q61" s="283">
        <f ca="1">SUM(Q$15:Q$17)*OFFSET(HHSurveyG2!$A$289,MATCH(Q$49,HHSurveyG2!$A$290:$A$300,0),3)</f>
        <v>3481.1034217835891</v>
      </c>
      <c r="R61" s="283">
        <f ca="1">SUM(R$15:R$17)*OFFSET(HHSurveyG2!$A$289,MATCH(R$49,HHSurveyG2!$A$290:$A$300,0),3)</f>
        <v>3519.0131172446359</v>
      </c>
      <c r="S61" s="605"/>
      <c r="T61" s="284">
        <f t="shared" si="55"/>
        <v>0.2216048305869362</v>
      </c>
      <c r="U61" s="284">
        <f t="shared" si="55"/>
        <v>0.19934538793877413</v>
      </c>
      <c r="V61" s="284">
        <f t="shared" si="53"/>
        <v>0.20360586941166103</v>
      </c>
      <c r="W61" s="284">
        <f t="shared" si="53"/>
        <v>0.2378030885024528</v>
      </c>
      <c r="X61" s="284">
        <f t="shared" si="53"/>
        <v>0.23343747069002788</v>
      </c>
      <c r="Y61" s="284">
        <f t="shared" si="53"/>
        <v>0.22387851931328429</v>
      </c>
      <c r="Z61" s="284">
        <f t="shared" ca="1" si="53"/>
        <v>0.21933913223209597</v>
      </c>
      <c r="AA61" s="284">
        <f t="shared" ca="1" si="53"/>
        <v>0.22437675704691631</v>
      </c>
      <c r="AB61" s="284">
        <f t="shared" ca="1" si="53"/>
        <v>0.22868228472683791</v>
      </c>
      <c r="AC61" s="284">
        <f t="shared" ca="1" si="53"/>
        <v>0.2323621079141534</v>
      </c>
      <c r="AD61" s="284">
        <f t="shared" ca="1" si="53"/>
        <v>0.23550715764941615</v>
      </c>
      <c r="AE61" s="284">
        <f t="shared" ca="1" si="53"/>
        <v>0.23819515034193811</v>
      </c>
      <c r="AF61" s="284">
        <f t="shared" ca="1" si="53"/>
        <v>0.24049250819737603</v>
      </c>
      <c r="AG61" s="284">
        <f t="shared" ca="1" si="53"/>
        <v>0.24245600055754102</v>
      </c>
      <c r="AH61" s="284">
        <f t="shared" ca="1" si="53"/>
        <v>0.24413414671108824</v>
      </c>
      <c r="AI61" s="284">
        <f t="shared" ca="1" si="53"/>
        <v>0.24556841483955139</v>
      </c>
      <c r="AJ61" s="284">
        <f t="shared" ca="1" si="53"/>
        <v>0.24679424672551478</v>
      </c>
    </row>
    <row r="62" spans="1:36" x14ac:dyDescent="0.25">
      <c r="A62" s="259" t="s">
        <v>2482</v>
      </c>
      <c r="B62" s="261">
        <f t="shared" si="57"/>
        <v>290.64862111840495</v>
      </c>
      <c r="C62" s="261">
        <f t="shared" si="57"/>
        <v>110.60840908138617</v>
      </c>
      <c r="D62" s="261">
        <f t="shared" si="57"/>
        <v>149.63833277132031</v>
      </c>
      <c r="E62" s="261">
        <f t="shared" si="57"/>
        <v>425.20024230651143</v>
      </c>
      <c r="F62" s="261">
        <f t="shared" si="57"/>
        <v>427.37987020062945</v>
      </c>
      <c r="G62" s="261">
        <f t="shared" si="57"/>
        <v>300.0221814476526</v>
      </c>
      <c r="H62" s="283">
        <f ca="1">SUM(H$18:H$19)*OFFSET(HHSurveyG2!$A$289,MATCH(H$49,HHSurveyG2!$A$290:$A$300,0),1)</f>
        <v>230.8606279677889</v>
      </c>
      <c r="I62" s="283">
        <f ca="1">SUM(I$18:I$19)*OFFSET(HHSurveyG2!$A$289,MATCH(I$49,HHSurveyG2!$A$290:$A$300,0),1)</f>
        <v>216.30566642817402</v>
      </c>
      <c r="J62" s="283">
        <f ca="1">SUM(J$18:J$19)*OFFSET(HHSurveyG2!$A$289,MATCH(J$49,HHSurveyG2!$A$290:$A$300,0),1)</f>
        <v>205.77604553633012</v>
      </c>
      <c r="K62" s="283">
        <f ca="1">SUM(K$18:K$19)*OFFSET(HHSurveyG2!$A$289,MATCH(K$49,HHSurveyG2!$A$290:$A$300,0),1)</f>
        <v>196.87047187910673</v>
      </c>
      <c r="L62" s="283">
        <f ca="1">SUM(L$18:L$19)*OFFSET(HHSurveyG2!$A$289,MATCH(L$49,HHSurveyG2!$A$290:$A$300,0),1)</f>
        <v>190.32123686290586</v>
      </c>
      <c r="M62" s="283">
        <f ca="1">SUM(M$18:M$19)*OFFSET(HHSurveyG2!$A$289,MATCH(M$49,HHSurveyG2!$A$290:$A$300,0),1)</f>
        <v>182.06283247184524</v>
      </c>
      <c r="N62" s="283">
        <f ca="1">SUM(N$18:N$19)*OFFSET(HHSurveyG2!$A$289,MATCH(N$49,HHSurveyG2!$A$290:$A$300,0),1)</f>
        <v>177.28333768560503</v>
      </c>
      <c r="O62" s="283">
        <f ca="1">SUM(O$18:O$19)*OFFSET(HHSurveyG2!$A$289,MATCH(O$49,HHSurveyG2!$A$290:$A$300,0),1)</f>
        <v>170.00800461689818</v>
      </c>
      <c r="P62" s="283">
        <f ca="1">SUM(P$18:P$19)*OFFSET(HHSurveyG2!$A$289,MATCH(P$49,HHSurveyG2!$A$290:$A$300,0),1)</f>
        <v>165.12408275774158</v>
      </c>
      <c r="Q62" s="283">
        <f ca="1">SUM(Q$18:Q$19)*OFFSET(HHSurveyG2!$A$289,MATCH(Q$49,HHSurveyG2!$A$290:$A$300,0),1)</f>
        <v>161.05825651082441</v>
      </c>
      <c r="R62" s="283">
        <f ca="1">SUM(R$18:R$19)*OFFSET(HHSurveyG2!$A$289,MATCH(R$49,HHSurveyG2!$A$290:$A$300,0),1)</f>
        <v>157.62246628158002</v>
      </c>
      <c r="S62" s="605"/>
      <c r="T62" s="284">
        <f t="shared" si="55"/>
        <v>2.3182730574676583E-2</v>
      </c>
      <c r="U62" s="284">
        <f t="shared" si="55"/>
        <v>1.0225616628829282E-2</v>
      </c>
      <c r="V62" s="284">
        <f t="shared" si="53"/>
        <v>1.2691685707757817E-2</v>
      </c>
      <c r="W62" s="284">
        <f t="shared" si="53"/>
        <v>3.1786433515406103E-2</v>
      </c>
      <c r="X62" s="284">
        <f t="shared" si="53"/>
        <v>3.0750405914800223E-2</v>
      </c>
      <c r="Y62" s="284">
        <f t="shared" si="53"/>
        <v>2.3258839407384966E-2</v>
      </c>
      <c r="Z62" s="284">
        <f t="shared" ca="1" si="53"/>
        <v>1.7935843794793987E-2</v>
      </c>
      <c r="AA62" s="284">
        <f t="shared" ca="1" si="53"/>
        <v>1.6673182685327557E-2</v>
      </c>
      <c r="AB62" s="284">
        <f t="shared" ca="1" si="53"/>
        <v>1.5594018881549487E-2</v>
      </c>
      <c r="AC62" s="284">
        <f t="shared" ca="1" si="53"/>
        <v>1.4671685480565222E-2</v>
      </c>
      <c r="AD62" s="284">
        <f t="shared" ca="1" si="53"/>
        <v>1.3883390969951561E-2</v>
      </c>
      <c r="AE62" s="284">
        <f t="shared" ca="1" si="53"/>
        <v>1.3209656033321825E-2</v>
      </c>
      <c r="AF62" s="284">
        <f t="shared" ca="1" si="53"/>
        <v>1.2633832202604075E-2</v>
      </c>
      <c r="AG62" s="284">
        <f t="shared" ca="1" si="53"/>
        <v>1.2141690462587822E-2</v>
      </c>
      <c r="AH62" s="284">
        <f t="shared" ca="1" si="53"/>
        <v>1.1721069641868696E-2</v>
      </c>
      <c r="AI62" s="284">
        <f t="shared" ca="1" si="53"/>
        <v>1.1361575901677929E-2</v>
      </c>
      <c r="AJ62" s="284">
        <f t="shared" ca="1" si="53"/>
        <v>1.1054325896755703E-2</v>
      </c>
    </row>
    <row r="63" spans="1:36" x14ac:dyDescent="0.25">
      <c r="A63" s="263" t="s">
        <v>2483</v>
      </c>
      <c r="B63" s="264">
        <f t="shared" si="57"/>
        <v>623.47462149016883</v>
      </c>
      <c r="C63" s="264">
        <f t="shared" si="57"/>
        <v>177.67004577524921</v>
      </c>
      <c r="D63" s="264">
        <f t="shared" si="57"/>
        <v>273.57454484057649</v>
      </c>
      <c r="E63" s="264">
        <f t="shared" si="57"/>
        <v>870.37072712129566</v>
      </c>
      <c r="F63" s="264">
        <f t="shared" si="57"/>
        <v>1149.6645359912727</v>
      </c>
      <c r="G63" s="264">
        <f t="shared" si="57"/>
        <v>829.82207577840848</v>
      </c>
      <c r="H63" s="285">
        <f ca="1">SUM(H$18:H$19)*(1-OFFSET(HHSurveyG2!$A$289,MATCH(H$49,HHSurveyG2!$A$290:$A$300,0),1))</f>
        <v>707.62825446642194</v>
      </c>
      <c r="I63" s="285">
        <f ca="1">SUM(I$18:I$19)*(1-OFFSET(HHSurveyG2!$A$289,MATCH(I$49,HHSurveyG2!$A$290:$A$300,0),1))</f>
        <v>729.60573533876732</v>
      </c>
      <c r="J63" s="285">
        <f ca="1">SUM(J$18:J$19)*(1-OFFSET(HHSurveyG2!$A$289,MATCH(J$49,HHSurveyG2!$A$290:$A$300,0),1))</f>
        <v>756.36298721667424</v>
      </c>
      <c r="K63" s="285">
        <f ca="1">SUM(K$18:K$19)*(1-OFFSET(HHSurveyG2!$A$289,MATCH(K$49,HHSurveyG2!$A$290:$A$300,0),1))</f>
        <v>781.49619185996119</v>
      </c>
      <c r="L63" s="285">
        <f ca="1">SUM(L$18:L$19)*(1-OFFSET(HHSurveyG2!$A$289,MATCH(L$49,HHSurveyG2!$A$290:$A$300,0),1))</f>
        <v>809.20171218755706</v>
      </c>
      <c r="M63" s="285">
        <f ca="1">SUM(M$18:M$19)*(1-OFFSET(HHSurveyG2!$A$289,MATCH(M$49,HHSurveyG2!$A$290:$A$300,0),1))</f>
        <v>822.85570687084669</v>
      </c>
      <c r="N63" s="285">
        <f ca="1">SUM(N$18:N$19)*(1-OFFSET(HHSurveyG2!$A$289,MATCH(N$49,HHSurveyG2!$A$290:$A$300,0),1))</f>
        <v>845.85389107264018</v>
      </c>
      <c r="O63" s="285">
        <f ca="1">SUM(O$18:O$19)*(1-OFFSET(HHSurveyG2!$A$289,MATCH(O$49,HHSurveyG2!$A$290:$A$300,0),1))</f>
        <v>850.91099378299896</v>
      </c>
      <c r="P63" s="285">
        <f ca="1">SUM(P$18:P$19)*(1-OFFSET(HHSurveyG2!$A$289,MATCH(P$49,HHSurveyG2!$A$290:$A$300,0),1))</f>
        <v>862.05045276463295</v>
      </c>
      <c r="Q63" s="285">
        <f ca="1">SUM(Q$18:Q$19)*(1-OFFSET(HHSurveyG2!$A$289,MATCH(Q$49,HHSurveyG2!$A$290:$A$300,0),1))</f>
        <v>872.52506295933722</v>
      </c>
      <c r="R63" s="285">
        <f ca="1">SUM(R$18:R$19)*(1-OFFSET(HHSurveyG2!$A$289,MATCH(R$49,HHSurveyG2!$A$290:$A$300,0),1))</f>
        <v>882.02698100403927</v>
      </c>
      <c r="S63" s="605"/>
      <c r="T63" s="286">
        <f t="shared" si="55"/>
        <v>4.9729615487378531E-2</v>
      </c>
      <c r="U63" s="286">
        <f t="shared" si="55"/>
        <v>1.6425385643034147E-2</v>
      </c>
      <c r="V63" s="286">
        <f t="shared" si="53"/>
        <v>2.3203427066149203E-2</v>
      </c>
      <c r="W63" s="286">
        <f t="shared" si="53"/>
        <v>6.5065770191761393E-2</v>
      </c>
      <c r="X63" s="286">
        <f t="shared" si="53"/>
        <v>8.2719504620061113E-2</v>
      </c>
      <c r="Y63" s="286">
        <f t="shared" si="53"/>
        <v>6.4330904815450771E-2</v>
      </c>
      <c r="Z63" s="286">
        <f t="shared" ca="1" si="53"/>
        <v>5.4976502267261126E-2</v>
      </c>
      <c r="AA63" s="286">
        <f t="shared" ca="1" si="53"/>
        <v>5.6239163376727568E-2</v>
      </c>
      <c r="AB63" s="286">
        <f t="shared" ca="1" si="53"/>
        <v>5.731832718050562E-2</v>
      </c>
      <c r="AC63" s="286">
        <f t="shared" ca="1" si="53"/>
        <v>5.8240660581489884E-2</v>
      </c>
      <c r="AD63" s="286">
        <f t="shared" ca="1" si="53"/>
        <v>5.9028955092103541E-2</v>
      </c>
      <c r="AE63" s="286">
        <f t="shared" ca="1" si="53"/>
        <v>5.9702690028733296E-2</v>
      </c>
      <c r="AF63" s="286">
        <f t="shared" ca="1" si="53"/>
        <v>6.0278513859451037E-2</v>
      </c>
      <c r="AG63" s="286">
        <f t="shared" ca="1" si="53"/>
        <v>6.0770655599467288E-2</v>
      </c>
      <c r="AH63" s="286">
        <f t="shared" ca="1" si="53"/>
        <v>6.1191276420186423E-2</v>
      </c>
      <c r="AI63" s="286">
        <f t="shared" ca="1" si="53"/>
        <v>6.1550770160377175E-2</v>
      </c>
      <c r="AJ63" s="286">
        <f t="shared" ca="1" si="53"/>
        <v>6.1858020165299406E-2</v>
      </c>
    </row>
    <row r="64" spans="1:36" x14ac:dyDescent="0.25">
      <c r="A64" s="266" t="s">
        <v>2484</v>
      </c>
      <c r="B64" s="264">
        <f t="shared" si="57"/>
        <v>11340.548873467851</v>
      </c>
      <c r="C64" s="264">
        <f t="shared" si="57"/>
        <v>9816.1232452311124</v>
      </c>
      <c r="D64" s="264">
        <f t="shared" si="57"/>
        <v>10861.897312785657</v>
      </c>
      <c r="E64" s="264">
        <f t="shared" si="57"/>
        <v>12246.351176046192</v>
      </c>
      <c r="F64" s="264">
        <f t="shared" si="57"/>
        <v>12354.087910536226</v>
      </c>
      <c r="G64" s="264">
        <f t="shared" si="57"/>
        <v>11455.326907366883</v>
      </c>
      <c r="H64" s="626">
        <f ca="1">SUM(H52,H58)</f>
        <v>11642.827293265424</v>
      </c>
      <c r="I64" s="626">
        <f t="shared" ref="I64:R64" ca="1" si="58">SUM(I52,I58)</f>
        <v>11734.910547834996</v>
      </c>
      <c r="J64" s="626">
        <f t="shared" ca="1" si="58"/>
        <v>11936.229400392442</v>
      </c>
      <c r="K64" s="626">
        <f t="shared" ca="1" si="58"/>
        <v>12137.548252949895</v>
      </c>
      <c r="L64" s="626">
        <f t="shared" ca="1" si="58"/>
        <v>12400.011645599499</v>
      </c>
      <c r="M64" s="626">
        <f t="shared" ca="1" si="58"/>
        <v>12466.948960567688</v>
      </c>
      <c r="N64" s="626">
        <f t="shared" ca="1" si="58"/>
        <v>12692.968744440621</v>
      </c>
      <c r="O64" s="626">
        <f t="shared" ca="1" si="58"/>
        <v>12665.44953409906</v>
      </c>
      <c r="P64" s="626">
        <f t="shared" ca="1" si="58"/>
        <v>12743.055289166403</v>
      </c>
      <c r="Q64" s="626">
        <f t="shared" ca="1" si="58"/>
        <v>12822.562213606894</v>
      </c>
      <c r="R64" s="626">
        <f t="shared" ca="1" si="58"/>
        <v>12897.818170087759</v>
      </c>
      <c r="S64" s="605"/>
      <c r="T64" s="265">
        <f t="shared" si="55"/>
        <v>0.90454545454545454</v>
      </c>
      <c r="U64" s="265">
        <f t="shared" si="55"/>
        <v>0.90748898678414114</v>
      </c>
      <c r="V64" s="265">
        <f t="shared" si="53"/>
        <v>0.92125984251968507</v>
      </c>
      <c r="W64" s="265">
        <f t="shared" si="53"/>
        <v>0.91549295774647887</v>
      </c>
      <c r="X64" s="265">
        <f t="shared" si="53"/>
        <v>0.88888888888888884</v>
      </c>
      <c r="Y64" s="265">
        <f t="shared" si="53"/>
        <v>0.88805970149253721</v>
      </c>
      <c r="Z64" s="265">
        <f t="shared" ca="1" si="53"/>
        <v>0.90454545454545465</v>
      </c>
      <c r="AA64" s="265">
        <f t="shared" ca="1" si="53"/>
        <v>0.90454545454545465</v>
      </c>
      <c r="AB64" s="265">
        <f t="shared" ca="1" si="53"/>
        <v>0.90454545454545443</v>
      </c>
      <c r="AC64" s="265">
        <f t="shared" ca="1" si="53"/>
        <v>0.90454545454545465</v>
      </c>
      <c r="AD64" s="265">
        <f t="shared" ca="1" si="53"/>
        <v>0.90454545454545443</v>
      </c>
      <c r="AE64" s="265">
        <f t="shared" ca="1" si="53"/>
        <v>0.90454545454545465</v>
      </c>
      <c r="AF64" s="265">
        <f t="shared" ca="1" si="53"/>
        <v>0.90454545454545465</v>
      </c>
      <c r="AG64" s="265">
        <f t="shared" ca="1" si="53"/>
        <v>0.90454545454545465</v>
      </c>
      <c r="AH64" s="265">
        <f t="shared" ca="1" si="53"/>
        <v>0.90454545454545476</v>
      </c>
      <c r="AI64" s="265">
        <f t="shared" ca="1" si="53"/>
        <v>0.90454545454545465</v>
      </c>
      <c r="AJ64" s="265">
        <f t="shared" ca="1" si="53"/>
        <v>0.90454545454545454</v>
      </c>
    </row>
    <row r="65" spans="1:36" x14ac:dyDescent="0.25">
      <c r="A65" s="267" t="s">
        <v>3196</v>
      </c>
      <c r="B65" s="261">
        <f t="shared" si="57"/>
        <v>3605.7664209405771</v>
      </c>
      <c r="C65" s="261">
        <f t="shared" si="57"/>
        <v>3766.3091265068074</v>
      </c>
      <c r="D65" s="261">
        <f t="shared" si="57"/>
        <v>3840.5168901997517</v>
      </c>
      <c r="E65" s="261">
        <f t="shared" si="57"/>
        <v>4019.194324588198</v>
      </c>
      <c r="F65" s="261">
        <f t="shared" si="57"/>
        <v>3347.9643736865437</v>
      </c>
      <c r="G65" s="261">
        <f t="shared" si="57"/>
        <v>3041.88134423252</v>
      </c>
      <c r="H65" s="283">
        <f ca="1">SUM(H53,H56,H59,H62)</f>
        <v>2864.0407686792068</v>
      </c>
      <c r="I65" s="283">
        <f t="shared" ref="I65:R65" ca="1" si="59">SUM(I53,I56,I59,I62)</f>
        <v>2683.4729360307083</v>
      </c>
      <c r="J65" s="283">
        <f t="shared" ca="1" si="59"/>
        <v>2552.8431973072011</v>
      </c>
      <c r="K65" s="283">
        <f t="shared" ca="1" si="59"/>
        <v>2442.3612747408206</v>
      </c>
      <c r="L65" s="283">
        <f t="shared" ca="1" si="59"/>
        <v>2361.111924190332</v>
      </c>
      <c r="M65" s="283">
        <f t="shared" ca="1" si="59"/>
        <v>2258.6587381774398</v>
      </c>
      <c r="N65" s="283">
        <f t="shared" ca="1" si="59"/>
        <v>2199.3646608720987</v>
      </c>
      <c r="O65" s="283">
        <f t="shared" ca="1" si="59"/>
        <v>2109.1073887771627</v>
      </c>
      <c r="P65" s="283">
        <f t="shared" ca="1" si="59"/>
        <v>2048.5177965249068</v>
      </c>
      <c r="Q65" s="283">
        <f t="shared" ca="1" si="59"/>
        <v>1998.0774410946972</v>
      </c>
      <c r="R65" s="283">
        <f t="shared" ca="1" si="59"/>
        <v>1955.4532683381428</v>
      </c>
      <c r="S65" s="605"/>
      <c r="T65" s="284">
        <f t="shared" si="55"/>
        <v>0.2876033305447116</v>
      </c>
      <c r="U65" s="284">
        <f t="shared" si="55"/>
        <v>0.3481908252109619</v>
      </c>
      <c r="V65" s="284">
        <f t="shared" si="53"/>
        <v>0.3257362764141456</v>
      </c>
      <c r="W65" s="284">
        <f t="shared" si="53"/>
        <v>0.30046044303974251</v>
      </c>
      <c r="X65" s="284">
        <f t="shared" si="53"/>
        <v>0.24088936016294266</v>
      </c>
      <c r="Y65" s="284">
        <f t="shared" si="53"/>
        <v>0.23581799632427827</v>
      </c>
      <c r="Z65" s="284">
        <f t="shared" ca="1" si="53"/>
        <v>0.22251082092750465</v>
      </c>
      <c r="AA65" s="284">
        <f t="shared" ca="1" si="53"/>
        <v>0.20684633570812738</v>
      </c>
      <c r="AB65" s="284">
        <f t="shared" ca="1" si="53"/>
        <v>0.19345830520110416</v>
      </c>
      <c r="AC65" s="284">
        <f t="shared" ca="1" si="53"/>
        <v>0.18201590167830836</v>
      </c>
      <c r="AD65" s="284">
        <f t="shared" ca="1" si="53"/>
        <v>0.17223637523416058</v>
      </c>
      <c r="AE65" s="284">
        <f t="shared" ca="1" si="53"/>
        <v>0.16387806683494624</v>
      </c>
      <c r="AF65" s="284">
        <f t="shared" ca="1" si="53"/>
        <v>0.15673443675271856</v>
      </c>
      <c r="AG65" s="284">
        <f t="shared" ca="1" si="53"/>
        <v>0.15062896082214133</v>
      </c>
      <c r="AH65" s="284">
        <f t="shared" ca="1" si="53"/>
        <v>0.14541076840319422</v>
      </c>
      <c r="AI65" s="284">
        <f t="shared" ca="1" si="53"/>
        <v>0.14095091426065515</v>
      </c>
      <c r="AJ65" s="284">
        <f t="shared" ca="1" si="53"/>
        <v>0.13713919223589774</v>
      </c>
    </row>
    <row r="66" spans="1:36" x14ac:dyDescent="0.25">
      <c r="A66" s="267" t="s">
        <v>2485</v>
      </c>
      <c r="B66" s="261">
        <f t="shared" si="57"/>
        <v>7734.7824525272745</v>
      </c>
      <c r="C66" s="261">
        <f t="shared" si="57"/>
        <v>6049.8141187243036</v>
      </c>
      <c r="D66" s="261">
        <f t="shared" si="57"/>
        <v>7021.3804225859067</v>
      </c>
      <c r="E66" s="261">
        <f t="shared" si="57"/>
        <v>8227.156851457994</v>
      </c>
      <c r="F66" s="261">
        <f t="shared" si="57"/>
        <v>9006.1235368496855</v>
      </c>
      <c r="G66" s="261">
        <f t="shared" si="57"/>
        <v>8413.4455631343626</v>
      </c>
      <c r="H66" s="283">
        <f ca="1">SUM(H54:H55,H57,H60:H61,H63)</f>
        <v>8778.7865245862158</v>
      </c>
      <c r="I66" s="283">
        <f t="shared" ref="I66:R66" ca="1" si="60">SUM(I54:I55,I57,I60:I61,I63)</f>
        <v>9051.4376118042874</v>
      </c>
      <c r="J66" s="283">
        <f t="shared" ca="1" si="60"/>
        <v>9383.3862030852415</v>
      </c>
      <c r="K66" s="283">
        <f t="shared" ca="1" si="60"/>
        <v>9695.1869782090744</v>
      </c>
      <c r="L66" s="283">
        <f t="shared" ca="1" si="60"/>
        <v>10038.899721409167</v>
      </c>
      <c r="M66" s="283">
        <f t="shared" ca="1" si="60"/>
        <v>10208.290222390249</v>
      </c>
      <c r="N66" s="283">
        <f t="shared" ca="1" si="60"/>
        <v>10493.604083568522</v>
      </c>
      <c r="O66" s="283">
        <f t="shared" ca="1" si="60"/>
        <v>10556.342145321894</v>
      </c>
      <c r="P66" s="283">
        <f t="shared" ca="1" si="60"/>
        <v>10694.537492641495</v>
      </c>
      <c r="Q66" s="283">
        <f t="shared" ca="1" si="60"/>
        <v>10824.484772512196</v>
      </c>
      <c r="R66" s="283">
        <f t="shared" ca="1" si="60"/>
        <v>10942.364901749617</v>
      </c>
      <c r="S66" s="605"/>
      <c r="T66" s="284">
        <f t="shared" si="55"/>
        <v>0.616942124000743</v>
      </c>
      <c r="U66" s="284">
        <f t="shared" si="55"/>
        <v>0.55929816157317913</v>
      </c>
      <c r="V66" s="284">
        <f t="shared" si="53"/>
        <v>0.59552356610553958</v>
      </c>
      <c r="W66" s="284">
        <f t="shared" si="53"/>
        <v>0.61503251470673637</v>
      </c>
      <c r="X66" s="284">
        <f t="shared" si="53"/>
        <v>0.64799952872594646</v>
      </c>
      <c r="Y66" s="284">
        <f t="shared" si="53"/>
        <v>0.65224170516825897</v>
      </c>
      <c r="Z66" s="284">
        <f t="shared" ca="1" si="53"/>
        <v>0.68203463361794991</v>
      </c>
      <c r="AA66" s="284">
        <f t="shared" ca="1" si="53"/>
        <v>0.69769911883732716</v>
      </c>
      <c r="AB66" s="284">
        <f t="shared" ca="1" si="53"/>
        <v>0.71108714934435036</v>
      </c>
      <c r="AC66" s="284">
        <f t="shared" ca="1" si="53"/>
        <v>0.72252955286714626</v>
      </c>
      <c r="AD66" s="284">
        <f t="shared" ca="1" si="53"/>
        <v>0.73230907931129385</v>
      </c>
      <c r="AE66" s="284">
        <f t="shared" ca="1" si="53"/>
        <v>0.74066738771050844</v>
      </c>
      <c r="AF66" s="284">
        <f t="shared" ca="1" si="53"/>
        <v>0.74781101779273595</v>
      </c>
      <c r="AG66" s="284">
        <f t="shared" ca="1" si="53"/>
        <v>0.75391649372331315</v>
      </c>
      <c r="AH66" s="284">
        <f t="shared" ca="1" si="53"/>
        <v>0.75913468614226043</v>
      </c>
      <c r="AI66" s="284">
        <f t="shared" ca="1" si="53"/>
        <v>0.76359454028479945</v>
      </c>
      <c r="AJ66" s="284">
        <f t="shared" ca="1" si="53"/>
        <v>0.76740626230955689</v>
      </c>
    </row>
    <row r="67" spans="1:36" x14ac:dyDescent="0.25">
      <c r="A67" s="267" t="s">
        <v>3194</v>
      </c>
      <c r="B67" s="261">
        <f t="shared" si="57"/>
        <v>10364.284873758874</v>
      </c>
      <c r="C67" s="261">
        <f t="shared" si="57"/>
        <v>10108.473439151394</v>
      </c>
      <c r="D67" s="261">
        <f t="shared" si="57"/>
        <v>10949.952066662801</v>
      </c>
      <c r="E67" s="261">
        <f t="shared" si="57"/>
        <v>11390.618578992517</v>
      </c>
      <c r="F67" s="261">
        <f t="shared" si="57"/>
        <v>11373.082741220214</v>
      </c>
      <c r="G67" s="261">
        <f t="shared" si="57"/>
        <v>11154.224954882033</v>
      </c>
      <c r="H67" s="261">
        <f>H23</f>
        <v>10640.541313277545</v>
      </c>
      <c r="I67" s="261">
        <f t="shared" ref="I67:R67" si="61">I23</f>
        <v>10724.69747653828</v>
      </c>
      <c r="J67" s="261">
        <f t="shared" si="61"/>
        <v>10908.685567559629</v>
      </c>
      <c r="K67" s="261">
        <f t="shared" si="61"/>
        <v>11092.673658580979</v>
      </c>
      <c r="L67" s="261">
        <f t="shared" si="61"/>
        <v>11332.542592677988</v>
      </c>
      <c r="M67" s="261">
        <f t="shared" si="61"/>
        <v>11393.717533040699</v>
      </c>
      <c r="N67" s="261">
        <f t="shared" si="61"/>
        <v>11600.280147716698</v>
      </c>
      <c r="O67" s="261">
        <f t="shared" si="61"/>
        <v>11575.129959779313</v>
      </c>
      <c r="P67" s="261">
        <f t="shared" si="61"/>
        <v>11646.054935486871</v>
      </c>
      <c r="Q67" s="261">
        <f t="shared" si="61"/>
        <v>11718.717416247882</v>
      </c>
      <c r="R67" s="261">
        <f t="shared" si="61"/>
        <v>11787.494878442832</v>
      </c>
      <c r="S67" s="605"/>
      <c r="T67" s="262">
        <f t="shared" si="55"/>
        <v>0.82667663415359971</v>
      </c>
      <c r="U67" s="262">
        <f t="shared" si="55"/>
        <v>0.93451641651774331</v>
      </c>
      <c r="V67" s="262">
        <f t="shared" ref="V67:AJ71" si="62">D67/D$50</f>
        <v>0.92872827150165294</v>
      </c>
      <c r="W67" s="262">
        <f t="shared" si="62"/>
        <v>0.85152148125892679</v>
      </c>
      <c r="X67" s="262">
        <f t="shared" si="62"/>
        <v>0.81830459312684611</v>
      </c>
      <c r="Y67" s="262">
        <f t="shared" si="62"/>
        <v>0.86471715420385575</v>
      </c>
      <c r="Z67" s="262">
        <f t="shared" si="62"/>
        <v>0.82667663415359971</v>
      </c>
      <c r="AA67" s="262">
        <f t="shared" si="62"/>
        <v>0.82667663415359971</v>
      </c>
      <c r="AB67" s="262">
        <f t="shared" si="62"/>
        <v>0.82667663415359971</v>
      </c>
      <c r="AC67" s="262">
        <f t="shared" si="62"/>
        <v>0.8266766341535996</v>
      </c>
      <c r="AD67" s="262">
        <f t="shared" si="62"/>
        <v>0.82667663415359971</v>
      </c>
      <c r="AE67" s="262">
        <f t="shared" si="62"/>
        <v>0.82667663415359971</v>
      </c>
      <c r="AF67" s="262">
        <f t="shared" si="62"/>
        <v>0.8266766341535996</v>
      </c>
      <c r="AG67" s="262">
        <f t="shared" si="62"/>
        <v>0.82667663415359982</v>
      </c>
      <c r="AH67" s="262">
        <f t="shared" si="62"/>
        <v>0.82667663415359971</v>
      </c>
      <c r="AI67" s="262">
        <f t="shared" si="62"/>
        <v>0.8266766341535996</v>
      </c>
      <c r="AJ67" s="262">
        <f t="shared" si="62"/>
        <v>0.82667663415359971</v>
      </c>
    </row>
    <row r="68" spans="1:36" x14ac:dyDescent="0.25">
      <c r="A68" s="267" t="s">
        <v>3195</v>
      </c>
      <c r="B68" s="261">
        <f t="shared" si="57"/>
        <v>976.26399970897785</v>
      </c>
      <c r="C68" s="261">
        <f t="shared" si="57"/>
        <v>327.11389437100075</v>
      </c>
      <c r="D68" s="261">
        <f t="shared" si="57"/>
        <v>468.9656211375073</v>
      </c>
      <c r="E68" s="261">
        <f t="shared" si="57"/>
        <v>1420.9488051788851</v>
      </c>
      <c r="F68" s="261">
        <f t="shared" si="57"/>
        <v>1801.3938196250595</v>
      </c>
      <c r="G68" s="261">
        <f t="shared" si="57"/>
        <v>1359.99771703137</v>
      </c>
      <c r="H68" s="261">
        <f>H24</f>
        <v>1002.2859799878782</v>
      </c>
      <c r="I68" s="261">
        <f t="shared" ref="I68:R69" si="63">I24</f>
        <v>1010.2130712967154</v>
      </c>
      <c r="J68" s="261">
        <f t="shared" si="63"/>
        <v>1027.5438328328153</v>
      </c>
      <c r="K68" s="261">
        <f t="shared" si="63"/>
        <v>1044.8745943689153</v>
      </c>
      <c r="L68" s="261">
        <f t="shared" si="63"/>
        <v>1067.4690529215143</v>
      </c>
      <c r="M68" s="261">
        <f t="shared" si="63"/>
        <v>1073.2314275269896</v>
      </c>
      <c r="N68" s="261">
        <f t="shared" si="63"/>
        <v>1092.6885967239223</v>
      </c>
      <c r="O68" s="261">
        <f t="shared" si="63"/>
        <v>1090.3195743197473</v>
      </c>
      <c r="P68" s="261">
        <f t="shared" si="63"/>
        <v>1097.0003536795307</v>
      </c>
      <c r="Q68" s="261">
        <f t="shared" si="63"/>
        <v>1103.84479735901</v>
      </c>
      <c r="R68" s="261">
        <f t="shared" si="63"/>
        <v>1110.3232916449281</v>
      </c>
      <c r="S68" s="605"/>
      <c r="T68" s="262">
        <f t="shared" si="55"/>
        <v>7.7868820391854929E-2</v>
      </c>
      <c r="U68" s="262">
        <f t="shared" si="55"/>
        <v>3.0241292733357985E-2</v>
      </c>
      <c r="V68" s="262">
        <f t="shared" si="62"/>
        <v>3.9775665506221296E-2</v>
      </c>
      <c r="W68" s="262">
        <f t="shared" si="62"/>
        <v>0.10622499761431274</v>
      </c>
      <c r="X68" s="262">
        <f t="shared" si="62"/>
        <v>0.12961207353982065</v>
      </c>
      <c r="Y68" s="262">
        <f t="shared" si="62"/>
        <v>0.10543209952748749</v>
      </c>
      <c r="Z68" s="262">
        <f t="shared" si="62"/>
        <v>7.7868820391854929E-2</v>
      </c>
      <c r="AA68" s="262">
        <f t="shared" si="62"/>
        <v>7.7868820391854929E-2</v>
      </c>
      <c r="AB68" s="262">
        <f t="shared" si="62"/>
        <v>7.7868820391854929E-2</v>
      </c>
      <c r="AC68" s="262">
        <f t="shared" si="62"/>
        <v>7.7868820391854929E-2</v>
      </c>
      <c r="AD68" s="262">
        <f t="shared" si="62"/>
        <v>7.7868820391854929E-2</v>
      </c>
      <c r="AE68" s="262">
        <f t="shared" si="62"/>
        <v>7.7868820391854943E-2</v>
      </c>
      <c r="AF68" s="262">
        <f t="shared" si="62"/>
        <v>7.7868820391854943E-2</v>
      </c>
      <c r="AG68" s="262">
        <f t="shared" si="62"/>
        <v>7.7868820391854943E-2</v>
      </c>
      <c r="AH68" s="262">
        <f t="shared" si="62"/>
        <v>7.7868820391854929E-2</v>
      </c>
      <c r="AI68" s="262">
        <f t="shared" si="62"/>
        <v>7.7868820391854929E-2</v>
      </c>
      <c r="AJ68" s="262">
        <f t="shared" si="62"/>
        <v>7.7868820391854929E-2</v>
      </c>
    </row>
    <row r="69" spans="1:36" x14ac:dyDescent="0.25">
      <c r="A69" s="255" t="s">
        <v>2486</v>
      </c>
      <c r="B69" s="256">
        <f t="shared" si="57"/>
        <v>446.40351511975632</v>
      </c>
      <c r="C69" s="256">
        <f t="shared" si="57"/>
        <v>428.85975343242728</v>
      </c>
      <c r="D69" s="256">
        <f t="shared" si="57"/>
        <v>371.34691667643273</v>
      </c>
      <c r="E69" s="256">
        <f t="shared" si="57"/>
        <v>235.50675338550371</v>
      </c>
      <c r="F69" s="256">
        <f t="shared" si="57"/>
        <v>627.35602670691776</v>
      </c>
      <c r="G69" s="256">
        <f t="shared" si="57"/>
        <v>577.5795079344648</v>
      </c>
      <c r="H69" s="256">
        <f t="shared" si="57"/>
        <v>458.30224688733239</v>
      </c>
      <c r="I69" s="256">
        <f t="shared" si="57"/>
        <v>461.92696461327034</v>
      </c>
      <c r="J69" s="256">
        <f t="shared" si="57"/>
        <v>469.85157606234918</v>
      </c>
      <c r="K69" s="256">
        <f t="shared" si="57"/>
        <v>477.77618751142808</v>
      </c>
      <c r="L69" s="256">
        <f t="shared" si="57"/>
        <v>488.10766109143771</v>
      </c>
      <c r="M69" s="256">
        <f t="shared" si="57"/>
        <v>490.74254702402123</v>
      </c>
      <c r="N69" s="256">
        <f t="shared" si="57"/>
        <v>499.63947318987374</v>
      </c>
      <c r="O69" s="256">
        <f t="shared" si="57"/>
        <v>498.55622119150399</v>
      </c>
      <c r="P69" s="256">
        <f t="shared" si="57"/>
        <v>501.61105409616493</v>
      </c>
      <c r="Q69" s="256">
        <f t="shared" si="57"/>
        <v>504.74072365119258</v>
      </c>
      <c r="R69" s="256">
        <f t="shared" si="63"/>
        <v>507.70306029658695</v>
      </c>
      <c r="S69" s="605"/>
      <c r="T69" s="258">
        <f t="shared" si="55"/>
        <v>3.5606060606060613E-2</v>
      </c>
      <c r="U69" s="258">
        <f t="shared" si="55"/>
        <v>3.9647577092511023E-2</v>
      </c>
      <c r="V69" s="258">
        <f t="shared" si="62"/>
        <v>3.1496062992125984E-2</v>
      </c>
      <c r="W69" s="258">
        <f t="shared" si="62"/>
        <v>1.7605633802816902E-2</v>
      </c>
      <c r="X69" s="258">
        <f t="shared" si="62"/>
        <v>4.5138888888888895E-2</v>
      </c>
      <c r="Y69" s="258">
        <f t="shared" si="62"/>
        <v>4.4776119402985079E-2</v>
      </c>
      <c r="Z69" s="258">
        <f t="shared" si="62"/>
        <v>3.5606060606060606E-2</v>
      </c>
      <c r="AA69" s="258">
        <f t="shared" si="62"/>
        <v>3.5606060606060606E-2</v>
      </c>
      <c r="AB69" s="258">
        <f t="shared" si="62"/>
        <v>3.5606060606060613E-2</v>
      </c>
      <c r="AC69" s="258">
        <f t="shared" si="62"/>
        <v>3.5606060606060613E-2</v>
      </c>
      <c r="AD69" s="258">
        <f t="shared" si="62"/>
        <v>3.5606060606060613E-2</v>
      </c>
      <c r="AE69" s="258">
        <f t="shared" si="62"/>
        <v>3.5606060606060613E-2</v>
      </c>
      <c r="AF69" s="258">
        <f t="shared" si="62"/>
        <v>3.5606060606060613E-2</v>
      </c>
      <c r="AG69" s="258">
        <f t="shared" si="62"/>
        <v>3.5606060606060606E-2</v>
      </c>
      <c r="AH69" s="258">
        <f t="shared" si="62"/>
        <v>3.5606060606060613E-2</v>
      </c>
      <c r="AI69" s="258">
        <f t="shared" si="62"/>
        <v>3.5606060606060606E-2</v>
      </c>
      <c r="AJ69" s="258">
        <f t="shared" si="62"/>
        <v>3.5606060606060613E-2</v>
      </c>
    </row>
    <row r="70" spans="1:36" x14ac:dyDescent="0.25">
      <c r="A70" s="268" t="s">
        <v>2487</v>
      </c>
      <c r="B70" s="261">
        <f t="shared" ref="B70:G79" si="64">B26</f>
        <v>357.1228120958051</v>
      </c>
      <c r="C70" s="261">
        <f t="shared" si="64"/>
        <v>343.08780274594187</v>
      </c>
      <c r="D70" s="261">
        <f t="shared" si="64"/>
        <v>297.07753334114619</v>
      </c>
      <c r="E70" s="261">
        <f t="shared" si="64"/>
        <v>188.40540270840299</v>
      </c>
      <c r="F70" s="261">
        <f t="shared" si="64"/>
        <v>501.88482136553421</v>
      </c>
      <c r="G70" s="261">
        <f t="shared" si="64"/>
        <v>462.06360634757186</v>
      </c>
      <c r="H70" s="261">
        <v>388.58895402212221</v>
      </c>
      <c r="I70" s="261">
        <v>388.58895402212221</v>
      </c>
      <c r="J70" s="261">
        <v>388.58895402212221</v>
      </c>
      <c r="K70" s="261">
        <v>388.58895402212221</v>
      </c>
      <c r="L70" s="261">
        <v>388.58895402212221</v>
      </c>
      <c r="M70" s="261">
        <v>388.58895402212221</v>
      </c>
      <c r="N70" s="261">
        <v>388.58895402212221</v>
      </c>
      <c r="O70" s="261">
        <v>388.58895402212221</v>
      </c>
      <c r="P70" s="261">
        <v>388.58895402212221</v>
      </c>
      <c r="Q70" s="261">
        <v>388.58895402212221</v>
      </c>
      <c r="R70" s="261">
        <v>388.58895402212221</v>
      </c>
      <c r="S70" s="605"/>
      <c r="T70" s="262">
        <f t="shared" si="55"/>
        <v>2.8484848484848491E-2</v>
      </c>
      <c r="U70" s="262">
        <f t="shared" si="55"/>
        <v>3.171806167400882E-2</v>
      </c>
      <c r="V70" s="262">
        <f t="shared" si="62"/>
        <v>2.5196850393700787E-2</v>
      </c>
      <c r="W70" s="262">
        <f t="shared" si="62"/>
        <v>1.4084507042253523E-2</v>
      </c>
      <c r="X70" s="262">
        <f t="shared" si="62"/>
        <v>3.6111111111111115E-2</v>
      </c>
      <c r="Y70" s="262">
        <f t="shared" si="62"/>
        <v>3.5820895522388062E-2</v>
      </c>
      <c r="Z70" s="262">
        <f t="shared" si="62"/>
        <v>3.0189949845824803E-2</v>
      </c>
      <c r="AA70" s="262">
        <f t="shared" si="62"/>
        <v>2.9953050823393945E-2</v>
      </c>
      <c r="AB70" s="262">
        <f t="shared" si="62"/>
        <v>2.9447856626794278E-2</v>
      </c>
      <c r="AC70" s="262">
        <f t="shared" si="62"/>
        <v>2.8959421188035735E-2</v>
      </c>
      <c r="AD70" s="262">
        <f t="shared" si="62"/>
        <v>2.8346454994824286E-2</v>
      </c>
      <c r="AE70" s="262">
        <f t="shared" si="62"/>
        <v>2.8194257725691192E-2</v>
      </c>
      <c r="AF70" s="262">
        <f t="shared" si="62"/>
        <v>2.7692211264699979E-2</v>
      </c>
      <c r="AG70" s="262">
        <f t="shared" si="62"/>
        <v>2.7752380292618374E-2</v>
      </c>
      <c r="AH70" s="262">
        <f t="shared" si="62"/>
        <v>2.7583367102402077E-2</v>
      </c>
      <c r="AI70" s="262">
        <f t="shared" si="62"/>
        <v>2.7412335084971283E-2</v>
      </c>
      <c r="AJ70" s="262">
        <f t="shared" si="62"/>
        <v>2.725239008737643E-2</v>
      </c>
    </row>
    <row r="71" spans="1:36" ht="15.75" thickBot="1" x14ac:dyDescent="0.3">
      <c r="A71" s="270" t="s">
        <v>2488</v>
      </c>
      <c r="B71" s="271">
        <f t="shared" si="64"/>
        <v>89.280703023951276</v>
      </c>
      <c r="C71" s="271">
        <f t="shared" si="64"/>
        <v>85.771950686485468</v>
      </c>
      <c r="D71" s="271">
        <f t="shared" si="64"/>
        <v>74.269383335286548</v>
      </c>
      <c r="E71" s="271">
        <f t="shared" si="64"/>
        <v>47.101350677100747</v>
      </c>
      <c r="F71" s="271">
        <f t="shared" si="64"/>
        <v>125.47120534138355</v>
      </c>
      <c r="G71" s="271">
        <f t="shared" si="64"/>
        <v>115.51590158689297</v>
      </c>
      <c r="H71" s="271">
        <v>97.147238505530552</v>
      </c>
      <c r="I71" s="271">
        <v>97.147238505530552</v>
      </c>
      <c r="J71" s="271">
        <v>97.147238505530552</v>
      </c>
      <c r="K71" s="271">
        <v>97.147238505530552</v>
      </c>
      <c r="L71" s="271">
        <v>97.147238505530552</v>
      </c>
      <c r="M71" s="271">
        <v>97.147238505530552</v>
      </c>
      <c r="N71" s="271">
        <v>97.147238505530552</v>
      </c>
      <c r="O71" s="271">
        <v>97.147238505530552</v>
      </c>
      <c r="P71" s="271">
        <v>97.147238505530552</v>
      </c>
      <c r="Q71" s="271">
        <v>97.147238505530552</v>
      </c>
      <c r="R71" s="271">
        <v>97.147238505530552</v>
      </c>
      <c r="S71" s="605"/>
      <c r="T71" s="272">
        <f t="shared" si="55"/>
        <v>7.1212121212121228E-3</v>
      </c>
      <c r="U71" s="272">
        <f t="shared" si="55"/>
        <v>7.9295154185022049E-3</v>
      </c>
      <c r="V71" s="272">
        <f t="shared" si="62"/>
        <v>6.2992125984251968E-3</v>
      </c>
      <c r="W71" s="272">
        <f t="shared" si="62"/>
        <v>3.5211267605633808E-3</v>
      </c>
      <c r="X71" s="272">
        <f t="shared" si="62"/>
        <v>9.0277777777777787E-3</v>
      </c>
      <c r="Y71" s="272">
        <f t="shared" si="62"/>
        <v>8.9552238805970154E-3</v>
      </c>
      <c r="Z71" s="272">
        <f t="shared" si="62"/>
        <v>7.5474874614562008E-3</v>
      </c>
      <c r="AA71" s="272">
        <f t="shared" si="62"/>
        <v>7.4882627058484863E-3</v>
      </c>
      <c r="AB71" s="272">
        <f t="shared" si="62"/>
        <v>7.3619641566985694E-3</v>
      </c>
      <c r="AC71" s="272">
        <f t="shared" si="62"/>
        <v>7.2398552970089338E-3</v>
      </c>
      <c r="AD71" s="272">
        <f t="shared" si="62"/>
        <v>7.0866137487060714E-3</v>
      </c>
      <c r="AE71" s="272">
        <f t="shared" si="62"/>
        <v>7.0485644314227979E-3</v>
      </c>
      <c r="AF71" s="272">
        <f t="shared" si="62"/>
        <v>6.9230528161749946E-3</v>
      </c>
      <c r="AG71" s="272">
        <f t="shared" si="62"/>
        <v>6.9380950731545935E-3</v>
      </c>
      <c r="AH71" s="272">
        <f t="shared" si="62"/>
        <v>6.8958417756005193E-3</v>
      </c>
      <c r="AI71" s="272">
        <f t="shared" si="62"/>
        <v>6.8530837712428207E-3</v>
      </c>
      <c r="AJ71" s="272">
        <f t="shared" si="62"/>
        <v>6.8130975218441076E-3</v>
      </c>
    </row>
    <row r="72" spans="1:36" ht="15.75" thickTop="1" x14ac:dyDescent="0.25">
      <c r="A72" s="273" t="s">
        <v>2489</v>
      </c>
      <c r="B72" s="274">
        <f t="shared" si="64"/>
        <v>26244.977194834086</v>
      </c>
      <c r="C72" s="274">
        <f t="shared" si="64"/>
        <v>25419.470607614254</v>
      </c>
      <c r="D72" s="274">
        <f t="shared" si="64"/>
        <v>26597.722906949493</v>
      </c>
      <c r="E72" s="274">
        <f t="shared" si="64"/>
        <v>27504.544509073032</v>
      </c>
      <c r="F72" s="274">
        <f t="shared" si="64"/>
        <v>25607.231876205653</v>
      </c>
      <c r="G72" s="274">
        <f t="shared" si="64"/>
        <v>26087.341108373326</v>
      </c>
      <c r="H72" s="274">
        <f t="shared" ref="H72:R72" si="65">H28</f>
        <v>26944.528012223385</v>
      </c>
      <c r="I72" s="274">
        <f t="shared" si="65"/>
        <v>27157.63259324227</v>
      </c>
      <c r="J72" s="274">
        <f t="shared" si="65"/>
        <v>27623.536735379679</v>
      </c>
      <c r="K72" s="274">
        <f t="shared" si="65"/>
        <v>28089.440877517092</v>
      </c>
      <c r="L72" s="274">
        <f t="shared" si="65"/>
        <v>28696.849375238358</v>
      </c>
      <c r="M72" s="274">
        <f t="shared" si="65"/>
        <v>28851.75971727071</v>
      </c>
      <c r="N72" s="274">
        <f t="shared" si="65"/>
        <v>29374.82823357547</v>
      </c>
      <c r="O72" s="274">
        <f t="shared" si="65"/>
        <v>29311.141629347356</v>
      </c>
      <c r="P72" s="274">
        <f t="shared" si="65"/>
        <v>29490.741514207908</v>
      </c>
      <c r="Q72" s="274">
        <f t="shared" si="65"/>
        <v>29674.741199060372</v>
      </c>
      <c r="R72" s="274">
        <f t="shared" si="65"/>
        <v>29848.903039342789</v>
      </c>
      <c r="S72" s="605"/>
      <c r="T72" s="275">
        <f>B72/B$80</f>
        <v>0.52797136937276323</v>
      </c>
      <c r="U72" s="275">
        <f>C72/C$80</f>
        <v>0.51790633608815428</v>
      </c>
      <c r="V72" s="275">
        <f t="shared" ref="V72:AJ79" si="66">D72/D$80</f>
        <v>0.57014925373134329</v>
      </c>
      <c r="W72" s="275">
        <f t="shared" si="66"/>
        <v>0.53564899451553938</v>
      </c>
      <c r="X72" s="275">
        <f t="shared" si="66"/>
        <v>0.49630996309963094</v>
      </c>
      <c r="Y72" s="275">
        <f t="shared" si="66"/>
        <v>0.52266152362584373</v>
      </c>
      <c r="Z72" s="275">
        <f t="shared" si="66"/>
        <v>0.52797136937276312</v>
      </c>
      <c r="AA72" s="275">
        <f t="shared" si="66"/>
        <v>0.52797136937276312</v>
      </c>
      <c r="AB72" s="275">
        <f t="shared" si="66"/>
        <v>0.52797136937276334</v>
      </c>
      <c r="AC72" s="275">
        <f t="shared" si="66"/>
        <v>0.52797136937276323</v>
      </c>
      <c r="AD72" s="275">
        <f t="shared" si="66"/>
        <v>0.52797136937276323</v>
      </c>
      <c r="AE72" s="275">
        <f t="shared" si="66"/>
        <v>0.52797136937276323</v>
      </c>
      <c r="AF72" s="275">
        <f t="shared" si="66"/>
        <v>0.52797136937276323</v>
      </c>
      <c r="AG72" s="275">
        <f t="shared" si="66"/>
        <v>0.52797136937276323</v>
      </c>
      <c r="AH72" s="275">
        <f t="shared" si="66"/>
        <v>0.52797136937276334</v>
      </c>
      <c r="AI72" s="275">
        <f t="shared" si="66"/>
        <v>0.52797136937276312</v>
      </c>
      <c r="AJ72" s="275">
        <f t="shared" si="66"/>
        <v>0.52797136937276334</v>
      </c>
    </row>
    <row r="73" spans="1:36" x14ac:dyDescent="0.25">
      <c r="A73" s="273" t="s">
        <v>2490</v>
      </c>
      <c r="B73" s="274">
        <f t="shared" si="64"/>
        <v>945.68059103754638</v>
      </c>
      <c r="C73" s="274">
        <f t="shared" si="64"/>
        <v>1622.5194004860161</v>
      </c>
      <c r="D73" s="274">
        <f t="shared" si="64"/>
        <v>278.51018750732453</v>
      </c>
      <c r="E73" s="274">
        <f t="shared" si="64"/>
        <v>938.72165559976213</v>
      </c>
      <c r="F73" s="274">
        <f t="shared" si="64"/>
        <v>1189.9271317939431</v>
      </c>
      <c r="G73" s="274">
        <f t="shared" si="64"/>
        <v>673.84275925687552</v>
      </c>
      <c r="H73" s="274">
        <f t="shared" ref="H73:R73" si="67">H29</f>
        <v>970.88738110401778</v>
      </c>
      <c r="I73" s="274">
        <f t="shared" si="67"/>
        <v>978.566140534238</v>
      </c>
      <c r="J73" s="274">
        <f t="shared" si="67"/>
        <v>995.3539815459676</v>
      </c>
      <c r="K73" s="274">
        <f t="shared" si="67"/>
        <v>1012.1418225576975</v>
      </c>
      <c r="L73" s="274">
        <f t="shared" si="67"/>
        <v>1034.0284648230731</v>
      </c>
      <c r="M73" s="274">
        <f t="shared" si="67"/>
        <v>1039.6103215998364</v>
      </c>
      <c r="N73" s="274">
        <f t="shared" si="67"/>
        <v>1058.4579563293337</v>
      </c>
      <c r="O73" s="274">
        <f t="shared" si="67"/>
        <v>1056.1631482568973</v>
      </c>
      <c r="P73" s="274">
        <f t="shared" si="67"/>
        <v>1062.634638935069</v>
      </c>
      <c r="Q73" s="274">
        <f t="shared" si="67"/>
        <v>1069.2646668230816</v>
      </c>
      <c r="R73" s="274">
        <f t="shared" si="67"/>
        <v>1075.5402094090693</v>
      </c>
      <c r="S73" s="605"/>
      <c r="T73" s="254">
        <f t="shared" ref="T73:U79" si="68">B73/B$80</f>
        <v>1.9024298361273308E-2</v>
      </c>
      <c r="U73" s="254">
        <f t="shared" si="68"/>
        <v>3.3057851239669422E-2</v>
      </c>
      <c r="V73" s="254">
        <f t="shared" si="66"/>
        <v>5.9701492537313433E-3</v>
      </c>
      <c r="W73" s="254">
        <f t="shared" si="66"/>
        <v>1.8281535648994516E-2</v>
      </c>
      <c r="X73" s="254">
        <f t="shared" si="66"/>
        <v>2.3062730627306273E-2</v>
      </c>
      <c r="Y73" s="254">
        <f t="shared" si="66"/>
        <v>1.3500482160077144E-2</v>
      </c>
      <c r="Z73" s="254">
        <f t="shared" si="66"/>
        <v>1.9024298361273308E-2</v>
      </c>
      <c r="AA73" s="254">
        <f t="shared" si="66"/>
        <v>1.9024298361273305E-2</v>
      </c>
      <c r="AB73" s="254">
        <f t="shared" si="66"/>
        <v>1.9024298361273308E-2</v>
      </c>
      <c r="AC73" s="254">
        <f t="shared" si="66"/>
        <v>1.9024298361273308E-2</v>
      </c>
      <c r="AD73" s="254">
        <f t="shared" si="66"/>
        <v>1.9024298361273308E-2</v>
      </c>
      <c r="AE73" s="254">
        <f t="shared" si="66"/>
        <v>1.9024298361273308E-2</v>
      </c>
      <c r="AF73" s="254">
        <f t="shared" si="66"/>
        <v>1.9024298361273308E-2</v>
      </c>
      <c r="AG73" s="254">
        <f t="shared" si="66"/>
        <v>1.9024298361273312E-2</v>
      </c>
      <c r="AH73" s="254">
        <f t="shared" si="66"/>
        <v>1.9024298361273308E-2</v>
      </c>
      <c r="AI73" s="254">
        <f t="shared" si="66"/>
        <v>1.9024298361273308E-2</v>
      </c>
      <c r="AJ73" s="254">
        <f t="shared" si="66"/>
        <v>1.9024298361273312E-2</v>
      </c>
    </row>
    <row r="74" spans="1:36" x14ac:dyDescent="0.25">
      <c r="A74" s="273" t="s">
        <v>2491</v>
      </c>
      <c r="B74" s="274">
        <f t="shared" si="64"/>
        <v>4278.97059509068</v>
      </c>
      <c r="C74" s="274">
        <f t="shared" si="64"/>
        <v>5814.0278517415582</v>
      </c>
      <c r="D74" s="274">
        <f t="shared" si="64"/>
        <v>3945.5609896870974</v>
      </c>
      <c r="E74" s="274">
        <f t="shared" si="64"/>
        <v>3379.3979601591436</v>
      </c>
      <c r="F74" s="274">
        <f t="shared" si="64"/>
        <v>4045.7522480994062</v>
      </c>
      <c r="G74" s="274">
        <f t="shared" si="64"/>
        <v>4139.3198068636639</v>
      </c>
      <c r="H74" s="274">
        <f t="shared" ref="H74:R74" si="69">H30</f>
        <v>4393.0250808369919</v>
      </c>
      <c r="I74" s="274">
        <f t="shared" si="69"/>
        <v>4427.7695665757101</v>
      </c>
      <c r="J74" s="274">
        <f t="shared" si="69"/>
        <v>4503.7303917475965</v>
      </c>
      <c r="K74" s="274">
        <f t="shared" si="69"/>
        <v>4579.6912169194829</v>
      </c>
      <c r="L74" s="274">
        <f t="shared" si="69"/>
        <v>4678.7228556845985</v>
      </c>
      <c r="M74" s="274">
        <f t="shared" si="69"/>
        <v>4703.9793759517352</v>
      </c>
      <c r="N74" s="274">
        <f t="shared" si="69"/>
        <v>4789.2602578465885</v>
      </c>
      <c r="O74" s="274">
        <f t="shared" si="69"/>
        <v>4778.876819340614</v>
      </c>
      <c r="P74" s="274">
        <f t="shared" si="69"/>
        <v>4808.1587128052133</v>
      </c>
      <c r="Q74" s="274">
        <f t="shared" si="69"/>
        <v>4838.1579479024576</v>
      </c>
      <c r="R74" s="274">
        <f t="shared" si="69"/>
        <v>4866.5532247519277</v>
      </c>
      <c r="S74" s="605"/>
      <c r="T74" s="254">
        <f t="shared" si="68"/>
        <v>8.6080241100018828E-2</v>
      </c>
      <c r="U74" s="254">
        <f t="shared" si="68"/>
        <v>0.1184573002754821</v>
      </c>
      <c r="V74" s="254">
        <f t="shared" si="66"/>
        <v>8.45771144278607E-2</v>
      </c>
      <c r="W74" s="254">
        <f t="shared" si="66"/>
        <v>6.5813528336380253E-2</v>
      </c>
      <c r="X74" s="254">
        <f t="shared" si="66"/>
        <v>7.8413284132841321E-2</v>
      </c>
      <c r="Y74" s="254">
        <f t="shared" si="66"/>
        <v>8.2931533269045316E-2</v>
      </c>
      <c r="Z74" s="254">
        <f t="shared" si="66"/>
        <v>8.6080241100018842E-2</v>
      </c>
      <c r="AA74" s="254">
        <f t="shared" si="66"/>
        <v>8.6080241100018801E-2</v>
      </c>
      <c r="AB74" s="254">
        <f t="shared" si="66"/>
        <v>8.6080241100018842E-2</v>
      </c>
      <c r="AC74" s="254">
        <f t="shared" si="66"/>
        <v>8.6080241100018842E-2</v>
      </c>
      <c r="AD74" s="254">
        <f t="shared" si="66"/>
        <v>8.6080241100018828E-2</v>
      </c>
      <c r="AE74" s="254">
        <f t="shared" si="66"/>
        <v>8.6080241100018828E-2</v>
      </c>
      <c r="AF74" s="254">
        <f t="shared" si="66"/>
        <v>8.6080241100018828E-2</v>
      </c>
      <c r="AG74" s="254">
        <f t="shared" si="66"/>
        <v>8.6080241100018842E-2</v>
      </c>
      <c r="AH74" s="254">
        <f t="shared" si="66"/>
        <v>8.6080241100018842E-2</v>
      </c>
      <c r="AI74" s="254">
        <f t="shared" si="66"/>
        <v>8.6080241100018814E-2</v>
      </c>
      <c r="AJ74" s="254">
        <f t="shared" si="66"/>
        <v>8.6080241100018842E-2</v>
      </c>
    </row>
    <row r="75" spans="1:36" x14ac:dyDescent="0.25">
      <c r="A75" s="273" t="s">
        <v>2492</v>
      </c>
      <c r="B75" s="274">
        <f t="shared" si="64"/>
        <v>1029.9491585557437</v>
      </c>
      <c r="C75" s="274">
        <f t="shared" si="64"/>
        <v>1261.959533711346</v>
      </c>
      <c r="D75" s="274">
        <f t="shared" si="64"/>
        <v>1485.3876667057309</v>
      </c>
      <c r="E75" s="274">
        <f t="shared" si="64"/>
        <v>891.78557281977407</v>
      </c>
      <c r="F75" s="274">
        <f t="shared" si="64"/>
        <v>809.15044961988133</v>
      </c>
      <c r="G75" s="274">
        <f t="shared" si="64"/>
        <v>673.84275925687552</v>
      </c>
      <c r="H75" s="274">
        <f t="shared" ref="H75:R75" si="70">H31</f>
        <v>1057.4020982320988</v>
      </c>
      <c r="I75" s="274">
        <f t="shared" si="70"/>
        <v>1065.7651035521405</v>
      </c>
      <c r="J75" s="274">
        <f t="shared" si="70"/>
        <v>1084.0488907926381</v>
      </c>
      <c r="K75" s="274">
        <f t="shared" si="70"/>
        <v>1102.3326780331361</v>
      </c>
      <c r="L75" s="274">
        <f t="shared" si="70"/>
        <v>1126.1696151538422</v>
      </c>
      <c r="M75" s="274">
        <f t="shared" si="70"/>
        <v>1132.2488651087328</v>
      </c>
      <c r="N75" s="274">
        <f t="shared" si="70"/>
        <v>1152.7759920418489</v>
      </c>
      <c r="O75" s="274">
        <f t="shared" si="70"/>
        <v>1150.2766961213731</v>
      </c>
      <c r="P75" s="274">
        <f t="shared" si="70"/>
        <v>1157.3248542857189</v>
      </c>
      <c r="Q75" s="274">
        <f t="shared" si="70"/>
        <v>1164.5456767380097</v>
      </c>
      <c r="R75" s="274">
        <f t="shared" si="70"/>
        <v>1171.3804260890856</v>
      </c>
      <c r="S75" s="605"/>
      <c r="T75" s="254">
        <f t="shared" si="68"/>
        <v>2.0719532868713506E-2</v>
      </c>
      <c r="U75" s="254">
        <f t="shared" si="68"/>
        <v>2.5711662075298441E-2</v>
      </c>
      <c r="V75" s="254">
        <f t="shared" si="66"/>
        <v>3.1840796019900502E-2</v>
      </c>
      <c r="W75" s="254">
        <f t="shared" si="66"/>
        <v>1.736745886654479E-2</v>
      </c>
      <c r="X75" s="254">
        <f t="shared" si="66"/>
        <v>1.5682656826568265E-2</v>
      </c>
      <c r="Y75" s="254">
        <f t="shared" si="66"/>
        <v>1.3500482160077144E-2</v>
      </c>
      <c r="Z75" s="254">
        <f t="shared" si="66"/>
        <v>2.0719532868713506E-2</v>
      </c>
      <c r="AA75" s="254">
        <f t="shared" si="66"/>
        <v>2.0719532868713503E-2</v>
      </c>
      <c r="AB75" s="254">
        <f t="shared" si="66"/>
        <v>2.0719532868713506E-2</v>
      </c>
      <c r="AC75" s="254">
        <f t="shared" si="66"/>
        <v>2.071953286871351E-2</v>
      </c>
      <c r="AD75" s="254">
        <f t="shared" si="66"/>
        <v>2.0719532868713506E-2</v>
      </c>
      <c r="AE75" s="254">
        <f t="shared" si="66"/>
        <v>2.0719532868713506E-2</v>
      </c>
      <c r="AF75" s="254">
        <f t="shared" si="66"/>
        <v>2.0719532868713513E-2</v>
      </c>
      <c r="AG75" s="254">
        <f t="shared" si="66"/>
        <v>2.0719532868713506E-2</v>
      </c>
      <c r="AH75" s="254">
        <f t="shared" si="66"/>
        <v>2.071953286871351E-2</v>
      </c>
      <c r="AI75" s="254">
        <f t="shared" si="66"/>
        <v>2.0719532868713503E-2</v>
      </c>
      <c r="AJ75" s="254">
        <f t="shared" si="66"/>
        <v>2.071953286871351E-2</v>
      </c>
    </row>
    <row r="76" spans="1:36" x14ac:dyDescent="0.25">
      <c r="A76" s="273" t="s">
        <v>2493</v>
      </c>
      <c r="B76" s="274">
        <f t="shared" si="64"/>
        <v>449.4323600970518</v>
      </c>
      <c r="C76" s="274">
        <f t="shared" si="64"/>
        <v>450.69983346833783</v>
      </c>
      <c r="D76" s="274">
        <f t="shared" si="64"/>
        <v>232.09182292277043</v>
      </c>
      <c r="E76" s="274">
        <f t="shared" si="64"/>
        <v>657.10515891983357</v>
      </c>
      <c r="F76" s="274">
        <f t="shared" si="64"/>
        <v>713.95627907636572</v>
      </c>
      <c r="G76" s="274">
        <f t="shared" si="64"/>
        <v>192.52650264482159</v>
      </c>
      <c r="H76" s="274">
        <f t="shared" ref="H76:R76" si="71">H32</f>
        <v>461.41182468309762</v>
      </c>
      <c r="I76" s="274">
        <f t="shared" si="71"/>
        <v>465.06113609547947</v>
      </c>
      <c r="J76" s="274">
        <f t="shared" si="71"/>
        <v>473.03951598224211</v>
      </c>
      <c r="K76" s="274">
        <f t="shared" si="71"/>
        <v>481.01789586900486</v>
      </c>
      <c r="L76" s="274">
        <f t="shared" si="71"/>
        <v>491.41946843076749</v>
      </c>
      <c r="M76" s="274">
        <f t="shared" si="71"/>
        <v>494.07223204744707</v>
      </c>
      <c r="N76" s="274">
        <f t="shared" si="71"/>
        <v>503.02952380007946</v>
      </c>
      <c r="O76" s="274">
        <f t="shared" si="71"/>
        <v>501.93892194387195</v>
      </c>
      <c r="P76" s="274">
        <f t="shared" si="71"/>
        <v>505.01448187013193</v>
      </c>
      <c r="Q76" s="274">
        <f t="shared" si="71"/>
        <v>508.16538621294973</v>
      </c>
      <c r="R76" s="274">
        <f t="shared" si="71"/>
        <v>511.14782229341921</v>
      </c>
      <c r="S76" s="605"/>
      <c r="T76" s="254">
        <f t="shared" si="68"/>
        <v>9.0412507063477119E-3</v>
      </c>
      <c r="U76" s="254">
        <f t="shared" si="68"/>
        <v>9.1827364554637279E-3</v>
      </c>
      <c r="V76" s="254">
        <f t="shared" si="66"/>
        <v>4.9751243781094526E-3</v>
      </c>
      <c r="W76" s="254">
        <f t="shared" si="66"/>
        <v>1.2797074954296163E-2</v>
      </c>
      <c r="X76" s="254">
        <f t="shared" si="66"/>
        <v>1.3837638376383762E-2</v>
      </c>
      <c r="Y76" s="254">
        <f t="shared" si="66"/>
        <v>3.8572806171648984E-3</v>
      </c>
      <c r="Z76" s="254">
        <f t="shared" si="66"/>
        <v>9.0412507063477119E-3</v>
      </c>
      <c r="AA76" s="254">
        <f t="shared" si="66"/>
        <v>9.0412507063477102E-3</v>
      </c>
      <c r="AB76" s="254">
        <f t="shared" si="66"/>
        <v>9.0412507063477136E-3</v>
      </c>
      <c r="AC76" s="254">
        <f t="shared" si="66"/>
        <v>9.0412507063477136E-3</v>
      </c>
      <c r="AD76" s="254">
        <f t="shared" si="66"/>
        <v>9.0412507063477119E-3</v>
      </c>
      <c r="AE76" s="254">
        <f t="shared" si="66"/>
        <v>9.0412507063477119E-3</v>
      </c>
      <c r="AF76" s="254">
        <f t="shared" si="66"/>
        <v>9.0412507063477136E-3</v>
      </c>
      <c r="AG76" s="254">
        <f t="shared" si="66"/>
        <v>9.0412507063477119E-3</v>
      </c>
      <c r="AH76" s="254">
        <f t="shared" si="66"/>
        <v>9.0412507063477136E-3</v>
      </c>
      <c r="AI76" s="254">
        <f t="shared" si="66"/>
        <v>9.0412507063477119E-3</v>
      </c>
      <c r="AJ76" s="254">
        <f t="shared" si="66"/>
        <v>9.0412507063477136E-3</v>
      </c>
    </row>
    <row r="77" spans="1:36" x14ac:dyDescent="0.25">
      <c r="A77" s="273" t="s">
        <v>2494</v>
      </c>
      <c r="B77" s="274">
        <f t="shared" si="64"/>
        <v>786.50663016984061</v>
      </c>
      <c r="C77" s="274">
        <f t="shared" si="64"/>
        <v>946.46965028350951</v>
      </c>
      <c r="D77" s="274">
        <f t="shared" si="64"/>
        <v>928.36729169108173</v>
      </c>
      <c r="E77" s="274">
        <f t="shared" si="64"/>
        <v>750.97732447980979</v>
      </c>
      <c r="F77" s="274">
        <f t="shared" si="64"/>
        <v>523.56793798933484</v>
      </c>
      <c r="G77" s="274">
        <f t="shared" si="64"/>
        <v>770.10601057928636</v>
      </c>
      <c r="H77" s="274">
        <f t="shared" ref="H77:R77" si="72">H33</f>
        <v>807.47069319542072</v>
      </c>
      <c r="I77" s="274">
        <f t="shared" si="72"/>
        <v>813.85698816708907</v>
      </c>
      <c r="J77" s="274">
        <f t="shared" si="72"/>
        <v>827.81915296892362</v>
      </c>
      <c r="K77" s="274">
        <f t="shared" si="72"/>
        <v>841.78131777075851</v>
      </c>
      <c r="L77" s="274">
        <f t="shared" si="72"/>
        <v>859.98406975384307</v>
      </c>
      <c r="M77" s="274">
        <f t="shared" si="72"/>
        <v>864.62640608303229</v>
      </c>
      <c r="N77" s="274">
        <f t="shared" si="72"/>
        <v>880.30166665013894</v>
      </c>
      <c r="O77" s="274">
        <f t="shared" si="72"/>
        <v>878.39311340177585</v>
      </c>
      <c r="P77" s="274">
        <f t="shared" si="72"/>
        <v>883.77534327273077</v>
      </c>
      <c r="Q77" s="274">
        <f t="shared" si="72"/>
        <v>889.28942587266204</v>
      </c>
      <c r="R77" s="274">
        <f t="shared" si="72"/>
        <v>894.50868901348349</v>
      </c>
      <c r="S77" s="274"/>
      <c r="T77" s="254">
        <f t="shared" si="68"/>
        <v>1.5822188736108495E-2</v>
      </c>
      <c r="U77" s="254">
        <f t="shared" si="68"/>
        <v>1.928374655647383E-2</v>
      </c>
      <c r="V77" s="254">
        <f t="shared" si="66"/>
        <v>1.9900497512437811E-2</v>
      </c>
      <c r="W77" s="254">
        <f t="shared" si="66"/>
        <v>1.4625228519195614E-2</v>
      </c>
      <c r="X77" s="254">
        <f t="shared" si="66"/>
        <v>1.0147601476014758E-2</v>
      </c>
      <c r="Y77" s="254">
        <f t="shared" si="66"/>
        <v>1.5429122468659594E-2</v>
      </c>
      <c r="Z77" s="254">
        <f t="shared" si="66"/>
        <v>1.5822188736108491E-2</v>
      </c>
      <c r="AA77" s="254">
        <f t="shared" si="66"/>
        <v>1.5822188736108491E-2</v>
      </c>
      <c r="AB77" s="254">
        <f t="shared" si="66"/>
        <v>1.5822188736108495E-2</v>
      </c>
      <c r="AC77" s="254">
        <f t="shared" si="66"/>
        <v>1.5822188736108498E-2</v>
      </c>
      <c r="AD77" s="254">
        <f t="shared" si="66"/>
        <v>1.5822188736108495E-2</v>
      </c>
      <c r="AE77" s="254">
        <f t="shared" si="66"/>
        <v>1.5822188736108495E-2</v>
      </c>
      <c r="AF77" s="254">
        <f t="shared" si="66"/>
        <v>1.5822188736108495E-2</v>
      </c>
      <c r="AG77" s="254">
        <f t="shared" si="66"/>
        <v>1.5822188736108495E-2</v>
      </c>
      <c r="AH77" s="254">
        <f t="shared" si="66"/>
        <v>1.5822188736108498E-2</v>
      </c>
      <c r="AI77" s="254">
        <f t="shared" si="66"/>
        <v>1.5822188736108495E-2</v>
      </c>
      <c r="AJ77" s="254">
        <f t="shared" si="66"/>
        <v>1.5822188736108498E-2</v>
      </c>
    </row>
    <row r="78" spans="1:36" x14ac:dyDescent="0.25">
      <c r="A78" s="273" t="s">
        <v>2495</v>
      </c>
      <c r="B78" s="274">
        <f t="shared" si="64"/>
        <v>1610.4659570144356</v>
      </c>
      <c r="C78" s="274">
        <f t="shared" si="64"/>
        <v>901.39966693667566</v>
      </c>
      <c r="D78" s="274">
        <f t="shared" si="64"/>
        <v>928.36729169108173</v>
      </c>
      <c r="E78" s="274">
        <f t="shared" si="64"/>
        <v>2393.7402217793938</v>
      </c>
      <c r="F78" s="274">
        <f t="shared" si="64"/>
        <v>2141.8688372290972</v>
      </c>
      <c r="G78" s="274">
        <f t="shared" si="64"/>
        <v>1732.7385238033942</v>
      </c>
      <c r="H78" s="274">
        <f t="shared" ref="H78:R78" si="73">H34</f>
        <v>1653.3923717810999</v>
      </c>
      <c r="I78" s="274">
        <f t="shared" si="73"/>
        <v>1666.4690710088014</v>
      </c>
      <c r="J78" s="274">
        <f t="shared" si="73"/>
        <v>1695.0582656030342</v>
      </c>
      <c r="K78" s="274">
        <f t="shared" si="73"/>
        <v>1723.6474601972673</v>
      </c>
      <c r="L78" s="274">
        <f t="shared" si="73"/>
        <v>1760.9197618769169</v>
      </c>
      <c r="M78" s="274">
        <f t="shared" si="73"/>
        <v>1770.4254981700187</v>
      </c>
      <c r="N78" s="274">
        <f t="shared" si="73"/>
        <v>1802.5224602836179</v>
      </c>
      <c r="O78" s="274">
        <f t="shared" si="73"/>
        <v>1798.6144702988747</v>
      </c>
      <c r="P78" s="274">
        <f t="shared" si="73"/>
        <v>1809.635226701306</v>
      </c>
      <c r="Q78" s="274">
        <f t="shared" si="73"/>
        <v>1820.9259672630699</v>
      </c>
      <c r="R78" s="274">
        <f t="shared" si="73"/>
        <v>1831.613029884752</v>
      </c>
      <c r="S78" s="274"/>
      <c r="T78" s="254">
        <f t="shared" si="68"/>
        <v>3.2397815031079302E-2</v>
      </c>
      <c r="U78" s="254">
        <f t="shared" si="68"/>
        <v>1.8365472910927456E-2</v>
      </c>
      <c r="V78" s="254">
        <f t="shared" si="66"/>
        <v>1.9900497512437811E-2</v>
      </c>
      <c r="W78" s="254">
        <f t="shared" si="66"/>
        <v>4.6617915904936025E-2</v>
      </c>
      <c r="X78" s="254">
        <f t="shared" si="66"/>
        <v>4.1512915129151284E-2</v>
      </c>
      <c r="Y78" s="254">
        <f t="shared" si="66"/>
        <v>3.4715525554484088E-2</v>
      </c>
      <c r="Z78" s="254">
        <f t="shared" si="66"/>
        <v>3.2397815031079302E-2</v>
      </c>
      <c r="AA78" s="254">
        <f t="shared" si="66"/>
        <v>3.2397815031079288E-2</v>
      </c>
      <c r="AB78" s="254">
        <f t="shared" si="66"/>
        <v>3.2397815031079302E-2</v>
      </c>
      <c r="AC78" s="254">
        <f t="shared" si="66"/>
        <v>3.2397815031079302E-2</v>
      </c>
      <c r="AD78" s="254">
        <f t="shared" si="66"/>
        <v>3.2397815031079302E-2</v>
      </c>
      <c r="AE78" s="254">
        <f t="shared" si="66"/>
        <v>3.2397815031079302E-2</v>
      </c>
      <c r="AF78" s="254">
        <f t="shared" si="66"/>
        <v>3.2397815031079302E-2</v>
      </c>
      <c r="AG78" s="254">
        <f t="shared" si="66"/>
        <v>3.2397815031079302E-2</v>
      </c>
      <c r="AH78" s="254">
        <f t="shared" si="66"/>
        <v>3.2397815031079309E-2</v>
      </c>
      <c r="AI78" s="254">
        <f t="shared" si="66"/>
        <v>3.2397815031079302E-2</v>
      </c>
      <c r="AJ78" s="254">
        <f t="shared" si="66"/>
        <v>3.2397815031079309E-2</v>
      </c>
    </row>
    <row r="79" spans="1:36" ht="15.75" thickBot="1" x14ac:dyDescent="0.3">
      <c r="A79" s="249" t="s">
        <v>2496</v>
      </c>
      <c r="B79" s="277">
        <f t="shared" si="64"/>
        <v>1825.8189628942728</v>
      </c>
      <c r="C79" s="277">
        <f t="shared" si="64"/>
        <v>1847.8693172201852</v>
      </c>
      <c r="D79" s="277">
        <f t="shared" si="64"/>
        <v>464.18364584554087</v>
      </c>
      <c r="E79" s="277">
        <f t="shared" si="64"/>
        <v>1455.0185661796313</v>
      </c>
      <c r="F79" s="277">
        <f t="shared" si="64"/>
        <v>2665.4367752184321</v>
      </c>
      <c r="G79" s="277">
        <f t="shared" si="64"/>
        <v>2743.5026626887075</v>
      </c>
      <c r="H79" s="277">
        <f t="shared" ref="H79:R79" si="74">H35</f>
        <v>1874.4855377750839</v>
      </c>
      <c r="I79" s="277">
        <f t="shared" si="74"/>
        <v>1889.3108653878853</v>
      </c>
      <c r="J79" s="277">
        <f t="shared" si="74"/>
        <v>1921.7230336778584</v>
      </c>
      <c r="K79" s="277">
        <f t="shared" si="74"/>
        <v>1954.1352019678318</v>
      </c>
      <c r="L79" s="277">
        <f t="shared" si="74"/>
        <v>1996.3915904999926</v>
      </c>
      <c r="M79" s="277">
        <f t="shared" si="74"/>
        <v>2007.1684426927536</v>
      </c>
      <c r="N79" s="277">
        <f t="shared" si="74"/>
        <v>2043.5574404378226</v>
      </c>
      <c r="O79" s="277">
        <f t="shared" si="74"/>
        <v>2039.1268703969797</v>
      </c>
      <c r="P79" s="277">
        <f t="shared" si="74"/>
        <v>2051.6213325974104</v>
      </c>
      <c r="Q79" s="277">
        <f t="shared" si="74"/>
        <v>2064.4218814901078</v>
      </c>
      <c r="R79" s="277">
        <f t="shared" si="74"/>
        <v>2076.5380280670151</v>
      </c>
      <c r="S79" s="274"/>
      <c r="T79" s="278">
        <f t="shared" si="68"/>
        <v>3.6730080994537576E-2</v>
      </c>
      <c r="U79" s="278">
        <f t="shared" si="68"/>
        <v>3.7649219467401289E-2</v>
      </c>
      <c r="V79" s="278">
        <f t="shared" si="66"/>
        <v>9.9502487562189053E-3</v>
      </c>
      <c r="W79" s="278">
        <f t="shared" si="66"/>
        <v>2.8336380255941498E-2</v>
      </c>
      <c r="X79" s="278">
        <f t="shared" si="66"/>
        <v>5.1660516605166046E-2</v>
      </c>
      <c r="Y79" s="278">
        <f t="shared" si="66"/>
        <v>5.4966248794599798E-2</v>
      </c>
      <c r="Z79" s="278">
        <f t="shared" si="66"/>
        <v>3.6730080994537576E-2</v>
      </c>
      <c r="AA79" s="278">
        <f t="shared" si="66"/>
        <v>3.6730080994537569E-2</v>
      </c>
      <c r="AB79" s="278">
        <f t="shared" si="66"/>
        <v>3.6730080994537583E-2</v>
      </c>
      <c r="AC79" s="278">
        <f t="shared" si="66"/>
        <v>3.6730080994537576E-2</v>
      </c>
      <c r="AD79" s="278">
        <f t="shared" si="66"/>
        <v>3.6730080994537569E-2</v>
      </c>
      <c r="AE79" s="278">
        <f t="shared" si="66"/>
        <v>3.6730080994537576E-2</v>
      </c>
      <c r="AF79" s="278">
        <f t="shared" si="66"/>
        <v>3.6730080994537583E-2</v>
      </c>
      <c r="AG79" s="278">
        <f t="shared" si="66"/>
        <v>3.6730080994537576E-2</v>
      </c>
      <c r="AH79" s="278">
        <f t="shared" si="66"/>
        <v>3.6730080994537576E-2</v>
      </c>
      <c r="AI79" s="278">
        <f t="shared" si="66"/>
        <v>3.6730080994537569E-2</v>
      </c>
      <c r="AJ79" s="278">
        <f t="shared" si="66"/>
        <v>3.6730080994537583E-2</v>
      </c>
    </row>
    <row r="80" spans="1:36" ht="15.75" thickTop="1" x14ac:dyDescent="0.25">
      <c r="A80" s="273" t="s">
        <v>2497</v>
      </c>
      <c r="B80" s="274">
        <f>SUM(B50,B72:B79)</f>
        <v>49709.091661567662</v>
      </c>
      <c r="C80" s="274">
        <f t="shared" ref="C80:R80" si="75">SUM(C50,C72:C79)</f>
        <v>49081.211864701989</v>
      </c>
      <c r="D80" s="274">
        <f t="shared" si="75"/>
        <v>46650.456407476857</v>
      </c>
      <c r="E80" s="274">
        <f t="shared" si="75"/>
        <v>51348.074561306988</v>
      </c>
      <c r="F80" s="274">
        <f t="shared" si="75"/>
        <v>51595.240434585372</v>
      </c>
      <c r="G80" s="274">
        <f t="shared" si="75"/>
        <v>49912.49581067</v>
      </c>
      <c r="H80" s="274">
        <f t="shared" si="75"/>
        <v>51034.07035922011</v>
      </c>
      <c r="I80" s="274">
        <f t="shared" si="75"/>
        <v>51437.699406893771</v>
      </c>
      <c r="J80" s="274">
        <f t="shared" si="75"/>
        <v>52320.141465619228</v>
      </c>
      <c r="K80" s="274">
        <f t="shared" si="75"/>
        <v>53202.583524344715</v>
      </c>
      <c r="L80" s="274">
        <f t="shared" si="75"/>
        <v>54353.040789561346</v>
      </c>
      <c r="M80" s="274">
        <f t="shared" si="75"/>
        <v>54646.447498747839</v>
      </c>
      <c r="N80" s="274">
        <f t="shared" si="75"/>
        <v>55637.161288637944</v>
      </c>
      <c r="O80" s="274">
        <f t="shared" si="75"/>
        <v>55516.536179167</v>
      </c>
      <c r="P80" s="274">
        <f t="shared" si="75"/>
        <v>55856.705921844368</v>
      </c>
      <c r="Q80" s="274">
        <f t="shared" si="75"/>
        <v>56205.209070928126</v>
      </c>
      <c r="R80" s="274">
        <f t="shared" si="75"/>
        <v>56535.078928245035</v>
      </c>
      <c r="S80" s="274"/>
      <c r="T80" s="254">
        <f t="shared" ref="T80:AJ80" si="76">SUM(T50,T72:T79)</f>
        <v>1.0000000000000002</v>
      </c>
      <c r="U80" s="254">
        <f t="shared" si="76"/>
        <v>1</v>
      </c>
      <c r="V80" s="254">
        <f t="shared" si="76"/>
        <v>1.0000000000000002</v>
      </c>
      <c r="W80" s="254">
        <f t="shared" si="76"/>
        <v>1</v>
      </c>
      <c r="X80" s="254">
        <f t="shared" si="76"/>
        <v>0.99999999999999978</v>
      </c>
      <c r="Y80" s="254">
        <f t="shared" si="76"/>
        <v>1</v>
      </c>
      <c r="Z80" s="254">
        <f t="shared" si="76"/>
        <v>0.99999999999999989</v>
      </c>
      <c r="AA80" s="254">
        <f t="shared" si="76"/>
        <v>0.99999999999999978</v>
      </c>
      <c r="AB80" s="254">
        <f t="shared" si="76"/>
        <v>1.0000000000000002</v>
      </c>
      <c r="AC80" s="254">
        <f t="shared" si="76"/>
        <v>1.0000000000000002</v>
      </c>
      <c r="AD80" s="254">
        <f t="shared" si="76"/>
        <v>1.0000000000000002</v>
      </c>
      <c r="AE80" s="254">
        <f t="shared" si="76"/>
        <v>1.0000000000000002</v>
      </c>
      <c r="AF80" s="254">
        <f t="shared" si="76"/>
        <v>1.0000000000000002</v>
      </c>
      <c r="AG80" s="254">
        <f t="shared" si="76"/>
        <v>1.0000000000000002</v>
      </c>
      <c r="AH80" s="254">
        <f t="shared" si="76"/>
        <v>1.0000000000000002</v>
      </c>
      <c r="AI80" s="254">
        <f t="shared" si="76"/>
        <v>0.99999999999999989</v>
      </c>
      <c r="AJ80" s="254">
        <f t="shared" si="76"/>
        <v>1.0000000000000002</v>
      </c>
    </row>
    <row r="81" spans="1:36" x14ac:dyDescent="0.25">
      <c r="A81" s="280" t="s">
        <v>2498</v>
      </c>
      <c r="B81" s="281" t="s">
        <v>65</v>
      </c>
      <c r="C81" s="281" t="s">
        <v>65</v>
      </c>
      <c r="D81" s="624">
        <f t="shared" ref="D81:R81" si="77">D80-C80</f>
        <v>-2430.755457225132</v>
      </c>
      <c r="E81" s="624">
        <f t="shared" si="77"/>
        <v>4697.6181538301316</v>
      </c>
      <c r="F81" s="624">
        <f t="shared" si="77"/>
        <v>247.16587327838351</v>
      </c>
      <c r="G81" s="624">
        <f t="shared" si="77"/>
        <v>-1682.7446239153724</v>
      </c>
      <c r="H81" s="624">
        <f t="shared" si="77"/>
        <v>1121.5745485501102</v>
      </c>
      <c r="I81" s="624">
        <f t="shared" si="77"/>
        <v>403.62904767366126</v>
      </c>
      <c r="J81" s="624">
        <f t="shared" si="77"/>
        <v>882.44205872545717</v>
      </c>
      <c r="K81" s="624">
        <f t="shared" si="77"/>
        <v>882.44205872548628</v>
      </c>
      <c r="L81" s="624">
        <f t="shared" si="77"/>
        <v>1150.4572652166316</v>
      </c>
      <c r="M81" s="624">
        <f t="shared" si="77"/>
        <v>293.40670918649266</v>
      </c>
      <c r="N81" s="624">
        <f t="shared" si="77"/>
        <v>990.71378989010555</v>
      </c>
      <c r="O81" s="624">
        <f t="shared" si="77"/>
        <v>-120.62510947094415</v>
      </c>
      <c r="P81" s="624">
        <f t="shared" si="77"/>
        <v>340.16974267736805</v>
      </c>
      <c r="Q81" s="624">
        <f t="shared" si="77"/>
        <v>348.50314908375731</v>
      </c>
      <c r="R81" s="624">
        <f t="shared" si="77"/>
        <v>329.86985731690947</v>
      </c>
      <c r="S81" s="274"/>
      <c r="T81" s="114"/>
      <c r="U81" s="254"/>
      <c r="V81" s="254"/>
      <c r="W81" s="254"/>
      <c r="X81" s="254"/>
      <c r="Y81" s="254"/>
      <c r="Z81" s="254"/>
      <c r="AA81" s="254"/>
      <c r="AB81" s="254"/>
      <c r="AC81" s="254"/>
      <c r="AD81" s="254"/>
      <c r="AE81" s="254"/>
      <c r="AF81" s="254"/>
      <c r="AG81" s="254"/>
      <c r="AH81" s="254"/>
      <c r="AI81" s="254"/>
      <c r="AJ81" s="254"/>
    </row>
    <row r="82" spans="1:36" x14ac:dyDescent="0.25">
      <c r="A82" s="273" t="s">
        <v>2505</v>
      </c>
      <c r="B82" s="274">
        <f t="shared" ref="B82:R82" si="78">B38</f>
        <v>0</v>
      </c>
      <c r="C82" s="274">
        <f t="shared" si="78"/>
        <v>45385.473230261625</v>
      </c>
      <c r="D82" s="274">
        <f t="shared" si="78"/>
        <v>44329.538178249153</v>
      </c>
      <c r="E82" s="274">
        <f t="shared" si="78"/>
        <v>46748.338448868155</v>
      </c>
      <c r="F82" s="274">
        <f t="shared" si="78"/>
        <v>46264.366884148505</v>
      </c>
      <c r="G82" s="274">
        <f t="shared" si="78"/>
        <v>44666.148613598612</v>
      </c>
      <c r="H82" s="274">
        <f t="shared" si="78"/>
        <v>46698.721756468505</v>
      </c>
      <c r="I82" s="274">
        <f t="shared" si="78"/>
        <v>47068.062482329988</v>
      </c>
      <c r="J82" s="274">
        <f t="shared" si="78"/>
        <v>47875.541013369417</v>
      </c>
      <c r="K82" s="274">
        <f t="shared" si="78"/>
        <v>48683.01954440886</v>
      </c>
      <c r="L82" s="274">
        <f t="shared" si="78"/>
        <v>49735.745367430587</v>
      </c>
      <c r="M82" s="274">
        <f t="shared" si="78"/>
        <v>50004.227151802035</v>
      </c>
      <c r="N82" s="274">
        <f t="shared" si="78"/>
        <v>50910.779721266365</v>
      </c>
      <c r="O82" s="274">
        <f t="shared" si="78"/>
        <v>50800.401725069372</v>
      </c>
      <c r="P82" s="274">
        <f t="shared" si="78"/>
        <v>51111.674019272919</v>
      </c>
      <c r="Q82" s="274">
        <f t="shared" si="78"/>
        <v>51430.571796302283</v>
      </c>
      <c r="R82" s="274">
        <f t="shared" si="78"/>
        <v>51732.419181279787</v>
      </c>
      <c r="S82" s="274"/>
    </row>
    <row r="83" spans="1:36" x14ac:dyDescent="0.25">
      <c r="A83" s="273" t="s">
        <v>2506</v>
      </c>
      <c r="B83" s="281" t="s">
        <v>65</v>
      </c>
      <c r="C83" s="281" t="s">
        <v>65</v>
      </c>
      <c r="D83" s="114">
        <v>254.21011841070003</v>
      </c>
      <c r="E83" s="114">
        <v>483.97411884385974</v>
      </c>
      <c r="F83" s="114">
        <v>783.17864631329849</v>
      </c>
      <c r="G83" s="114">
        <v>1051.5140891763899</v>
      </c>
      <c r="H83" s="114">
        <v>1292.5605185938734</v>
      </c>
      <c r="I83" s="114">
        <v>1509.4890171291381</v>
      </c>
      <c r="J83" s="114">
        <v>1705.1074940371586</v>
      </c>
      <c r="K83" s="114">
        <v>1881.9015029008747</v>
      </c>
      <c r="L83" s="114">
        <v>2037.3109171378205</v>
      </c>
      <c r="M83" s="114"/>
      <c r="N83" s="114"/>
      <c r="O83" s="114"/>
      <c r="P83" s="114"/>
      <c r="Q83" s="114"/>
      <c r="R83" s="114"/>
      <c r="S83" s="114"/>
    </row>
    <row r="84" spans="1:36" x14ac:dyDescent="0.25">
      <c r="A84" s="273" t="s">
        <v>2507</v>
      </c>
      <c r="B84" s="281" t="s">
        <v>65</v>
      </c>
      <c r="C84" s="281" t="s">
        <v>65</v>
      </c>
      <c r="D84" s="114">
        <v>254.21011841070003</v>
      </c>
      <c r="E84" s="114">
        <v>229.76400043315971</v>
      </c>
      <c r="F84" s="114">
        <v>299.20452746943874</v>
      </c>
      <c r="G84" s="114">
        <v>268.33544286309143</v>
      </c>
      <c r="H84" s="114">
        <v>241.04642941748352</v>
      </c>
      <c r="I84" s="114">
        <v>216.92849853526468</v>
      </c>
      <c r="J84" s="114">
        <v>195.61847690802051</v>
      </c>
      <c r="K84" s="114">
        <v>176.79400886371604</v>
      </c>
      <c r="L84" s="114">
        <v>155.40941423694585</v>
      </c>
      <c r="M84" s="114"/>
      <c r="N84" s="114"/>
      <c r="O84" s="114"/>
      <c r="P84" s="114"/>
      <c r="Q84" s="114"/>
      <c r="R84" s="114"/>
      <c r="S84" s="114"/>
    </row>
    <row r="86" spans="1:36" x14ac:dyDescent="0.25">
      <c r="A86" s="287" t="s">
        <v>2511</v>
      </c>
      <c r="B86" s="243"/>
      <c r="C86" s="288">
        <f>C21</f>
        <v>3766.3091265068074</v>
      </c>
      <c r="D86" s="288">
        <f t="shared" ref="D86:L86" si="79">D21-D83</f>
        <v>3586.3067717890517</v>
      </c>
      <c r="E86" s="288">
        <f t="shared" si="79"/>
        <v>3535.2202057443383</v>
      </c>
      <c r="F86" s="288">
        <f t="shared" si="79"/>
        <v>2564.7857273732452</v>
      </c>
      <c r="G86" s="288">
        <f t="shared" si="79"/>
        <v>1990.36725505613</v>
      </c>
      <c r="H86" s="288">
        <f t="shared" si="79"/>
        <v>2409.3163629639212</v>
      </c>
      <c r="I86" s="288">
        <f t="shared" si="79"/>
        <v>2221.6660511339492</v>
      </c>
      <c r="J86" s="288">
        <f t="shared" si="79"/>
        <v>2090.0575940718159</v>
      </c>
      <c r="K86" s="288">
        <f t="shared" si="79"/>
        <v>1977.2736050539884</v>
      </c>
      <c r="L86" s="288">
        <f t="shared" si="79"/>
        <v>1905.3153269570425</v>
      </c>
      <c r="M86" s="288"/>
      <c r="N86" s="288">
        <f>K80-J80</f>
        <v>882.44205872548628</v>
      </c>
      <c r="O86" s="288"/>
      <c r="P86" s="288"/>
      <c r="Q86" s="288"/>
      <c r="R86" s="288"/>
      <c r="S86" s="288"/>
    </row>
    <row r="87" spans="1:36" x14ac:dyDescent="0.25">
      <c r="A87" s="287" t="s">
        <v>2512</v>
      </c>
      <c r="B87" s="243"/>
      <c r="C87" s="288"/>
      <c r="D87" s="288"/>
      <c r="E87" s="288"/>
      <c r="F87" s="288" t="e">
        <f t="shared" ref="F87:L87" si="80">F22*$B$92</f>
        <v>#REF!</v>
      </c>
      <c r="G87" s="288" t="e">
        <f t="shared" si="80"/>
        <v>#REF!</v>
      </c>
      <c r="H87" s="288" t="e">
        <f t="shared" si="80"/>
        <v>#REF!</v>
      </c>
      <c r="I87" s="288" t="e">
        <f t="shared" si="80"/>
        <v>#REF!</v>
      </c>
      <c r="J87" s="288" t="e">
        <f t="shared" si="80"/>
        <v>#REF!</v>
      </c>
      <c r="K87" s="288" t="e">
        <f t="shared" si="80"/>
        <v>#REF!</v>
      </c>
      <c r="L87" s="288" t="e">
        <f t="shared" si="80"/>
        <v>#REF!</v>
      </c>
      <c r="M87" s="288"/>
      <c r="N87" s="288"/>
      <c r="O87" s="288"/>
      <c r="P87" s="288"/>
      <c r="Q87" s="288"/>
      <c r="R87" s="288"/>
      <c r="S87" s="288"/>
    </row>
    <row r="88" spans="1:36" x14ac:dyDescent="0.25">
      <c r="A88" s="287" t="s">
        <v>2508</v>
      </c>
      <c r="B88" s="241"/>
      <c r="C88" s="288">
        <f t="shared" ref="C88:L88" si="81">C70</f>
        <v>343.08780274594187</v>
      </c>
      <c r="D88" s="288">
        <f t="shared" si="81"/>
        <v>297.07753334114619</v>
      </c>
      <c r="E88" s="288">
        <f t="shared" si="81"/>
        <v>188.40540270840299</v>
      </c>
      <c r="F88" s="288">
        <f t="shared" si="81"/>
        <v>501.88482136553421</v>
      </c>
      <c r="G88" s="288">
        <f t="shared" si="81"/>
        <v>462.06360634757186</v>
      </c>
      <c r="H88" s="288">
        <f t="shared" si="81"/>
        <v>388.58895402212221</v>
      </c>
      <c r="I88" s="288">
        <f t="shared" si="81"/>
        <v>388.58895402212221</v>
      </c>
      <c r="J88" s="288">
        <f t="shared" si="81"/>
        <v>388.58895402212221</v>
      </c>
      <c r="K88" s="288">
        <f t="shared" si="81"/>
        <v>388.58895402212221</v>
      </c>
      <c r="L88" s="288">
        <f t="shared" si="81"/>
        <v>388.58895402212221</v>
      </c>
      <c r="M88" s="288"/>
      <c r="N88" s="288"/>
      <c r="O88" s="288"/>
      <c r="P88" s="288"/>
      <c r="Q88" s="288"/>
      <c r="R88" s="288"/>
      <c r="S88" s="288"/>
    </row>
    <row r="89" spans="1:36" x14ac:dyDescent="0.25">
      <c r="A89" s="287" t="s">
        <v>2509</v>
      </c>
      <c r="C89" s="288">
        <f t="shared" ref="C89:L89" si="82">C51</f>
        <v>571.8130045765696</v>
      </c>
      <c r="D89" s="288">
        <f t="shared" si="82"/>
        <v>557.02037501464906</v>
      </c>
      <c r="E89" s="288">
        <f t="shared" si="82"/>
        <v>894.9256628649141</v>
      </c>
      <c r="F89" s="288">
        <f t="shared" si="82"/>
        <v>916.90496211011043</v>
      </c>
      <c r="G89" s="288">
        <f t="shared" si="82"/>
        <v>866.36926190169709</v>
      </c>
      <c r="H89" s="288">
        <f t="shared" si="82"/>
        <v>770.33781923615436</v>
      </c>
      <c r="I89" s="288">
        <f t="shared" si="82"/>
        <v>776.43042988187983</v>
      </c>
      <c r="J89" s="288">
        <f t="shared" si="82"/>
        <v>789.75052146650171</v>
      </c>
      <c r="K89" s="288">
        <f t="shared" si="82"/>
        <v>803.07061305112359</v>
      </c>
      <c r="L89" s="288">
        <f t="shared" si="82"/>
        <v>820.43628140901217</v>
      </c>
      <c r="M89" s="288"/>
      <c r="N89" s="288"/>
      <c r="O89" s="288"/>
      <c r="P89" s="288"/>
      <c r="Q89" s="288"/>
      <c r="R89" s="288"/>
      <c r="S89" s="288"/>
    </row>
    <row r="90" spans="1:36" x14ac:dyDescent="0.25">
      <c r="A90" s="287" t="s">
        <v>2510</v>
      </c>
      <c r="C90" s="288">
        <f>C76</f>
        <v>450.69983346833783</v>
      </c>
      <c r="D90" s="288">
        <f t="shared" ref="D90:L90" si="83">D76</f>
        <v>232.09182292277043</v>
      </c>
      <c r="E90" s="288">
        <f t="shared" si="83"/>
        <v>657.10515891983357</v>
      </c>
      <c r="F90" s="288">
        <f t="shared" si="83"/>
        <v>713.95627907636572</v>
      </c>
      <c r="G90" s="288">
        <f t="shared" si="83"/>
        <v>192.52650264482159</v>
      </c>
      <c r="H90" s="288">
        <f t="shared" si="83"/>
        <v>461.41182468309762</v>
      </c>
      <c r="I90" s="288">
        <f t="shared" si="83"/>
        <v>465.06113609547947</v>
      </c>
      <c r="J90" s="288">
        <f t="shared" si="83"/>
        <v>473.03951598224211</v>
      </c>
      <c r="K90" s="288">
        <f t="shared" si="83"/>
        <v>481.01789586900486</v>
      </c>
      <c r="L90" s="288">
        <f t="shared" si="83"/>
        <v>491.41946843076749</v>
      </c>
      <c r="M90" s="288"/>
      <c r="N90" s="288"/>
      <c r="O90" s="288"/>
      <c r="P90" s="288"/>
      <c r="Q90" s="288"/>
      <c r="R90" s="288"/>
      <c r="S90" s="288"/>
    </row>
    <row r="92" spans="1:36" x14ac:dyDescent="0.25">
      <c r="A92" s="287" t="s">
        <v>2513</v>
      </c>
      <c r="B92" s="289" t="e">
        <f>#REF!</f>
        <v>#REF!</v>
      </c>
      <c r="C92" t="s">
        <v>2514</v>
      </c>
    </row>
  </sheetData>
  <mergeCells count="9">
    <mergeCell ref="A1:AN1"/>
    <mergeCell ref="AP2:AU2"/>
    <mergeCell ref="AV4:BF4"/>
    <mergeCell ref="B48:R48"/>
    <mergeCell ref="B4:R4"/>
    <mergeCell ref="T4:AJ4"/>
    <mergeCell ref="T48:AJ48"/>
    <mergeCell ref="B3:AJ3"/>
    <mergeCell ref="B47:AJ47"/>
  </mergeCells>
  <printOptions headings="1" gridLines="1"/>
  <pageMargins left="0.25" right="0.25" top="0.75" bottom="0.75" header="0.3" footer="0.3"/>
  <pageSetup scale="64"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theme="7" tint="0.59999389629810485"/>
    <pageSetUpPr fitToPage="1"/>
  </sheetPr>
  <dimension ref="A1:U276"/>
  <sheetViews>
    <sheetView workbookViewId="0">
      <selection sqref="A1:N1"/>
    </sheetView>
  </sheetViews>
  <sheetFormatPr defaultRowHeight="12.75" x14ac:dyDescent="0.2"/>
  <cols>
    <col min="1" max="1" width="59.7109375" style="429" customWidth="1"/>
    <col min="2" max="2" width="10.28515625" style="425" customWidth="1"/>
    <col min="3" max="3" width="5.7109375" style="428" customWidth="1"/>
    <col min="4" max="4" width="22.85546875" style="425" customWidth="1"/>
    <col min="5" max="13" width="10" style="425" customWidth="1"/>
    <col min="14" max="14" width="10" style="427" customWidth="1"/>
    <col min="15" max="21" width="8.85546875" style="426"/>
    <col min="22" max="258" width="8.85546875" style="425"/>
    <col min="259" max="259" width="59.7109375" style="425" customWidth="1"/>
    <col min="260" max="260" width="10.28515625" style="425" customWidth="1"/>
    <col min="261" max="261" width="26.42578125" style="425" customWidth="1"/>
    <col min="262" max="268" width="10" style="425" customWidth="1"/>
    <col min="269" max="514" width="8.85546875" style="425"/>
    <col min="515" max="515" width="59.7109375" style="425" customWidth="1"/>
    <col min="516" max="516" width="10.28515625" style="425" customWidth="1"/>
    <col min="517" max="517" width="26.42578125" style="425" customWidth="1"/>
    <col min="518" max="524" width="10" style="425" customWidth="1"/>
    <col min="525" max="770" width="8.85546875" style="425"/>
    <col min="771" max="771" width="59.7109375" style="425" customWidth="1"/>
    <col min="772" max="772" width="10.28515625" style="425" customWidth="1"/>
    <col min="773" max="773" width="26.42578125" style="425" customWidth="1"/>
    <col min="774" max="780" width="10" style="425" customWidth="1"/>
    <col min="781" max="1026" width="8.85546875" style="425"/>
    <col min="1027" max="1027" width="59.7109375" style="425" customWidth="1"/>
    <col min="1028" max="1028" width="10.28515625" style="425" customWidth="1"/>
    <col min="1029" max="1029" width="26.42578125" style="425" customWidth="1"/>
    <col min="1030" max="1036" width="10" style="425" customWidth="1"/>
    <col min="1037" max="1282" width="8.85546875" style="425"/>
    <col min="1283" max="1283" width="59.7109375" style="425" customWidth="1"/>
    <col min="1284" max="1284" width="10.28515625" style="425" customWidth="1"/>
    <col min="1285" max="1285" width="26.42578125" style="425" customWidth="1"/>
    <col min="1286" max="1292" width="10" style="425" customWidth="1"/>
    <col min="1293" max="1538" width="8.85546875" style="425"/>
    <col min="1539" max="1539" width="59.7109375" style="425" customWidth="1"/>
    <col min="1540" max="1540" width="10.28515625" style="425" customWidth="1"/>
    <col min="1541" max="1541" width="26.42578125" style="425" customWidth="1"/>
    <col min="1542" max="1548" width="10" style="425" customWidth="1"/>
    <col min="1549" max="1794" width="8.85546875" style="425"/>
    <col min="1795" max="1795" width="59.7109375" style="425" customWidth="1"/>
    <col min="1796" max="1796" width="10.28515625" style="425" customWidth="1"/>
    <col min="1797" max="1797" width="26.42578125" style="425" customWidth="1"/>
    <col min="1798" max="1804" width="10" style="425" customWidth="1"/>
    <col min="1805" max="2050" width="8.85546875" style="425"/>
    <col min="2051" max="2051" width="59.7109375" style="425" customWidth="1"/>
    <col min="2052" max="2052" width="10.28515625" style="425" customWidth="1"/>
    <col min="2053" max="2053" width="26.42578125" style="425" customWidth="1"/>
    <col min="2054" max="2060" width="10" style="425" customWidth="1"/>
    <col min="2061" max="2306" width="8.85546875" style="425"/>
    <col min="2307" max="2307" width="59.7109375" style="425" customWidth="1"/>
    <col min="2308" max="2308" width="10.28515625" style="425" customWidth="1"/>
    <col min="2309" max="2309" width="26.42578125" style="425" customWidth="1"/>
    <col min="2310" max="2316" width="10" style="425" customWidth="1"/>
    <col min="2317" max="2562" width="8.85546875" style="425"/>
    <col min="2563" max="2563" width="59.7109375" style="425" customWidth="1"/>
    <col min="2564" max="2564" width="10.28515625" style="425" customWidth="1"/>
    <col min="2565" max="2565" width="26.42578125" style="425" customWidth="1"/>
    <col min="2566" max="2572" width="10" style="425" customWidth="1"/>
    <col min="2573" max="2818" width="8.85546875" style="425"/>
    <col min="2819" max="2819" width="59.7109375" style="425" customWidth="1"/>
    <col min="2820" max="2820" width="10.28515625" style="425" customWidth="1"/>
    <col min="2821" max="2821" width="26.42578125" style="425" customWidth="1"/>
    <col min="2822" max="2828" width="10" style="425" customWidth="1"/>
    <col min="2829" max="3074" width="8.85546875" style="425"/>
    <col min="3075" max="3075" width="59.7109375" style="425" customWidth="1"/>
    <col min="3076" max="3076" width="10.28515625" style="425" customWidth="1"/>
    <col min="3077" max="3077" width="26.42578125" style="425" customWidth="1"/>
    <col min="3078" max="3084" width="10" style="425" customWidth="1"/>
    <col min="3085" max="3330" width="8.85546875" style="425"/>
    <col min="3331" max="3331" width="59.7109375" style="425" customWidth="1"/>
    <col min="3332" max="3332" width="10.28515625" style="425" customWidth="1"/>
    <col min="3333" max="3333" width="26.42578125" style="425" customWidth="1"/>
    <col min="3334" max="3340" width="10" style="425" customWidth="1"/>
    <col min="3341" max="3586" width="8.85546875" style="425"/>
    <col min="3587" max="3587" width="59.7109375" style="425" customWidth="1"/>
    <col min="3588" max="3588" width="10.28515625" style="425" customWidth="1"/>
    <col min="3589" max="3589" width="26.42578125" style="425" customWidth="1"/>
    <col min="3590" max="3596" width="10" style="425" customWidth="1"/>
    <col min="3597" max="3842" width="8.85546875" style="425"/>
    <col min="3843" max="3843" width="59.7109375" style="425" customWidth="1"/>
    <col min="3844" max="3844" width="10.28515625" style="425" customWidth="1"/>
    <col min="3845" max="3845" width="26.42578125" style="425" customWidth="1"/>
    <col min="3846" max="3852" width="10" style="425" customWidth="1"/>
    <col min="3853" max="4098" width="8.85546875" style="425"/>
    <col min="4099" max="4099" width="59.7109375" style="425" customWidth="1"/>
    <col min="4100" max="4100" width="10.28515625" style="425" customWidth="1"/>
    <col min="4101" max="4101" width="26.42578125" style="425" customWidth="1"/>
    <col min="4102" max="4108" width="10" style="425" customWidth="1"/>
    <col min="4109" max="4354" width="8.85546875" style="425"/>
    <col min="4355" max="4355" width="59.7109375" style="425" customWidth="1"/>
    <col min="4356" max="4356" width="10.28515625" style="425" customWidth="1"/>
    <col min="4357" max="4357" width="26.42578125" style="425" customWidth="1"/>
    <col min="4358" max="4364" width="10" style="425" customWidth="1"/>
    <col min="4365" max="4610" width="8.85546875" style="425"/>
    <col min="4611" max="4611" width="59.7109375" style="425" customWidth="1"/>
    <col min="4612" max="4612" width="10.28515625" style="425" customWidth="1"/>
    <col min="4613" max="4613" width="26.42578125" style="425" customWidth="1"/>
    <col min="4614" max="4620" width="10" style="425" customWidth="1"/>
    <col min="4621" max="4866" width="8.85546875" style="425"/>
    <col min="4867" max="4867" width="59.7109375" style="425" customWidth="1"/>
    <col min="4868" max="4868" width="10.28515625" style="425" customWidth="1"/>
    <col min="4869" max="4869" width="26.42578125" style="425" customWidth="1"/>
    <col min="4870" max="4876" width="10" style="425" customWidth="1"/>
    <col min="4877" max="5122" width="8.85546875" style="425"/>
    <col min="5123" max="5123" width="59.7109375" style="425" customWidth="1"/>
    <col min="5124" max="5124" width="10.28515625" style="425" customWidth="1"/>
    <col min="5125" max="5125" width="26.42578125" style="425" customWidth="1"/>
    <col min="5126" max="5132" width="10" style="425" customWidth="1"/>
    <col min="5133" max="5378" width="8.85546875" style="425"/>
    <col min="5379" max="5379" width="59.7109375" style="425" customWidth="1"/>
    <col min="5380" max="5380" width="10.28515625" style="425" customWidth="1"/>
    <col min="5381" max="5381" width="26.42578125" style="425" customWidth="1"/>
    <col min="5382" max="5388" width="10" style="425" customWidth="1"/>
    <col min="5389" max="5634" width="8.85546875" style="425"/>
    <col min="5635" max="5635" width="59.7109375" style="425" customWidth="1"/>
    <col min="5636" max="5636" width="10.28515625" style="425" customWidth="1"/>
    <col min="5637" max="5637" width="26.42578125" style="425" customWidth="1"/>
    <col min="5638" max="5644" width="10" style="425" customWidth="1"/>
    <col min="5645" max="5890" width="8.85546875" style="425"/>
    <col min="5891" max="5891" width="59.7109375" style="425" customWidth="1"/>
    <col min="5892" max="5892" width="10.28515625" style="425" customWidth="1"/>
    <col min="5893" max="5893" width="26.42578125" style="425" customWidth="1"/>
    <col min="5894" max="5900" width="10" style="425" customWidth="1"/>
    <col min="5901" max="6146" width="8.85546875" style="425"/>
    <col min="6147" max="6147" width="59.7109375" style="425" customWidth="1"/>
    <col min="6148" max="6148" width="10.28515625" style="425" customWidth="1"/>
    <col min="6149" max="6149" width="26.42578125" style="425" customWidth="1"/>
    <col min="6150" max="6156" width="10" style="425" customWidth="1"/>
    <col min="6157" max="6402" width="8.85546875" style="425"/>
    <col min="6403" max="6403" width="59.7109375" style="425" customWidth="1"/>
    <col min="6404" max="6404" width="10.28515625" style="425" customWidth="1"/>
    <col min="6405" max="6405" width="26.42578125" style="425" customWidth="1"/>
    <col min="6406" max="6412" width="10" style="425" customWidth="1"/>
    <col min="6413" max="6658" width="8.85546875" style="425"/>
    <col min="6659" max="6659" width="59.7109375" style="425" customWidth="1"/>
    <col min="6660" max="6660" width="10.28515625" style="425" customWidth="1"/>
    <col min="6661" max="6661" width="26.42578125" style="425" customWidth="1"/>
    <col min="6662" max="6668" width="10" style="425" customWidth="1"/>
    <col min="6669" max="6914" width="8.85546875" style="425"/>
    <col min="6915" max="6915" width="59.7109375" style="425" customWidth="1"/>
    <col min="6916" max="6916" width="10.28515625" style="425" customWidth="1"/>
    <col min="6917" max="6917" width="26.42578125" style="425" customWidth="1"/>
    <col min="6918" max="6924" width="10" style="425" customWidth="1"/>
    <col min="6925" max="7170" width="8.85546875" style="425"/>
    <col min="7171" max="7171" width="59.7109375" style="425" customWidth="1"/>
    <col min="7172" max="7172" width="10.28515625" style="425" customWidth="1"/>
    <col min="7173" max="7173" width="26.42578125" style="425" customWidth="1"/>
    <col min="7174" max="7180" width="10" style="425" customWidth="1"/>
    <col min="7181" max="7426" width="8.85546875" style="425"/>
    <col min="7427" max="7427" width="59.7109375" style="425" customWidth="1"/>
    <col min="7428" max="7428" width="10.28515625" style="425" customWidth="1"/>
    <col min="7429" max="7429" width="26.42578125" style="425" customWidth="1"/>
    <col min="7430" max="7436" width="10" style="425" customWidth="1"/>
    <col min="7437" max="7682" width="8.85546875" style="425"/>
    <col min="7683" max="7683" width="59.7109375" style="425" customWidth="1"/>
    <col min="7684" max="7684" width="10.28515625" style="425" customWidth="1"/>
    <col min="7685" max="7685" width="26.42578125" style="425" customWidth="1"/>
    <col min="7686" max="7692" width="10" style="425" customWidth="1"/>
    <col min="7693" max="7938" width="8.85546875" style="425"/>
    <col min="7939" max="7939" width="59.7109375" style="425" customWidth="1"/>
    <col min="7940" max="7940" width="10.28515625" style="425" customWidth="1"/>
    <col min="7941" max="7941" width="26.42578125" style="425" customWidth="1"/>
    <col min="7942" max="7948" width="10" style="425" customWidth="1"/>
    <col min="7949" max="8194" width="8.85546875" style="425"/>
    <col min="8195" max="8195" width="59.7109375" style="425" customWidth="1"/>
    <col min="8196" max="8196" width="10.28515625" style="425" customWidth="1"/>
    <col min="8197" max="8197" width="26.42578125" style="425" customWidth="1"/>
    <col min="8198" max="8204" width="10" style="425" customWidth="1"/>
    <col min="8205" max="8450" width="8.85546875" style="425"/>
    <col min="8451" max="8451" width="59.7109375" style="425" customWidth="1"/>
    <col min="8452" max="8452" width="10.28515625" style="425" customWidth="1"/>
    <col min="8453" max="8453" width="26.42578125" style="425" customWidth="1"/>
    <col min="8454" max="8460" width="10" style="425" customWidth="1"/>
    <col min="8461" max="8706" width="8.85546875" style="425"/>
    <col min="8707" max="8707" width="59.7109375" style="425" customWidth="1"/>
    <col min="8708" max="8708" width="10.28515625" style="425" customWidth="1"/>
    <col min="8709" max="8709" width="26.42578125" style="425" customWidth="1"/>
    <col min="8710" max="8716" width="10" style="425" customWidth="1"/>
    <col min="8717" max="8962" width="8.85546875" style="425"/>
    <col min="8963" max="8963" width="59.7109375" style="425" customWidth="1"/>
    <col min="8964" max="8964" width="10.28515625" style="425" customWidth="1"/>
    <col min="8965" max="8965" width="26.42578125" style="425" customWidth="1"/>
    <col min="8966" max="8972" width="10" style="425" customWidth="1"/>
    <col min="8973" max="9218" width="8.85546875" style="425"/>
    <col min="9219" max="9219" width="59.7109375" style="425" customWidth="1"/>
    <col min="9220" max="9220" width="10.28515625" style="425" customWidth="1"/>
    <col min="9221" max="9221" width="26.42578125" style="425" customWidth="1"/>
    <col min="9222" max="9228" width="10" style="425" customWidth="1"/>
    <col min="9229" max="9474" width="8.85546875" style="425"/>
    <col min="9475" max="9475" width="59.7109375" style="425" customWidth="1"/>
    <col min="9476" max="9476" width="10.28515625" style="425" customWidth="1"/>
    <col min="9477" max="9477" width="26.42578125" style="425" customWidth="1"/>
    <col min="9478" max="9484" width="10" style="425" customWidth="1"/>
    <col min="9485" max="9730" width="8.85546875" style="425"/>
    <col min="9731" max="9731" width="59.7109375" style="425" customWidth="1"/>
    <col min="9732" max="9732" width="10.28515625" style="425" customWidth="1"/>
    <col min="9733" max="9733" width="26.42578125" style="425" customWidth="1"/>
    <col min="9734" max="9740" width="10" style="425" customWidth="1"/>
    <col min="9741" max="9986" width="8.85546875" style="425"/>
    <col min="9987" max="9987" width="59.7109375" style="425" customWidth="1"/>
    <col min="9988" max="9988" width="10.28515625" style="425" customWidth="1"/>
    <col min="9989" max="9989" width="26.42578125" style="425" customWidth="1"/>
    <col min="9990" max="9996" width="10" style="425" customWidth="1"/>
    <col min="9997" max="10242" width="8.85546875" style="425"/>
    <col min="10243" max="10243" width="59.7109375" style="425" customWidth="1"/>
    <col min="10244" max="10244" width="10.28515625" style="425" customWidth="1"/>
    <col min="10245" max="10245" width="26.42578125" style="425" customWidth="1"/>
    <col min="10246" max="10252" width="10" style="425" customWidth="1"/>
    <col min="10253" max="10498" width="8.85546875" style="425"/>
    <col min="10499" max="10499" width="59.7109375" style="425" customWidth="1"/>
    <col min="10500" max="10500" width="10.28515625" style="425" customWidth="1"/>
    <col min="10501" max="10501" width="26.42578125" style="425" customWidth="1"/>
    <col min="10502" max="10508" width="10" style="425" customWidth="1"/>
    <col min="10509" max="10754" width="8.85546875" style="425"/>
    <col min="10755" max="10755" width="59.7109375" style="425" customWidth="1"/>
    <col min="10756" max="10756" width="10.28515625" style="425" customWidth="1"/>
    <col min="10757" max="10757" width="26.42578125" style="425" customWidth="1"/>
    <col min="10758" max="10764" width="10" style="425" customWidth="1"/>
    <col min="10765" max="11010" width="8.85546875" style="425"/>
    <col min="11011" max="11011" width="59.7109375" style="425" customWidth="1"/>
    <col min="11012" max="11012" width="10.28515625" style="425" customWidth="1"/>
    <col min="11013" max="11013" width="26.42578125" style="425" customWidth="1"/>
    <col min="11014" max="11020" width="10" style="425" customWidth="1"/>
    <col min="11021" max="11266" width="8.85546875" style="425"/>
    <col min="11267" max="11267" width="59.7109375" style="425" customWidth="1"/>
    <col min="11268" max="11268" width="10.28515625" style="425" customWidth="1"/>
    <col min="11269" max="11269" width="26.42578125" style="425" customWidth="1"/>
    <col min="11270" max="11276" width="10" style="425" customWidth="1"/>
    <col min="11277" max="11522" width="8.85546875" style="425"/>
    <col min="11523" max="11523" width="59.7109375" style="425" customWidth="1"/>
    <col min="11524" max="11524" width="10.28515625" style="425" customWidth="1"/>
    <col min="11525" max="11525" width="26.42578125" style="425" customWidth="1"/>
    <col min="11526" max="11532" width="10" style="425" customWidth="1"/>
    <col min="11533" max="11778" width="8.85546875" style="425"/>
    <col min="11779" max="11779" width="59.7109375" style="425" customWidth="1"/>
    <col min="11780" max="11780" width="10.28515625" style="425" customWidth="1"/>
    <col min="11781" max="11781" width="26.42578125" style="425" customWidth="1"/>
    <col min="11782" max="11788" width="10" style="425" customWidth="1"/>
    <col min="11789" max="12034" width="8.85546875" style="425"/>
    <col min="12035" max="12035" width="59.7109375" style="425" customWidth="1"/>
    <col min="12036" max="12036" width="10.28515625" style="425" customWidth="1"/>
    <col min="12037" max="12037" width="26.42578125" style="425" customWidth="1"/>
    <col min="12038" max="12044" width="10" style="425" customWidth="1"/>
    <col min="12045" max="12290" width="8.85546875" style="425"/>
    <col min="12291" max="12291" width="59.7109375" style="425" customWidth="1"/>
    <col min="12292" max="12292" width="10.28515625" style="425" customWidth="1"/>
    <col min="12293" max="12293" width="26.42578125" style="425" customWidth="1"/>
    <col min="12294" max="12300" width="10" style="425" customWidth="1"/>
    <col min="12301" max="12546" width="8.85546875" style="425"/>
    <col min="12547" max="12547" width="59.7109375" style="425" customWidth="1"/>
    <col min="12548" max="12548" width="10.28515625" style="425" customWidth="1"/>
    <col min="12549" max="12549" width="26.42578125" style="425" customWidth="1"/>
    <col min="12550" max="12556" width="10" style="425" customWidth="1"/>
    <col min="12557" max="12802" width="8.85546875" style="425"/>
    <col min="12803" max="12803" width="59.7109375" style="425" customWidth="1"/>
    <col min="12804" max="12804" width="10.28515625" style="425" customWidth="1"/>
    <col min="12805" max="12805" width="26.42578125" style="425" customWidth="1"/>
    <col min="12806" max="12812" width="10" style="425" customWidth="1"/>
    <col min="12813" max="13058" width="8.85546875" style="425"/>
    <col min="13059" max="13059" width="59.7109375" style="425" customWidth="1"/>
    <col min="13060" max="13060" width="10.28515625" style="425" customWidth="1"/>
    <col min="13061" max="13061" width="26.42578125" style="425" customWidth="1"/>
    <col min="13062" max="13068" width="10" style="425" customWidth="1"/>
    <col min="13069" max="13314" width="8.85546875" style="425"/>
    <col min="13315" max="13315" width="59.7109375" style="425" customWidth="1"/>
    <col min="13316" max="13316" width="10.28515625" style="425" customWidth="1"/>
    <col min="13317" max="13317" width="26.42578125" style="425" customWidth="1"/>
    <col min="13318" max="13324" width="10" style="425" customWidth="1"/>
    <col min="13325" max="13570" width="8.85546875" style="425"/>
    <col min="13571" max="13571" width="59.7109375" style="425" customWidth="1"/>
    <col min="13572" max="13572" width="10.28515625" style="425" customWidth="1"/>
    <col min="13573" max="13573" width="26.42578125" style="425" customWidth="1"/>
    <col min="13574" max="13580" width="10" style="425" customWidth="1"/>
    <col min="13581" max="13826" width="8.85546875" style="425"/>
    <col min="13827" max="13827" width="59.7109375" style="425" customWidth="1"/>
    <col min="13828" max="13828" width="10.28515625" style="425" customWidth="1"/>
    <col min="13829" max="13829" width="26.42578125" style="425" customWidth="1"/>
    <col min="13830" max="13836" width="10" style="425" customWidth="1"/>
    <col min="13837" max="14082" width="8.85546875" style="425"/>
    <col min="14083" max="14083" width="59.7109375" style="425" customWidth="1"/>
    <col min="14084" max="14084" width="10.28515625" style="425" customWidth="1"/>
    <col min="14085" max="14085" width="26.42578125" style="425" customWidth="1"/>
    <col min="14086" max="14092" width="10" style="425" customWidth="1"/>
    <col min="14093" max="14338" width="8.85546875" style="425"/>
    <col min="14339" max="14339" width="59.7109375" style="425" customWidth="1"/>
    <col min="14340" max="14340" width="10.28515625" style="425" customWidth="1"/>
    <col min="14341" max="14341" width="26.42578125" style="425" customWidth="1"/>
    <col min="14342" max="14348" width="10" style="425" customWidth="1"/>
    <col min="14349" max="14594" width="8.85546875" style="425"/>
    <col min="14595" max="14595" width="59.7109375" style="425" customWidth="1"/>
    <col min="14596" max="14596" width="10.28515625" style="425" customWidth="1"/>
    <col min="14597" max="14597" width="26.42578125" style="425" customWidth="1"/>
    <col min="14598" max="14604" width="10" style="425" customWidth="1"/>
    <col min="14605" max="14850" width="8.85546875" style="425"/>
    <col min="14851" max="14851" width="59.7109375" style="425" customWidth="1"/>
    <col min="14852" max="14852" width="10.28515625" style="425" customWidth="1"/>
    <col min="14853" max="14853" width="26.42578125" style="425" customWidth="1"/>
    <col min="14854" max="14860" width="10" style="425" customWidth="1"/>
    <col min="14861" max="15106" width="8.85546875" style="425"/>
    <col min="15107" max="15107" width="59.7109375" style="425" customWidth="1"/>
    <col min="15108" max="15108" width="10.28515625" style="425" customWidth="1"/>
    <col min="15109" max="15109" width="26.42578125" style="425" customWidth="1"/>
    <col min="15110" max="15116" width="10" style="425" customWidth="1"/>
    <col min="15117" max="15362" width="8.85546875" style="425"/>
    <col min="15363" max="15363" width="59.7109375" style="425" customWidth="1"/>
    <col min="15364" max="15364" width="10.28515625" style="425" customWidth="1"/>
    <col min="15365" max="15365" width="26.42578125" style="425" customWidth="1"/>
    <col min="15366" max="15372" width="10" style="425" customWidth="1"/>
    <col min="15373" max="15618" width="8.85546875" style="425"/>
    <col min="15619" max="15619" width="59.7109375" style="425" customWidth="1"/>
    <col min="15620" max="15620" width="10.28515625" style="425" customWidth="1"/>
    <col min="15621" max="15621" width="26.42578125" style="425" customWidth="1"/>
    <col min="15622" max="15628" width="10" style="425" customWidth="1"/>
    <col min="15629" max="15874" width="8.85546875" style="425"/>
    <col min="15875" max="15875" width="59.7109375" style="425" customWidth="1"/>
    <col min="15876" max="15876" width="10.28515625" style="425" customWidth="1"/>
    <col min="15877" max="15877" width="26.42578125" style="425" customWidth="1"/>
    <col min="15878" max="15884" width="10" style="425" customWidth="1"/>
    <col min="15885" max="16130" width="8.85546875" style="425"/>
    <col min="16131" max="16131" width="59.7109375" style="425" customWidth="1"/>
    <col min="16132" max="16132" width="10.28515625" style="425" customWidth="1"/>
    <col min="16133" max="16133" width="26.42578125" style="425" customWidth="1"/>
    <col min="16134" max="16140" width="10" style="425" customWidth="1"/>
    <col min="16141" max="16384" width="8.85546875" style="425"/>
  </cols>
  <sheetData>
    <row r="1" spans="1:21" ht="18.75" x14ac:dyDescent="0.3">
      <c r="A1" s="936" t="s">
        <v>2907</v>
      </c>
      <c r="B1" s="936"/>
      <c r="C1" s="936"/>
      <c r="D1" s="936"/>
      <c r="E1" s="936"/>
      <c r="F1" s="936"/>
      <c r="G1" s="936"/>
      <c r="H1" s="936"/>
      <c r="I1" s="936"/>
      <c r="J1" s="936"/>
      <c r="K1" s="936"/>
      <c r="L1" s="936"/>
      <c r="M1" s="936"/>
      <c r="N1" s="936"/>
    </row>
    <row r="2" spans="1:21" x14ac:dyDescent="0.2">
      <c r="A2" s="442"/>
      <c r="B2" s="442"/>
      <c r="C2" s="442"/>
      <c r="D2" s="442"/>
      <c r="E2" s="442"/>
      <c r="F2" s="442"/>
      <c r="G2" s="442"/>
      <c r="H2" s="442"/>
      <c r="I2" s="442"/>
      <c r="J2" s="442"/>
      <c r="K2" s="442"/>
      <c r="L2" s="442"/>
      <c r="M2" s="442"/>
      <c r="N2" s="442"/>
    </row>
    <row r="3" spans="1:21" ht="15" x14ac:dyDescent="0.25">
      <c r="D3" s="494" t="s">
        <v>2906</v>
      </c>
      <c r="E3" s="493" t="s">
        <v>2905</v>
      </c>
    </row>
    <row r="4" spans="1:21" x14ac:dyDescent="0.2">
      <c r="B4" s="429"/>
      <c r="C4" s="434" t="s">
        <v>72</v>
      </c>
      <c r="D4" s="429"/>
      <c r="E4" s="492" t="s">
        <v>2</v>
      </c>
      <c r="F4" s="492">
        <v>99701</v>
      </c>
      <c r="G4" s="492">
        <v>99703</v>
      </c>
      <c r="H4" s="492">
        <v>99705</v>
      </c>
      <c r="I4" s="492">
        <v>99709</v>
      </c>
      <c r="J4" s="492">
        <v>99712</v>
      </c>
      <c r="K4" s="492">
        <v>99775</v>
      </c>
      <c r="L4" s="434" t="s">
        <v>68</v>
      </c>
      <c r="M4" s="491" t="s">
        <v>2904</v>
      </c>
      <c r="N4" s="490" t="s">
        <v>2904</v>
      </c>
    </row>
    <row r="5" spans="1:21" s="468" customFormat="1" ht="13.5" thickBot="1" x14ac:dyDescent="0.25">
      <c r="A5" s="489" t="s">
        <v>2903</v>
      </c>
      <c r="B5" s="489" t="s">
        <v>2902</v>
      </c>
      <c r="C5" s="489" t="s">
        <v>2901</v>
      </c>
      <c r="D5" s="489" t="s">
        <v>72</v>
      </c>
      <c r="E5" s="489" t="s">
        <v>2900</v>
      </c>
      <c r="F5" s="489" t="s">
        <v>2536</v>
      </c>
      <c r="G5" s="489" t="s">
        <v>2537</v>
      </c>
      <c r="H5" s="489" t="s">
        <v>2461</v>
      </c>
      <c r="I5" s="489" t="s">
        <v>2538</v>
      </c>
      <c r="J5" s="489" t="s">
        <v>2539</v>
      </c>
      <c r="K5" s="489" t="s">
        <v>2540</v>
      </c>
      <c r="L5" s="489" t="s">
        <v>68</v>
      </c>
      <c r="M5" s="488" t="s">
        <v>2899</v>
      </c>
      <c r="N5" s="487" t="s">
        <v>2898</v>
      </c>
      <c r="O5" s="481"/>
      <c r="P5" s="481"/>
      <c r="Q5" s="481"/>
      <c r="R5" s="481"/>
      <c r="S5" s="481"/>
      <c r="T5" s="481"/>
      <c r="U5" s="481"/>
    </row>
    <row r="6" spans="1:21" s="468" customFormat="1" ht="13.5" thickTop="1" x14ac:dyDescent="0.2">
      <c r="A6" s="436" t="s">
        <v>2897</v>
      </c>
      <c r="B6" s="434" t="s">
        <v>2799</v>
      </c>
      <c r="C6" s="442"/>
      <c r="D6" s="442"/>
      <c r="E6" s="440">
        <v>182</v>
      </c>
      <c r="F6" s="440">
        <v>906</v>
      </c>
      <c r="G6" s="440">
        <v>114</v>
      </c>
      <c r="H6" s="440">
        <v>787</v>
      </c>
      <c r="I6" s="440">
        <v>1151</v>
      </c>
      <c r="J6" s="440">
        <v>359</v>
      </c>
      <c r="K6" s="440">
        <v>15</v>
      </c>
      <c r="L6" s="440">
        <v>3514</v>
      </c>
      <c r="M6" s="483" t="s">
        <v>65</v>
      </c>
      <c r="N6" s="482"/>
      <c r="O6" s="481"/>
      <c r="P6" s="481"/>
      <c r="Q6" s="481"/>
      <c r="R6" s="481"/>
      <c r="S6" s="481"/>
      <c r="T6" s="481"/>
      <c r="U6" s="481"/>
    </row>
    <row r="7" spans="1:21" s="468" customFormat="1" x14ac:dyDescent="0.2">
      <c r="A7" s="436" t="s">
        <v>2896</v>
      </c>
      <c r="B7" s="434" t="s">
        <v>2796</v>
      </c>
      <c r="C7" s="442"/>
      <c r="D7" s="442"/>
      <c r="E7" s="435">
        <v>5.1792828685258967E-2</v>
      </c>
      <c r="F7" s="435">
        <v>0.25782583949914628</v>
      </c>
      <c r="G7" s="435">
        <v>3.2441661923733635E-2</v>
      </c>
      <c r="H7" s="435">
        <v>0.22396129766647696</v>
      </c>
      <c r="I7" s="435">
        <v>0.32754695503699488</v>
      </c>
      <c r="J7" s="435">
        <v>0.10216277746158224</v>
      </c>
      <c r="K7" s="435">
        <v>4.2686397268070575E-3</v>
      </c>
      <c r="L7" s="435">
        <v>1</v>
      </c>
      <c r="M7" s="483" t="s">
        <v>65</v>
      </c>
      <c r="N7" s="482"/>
      <c r="O7" s="481"/>
      <c r="P7" s="481"/>
      <c r="Q7" s="481"/>
      <c r="R7" s="481"/>
      <c r="S7" s="481"/>
      <c r="T7" s="481"/>
      <c r="U7" s="481"/>
    </row>
    <row r="8" spans="1:21" s="468" customFormat="1" x14ac:dyDescent="0.2">
      <c r="A8" s="485" t="s">
        <v>2895</v>
      </c>
      <c r="B8" s="467" t="s">
        <v>2796</v>
      </c>
      <c r="C8" s="484"/>
      <c r="D8" s="484"/>
      <c r="E8" s="432" t="s">
        <v>65</v>
      </c>
      <c r="F8" s="432">
        <v>0.24626889218439399</v>
      </c>
      <c r="G8" s="432">
        <v>4.6508692771274417E-2</v>
      </c>
      <c r="H8" s="432">
        <v>0.23904332186918248</v>
      </c>
      <c r="I8" s="432">
        <v>0.34345123528854954</v>
      </c>
      <c r="J8" s="432">
        <v>0.1201842678193923</v>
      </c>
      <c r="K8" s="432">
        <v>4.5435900672072694E-3</v>
      </c>
      <c r="L8" s="486">
        <v>1</v>
      </c>
      <c r="M8" s="483" t="s">
        <v>65</v>
      </c>
      <c r="N8" s="482"/>
      <c r="O8" s="481"/>
      <c r="P8" s="481"/>
      <c r="Q8" s="481"/>
      <c r="R8" s="481"/>
      <c r="S8" s="481"/>
      <c r="T8" s="481"/>
      <c r="U8" s="481"/>
    </row>
    <row r="9" spans="1:21" s="468" customFormat="1" x14ac:dyDescent="0.2">
      <c r="A9" s="485"/>
      <c r="B9" s="467"/>
      <c r="C9" s="484"/>
      <c r="D9" s="484"/>
      <c r="E9" s="432"/>
      <c r="F9" s="432"/>
      <c r="G9" s="432"/>
      <c r="H9" s="432"/>
      <c r="I9" s="432"/>
      <c r="J9" s="432"/>
      <c r="K9" s="432"/>
      <c r="L9" s="486"/>
      <c r="M9" s="483"/>
      <c r="N9" s="482"/>
      <c r="O9" s="481"/>
      <c r="P9" s="481"/>
      <c r="Q9" s="481"/>
      <c r="R9" s="481"/>
      <c r="S9" s="481"/>
      <c r="T9" s="481"/>
      <c r="U9" s="481"/>
    </row>
    <row r="10" spans="1:21" s="468" customFormat="1" x14ac:dyDescent="0.2">
      <c r="A10" s="436" t="s">
        <v>2894</v>
      </c>
      <c r="B10" s="434" t="s">
        <v>2799</v>
      </c>
      <c r="C10" s="442"/>
      <c r="D10" s="434" t="s">
        <v>18</v>
      </c>
      <c r="E10" s="440">
        <v>70</v>
      </c>
      <c r="F10" s="440">
        <v>168</v>
      </c>
      <c r="G10" s="440">
        <v>26</v>
      </c>
      <c r="H10" s="440">
        <v>379</v>
      </c>
      <c r="I10" s="440">
        <v>515</v>
      </c>
      <c r="J10" s="440">
        <v>175</v>
      </c>
      <c r="K10" s="440">
        <v>6</v>
      </c>
      <c r="L10" s="440">
        <v>1339</v>
      </c>
      <c r="M10" s="483"/>
      <c r="N10" s="482"/>
      <c r="O10" s="481"/>
      <c r="P10" s="481"/>
      <c r="Q10" s="481"/>
      <c r="R10" s="481"/>
      <c r="S10" s="481"/>
      <c r="T10" s="481"/>
      <c r="U10" s="481"/>
    </row>
    <row r="11" spans="1:21" s="468" customFormat="1" x14ac:dyDescent="0.2">
      <c r="A11" s="485"/>
      <c r="B11" s="434" t="s">
        <v>2799</v>
      </c>
      <c r="C11" s="442"/>
      <c r="D11" s="434" t="s">
        <v>2885</v>
      </c>
      <c r="E11" s="440">
        <v>132</v>
      </c>
      <c r="F11" s="440">
        <v>751</v>
      </c>
      <c r="G11" s="440">
        <v>64</v>
      </c>
      <c r="H11" s="440">
        <v>662</v>
      </c>
      <c r="I11" s="440">
        <v>907</v>
      </c>
      <c r="J11" s="440">
        <v>278</v>
      </c>
      <c r="K11" s="440">
        <v>9</v>
      </c>
      <c r="L11" s="440">
        <v>2803</v>
      </c>
      <c r="M11" s="483"/>
      <c r="N11" s="482"/>
      <c r="O11" s="481"/>
      <c r="P11" s="481"/>
      <c r="Q11" s="481"/>
      <c r="R11" s="481"/>
      <c r="S11" s="481"/>
      <c r="T11" s="481"/>
      <c r="U11" s="481"/>
    </row>
    <row r="12" spans="1:21" s="468" customFormat="1" x14ac:dyDescent="0.2">
      <c r="A12" s="485"/>
      <c r="B12" s="434" t="s">
        <v>2799</v>
      </c>
      <c r="C12" s="442"/>
      <c r="D12" s="434" t="s">
        <v>2884</v>
      </c>
      <c r="E12" s="440">
        <v>11</v>
      </c>
      <c r="F12" s="440">
        <v>23</v>
      </c>
      <c r="G12" s="440">
        <v>3</v>
      </c>
      <c r="H12" s="440">
        <v>23</v>
      </c>
      <c r="I12" s="440">
        <v>27</v>
      </c>
      <c r="J12" s="440">
        <v>12</v>
      </c>
      <c r="K12" s="440">
        <v>2</v>
      </c>
      <c r="L12" s="440">
        <v>101</v>
      </c>
      <c r="M12" s="483"/>
      <c r="N12" s="482"/>
      <c r="O12" s="481"/>
      <c r="P12" s="481"/>
      <c r="Q12" s="481"/>
      <c r="R12" s="481"/>
      <c r="S12" s="481"/>
      <c r="T12" s="481"/>
      <c r="U12" s="481"/>
    </row>
    <row r="13" spans="1:21" s="468" customFormat="1" x14ac:dyDescent="0.2">
      <c r="A13" s="485"/>
      <c r="B13" s="434" t="s">
        <v>2799</v>
      </c>
      <c r="C13" s="442"/>
      <c r="D13" s="434" t="s">
        <v>2213</v>
      </c>
      <c r="E13" s="440">
        <v>39</v>
      </c>
      <c r="F13" s="440">
        <v>64</v>
      </c>
      <c r="G13" s="440">
        <v>20</v>
      </c>
      <c r="H13" s="440">
        <v>84</v>
      </c>
      <c r="I13" s="440">
        <v>185</v>
      </c>
      <c r="J13" s="440">
        <v>63</v>
      </c>
      <c r="K13" s="440">
        <v>2</v>
      </c>
      <c r="L13" s="440">
        <v>457</v>
      </c>
      <c r="M13" s="483"/>
      <c r="N13" s="482"/>
      <c r="O13" s="481"/>
      <c r="P13" s="481"/>
      <c r="Q13" s="481"/>
      <c r="R13" s="481"/>
      <c r="S13" s="481"/>
      <c r="T13" s="481"/>
      <c r="U13" s="481"/>
    </row>
    <row r="14" spans="1:21" s="468" customFormat="1" x14ac:dyDescent="0.2">
      <c r="A14" s="485"/>
      <c r="B14" s="434" t="s">
        <v>2799</v>
      </c>
      <c r="C14" s="442"/>
      <c r="D14" s="434" t="s">
        <v>2110</v>
      </c>
      <c r="E14" s="440">
        <v>7</v>
      </c>
      <c r="F14" s="440">
        <v>37</v>
      </c>
      <c r="G14" s="440">
        <v>25</v>
      </c>
      <c r="H14" s="440">
        <v>10</v>
      </c>
      <c r="I14" s="440">
        <v>23</v>
      </c>
      <c r="J14" s="440">
        <v>5</v>
      </c>
      <c r="K14" s="440">
        <v>3</v>
      </c>
      <c r="L14" s="440">
        <v>110</v>
      </c>
      <c r="M14" s="483"/>
      <c r="N14" s="482"/>
      <c r="O14" s="481"/>
      <c r="P14" s="481"/>
      <c r="Q14" s="481"/>
      <c r="R14" s="481"/>
      <c r="S14" s="481"/>
      <c r="T14" s="481"/>
      <c r="U14" s="481"/>
    </row>
    <row r="15" spans="1:21" s="468" customFormat="1" x14ac:dyDescent="0.2">
      <c r="A15" s="485"/>
      <c r="B15" s="434" t="s">
        <v>2799</v>
      </c>
      <c r="C15" s="442"/>
      <c r="D15" s="434" t="s">
        <v>2883</v>
      </c>
      <c r="E15" s="440">
        <v>4</v>
      </c>
      <c r="F15" s="440">
        <v>8</v>
      </c>
      <c r="G15" s="440">
        <v>7</v>
      </c>
      <c r="H15" s="440">
        <v>18</v>
      </c>
      <c r="I15" s="440">
        <v>3</v>
      </c>
      <c r="J15" s="440">
        <v>8</v>
      </c>
      <c r="K15" s="440">
        <v>0</v>
      </c>
      <c r="L15" s="440">
        <v>48</v>
      </c>
      <c r="M15" s="483"/>
      <c r="N15" s="482"/>
      <c r="O15" s="481"/>
      <c r="P15" s="481"/>
      <c r="Q15" s="481"/>
      <c r="R15" s="481"/>
      <c r="S15" s="481"/>
      <c r="T15" s="481"/>
      <c r="U15" s="481"/>
    </row>
    <row r="16" spans="1:21" s="468" customFormat="1" x14ac:dyDescent="0.2">
      <c r="A16" s="485"/>
      <c r="B16" s="434" t="s">
        <v>2799</v>
      </c>
      <c r="C16" s="442"/>
      <c r="D16" s="434" t="s">
        <v>2882</v>
      </c>
      <c r="E16" s="440">
        <v>6</v>
      </c>
      <c r="F16" s="440">
        <v>43</v>
      </c>
      <c r="G16" s="440">
        <v>17</v>
      </c>
      <c r="H16" s="440">
        <v>4</v>
      </c>
      <c r="I16" s="440">
        <v>11</v>
      </c>
      <c r="J16" s="440">
        <v>3</v>
      </c>
      <c r="K16" s="440">
        <v>0</v>
      </c>
      <c r="L16" s="440">
        <v>84</v>
      </c>
      <c r="M16" s="483"/>
      <c r="N16" s="482"/>
      <c r="O16" s="481"/>
      <c r="P16" s="481"/>
      <c r="Q16" s="481"/>
      <c r="R16" s="481"/>
      <c r="S16" s="481"/>
      <c r="T16" s="481"/>
      <c r="U16" s="481"/>
    </row>
    <row r="17" spans="1:21" s="468" customFormat="1" x14ac:dyDescent="0.2">
      <c r="A17" s="485"/>
      <c r="B17" s="434" t="s">
        <v>2799</v>
      </c>
      <c r="C17" s="442"/>
      <c r="D17" s="434" t="s">
        <v>13</v>
      </c>
      <c r="E17" s="440">
        <v>11</v>
      </c>
      <c r="F17" s="440">
        <v>53</v>
      </c>
      <c r="G17" s="440">
        <v>3</v>
      </c>
      <c r="H17" s="440">
        <v>34</v>
      </c>
      <c r="I17" s="440">
        <v>50</v>
      </c>
      <c r="J17" s="440">
        <v>19</v>
      </c>
      <c r="K17" s="440">
        <v>2</v>
      </c>
      <c r="L17" s="440">
        <v>172</v>
      </c>
      <c r="M17" s="483"/>
      <c r="N17" s="482"/>
      <c r="O17" s="481"/>
      <c r="P17" s="481"/>
      <c r="Q17" s="481"/>
      <c r="R17" s="481"/>
      <c r="S17" s="481"/>
      <c r="T17" s="481"/>
      <c r="U17" s="481"/>
    </row>
    <row r="18" spans="1:21" s="468" customFormat="1" x14ac:dyDescent="0.2">
      <c r="A18" s="485"/>
      <c r="B18" s="434" t="s">
        <v>2799</v>
      </c>
      <c r="C18" s="442"/>
      <c r="D18" s="434" t="s">
        <v>2881</v>
      </c>
      <c r="E18" s="440">
        <v>10</v>
      </c>
      <c r="F18" s="440">
        <v>46</v>
      </c>
      <c r="G18" s="440">
        <v>3</v>
      </c>
      <c r="H18" s="440">
        <v>45</v>
      </c>
      <c r="I18" s="440">
        <v>61</v>
      </c>
      <c r="J18" s="440">
        <v>30</v>
      </c>
      <c r="K18" s="440">
        <v>0</v>
      </c>
      <c r="L18" s="440">
        <v>195</v>
      </c>
      <c r="M18" s="483"/>
      <c r="N18" s="482"/>
      <c r="O18" s="481"/>
      <c r="P18" s="481"/>
      <c r="Q18" s="481"/>
      <c r="R18" s="481"/>
      <c r="S18" s="481"/>
      <c r="T18" s="481"/>
      <c r="U18" s="481"/>
    </row>
    <row r="19" spans="1:21" s="468" customFormat="1" x14ac:dyDescent="0.2">
      <c r="A19" s="485"/>
      <c r="B19" s="434" t="s">
        <v>2799</v>
      </c>
      <c r="C19" s="442"/>
      <c r="D19" s="434" t="s">
        <v>68</v>
      </c>
      <c r="E19" s="440">
        <v>290</v>
      </c>
      <c r="F19" s="440">
        <v>1193</v>
      </c>
      <c r="G19" s="440">
        <v>168</v>
      </c>
      <c r="H19" s="440">
        <v>1259</v>
      </c>
      <c r="I19" s="440">
        <v>1782</v>
      </c>
      <c r="J19" s="440">
        <v>593</v>
      </c>
      <c r="K19" s="440">
        <v>24</v>
      </c>
      <c r="L19" s="440">
        <v>5309</v>
      </c>
      <c r="M19" s="483"/>
      <c r="N19" s="482"/>
      <c r="O19" s="481"/>
      <c r="P19" s="481"/>
      <c r="Q19" s="481"/>
      <c r="R19" s="481"/>
      <c r="S19" s="481"/>
      <c r="T19" s="481"/>
      <c r="U19" s="481"/>
    </row>
    <row r="20" spans="1:21" s="468" customFormat="1" x14ac:dyDescent="0.2">
      <c r="A20" s="485"/>
      <c r="B20" s="434"/>
      <c r="C20" s="442"/>
      <c r="D20" s="434"/>
      <c r="E20" s="440"/>
      <c r="F20" s="440"/>
      <c r="G20" s="440"/>
      <c r="H20" s="440"/>
      <c r="I20" s="440"/>
      <c r="J20" s="440"/>
      <c r="K20" s="440"/>
      <c r="L20" s="440"/>
      <c r="M20" s="483"/>
      <c r="N20" s="482"/>
      <c r="O20" s="481"/>
      <c r="P20" s="481"/>
      <c r="Q20" s="481"/>
      <c r="R20" s="481"/>
      <c r="S20" s="481"/>
      <c r="T20" s="481"/>
      <c r="U20" s="481"/>
    </row>
    <row r="21" spans="1:21" s="468" customFormat="1" x14ac:dyDescent="0.2">
      <c r="A21" s="436" t="s">
        <v>2893</v>
      </c>
      <c r="B21" s="434" t="s">
        <v>2796</v>
      </c>
      <c r="C21" s="442"/>
      <c r="D21" s="434" t="s">
        <v>18</v>
      </c>
      <c r="E21" s="479">
        <v>0.38461538461538464</v>
      </c>
      <c r="F21" s="479">
        <v>0.18543046357615894</v>
      </c>
      <c r="G21" s="479">
        <v>0.22807017543859648</v>
      </c>
      <c r="H21" s="479">
        <v>0.48157560355781448</v>
      </c>
      <c r="I21" s="479">
        <v>0.44743701129452651</v>
      </c>
      <c r="J21" s="479">
        <v>0.48746518105849584</v>
      </c>
      <c r="K21" s="479">
        <v>0.4</v>
      </c>
      <c r="L21" s="479">
        <v>0.38104723961297665</v>
      </c>
      <c r="M21" s="432">
        <v>0.38546630871028764</v>
      </c>
      <c r="N21" s="431">
        <v>0.38542223694441619</v>
      </c>
      <c r="O21" s="481"/>
      <c r="P21" s="481"/>
      <c r="Q21" s="481"/>
      <c r="R21" s="481"/>
      <c r="S21" s="481"/>
      <c r="T21" s="481"/>
      <c r="U21" s="481"/>
    </row>
    <row r="22" spans="1:21" s="468" customFormat="1" x14ac:dyDescent="0.2">
      <c r="A22" s="485"/>
      <c r="B22" s="434" t="s">
        <v>2796</v>
      </c>
      <c r="C22" s="442"/>
      <c r="D22" s="434" t="s">
        <v>2885</v>
      </c>
      <c r="E22" s="479">
        <v>0.72527472527472525</v>
      </c>
      <c r="F22" s="479">
        <v>0.82891832229580575</v>
      </c>
      <c r="G22" s="479">
        <v>0.56140350877192979</v>
      </c>
      <c r="H22" s="479">
        <v>0.84116899618805596</v>
      </c>
      <c r="I22" s="479">
        <v>0.78801042571676805</v>
      </c>
      <c r="J22" s="479">
        <v>0.77437325905292476</v>
      </c>
      <c r="K22" s="479">
        <v>0.6</v>
      </c>
      <c r="L22" s="479">
        <v>0.79766647694934545</v>
      </c>
      <c r="M22" s="432">
        <v>0.7977595626866788</v>
      </c>
      <c r="N22" s="431">
        <v>0.79400536792032272</v>
      </c>
      <c r="O22" s="481"/>
      <c r="P22" s="481"/>
      <c r="Q22" s="481"/>
      <c r="R22" s="481"/>
      <c r="S22" s="481"/>
      <c r="T22" s="481"/>
      <c r="U22" s="481"/>
    </row>
    <row r="23" spans="1:21" s="468" customFormat="1" x14ac:dyDescent="0.2">
      <c r="A23" s="485"/>
      <c r="B23" s="434" t="s">
        <v>2796</v>
      </c>
      <c r="C23" s="442"/>
      <c r="D23" s="434" t="s">
        <v>2884</v>
      </c>
      <c r="E23" s="479">
        <v>6.043956043956044E-2</v>
      </c>
      <c r="F23" s="479">
        <v>2.5386313465783666E-2</v>
      </c>
      <c r="G23" s="479">
        <v>2.6315789473684209E-2</v>
      </c>
      <c r="H23" s="479">
        <v>2.9224904701397714E-2</v>
      </c>
      <c r="I23" s="479">
        <v>2.3457862728062554E-2</v>
      </c>
      <c r="J23" s="479">
        <v>3.3426183844011144E-2</v>
      </c>
      <c r="K23" s="479">
        <v>0.13333333333333333</v>
      </c>
      <c r="L23" s="479">
        <v>2.8742174160500854E-2</v>
      </c>
      <c r="M23" s="432">
        <v>2.7141535934093977E-2</v>
      </c>
      <c r="N23" s="431">
        <v>2.8866134812863157E-2</v>
      </c>
      <c r="O23" s="481"/>
      <c r="P23" s="481"/>
      <c r="Q23" s="481"/>
      <c r="R23" s="481"/>
      <c r="S23" s="481"/>
      <c r="T23" s="481"/>
      <c r="U23" s="481"/>
    </row>
    <row r="24" spans="1:21" s="468" customFormat="1" x14ac:dyDescent="0.2">
      <c r="A24" s="485"/>
      <c r="B24" s="434" t="s">
        <v>2796</v>
      </c>
      <c r="C24" s="442"/>
      <c r="D24" s="434" t="s">
        <v>2213</v>
      </c>
      <c r="E24" s="479">
        <v>0.21428571428571427</v>
      </c>
      <c r="F24" s="479">
        <v>7.0640176600441501E-2</v>
      </c>
      <c r="G24" s="479">
        <v>0.17543859649122806</v>
      </c>
      <c r="H24" s="479">
        <v>0.10673443456162643</v>
      </c>
      <c r="I24" s="479">
        <v>0.16072980017376196</v>
      </c>
      <c r="J24" s="479">
        <v>0.17548746518105848</v>
      </c>
      <c r="K24" s="479">
        <v>0.13333333333333333</v>
      </c>
      <c r="L24" s="479">
        <v>0.13005122367672167</v>
      </c>
      <c r="M24" s="432">
        <v>0.12796954455556273</v>
      </c>
      <c r="N24" s="431">
        <v>0.1324401031471642</v>
      </c>
      <c r="O24" s="481"/>
      <c r="P24" s="481"/>
      <c r="Q24" s="481"/>
      <c r="R24" s="481"/>
      <c r="S24" s="481"/>
      <c r="T24" s="481"/>
      <c r="U24" s="481"/>
    </row>
    <row r="25" spans="1:21" s="468" customFormat="1" x14ac:dyDescent="0.2">
      <c r="A25" s="485"/>
      <c r="B25" s="434" t="s">
        <v>2796</v>
      </c>
      <c r="C25" s="442"/>
      <c r="D25" s="434" t="s">
        <v>2110</v>
      </c>
      <c r="E25" s="479">
        <v>3.8461538461538464E-2</v>
      </c>
      <c r="F25" s="479">
        <v>4.0838852097130243E-2</v>
      </c>
      <c r="G25" s="479">
        <v>0.21929824561403508</v>
      </c>
      <c r="H25" s="479">
        <v>1.2706480304955527E-2</v>
      </c>
      <c r="I25" s="479">
        <v>1.998262380538662E-2</v>
      </c>
      <c r="J25" s="479">
        <v>1.3927576601671309E-2</v>
      </c>
      <c r="K25" s="479">
        <v>0.2</v>
      </c>
      <c r="L25" s="479">
        <v>3.1303357996585089E-2</v>
      </c>
      <c r="M25" s="432">
        <v>3.2739663296025352E-2</v>
      </c>
      <c r="N25" s="431">
        <v>3.3036015396231209E-2</v>
      </c>
      <c r="O25" s="481"/>
      <c r="P25" s="481"/>
      <c r="Q25" s="481"/>
      <c r="R25" s="481"/>
      <c r="S25" s="481"/>
      <c r="T25" s="481"/>
      <c r="U25" s="481"/>
    </row>
    <row r="26" spans="1:21" s="468" customFormat="1" x14ac:dyDescent="0.2">
      <c r="A26" s="485"/>
      <c r="B26" s="434" t="s">
        <v>2796</v>
      </c>
      <c r="C26" s="442"/>
      <c r="D26" s="434" t="s">
        <v>2883</v>
      </c>
      <c r="E26" s="479">
        <v>2.197802197802198E-2</v>
      </c>
      <c r="F26" s="479">
        <v>8.8300220750551876E-3</v>
      </c>
      <c r="G26" s="479">
        <v>6.1403508771929821E-2</v>
      </c>
      <c r="H26" s="479">
        <v>2.2871664548919948E-2</v>
      </c>
      <c r="I26" s="479">
        <v>2.6064291920069507E-3</v>
      </c>
      <c r="J26" s="479">
        <v>2.2284122562674095E-2</v>
      </c>
      <c r="K26" s="479">
        <v>0</v>
      </c>
      <c r="L26" s="479">
        <v>1.3659647125782584E-2</v>
      </c>
      <c r="M26" s="432">
        <v>1.4071057629270474E-2</v>
      </c>
      <c r="N26" s="431">
        <v>1.4480581679205812E-2</v>
      </c>
      <c r="O26" s="481"/>
      <c r="P26" s="481"/>
      <c r="Q26" s="481"/>
      <c r="R26" s="481"/>
      <c r="S26" s="481"/>
      <c r="T26" s="481"/>
      <c r="U26" s="481"/>
    </row>
    <row r="27" spans="1:21" s="468" customFormat="1" x14ac:dyDescent="0.2">
      <c r="A27" s="485"/>
      <c r="B27" s="434" t="s">
        <v>2796</v>
      </c>
      <c r="C27" s="442"/>
      <c r="D27" s="434" t="s">
        <v>2882</v>
      </c>
      <c r="E27" s="479">
        <v>3.2967032967032968E-2</v>
      </c>
      <c r="F27" s="479">
        <v>4.7461368653421633E-2</v>
      </c>
      <c r="G27" s="479">
        <v>0.14912280701754385</v>
      </c>
      <c r="H27" s="479">
        <v>5.0825921219822112E-3</v>
      </c>
      <c r="I27" s="479">
        <v>9.5569070373588191E-3</v>
      </c>
      <c r="J27" s="479">
        <v>8.356545961002786E-3</v>
      </c>
      <c r="K27" s="479">
        <v>0</v>
      </c>
      <c r="L27" s="479">
        <v>2.3904382470119521E-2</v>
      </c>
      <c r="M27" s="432">
        <v>2.4125382086487963E-2</v>
      </c>
      <c r="N27" s="431">
        <v>2.4583316195838902E-2</v>
      </c>
      <c r="O27" s="481"/>
      <c r="P27" s="481"/>
      <c r="Q27" s="481"/>
      <c r="R27" s="481"/>
      <c r="S27" s="481"/>
      <c r="T27" s="481"/>
      <c r="U27" s="481"/>
    </row>
    <row r="28" spans="1:21" s="468" customFormat="1" x14ac:dyDescent="0.2">
      <c r="A28" s="485"/>
      <c r="B28" s="434" t="s">
        <v>2796</v>
      </c>
      <c r="C28" s="442"/>
      <c r="D28" s="434" t="s">
        <v>13</v>
      </c>
      <c r="E28" s="479">
        <v>6.043956043956044E-2</v>
      </c>
      <c r="F28" s="479">
        <v>5.8498896247240618E-2</v>
      </c>
      <c r="G28" s="479">
        <v>2.6315789473684209E-2</v>
      </c>
      <c r="H28" s="479">
        <v>4.3202033036848796E-2</v>
      </c>
      <c r="I28" s="479">
        <v>4.3440486533449174E-2</v>
      </c>
      <c r="J28" s="479">
        <v>5.2924791086350974E-2</v>
      </c>
      <c r="K28" s="479">
        <v>0.13333333333333333</v>
      </c>
      <c r="L28" s="479">
        <v>4.8947068867387596E-2</v>
      </c>
      <c r="M28" s="432">
        <v>4.7843756865730454E-2</v>
      </c>
      <c r="N28" s="431">
        <v>4.8496129162383009E-2</v>
      </c>
      <c r="O28" s="481"/>
      <c r="P28" s="481"/>
      <c r="Q28" s="481"/>
      <c r="R28" s="481"/>
      <c r="S28" s="481"/>
      <c r="T28" s="481"/>
      <c r="U28" s="481"/>
    </row>
    <row r="29" spans="1:21" s="468" customFormat="1" x14ac:dyDescent="0.2">
      <c r="A29" s="485"/>
      <c r="B29" s="434" t="s">
        <v>2796</v>
      </c>
      <c r="C29" s="442"/>
      <c r="D29" s="434" t="s">
        <v>2881</v>
      </c>
      <c r="E29" s="479">
        <v>5.4945054945054944E-2</v>
      </c>
      <c r="F29" s="479">
        <v>5.0772626931567331E-2</v>
      </c>
      <c r="G29" s="479">
        <v>2.6315789473684209E-2</v>
      </c>
      <c r="H29" s="479">
        <v>5.7179161372299871E-2</v>
      </c>
      <c r="I29" s="479">
        <v>5.2997393570807995E-2</v>
      </c>
      <c r="J29" s="479">
        <v>8.3565459610027856E-2</v>
      </c>
      <c r="K29" s="479">
        <v>0</v>
      </c>
      <c r="L29" s="479">
        <v>5.5492316448491751E-2</v>
      </c>
      <c r="M29" s="432">
        <v>5.564120209871197E-2</v>
      </c>
      <c r="N29" s="431">
        <v>5.5605146668442886E-2</v>
      </c>
      <c r="O29" s="481"/>
      <c r="P29" s="481"/>
      <c r="Q29" s="481"/>
      <c r="R29" s="481"/>
      <c r="S29" s="481"/>
      <c r="T29" s="481"/>
      <c r="U29" s="481"/>
    </row>
    <row r="30" spans="1:21" s="468" customFormat="1" x14ac:dyDescent="0.2">
      <c r="A30" s="485"/>
      <c r="B30" s="434"/>
      <c r="C30" s="442"/>
      <c r="D30" s="484"/>
      <c r="E30" s="441"/>
      <c r="F30" s="441"/>
      <c r="G30" s="441"/>
      <c r="H30" s="441"/>
      <c r="I30" s="441"/>
      <c r="J30" s="441"/>
      <c r="K30" s="441"/>
      <c r="L30" s="441"/>
      <c r="M30" s="483"/>
      <c r="N30" s="482"/>
      <c r="O30" s="481"/>
      <c r="P30" s="481"/>
      <c r="Q30" s="481"/>
      <c r="R30" s="481"/>
      <c r="S30" s="481"/>
      <c r="T30" s="481"/>
      <c r="U30" s="481"/>
    </row>
    <row r="31" spans="1:21" x14ac:dyDescent="0.2">
      <c r="A31" s="436" t="s">
        <v>2892</v>
      </c>
      <c r="B31" s="434" t="s">
        <v>2891</v>
      </c>
      <c r="C31" s="442"/>
      <c r="D31" s="434" t="s">
        <v>2890</v>
      </c>
      <c r="E31" s="480">
        <v>1.5934065934065933</v>
      </c>
      <c r="F31" s="480">
        <v>1.3167770419426048</v>
      </c>
      <c r="G31" s="480">
        <v>1.4736842105263157</v>
      </c>
      <c r="H31" s="480">
        <v>1.5997458703939009</v>
      </c>
      <c r="I31" s="480">
        <v>1.5482189400521287</v>
      </c>
      <c r="J31" s="480">
        <v>1.6518105849582172</v>
      </c>
      <c r="K31" s="480">
        <v>1.6</v>
      </c>
      <c r="L31" s="480">
        <v>1.5108138873079111</v>
      </c>
      <c r="M31" s="460">
        <v>1.5127580138628491</v>
      </c>
      <c r="N31" s="459">
        <v>1.516935031926868</v>
      </c>
      <c r="O31" s="435"/>
      <c r="P31" s="430"/>
      <c r="Q31" s="430"/>
      <c r="R31" s="430"/>
      <c r="S31" s="430"/>
      <c r="T31" s="430"/>
      <c r="U31" s="430"/>
    </row>
    <row r="32" spans="1:21" x14ac:dyDescent="0.2">
      <c r="A32" s="436" t="s">
        <v>2889</v>
      </c>
      <c r="B32" s="434" t="s">
        <v>2888</v>
      </c>
      <c r="C32" s="442"/>
      <c r="D32" s="434" t="s">
        <v>2887</v>
      </c>
      <c r="E32" s="479">
        <v>0.46153846153846156</v>
      </c>
      <c r="F32" s="479">
        <v>0.27483443708609273</v>
      </c>
      <c r="G32" s="479">
        <v>0.38596491228070173</v>
      </c>
      <c r="H32" s="479">
        <v>0.51588310038119445</v>
      </c>
      <c r="I32" s="479">
        <v>0.47871416159860991</v>
      </c>
      <c r="J32" s="479">
        <v>0.55153203342618384</v>
      </c>
      <c r="K32" s="479">
        <v>0.46666666666666667</v>
      </c>
      <c r="L32" s="479">
        <v>0.43796243597040407</v>
      </c>
      <c r="M32" s="432">
        <v>0.44177309169115708</v>
      </c>
      <c r="N32" s="431">
        <v>0.44279679610555933</v>
      </c>
      <c r="O32" s="435"/>
      <c r="P32" s="430"/>
      <c r="Q32" s="430"/>
      <c r="R32" s="430"/>
      <c r="S32" s="430"/>
      <c r="T32" s="430"/>
      <c r="U32" s="430"/>
    </row>
    <row r="33" spans="1:21" x14ac:dyDescent="0.2">
      <c r="B33" s="429"/>
      <c r="F33" s="466"/>
      <c r="G33" s="466"/>
      <c r="H33" s="466"/>
      <c r="I33" s="466"/>
      <c r="J33" s="466"/>
      <c r="K33" s="466"/>
      <c r="L33" s="466"/>
      <c r="M33" s="439"/>
      <c r="N33" s="438"/>
      <c r="O33" s="430"/>
      <c r="P33" s="430"/>
      <c r="Q33" s="430"/>
      <c r="R33" s="430"/>
      <c r="S33" s="430"/>
      <c r="T33" s="430"/>
      <c r="U33" s="430"/>
    </row>
    <row r="34" spans="1:21" x14ac:dyDescent="0.2">
      <c r="A34" s="436" t="s">
        <v>2886</v>
      </c>
      <c r="B34" s="434" t="s">
        <v>2796</v>
      </c>
      <c r="C34" s="434"/>
      <c r="D34" s="434" t="s">
        <v>18</v>
      </c>
      <c r="E34" s="435">
        <v>0.19818681318681319</v>
      </c>
      <c r="F34" s="435">
        <v>8.8675496688741723E-2</v>
      </c>
      <c r="G34" s="435">
        <v>0.1187719298245614</v>
      </c>
      <c r="H34" s="435">
        <v>0.27667090216010165</v>
      </c>
      <c r="I34" s="435">
        <v>0.20210251954821895</v>
      </c>
      <c r="J34" s="435">
        <v>0.23323119777158774</v>
      </c>
      <c r="K34" s="435">
        <v>0.26333333333333331</v>
      </c>
      <c r="L34" s="435">
        <v>0.19009391007398976</v>
      </c>
      <c r="M34" s="478">
        <v>0.19213783449267355</v>
      </c>
      <c r="N34" s="431">
        <v>0.1924511282098999</v>
      </c>
      <c r="O34" s="430"/>
      <c r="P34" s="430"/>
      <c r="Q34" s="430"/>
      <c r="R34" s="430"/>
      <c r="S34" s="430"/>
      <c r="T34" s="430"/>
      <c r="U34" s="430"/>
    </row>
    <row r="35" spans="1:21" x14ac:dyDescent="0.2">
      <c r="B35" s="434" t="s">
        <v>2796</v>
      </c>
      <c r="C35" s="434"/>
      <c r="D35" s="434" t="s">
        <v>2885</v>
      </c>
      <c r="E35" s="435">
        <v>0.57406593406593409</v>
      </c>
      <c r="F35" s="435">
        <v>0.7558498896247241</v>
      </c>
      <c r="G35" s="435">
        <v>0.46605263157894739</v>
      </c>
      <c r="H35" s="435">
        <v>0.62456162642947899</v>
      </c>
      <c r="I35" s="435">
        <v>0.65699391833188536</v>
      </c>
      <c r="J35" s="435">
        <v>0.61610027855153204</v>
      </c>
      <c r="K35" s="435">
        <v>0.5</v>
      </c>
      <c r="L35" s="435">
        <v>0.65988047808764938</v>
      </c>
      <c r="M35" s="478">
        <v>0.65907782826944217</v>
      </c>
      <c r="N35" s="431">
        <v>0.65467482179675063</v>
      </c>
      <c r="O35" s="430"/>
      <c r="P35" s="430"/>
      <c r="Q35" s="430"/>
      <c r="R35" s="430"/>
      <c r="S35" s="430"/>
      <c r="T35" s="430"/>
      <c r="U35" s="430"/>
    </row>
    <row r="36" spans="1:21" x14ac:dyDescent="0.2">
      <c r="B36" s="434" t="s">
        <v>2796</v>
      </c>
      <c r="C36" s="434"/>
      <c r="D36" s="434" t="s">
        <v>2884</v>
      </c>
      <c r="E36" s="435">
        <v>1.9230769230769232E-2</v>
      </c>
      <c r="F36" s="435">
        <v>7.5607064017660045E-3</v>
      </c>
      <c r="G36" s="435">
        <v>1.5789473684210526E-3</v>
      </c>
      <c r="H36" s="435">
        <v>5.2731893265565441E-3</v>
      </c>
      <c r="I36" s="435">
        <v>4.2311033883579499E-3</v>
      </c>
      <c r="J36" s="435">
        <v>8.6629526462395547E-3</v>
      </c>
      <c r="K36" s="435">
        <v>2.3333333333333334E-2</v>
      </c>
      <c r="L36" s="435">
        <v>6.5480933409220263E-3</v>
      </c>
      <c r="M36" s="432">
        <v>5.7962676690951134E-3</v>
      </c>
      <c r="N36" s="431">
        <v>6.4920785069507454E-3</v>
      </c>
      <c r="O36" s="430"/>
      <c r="P36" s="430"/>
      <c r="Q36" s="430"/>
      <c r="R36" s="430"/>
      <c r="S36" s="430"/>
      <c r="T36" s="430"/>
      <c r="U36" s="430"/>
    </row>
    <row r="37" spans="1:21" x14ac:dyDescent="0.2">
      <c r="B37" s="434" t="s">
        <v>2796</v>
      </c>
      <c r="C37" s="434"/>
      <c r="D37" s="434" t="s">
        <v>2213</v>
      </c>
      <c r="E37" s="435">
        <v>0.13906593406593407</v>
      </c>
      <c r="F37" s="435">
        <v>3.7516556291390731E-2</v>
      </c>
      <c r="G37" s="435">
        <v>9.9210526315789471E-2</v>
      </c>
      <c r="H37" s="435">
        <v>4.6874205844980942E-2</v>
      </c>
      <c r="I37" s="435">
        <v>9.0503909643788016E-2</v>
      </c>
      <c r="J37" s="435">
        <v>0.10373259052924791</v>
      </c>
      <c r="K37" s="435">
        <v>0.04</v>
      </c>
      <c r="L37" s="435">
        <v>7.1004553215708588E-2</v>
      </c>
      <c r="M37" s="432">
        <v>6.8790727129772883E-2</v>
      </c>
      <c r="N37" s="431">
        <v>7.2430478883438607E-2</v>
      </c>
      <c r="O37" s="430"/>
      <c r="P37" s="430"/>
      <c r="Q37" s="430"/>
      <c r="R37" s="430"/>
      <c r="S37" s="430"/>
      <c r="T37" s="430"/>
      <c r="U37" s="430"/>
    </row>
    <row r="38" spans="1:21" x14ac:dyDescent="0.2">
      <c r="B38" s="434" t="s">
        <v>2796</v>
      </c>
      <c r="C38" s="434"/>
      <c r="D38" s="434" t="s">
        <v>2110</v>
      </c>
      <c r="E38" s="435">
        <v>2.2802197802197801E-2</v>
      </c>
      <c r="F38" s="435">
        <v>3.5993377483443709E-2</v>
      </c>
      <c r="G38" s="435">
        <v>0.15052631578947367</v>
      </c>
      <c r="H38" s="435">
        <v>7.5730622617534941E-3</v>
      </c>
      <c r="I38" s="435">
        <v>1.4152910512597741E-2</v>
      </c>
      <c r="J38" s="435">
        <v>6.5181058495821726E-3</v>
      </c>
      <c r="K38" s="435">
        <v>0.16666666666666666</v>
      </c>
      <c r="L38" s="435">
        <v>2.3053500284575982E-2</v>
      </c>
      <c r="M38" s="432">
        <v>2.4076594722421091E-2</v>
      </c>
      <c r="N38" s="431">
        <v>2.4010590101054944E-2</v>
      </c>
      <c r="O38" s="430"/>
      <c r="P38" s="430"/>
      <c r="Q38" s="430"/>
      <c r="R38" s="430"/>
      <c r="S38" s="430"/>
      <c r="T38" s="430"/>
      <c r="U38" s="430"/>
    </row>
    <row r="39" spans="1:21" x14ac:dyDescent="0.2">
      <c r="B39" s="434" t="s">
        <v>2796</v>
      </c>
      <c r="C39" s="434"/>
      <c r="D39" s="434" t="s">
        <v>2883</v>
      </c>
      <c r="E39" s="435">
        <v>3.2967032967032967E-4</v>
      </c>
      <c r="F39" s="435">
        <v>4.88962472406181E-3</v>
      </c>
      <c r="G39" s="435">
        <v>3.6052631578947371E-2</v>
      </c>
      <c r="H39" s="435">
        <v>1.3481575603557814E-2</v>
      </c>
      <c r="I39" s="435">
        <v>2.4326672458731538E-3</v>
      </c>
      <c r="J39" s="435">
        <v>4.6518105849582174E-3</v>
      </c>
      <c r="K39" s="435">
        <v>0</v>
      </c>
      <c r="L39" s="435">
        <v>6.7387592487194083E-3</v>
      </c>
      <c r="M39" s="432">
        <v>7.4981808658271532E-3</v>
      </c>
      <c r="N39" s="431">
        <v>7.126903427699509E-3</v>
      </c>
      <c r="O39" s="430"/>
      <c r="P39" s="430"/>
      <c r="Q39" s="430"/>
      <c r="R39" s="430"/>
      <c r="S39" s="430"/>
      <c r="T39" s="430"/>
      <c r="U39" s="430"/>
    </row>
    <row r="40" spans="1:21" x14ac:dyDescent="0.2">
      <c r="B40" s="434" t="s">
        <v>2796</v>
      </c>
      <c r="C40" s="434"/>
      <c r="D40" s="434" t="s">
        <v>2882</v>
      </c>
      <c r="E40" s="435">
        <v>3.2967032967032968E-2</v>
      </c>
      <c r="F40" s="435">
        <v>4.0717439293598237E-2</v>
      </c>
      <c r="G40" s="435">
        <v>0.12105263157894737</v>
      </c>
      <c r="H40" s="435">
        <v>1.804320203303685E-3</v>
      </c>
      <c r="I40" s="435">
        <v>3.6403127715030409E-3</v>
      </c>
      <c r="J40" s="435">
        <v>1.8105849582172701E-3</v>
      </c>
      <c r="K40" s="435">
        <v>0</v>
      </c>
      <c r="L40" s="435">
        <v>1.7914058053500284E-2</v>
      </c>
      <c r="M40" s="432">
        <v>1.7556622759530228E-2</v>
      </c>
      <c r="N40" s="431">
        <v>1.8354771495376981E-2</v>
      </c>
      <c r="O40" s="430"/>
      <c r="P40" s="430"/>
      <c r="Q40" s="430"/>
      <c r="R40" s="430"/>
      <c r="S40" s="430"/>
      <c r="T40" s="430"/>
      <c r="U40" s="430"/>
    </row>
    <row r="41" spans="1:21" x14ac:dyDescent="0.2">
      <c r="B41" s="434" t="s">
        <v>2796</v>
      </c>
      <c r="C41" s="434"/>
      <c r="D41" s="434" t="s">
        <v>13</v>
      </c>
      <c r="E41" s="435">
        <v>7.4725274725274725E-3</v>
      </c>
      <c r="F41" s="435">
        <v>1.2317880794701986E-2</v>
      </c>
      <c r="G41" s="435">
        <v>4.5614035087719294E-3</v>
      </c>
      <c r="H41" s="435">
        <v>8.1702668360864039E-3</v>
      </c>
      <c r="I41" s="435">
        <v>7.0373588184187664E-3</v>
      </c>
      <c r="J41" s="435">
        <v>8.495821727019499E-3</v>
      </c>
      <c r="K41" s="435">
        <v>6.6666666666666671E-3</v>
      </c>
      <c r="L41" s="435">
        <v>8.7421741605008541E-3</v>
      </c>
      <c r="M41" s="432">
        <v>8.6670477904103402E-3</v>
      </c>
      <c r="N41" s="431">
        <v>8.605180204225172E-3</v>
      </c>
      <c r="O41" s="430"/>
      <c r="P41" s="430"/>
      <c r="Q41" s="430"/>
      <c r="R41" s="430"/>
      <c r="S41" s="430"/>
      <c r="T41" s="430"/>
      <c r="U41" s="430"/>
    </row>
    <row r="42" spans="1:21" x14ac:dyDescent="0.2">
      <c r="B42" s="434" t="s">
        <v>2796</v>
      </c>
      <c r="C42" s="434"/>
      <c r="D42" s="434" t="s">
        <v>2881</v>
      </c>
      <c r="E42" s="435">
        <v>5.8791208791208792E-3</v>
      </c>
      <c r="F42" s="435">
        <v>1.6479028697571743E-2</v>
      </c>
      <c r="G42" s="435">
        <v>2.1929824561403508E-3</v>
      </c>
      <c r="H42" s="435">
        <v>1.5590851334180433E-2</v>
      </c>
      <c r="I42" s="435">
        <v>1.8905299739357079E-2</v>
      </c>
      <c r="J42" s="435">
        <v>1.67966573816156E-2</v>
      </c>
      <c r="K42" s="435">
        <v>0</v>
      </c>
      <c r="L42" s="435">
        <v>1.6024473534433693E-2</v>
      </c>
      <c r="M42" s="432">
        <v>1.6398896300827467E-2</v>
      </c>
      <c r="N42" s="431">
        <v>1.5854047374603622E-2</v>
      </c>
      <c r="O42" s="430"/>
      <c r="P42" s="430"/>
      <c r="Q42" s="430"/>
      <c r="R42" s="430"/>
      <c r="S42" s="430"/>
      <c r="T42" s="430"/>
      <c r="U42" s="430"/>
    </row>
    <row r="43" spans="1:21" x14ac:dyDescent="0.2">
      <c r="B43" s="434"/>
      <c r="C43" s="434"/>
      <c r="D43" s="434" t="s">
        <v>68</v>
      </c>
      <c r="E43" s="435">
        <v>1</v>
      </c>
      <c r="F43" s="435">
        <v>1</v>
      </c>
      <c r="G43" s="435">
        <v>0.99999999999999989</v>
      </c>
      <c r="H43" s="435">
        <v>0.99999999999999978</v>
      </c>
      <c r="I43" s="435">
        <v>0.99999999999999989</v>
      </c>
      <c r="J43" s="435">
        <v>0.99999999999999989</v>
      </c>
      <c r="K43" s="435">
        <v>1</v>
      </c>
      <c r="L43" s="435">
        <v>1</v>
      </c>
      <c r="M43" s="477">
        <v>1</v>
      </c>
      <c r="N43" s="431">
        <v>1.0000000000000002</v>
      </c>
      <c r="O43" s="430"/>
      <c r="P43" s="430"/>
      <c r="Q43" s="430"/>
      <c r="R43" s="430"/>
      <c r="S43" s="430"/>
      <c r="T43" s="430"/>
      <c r="U43" s="430"/>
    </row>
    <row r="44" spans="1:21" x14ac:dyDescent="0.2">
      <c r="B44" s="429"/>
      <c r="N44" s="425"/>
      <c r="O44" s="430"/>
      <c r="P44" s="430"/>
      <c r="Q44" s="430"/>
      <c r="R44" s="430"/>
      <c r="S44" s="430"/>
      <c r="T44" s="430"/>
      <c r="U44" s="430"/>
    </row>
    <row r="45" spans="1:21" x14ac:dyDescent="0.2">
      <c r="A45" s="436" t="s">
        <v>2880</v>
      </c>
      <c r="B45" s="434" t="s">
        <v>2799</v>
      </c>
      <c r="C45" s="442">
        <v>1</v>
      </c>
      <c r="D45" s="442" t="s">
        <v>2879</v>
      </c>
      <c r="E45" s="440">
        <v>4</v>
      </c>
      <c r="F45" s="440">
        <v>13</v>
      </c>
      <c r="G45" s="440">
        <v>4</v>
      </c>
      <c r="H45" s="440">
        <v>13</v>
      </c>
      <c r="I45" s="440">
        <v>30</v>
      </c>
      <c r="J45" s="440">
        <v>16</v>
      </c>
      <c r="K45" s="440">
        <v>0</v>
      </c>
      <c r="L45" s="440">
        <v>80</v>
      </c>
      <c r="M45" s="466"/>
      <c r="N45" s="476"/>
      <c r="O45" s="430"/>
      <c r="P45" s="430"/>
      <c r="Q45" s="430"/>
      <c r="R45" s="430"/>
      <c r="S45" s="430"/>
      <c r="T45" s="430"/>
      <c r="U45" s="430"/>
    </row>
    <row r="46" spans="1:21" x14ac:dyDescent="0.2">
      <c r="A46" s="468"/>
      <c r="B46" s="434" t="s">
        <v>2799</v>
      </c>
      <c r="C46" s="442">
        <v>2</v>
      </c>
      <c r="D46" s="442" t="s">
        <v>2878</v>
      </c>
      <c r="E46" s="440">
        <v>3</v>
      </c>
      <c r="F46" s="440">
        <v>15</v>
      </c>
      <c r="G46" s="440">
        <v>2</v>
      </c>
      <c r="H46" s="440">
        <v>18</v>
      </c>
      <c r="I46" s="440">
        <v>26</v>
      </c>
      <c r="J46" s="440">
        <v>11</v>
      </c>
      <c r="K46" s="440">
        <v>1</v>
      </c>
      <c r="L46" s="440">
        <v>76</v>
      </c>
      <c r="M46" s="466"/>
      <c r="N46" s="476"/>
      <c r="O46" s="430"/>
      <c r="P46" s="430"/>
      <c r="Q46" s="430"/>
      <c r="R46" s="430"/>
      <c r="S46" s="430"/>
      <c r="T46" s="430"/>
      <c r="U46" s="430"/>
    </row>
    <row r="47" spans="1:21" x14ac:dyDescent="0.2">
      <c r="A47" s="436"/>
      <c r="B47" s="434" t="s">
        <v>2799</v>
      </c>
      <c r="C47" s="442">
        <v>3</v>
      </c>
      <c r="D47" s="442" t="s">
        <v>2877</v>
      </c>
      <c r="E47" s="440">
        <v>58</v>
      </c>
      <c r="F47" s="440">
        <v>130</v>
      </c>
      <c r="G47" s="440">
        <v>19</v>
      </c>
      <c r="H47" s="440">
        <v>327</v>
      </c>
      <c r="I47" s="440">
        <v>441</v>
      </c>
      <c r="J47" s="440">
        <v>139</v>
      </c>
      <c r="K47" s="440">
        <v>4</v>
      </c>
      <c r="L47" s="440">
        <v>1118</v>
      </c>
      <c r="M47" s="466"/>
      <c r="N47" s="476"/>
      <c r="O47" s="430"/>
      <c r="P47" s="430"/>
      <c r="Q47" s="430"/>
      <c r="R47" s="430"/>
      <c r="S47" s="430"/>
      <c r="T47" s="430"/>
      <c r="U47" s="430"/>
    </row>
    <row r="48" spans="1:21" x14ac:dyDescent="0.2">
      <c r="A48" s="436"/>
      <c r="B48" s="434" t="s">
        <v>2799</v>
      </c>
      <c r="C48" s="442">
        <v>4</v>
      </c>
      <c r="D48" s="442" t="s">
        <v>2876</v>
      </c>
      <c r="E48" s="440">
        <v>3</v>
      </c>
      <c r="F48" s="440">
        <v>5</v>
      </c>
      <c r="G48" s="440">
        <v>0</v>
      </c>
      <c r="H48" s="440">
        <v>17</v>
      </c>
      <c r="I48" s="440">
        <v>12</v>
      </c>
      <c r="J48" s="440">
        <v>9</v>
      </c>
      <c r="K48" s="440">
        <v>1</v>
      </c>
      <c r="L48" s="440">
        <v>47</v>
      </c>
      <c r="M48" s="466"/>
      <c r="N48" s="476"/>
      <c r="O48" s="430"/>
      <c r="P48" s="430"/>
      <c r="Q48" s="430"/>
      <c r="R48" s="430"/>
      <c r="S48" s="430"/>
      <c r="T48" s="430"/>
      <c r="U48" s="430"/>
    </row>
    <row r="49" spans="1:21" x14ac:dyDescent="0.2">
      <c r="A49" s="436"/>
      <c r="B49" s="434" t="s">
        <v>2799</v>
      </c>
      <c r="C49" s="442">
        <v>5</v>
      </c>
      <c r="D49" s="442" t="s">
        <v>2810</v>
      </c>
      <c r="E49" s="440">
        <v>1</v>
      </c>
      <c r="F49" s="440">
        <v>4</v>
      </c>
      <c r="G49" s="440">
        <v>1</v>
      </c>
      <c r="H49" s="440">
        <v>4</v>
      </c>
      <c r="I49" s="440">
        <v>3</v>
      </c>
      <c r="J49" s="440">
        <v>0</v>
      </c>
      <c r="K49" s="440">
        <v>0</v>
      </c>
      <c r="L49" s="441">
        <v>0</v>
      </c>
      <c r="M49" s="466"/>
      <c r="N49" s="476"/>
      <c r="O49" s="430"/>
      <c r="P49" s="430"/>
      <c r="Q49" s="430"/>
      <c r="R49" s="430"/>
      <c r="S49" s="430"/>
      <c r="T49" s="430"/>
      <c r="U49" s="430"/>
    </row>
    <row r="50" spans="1:21" x14ac:dyDescent="0.2">
      <c r="A50" s="436"/>
      <c r="B50" s="434" t="s">
        <v>2799</v>
      </c>
      <c r="C50" s="443" t="s">
        <v>2</v>
      </c>
      <c r="D50" s="442" t="s">
        <v>2800</v>
      </c>
      <c r="E50" s="440">
        <v>113</v>
      </c>
      <c r="F50" s="440">
        <v>739</v>
      </c>
      <c r="G50" s="440">
        <v>88</v>
      </c>
      <c r="H50" s="440">
        <v>408</v>
      </c>
      <c r="I50" s="440">
        <v>639</v>
      </c>
      <c r="J50" s="440">
        <v>184</v>
      </c>
      <c r="K50" s="440">
        <v>9</v>
      </c>
      <c r="L50" s="440">
        <v>2180</v>
      </c>
      <c r="M50" s="466"/>
      <c r="N50" s="476"/>
      <c r="O50" s="430"/>
      <c r="P50" s="430"/>
      <c r="Q50" s="430"/>
      <c r="R50" s="430"/>
      <c r="S50" s="430"/>
      <c r="T50" s="430"/>
      <c r="U50" s="430"/>
    </row>
    <row r="51" spans="1:21" x14ac:dyDescent="0.2">
      <c r="A51" s="436"/>
      <c r="B51" s="434" t="s">
        <v>2799</v>
      </c>
      <c r="C51" s="442"/>
      <c r="D51" s="442" t="s">
        <v>68</v>
      </c>
      <c r="E51" s="441">
        <v>182</v>
      </c>
      <c r="F51" s="441">
        <v>906</v>
      </c>
      <c r="G51" s="441">
        <v>114</v>
      </c>
      <c r="H51" s="441">
        <v>787</v>
      </c>
      <c r="I51" s="441">
        <v>1151</v>
      </c>
      <c r="J51" s="441">
        <v>359</v>
      </c>
      <c r="K51" s="441">
        <v>15</v>
      </c>
      <c r="L51" s="441">
        <v>3501</v>
      </c>
      <c r="M51" s="466"/>
      <c r="N51" s="476"/>
      <c r="O51" s="437">
        <v>0.25878320479862899</v>
      </c>
      <c r="P51" s="437">
        <v>3.2562125107112254E-2</v>
      </c>
      <c r="Q51" s="437">
        <v>0.22479291630962583</v>
      </c>
      <c r="R51" s="437">
        <v>0.32876321051128249</v>
      </c>
      <c r="S51" s="437">
        <v>0.10254213081976578</v>
      </c>
      <c r="T51" s="437">
        <v>4.2844901456726651E-3</v>
      </c>
      <c r="U51" s="437">
        <v>0.951728077692088</v>
      </c>
    </row>
    <row r="52" spans="1:21" x14ac:dyDescent="0.2">
      <c r="A52" s="436"/>
      <c r="B52" s="434" t="s">
        <v>2799</v>
      </c>
      <c r="C52" s="442"/>
      <c r="D52" s="442" t="s">
        <v>2795</v>
      </c>
      <c r="E52" s="441">
        <v>68</v>
      </c>
      <c r="F52" s="441">
        <v>163</v>
      </c>
      <c r="G52" s="441">
        <v>25</v>
      </c>
      <c r="H52" s="441">
        <v>375</v>
      </c>
      <c r="I52" s="441">
        <v>509</v>
      </c>
      <c r="J52" s="441">
        <v>175</v>
      </c>
      <c r="K52" s="441">
        <v>6</v>
      </c>
      <c r="L52" s="441">
        <v>1321</v>
      </c>
      <c r="M52" s="439"/>
      <c r="N52" s="438"/>
      <c r="O52" s="437">
        <v>0.12339137017411052</v>
      </c>
      <c r="P52" s="437">
        <v>1.8925056775170326E-2</v>
      </c>
      <c r="Q52" s="437">
        <v>0.28387585162755491</v>
      </c>
      <c r="R52" s="437">
        <v>0.38531415594246782</v>
      </c>
      <c r="S52" s="437">
        <v>0.13247539742619227</v>
      </c>
      <c r="T52" s="437">
        <v>4.5420136260408781E-3</v>
      </c>
      <c r="U52" s="437">
        <v>0.94852384557153668</v>
      </c>
    </row>
    <row r="53" spans="1:21" x14ac:dyDescent="0.2">
      <c r="A53" s="436"/>
      <c r="B53" s="434" t="s">
        <v>2796</v>
      </c>
      <c r="C53" s="434"/>
      <c r="D53" s="434" t="s">
        <v>2879</v>
      </c>
      <c r="E53" s="435">
        <v>5.8823529411764705E-2</v>
      </c>
      <c r="F53" s="435">
        <v>7.9754601226993863E-2</v>
      </c>
      <c r="G53" s="435">
        <v>0.16</v>
      </c>
      <c r="H53" s="435">
        <v>3.4666666666666665E-2</v>
      </c>
      <c r="I53" s="435">
        <v>5.8939096267190572E-2</v>
      </c>
      <c r="J53" s="435">
        <v>9.1428571428571428E-2</v>
      </c>
      <c r="K53" s="435">
        <v>0</v>
      </c>
      <c r="L53" s="435">
        <v>6.0560181680545042E-2</v>
      </c>
      <c r="M53" s="432">
        <v>5.4744741985631014E-2</v>
      </c>
      <c r="N53" s="431">
        <v>5.495470227705955E-2</v>
      </c>
      <c r="O53" s="430"/>
      <c r="P53" s="430"/>
      <c r="Q53" s="430"/>
      <c r="R53" s="430"/>
      <c r="S53" s="430"/>
      <c r="T53" s="430"/>
      <c r="U53" s="430"/>
    </row>
    <row r="54" spans="1:21" x14ac:dyDescent="0.2">
      <c r="A54" s="436"/>
      <c r="B54" s="434" t="s">
        <v>2796</v>
      </c>
      <c r="C54" s="434"/>
      <c r="D54" s="434" t="s">
        <v>2878</v>
      </c>
      <c r="E54" s="435">
        <v>4.4117647058823532E-2</v>
      </c>
      <c r="F54" s="435">
        <v>9.202453987730061E-2</v>
      </c>
      <c r="G54" s="435">
        <v>0.08</v>
      </c>
      <c r="H54" s="435">
        <v>4.8000000000000001E-2</v>
      </c>
      <c r="I54" s="435">
        <v>5.1080550098231828E-2</v>
      </c>
      <c r="J54" s="435">
        <v>6.2857142857142861E-2</v>
      </c>
      <c r="K54" s="435">
        <v>0.16666666666666666</v>
      </c>
      <c r="L54" s="435">
        <v>5.7532172596517793E-2</v>
      </c>
      <c r="M54" s="432">
        <v>5.2650380510550085E-2</v>
      </c>
      <c r="N54" s="431">
        <v>5.2211148205692094E-2</v>
      </c>
      <c r="O54" s="430"/>
      <c r="P54" s="430"/>
      <c r="Q54" s="430"/>
      <c r="R54" s="430"/>
      <c r="S54" s="430"/>
      <c r="T54" s="430"/>
      <c r="U54" s="430"/>
    </row>
    <row r="55" spans="1:21" x14ac:dyDescent="0.2">
      <c r="A55" s="436"/>
      <c r="B55" s="434" t="s">
        <v>2796</v>
      </c>
      <c r="C55" s="434"/>
      <c r="D55" s="434" t="s">
        <v>2877</v>
      </c>
      <c r="E55" s="435">
        <v>0.8529411764705882</v>
      </c>
      <c r="F55" s="435">
        <v>0.7975460122699386</v>
      </c>
      <c r="G55" s="435">
        <v>0.76</v>
      </c>
      <c r="H55" s="435">
        <v>0.872</v>
      </c>
      <c r="I55" s="435">
        <v>0.86640471512770134</v>
      </c>
      <c r="J55" s="435">
        <v>0.79428571428571426</v>
      </c>
      <c r="K55" s="435">
        <v>0.66666666666666663</v>
      </c>
      <c r="L55" s="435">
        <v>0.846328538985617</v>
      </c>
      <c r="M55" s="432">
        <v>0.86240748618142116</v>
      </c>
      <c r="N55" s="431">
        <v>0.86192019696087863</v>
      </c>
      <c r="O55" s="430"/>
      <c r="P55" s="430"/>
      <c r="Q55" s="430"/>
      <c r="R55" s="430"/>
      <c r="S55" s="430"/>
      <c r="T55" s="430"/>
      <c r="U55" s="430"/>
    </row>
    <row r="56" spans="1:21" x14ac:dyDescent="0.2">
      <c r="A56" s="436"/>
      <c r="B56" s="434" t="s">
        <v>2796</v>
      </c>
      <c r="C56" s="434"/>
      <c r="D56" s="434" t="s">
        <v>2876</v>
      </c>
      <c r="E56" s="435">
        <v>4.4117647058823532E-2</v>
      </c>
      <c r="F56" s="435">
        <v>3.0674846625766871E-2</v>
      </c>
      <c r="G56" s="435">
        <v>0</v>
      </c>
      <c r="H56" s="435">
        <v>4.5333333333333337E-2</v>
      </c>
      <c r="I56" s="435">
        <v>2.3575638506876228E-2</v>
      </c>
      <c r="J56" s="435">
        <v>5.1428571428571428E-2</v>
      </c>
      <c r="K56" s="435">
        <v>0.16666666666666666</v>
      </c>
      <c r="L56" s="435">
        <v>3.5579106737320211E-2</v>
      </c>
      <c r="M56" s="432">
        <v>3.0197391322397665E-2</v>
      </c>
      <c r="N56" s="431">
        <v>3.0913952556369625E-2</v>
      </c>
      <c r="O56" s="430"/>
      <c r="P56" s="430"/>
      <c r="Q56" s="430"/>
      <c r="R56" s="430"/>
      <c r="S56" s="430"/>
      <c r="T56" s="430"/>
      <c r="U56" s="430"/>
    </row>
    <row r="57" spans="1:21" x14ac:dyDescent="0.2">
      <c r="A57" s="436"/>
      <c r="B57" s="434" t="s">
        <v>2796</v>
      </c>
      <c r="C57" s="434"/>
      <c r="D57" s="434" t="s">
        <v>2795</v>
      </c>
      <c r="E57" s="435">
        <v>0.99999999999999989</v>
      </c>
      <c r="F57" s="435">
        <v>1</v>
      </c>
      <c r="G57" s="435">
        <v>1</v>
      </c>
      <c r="H57" s="435">
        <v>1</v>
      </c>
      <c r="I57" s="435">
        <v>1</v>
      </c>
      <c r="J57" s="435">
        <v>1</v>
      </c>
      <c r="K57" s="435">
        <v>0.99999999999999989</v>
      </c>
      <c r="L57" s="435">
        <v>1</v>
      </c>
      <c r="M57" s="432">
        <v>0.99999999999999989</v>
      </c>
      <c r="N57" s="431">
        <v>0.99999999999999989</v>
      </c>
      <c r="O57" s="430"/>
      <c r="P57" s="430"/>
      <c r="Q57" s="430"/>
      <c r="R57" s="430"/>
      <c r="S57" s="430"/>
      <c r="T57" s="430"/>
      <c r="U57" s="430"/>
    </row>
    <row r="58" spans="1:21" x14ac:dyDescent="0.2">
      <c r="B58" s="429"/>
      <c r="N58" s="425"/>
      <c r="O58" s="430"/>
      <c r="P58" s="430"/>
      <c r="Q58" s="430"/>
      <c r="R58" s="430"/>
      <c r="S58" s="430"/>
      <c r="T58" s="430"/>
      <c r="U58" s="430"/>
    </row>
    <row r="59" spans="1:21" x14ac:dyDescent="0.2">
      <c r="A59" s="436" t="s">
        <v>2875</v>
      </c>
      <c r="B59" s="434" t="s">
        <v>2799</v>
      </c>
      <c r="C59" s="442">
        <v>1</v>
      </c>
      <c r="D59" s="442" t="s">
        <v>2874</v>
      </c>
      <c r="E59" s="440">
        <v>6</v>
      </c>
      <c r="F59" s="440">
        <v>25</v>
      </c>
      <c r="G59" s="440">
        <v>3</v>
      </c>
      <c r="H59" s="440">
        <v>50</v>
      </c>
      <c r="I59" s="440">
        <v>93</v>
      </c>
      <c r="J59" s="440">
        <v>20</v>
      </c>
      <c r="K59" s="440">
        <v>1</v>
      </c>
      <c r="L59" s="440">
        <v>198</v>
      </c>
      <c r="M59" s="439"/>
      <c r="N59" s="438"/>
      <c r="O59" s="430"/>
      <c r="P59" s="430"/>
      <c r="Q59" s="430"/>
      <c r="R59" s="430"/>
      <c r="S59" s="430"/>
      <c r="T59" s="430"/>
      <c r="U59" s="430"/>
    </row>
    <row r="60" spans="1:21" x14ac:dyDescent="0.2">
      <c r="A60" s="436"/>
      <c r="B60" s="434" t="s">
        <v>2799</v>
      </c>
      <c r="C60" s="442">
        <v>2</v>
      </c>
      <c r="D60" s="442" t="s">
        <v>2873</v>
      </c>
      <c r="E60" s="440">
        <v>55</v>
      </c>
      <c r="F60" s="440">
        <v>111</v>
      </c>
      <c r="G60" s="440">
        <v>16</v>
      </c>
      <c r="H60" s="440">
        <v>265</v>
      </c>
      <c r="I60" s="440">
        <v>344</v>
      </c>
      <c r="J60" s="440">
        <v>117</v>
      </c>
      <c r="K60" s="440">
        <v>4</v>
      </c>
      <c r="L60" s="440">
        <v>912</v>
      </c>
      <c r="M60" s="439"/>
      <c r="N60" s="438"/>
      <c r="O60" s="430"/>
      <c r="P60" s="430"/>
      <c r="Q60" s="430"/>
      <c r="R60" s="430"/>
      <c r="S60" s="430"/>
      <c r="T60" s="430"/>
      <c r="U60" s="430"/>
    </row>
    <row r="61" spans="1:21" x14ac:dyDescent="0.2">
      <c r="A61" s="436"/>
      <c r="B61" s="434" t="s">
        <v>2799</v>
      </c>
      <c r="C61" s="442">
        <v>3</v>
      </c>
      <c r="D61" s="442" t="s">
        <v>2810</v>
      </c>
      <c r="E61" s="440">
        <v>0</v>
      </c>
      <c r="F61" s="440">
        <v>7</v>
      </c>
      <c r="G61" s="440">
        <v>2</v>
      </c>
      <c r="H61" s="440">
        <v>25</v>
      </c>
      <c r="I61" s="440">
        <v>24</v>
      </c>
      <c r="J61" s="440">
        <v>10</v>
      </c>
      <c r="K61" s="440">
        <v>0</v>
      </c>
      <c r="L61" s="440">
        <v>68</v>
      </c>
      <c r="M61" s="439"/>
      <c r="N61" s="438"/>
      <c r="O61" s="430"/>
      <c r="P61" s="430"/>
      <c r="Q61" s="430"/>
      <c r="R61" s="430"/>
      <c r="S61" s="430"/>
      <c r="T61" s="430"/>
      <c r="U61" s="430"/>
    </row>
    <row r="62" spans="1:21" x14ac:dyDescent="0.2">
      <c r="A62" s="436"/>
      <c r="B62" s="434" t="s">
        <v>2799</v>
      </c>
      <c r="C62" s="443" t="s">
        <v>2</v>
      </c>
      <c r="D62" s="442" t="s">
        <v>2800</v>
      </c>
      <c r="E62" s="440">
        <v>121</v>
      </c>
      <c r="F62" s="440">
        <v>763</v>
      </c>
      <c r="G62" s="440">
        <v>93</v>
      </c>
      <c r="H62" s="440">
        <v>447</v>
      </c>
      <c r="I62" s="440">
        <v>690</v>
      </c>
      <c r="J62" s="440">
        <v>212</v>
      </c>
      <c r="K62" s="440">
        <v>10</v>
      </c>
      <c r="L62" s="440">
        <v>2336</v>
      </c>
      <c r="M62" s="439"/>
      <c r="N62" s="438"/>
      <c r="O62" s="430"/>
      <c r="P62" s="430"/>
      <c r="Q62" s="430"/>
      <c r="R62" s="430"/>
      <c r="S62" s="430"/>
      <c r="T62" s="430"/>
      <c r="U62" s="430"/>
    </row>
    <row r="63" spans="1:21" x14ac:dyDescent="0.2">
      <c r="A63" s="436"/>
      <c r="B63" s="434" t="s">
        <v>2799</v>
      </c>
      <c r="C63" s="442"/>
      <c r="D63" s="442" t="s">
        <v>68</v>
      </c>
      <c r="E63" s="441">
        <v>182</v>
      </c>
      <c r="F63" s="441">
        <v>906</v>
      </c>
      <c r="G63" s="441">
        <v>114</v>
      </c>
      <c r="H63" s="441">
        <v>787</v>
      </c>
      <c r="I63" s="441">
        <v>1151</v>
      </c>
      <c r="J63" s="441">
        <v>359</v>
      </c>
      <c r="K63" s="441">
        <v>15</v>
      </c>
      <c r="L63" s="440">
        <v>3514</v>
      </c>
      <c r="M63" s="439"/>
      <c r="N63" s="438"/>
      <c r="O63" s="430"/>
      <c r="P63" s="430"/>
      <c r="Q63" s="430"/>
      <c r="R63" s="430"/>
      <c r="S63" s="430"/>
      <c r="T63" s="430"/>
      <c r="U63" s="430"/>
    </row>
    <row r="64" spans="1:21" x14ac:dyDescent="0.2">
      <c r="A64" s="436"/>
      <c r="B64" s="434" t="s">
        <v>2799</v>
      </c>
      <c r="C64" s="442"/>
      <c r="D64" s="442" t="s">
        <v>2795</v>
      </c>
      <c r="E64" s="441">
        <v>61</v>
      </c>
      <c r="F64" s="441">
        <v>136</v>
      </c>
      <c r="G64" s="441">
        <v>19</v>
      </c>
      <c r="H64" s="441">
        <v>315</v>
      </c>
      <c r="I64" s="441">
        <v>437</v>
      </c>
      <c r="J64" s="441">
        <v>137</v>
      </c>
      <c r="K64" s="441">
        <v>5</v>
      </c>
      <c r="L64" s="440">
        <v>1110</v>
      </c>
      <c r="M64" s="439"/>
      <c r="N64" s="438"/>
      <c r="O64" s="437">
        <v>0.12252252252252252</v>
      </c>
      <c r="P64" s="437">
        <v>1.7117117117117116E-2</v>
      </c>
      <c r="Q64" s="437">
        <v>0.28378378378378377</v>
      </c>
      <c r="R64" s="437">
        <v>0.39369369369369367</v>
      </c>
      <c r="S64" s="437">
        <v>0.12342342342342343</v>
      </c>
      <c r="T64" s="437">
        <v>4.5045045045045045E-3</v>
      </c>
      <c r="U64" s="437">
        <v>0.94504504504504494</v>
      </c>
    </row>
    <row r="65" spans="1:21" x14ac:dyDescent="0.2">
      <c r="A65" s="436"/>
      <c r="B65" s="434" t="s">
        <v>2796</v>
      </c>
      <c r="C65" s="434"/>
      <c r="D65" s="434" t="s">
        <v>2874</v>
      </c>
      <c r="E65" s="435">
        <v>9.8360655737704916E-2</v>
      </c>
      <c r="F65" s="435">
        <v>0.18382352941176472</v>
      </c>
      <c r="G65" s="435">
        <v>0.15789473684210525</v>
      </c>
      <c r="H65" s="435">
        <v>0.15873015873015872</v>
      </c>
      <c r="I65" s="435">
        <v>0.21281464530892449</v>
      </c>
      <c r="J65" s="435">
        <v>0.145985401459854</v>
      </c>
      <c r="K65" s="435">
        <v>0.2</v>
      </c>
      <c r="L65" s="435">
        <v>0.17837837837837839</v>
      </c>
      <c r="M65" s="432">
        <v>0.19651925846953824</v>
      </c>
      <c r="N65" s="431">
        <v>0.19112495687796902</v>
      </c>
      <c r="O65" s="430"/>
      <c r="P65" s="430"/>
      <c r="Q65" s="430"/>
      <c r="R65" s="430"/>
      <c r="S65" s="430"/>
      <c r="T65" s="430"/>
      <c r="U65" s="430"/>
    </row>
    <row r="66" spans="1:21" x14ac:dyDescent="0.2">
      <c r="A66" s="436"/>
      <c r="B66" s="434" t="s">
        <v>2796</v>
      </c>
      <c r="C66" s="434"/>
      <c r="D66" s="434" t="s">
        <v>2873</v>
      </c>
      <c r="E66" s="435">
        <v>0.90163934426229508</v>
      </c>
      <c r="F66" s="435">
        <v>0.81617647058823528</v>
      </c>
      <c r="G66" s="435">
        <v>0.84210526315789469</v>
      </c>
      <c r="H66" s="435">
        <v>0.84126984126984128</v>
      </c>
      <c r="I66" s="435">
        <v>0.78718535469107553</v>
      </c>
      <c r="J66" s="435">
        <v>0.85401459854014594</v>
      </c>
      <c r="K66" s="435">
        <v>0.8</v>
      </c>
      <c r="L66" s="435">
        <v>0.82162162162162167</v>
      </c>
      <c r="M66" s="432">
        <v>0.80348074153046178</v>
      </c>
      <c r="N66" s="431">
        <v>0.80887504312203096</v>
      </c>
      <c r="O66" s="430"/>
      <c r="P66" s="430"/>
      <c r="Q66" s="430"/>
      <c r="R66" s="430"/>
      <c r="S66" s="430"/>
      <c r="T66" s="430"/>
      <c r="U66" s="430"/>
    </row>
    <row r="67" spans="1:21" x14ac:dyDescent="0.2">
      <c r="A67" s="436"/>
      <c r="B67" s="434" t="s">
        <v>2796</v>
      </c>
      <c r="C67" s="434"/>
      <c r="D67" s="434" t="s">
        <v>2795</v>
      </c>
      <c r="E67" s="433">
        <v>1</v>
      </c>
      <c r="F67" s="433">
        <v>1</v>
      </c>
      <c r="G67" s="433">
        <v>1</v>
      </c>
      <c r="H67" s="433">
        <v>1</v>
      </c>
      <c r="I67" s="433">
        <v>1</v>
      </c>
      <c r="J67" s="433">
        <v>1</v>
      </c>
      <c r="K67" s="433">
        <v>1</v>
      </c>
      <c r="L67" s="433">
        <v>1</v>
      </c>
      <c r="M67" s="432">
        <v>1</v>
      </c>
      <c r="N67" s="431">
        <v>1</v>
      </c>
      <c r="O67" s="430"/>
      <c r="P67" s="430"/>
      <c r="Q67" s="430"/>
      <c r="R67" s="430"/>
      <c r="S67" s="430"/>
      <c r="T67" s="430"/>
      <c r="U67" s="430"/>
    </row>
    <row r="68" spans="1:21" x14ac:dyDescent="0.2">
      <c r="A68" s="436"/>
      <c r="B68" s="434"/>
      <c r="C68" s="434"/>
      <c r="D68" s="434"/>
      <c r="E68" s="433"/>
      <c r="F68" s="433"/>
      <c r="G68" s="433"/>
      <c r="H68" s="433"/>
      <c r="I68" s="433"/>
      <c r="J68" s="433"/>
      <c r="K68" s="433"/>
      <c r="L68" s="433"/>
      <c r="M68" s="432"/>
      <c r="N68" s="431"/>
      <c r="O68" s="430"/>
      <c r="P68" s="430"/>
      <c r="Q68" s="430"/>
      <c r="R68" s="430"/>
      <c r="S68" s="430"/>
      <c r="T68" s="430"/>
      <c r="U68" s="430"/>
    </row>
    <row r="69" spans="1:21" x14ac:dyDescent="0.2">
      <c r="A69" s="436" t="s">
        <v>2872</v>
      </c>
      <c r="B69" s="434" t="s">
        <v>2799</v>
      </c>
      <c r="C69" s="442">
        <v>1</v>
      </c>
      <c r="D69" s="442" t="s">
        <v>2871</v>
      </c>
      <c r="E69" s="440">
        <v>12</v>
      </c>
      <c r="F69" s="440">
        <v>16</v>
      </c>
      <c r="G69" s="440">
        <v>0</v>
      </c>
      <c r="H69" s="440">
        <v>37</v>
      </c>
      <c r="I69" s="440">
        <v>44</v>
      </c>
      <c r="J69" s="440">
        <v>5</v>
      </c>
      <c r="K69" s="440">
        <v>2</v>
      </c>
      <c r="L69" s="440">
        <v>116</v>
      </c>
      <c r="M69" s="432"/>
      <c r="N69" s="431"/>
      <c r="O69" s="430"/>
      <c r="P69" s="430"/>
      <c r="Q69" s="430"/>
      <c r="R69" s="430"/>
      <c r="S69" s="430"/>
      <c r="T69" s="430"/>
      <c r="U69" s="430"/>
    </row>
    <row r="70" spans="1:21" x14ac:dyDescent="0.2">
      <c r="A70" s="436"/>
      <c r="B70" s="434" t="s">
        <v>2799</v>
      </c>
      <c r="C70" s="442">
        <v>2</v>
      </c>
      <c r="D70" s="442" t="s">
        <v>2870</v>
      </c>
      <c r="E70" s="440">
        <v>22</v>
      </c>
      <c r="F70" s="440">
        <v>54</v>
      </c>
      <c r="G70" s="440">
        <v>11</v>
      </c>
      <c r="H70" s="440">
        <v>140</v>
      </c>
      <c r="I70" s="440">
        <v>140</v>
      </c>
      <c r="J70" s="440">
        <v>43</v>
      </c>
      <c r="K70" s="440">
        <v>3</v>
      </c>
      <c r="L70" s="440">
        <v>413</v>
      </c>
      <c r="M70" s="432"/>
      <c r="N70" s="431"/>
      <c r="O70" s="430"/>
      <c r="P70" s="430"/>
      <c r="Q70" s="430"/>
      <c r="R70" s="430"/>
      <c r="S70" s="430"/>
      <c r="T70" s="430"/>
      <c r="U70" s="430"/>
    </row>
    <row r="71" spans="1:21" x14ac:dyDescent="0.2">
      <c r="A71" s="436"/>
      <c r="B71" s="434" t="s">
        <v>2799</v>
      </c>
      <c r="C71" s="442">
        <v>3</v>
      </c>
      <c r="D71" s="442" t="s">
        <v>2869</v>
      </c>
      <c r="E71" s="440">
        <v>12</v>
      </c>
      <c r="F71" s="440">
        <v>23</v>
      </c>
      <c r="G71" s="440">
        <v>1</v>
      </c>
      <c r="H71" s="440">
        <v>56</v>
      </c>
      <c r="I71" s="440">
        <v>81</v>
      </c>
      <c r="J71" s="440">
        <v>34</v>
      </c>
      <c r="K71" s="440">
        <v>0</v>
      </c>
      <c r="L71" s="440">
        <v>207</v>
      </c>
      <c r="M71" s="432"/>
      <c r="N71" s="431"/>
      <c r="O71" s="430"/>
      <c r="P71" s="430"/>
      <c r="Q71" s="430"/>
      <c r="R71" s="430"/>
      <c r="S71" s="430"/>
      <c r="T71" s="430"/>
      <c r="U71" s="430"/>
    </row>
    <row r="72" spans="1:21" x14ac:dyDescent="0.2">
      <c r="A72" s="436"/>
      <c r="B72" s="434" t="s">
        <v>2799</v>
      </c>
      <c r="C72" s="442">
        <v>4</v>
      </c>
      <c r="D72" s="442" t="s">
        <v>2868</v>
      </c>
      <c r="E72" s="440">
        <v>3</v>
      </c>
      <c r="F72" s="440">
        <v>7</v>
      </c>
      <c r="G72" s="440">
        <v>4</v>
      </c>
      <c r="H72" s="440">
        <v>24</v>
      </c>
      <c r="I72" s="440">
        <v>50</v>
      </c>
      <c r="J72" s="440">
        <v>18</v>
      </c>
      <c r="K72" s="440">
        <v>0</v>
      </c>
      <c r="L72" s="440">
        <v>106</v>
      </c>
      <c r="M72" s="432"/>
      <c r="N72" s="431"/>
      <c r="O72" s="430"/>
      <c r="P72" s="430"/>
      <c r="Q72" s="430"/>
      <c r="R72" s="430"/>
      <c r="S72" s="430"/>
      <c r="T72" s="430"/>
      <c r="U72" s="430"/>
    </row>
    <row r="73" spans="1:21" x14ac:dyDescent="0.2">
      <c r="A73" s="436"/>
      <c r="B73" s="434" t="s">
        <v>2799</v>
      </c>
      <c r="C73" s="442">
        <v>5</v>
      </c>
      <c r="D73" s="442" t="s">
        <v>2867</v>
      </c>
      <c r="E73" s="440">
        <v>9</v>
      </c>
      <c r="F73" s="440">
        <v>34</v>
      </c>
      <c r="G73" s="440">
        <v>4</v>
      </c>
      <c r="H73" s="440">
        <v>58</v>
      </c>
      <c r="I73" s="440">
        <v>122</v>
      </c>
      <c r="J73" s="440">
        <v>41</v>
      </c>
      <c r="K73" s="440">
        <v>0</v>
      </c>
      <c r="L73" s="440">
        <v>268</v>
      </c>
      <c r="M73" s="432"/>
      <c r="N73" s="431"/>
      <c r="O73" s="430"/>
      <c r="P73" s="430"/>
      <c r="Q73" s="430"/>
      <c r="R73" s="430"/>
      <c r="S73" s="430"/>
      <c r="T73" s="430"/>
      <c r="U73" s="430"/>
    </row>
    <row r="74" spans="1:21" x14ac:dyDescent="0.2">
      <c r="A74" s="436"/>
      <c r="B74" s="434" t="s">
        <v>2799</v>
      </c>
      <c r="C74" s="442">
        <v>6</v>
      </c>
      <c r="D74" s="442" t="s">
        <v>2810</v>
      </c>
      <c r="E74" s="440">
        <v>3</v>
      </c>
      <c r="F74" s="440">
        <v>9</v>
      </c>
      <c r="G74" s="440">
        <v>1</v>
      </c>
      <c r="H74" s="440">
        <v>25</v>
      </c>
      <c r="I74" s="440">
        <v>24</v>
      </c>
      <c r="J74" s="440">
        <v>6</v>
      </c>
      <c r="K74" s="440">
        <v>0</v>
      </c>
      <c r="L74" s="440">
        <v>68</v>
      </c>
      <c r="M74" s="432"/>
      <c r="N74" s="431"/>
      <c r="O74" s="430"/>
      <c r="P74" s="430"/>
      <c r="Q74" s="430"/>
      <c r="R74" s="430"/>
      <c r="S74" s="430"/>
      <c r="T74" s="430"/>
      <c r="U74" s="430"/>
    </row>
    <row r="75" spans="1:21" x14ac:dyDescent="0.2">
      <c r="A75" s="436"/>
      <c r="B75" s="434" t="s">
        <v>2799</v>
      </c>
      <c r="C75" s="443" t="s">
        <v>2</v>
      </c>
      <c r="D75" s="442" t="s">
        <v>2800</v>
      </c>
      <c r="E75" s="440">
        <v>121</v>
      </c>
      <c r="F75" s="440">
        <v>763</v>
      </c>
      <c r="G75" s="440">
        <v>93</v>
      </c>
      <c r="H75" s="440">
        <v>447</v>
      </c>
      <c r="I75" s="440">
        <v>690</v>
      </c>
      <c r="J75" s="440">
        <v>212</v>
      </c>
      <c r="K75" s="440">
        <v>10</v>
      </c>
      <c r="L75" s="440">
        <v>2336</v>
      </c>
      <c r="M75" s="432"/>
      <c r="N75" s="431"/>
      <c r="O75" s="430"/>
      <c r="P75" s="430"/>
      <c r="Q75" s="430"/>
      <c r="R75" s="430"/>
      <c r="S75" s="430"/>
      <c r="T75" s="430"/>
      <c r="U75" s="430"/>
    </row>
    <row r="76" spans="1:21" x14ac:dyDescent="0.2">
      <c r="A76" s="436"/>
      <c r="B76" s="434" t="s">
        <v>2799</v>
      </c>
      <c r="C76" s="442"/>
      <c r="D76" s="442" t="s">
        <v>68</v>
      </c>
      <c r="E76" s="441">
        <v>182</v>
      </c>
      <c r="F76" s="441">
        <v>906</v>
      </c>
      <c r="G76" s="441">
        <v>114</v>
      </c>
      <c r="H76" s="441">
        <v>787</v>
      </c>
      <c r="I76" s="441">
        <v>1151</v>
      </c>
      <c r="J76" s="441">
        <v>359</v>
      </c>
      <c r="K76" s="441">
        <v>15</v>
      </c>
      <c r="L76" s="440">
        <v>3514</v>
      </c>
      <c r="M76" s="432"/>
      <c r="N76" s="431"/>
      <c r="O76" s="430"/>
      <c r="P76" s="430"/>
      <c r="Q76" s="430"/>
      <c r="R76" s="430"/>
      <c r="S76" s="430"/>
      <c r="T76" s="430"/>
      <c r="U76" s="430"/>
    </row>
    <row r="77" spans="1:21" x14ac:dyDescent="0.2">
      <c r="A77" s="436"/>
      <c r="B77" s="434" t="s">
        <v>2799</v>
      </c>
      <c r="C77" s="442"/>
      <c r="D77" s="442" t="s">
        <v>2795</v>
      </c>
      <c r="E77" s="441">
        <v>58</v>
      </c>
      <c r="F77" s="441">
        <v>134</v>
      </c>
      <c r="G77" s="441">
        <v>20</v>
      </c>
      <c r="H77" s="441">
        <v>315</v>
      </c>
      <c r="I77" s="441">
        <v>437</v>
      </c>
      <c r="J77" s="441">
        <v>141</v>
      </c>
      <c r="K77" s="441">
        <v>5</v>
      </c>
      <c r="L77" s="440">
        <v>1110</v>
      </c>
      <c r="M77" s="432"/>
      <c r="N77" s="431"/>
      <c r="O77" s="437">
        <v>0.12072072072072072</v>
      </c>
      <c r="P77" s="437">
        <v>1.8018018018018018E-2</v>
      </c>
      <c r="Q77" s="437">
        <v>0.28378378378378377</v>
      </c>
      <c r="R77" s="437">
        <v>0.39369369369369367</v>
      </c>
      <c r="S77" s="437">
        <v>0.12702702702702703</v>
      </c>
      <c r="T77" s="437">
        <v>4.5045045045045045E-3</v>
      </c>
      <c r="U77" s="437">
        <v>0.94774774774774773</v>
      </c>
    </row>
    <row r="78" spans="1:21" x14ac:dyDescent="0.2">
      <c r="A78" s="436"/>
      <c r="B78" s="434" t="s">
        <v>2796</v>
      </c>
      <c r="C78" s="434"/>
      <c r="D78" s="434" t="s">
        <v>2871</v>
      </c>
      <c r="E78" s="435">
        <v>0.20689655172413793</v>
      </c>
      <c r="F78" s="435">
        <v>0.11940298507462686</v>
      </c>
      <c r="G78" s="435">
        <v>0</v>
      </c>
      <c r="H78" s="435">
        <v>0.11746031746031746</v>
      </c>
      <c r="I78" s="435">
        <v>0.10068649885583524</v>
      </c>
      <c r="J78" s="435">
        <v>3.5460992907801421E-2</v>
      </c>
      <c r="K78" s="435">
        <v>0.4</v>
      </c>
      <c r="L78" s="435">
        <v>0.10450450450450451</v>
      </c>
      <c r="M78" s="432">
        <v>0.10404559625784836</v>
      </c>
      <c r="N78" s="431">
        <v>0.10941979032725808</v>
      </c>
      <c r="O78" s="430"/>
      <c r="P78" s="430"/>
      <c r="Q78" s="430"/>
      <c r="R78" s="430"/>
      <c r="S78" s="430"/>
      <c r="T78" s="430"/>
      <c r="U78" s="430"/>
    </row>
    <row r="79" spans="1:21" x14ac:dyDescent="0.2">
      <c r="A79" s="436"/>
      <c r="B79" s="434" t="s">
        <v>2796</v>
      </c>
      <c r="C79" s="434"/>
      <c r="D79" s="434" t="s">
        <v>2870</v>
      </c>
      <c r="E79" s="435">
        <v>0.37931034482758619</v>
      </c>
      <c r="F79" s="435">
        <v>0.40298507462686567</v>
      </c>
      <c r="G79" s="435">
        <v>0.55000000000000004</v>
      </c>
      <c r="H79" s="435">
        <v>0.44444444444444442</v>
      </c>
      <c r="I79" s="435">
        <v>0.32036613272311215</v>
      </c>
      <c r="J79" s="435">
        <v>0.30496453900709219</v>
      </c>
      <c r="K79" s="435">
        <v>0.6</v>
      </c>
      <c r="L79" s="435">
        <v>0.37207207207207205</v>
      </c>
      <c r="M79" s="432">
        <v>0.35444086895986282</v>
      </c>
      <c r="N79" s="431">
        <v>0.35574035508628443</v>
      </c>
      <c r="O79" s="430"/>
      <c r="P79" s="430"/>
      <c r="Q79" s="430"/>
      <c r="R79" s="430"/>
      <c r="S79" s="430"/>
      <c r="T79" s="430"/>
      <c r="U79" s="430"/>
    </row>
    <row r="80" spans="1:21" x14ac:dyDescent="0.2">
      <c r="A80" s="436"/>
      <c r="B80" s="434" t="s">
        <v>2796</v>
      </c>
      <c r="C80" s="434"/>
      <c r="D80" s="434" t="s">
        <v>2869</v>
      </c>
      <c r="E80" s="435">
        <v>0.20689655172413793</v>
      </c>
      <c r="F80" s="435">
        <v>0.17164179104477612</v>
      </c>
      <c r="G80" s="435">
        <v>0.05</v>
      </c>
      <c r="H80" s="435">
        <v>0.17777777777777778</v>
      </c>
      <c r="I80" s="435">
        <v>0.18535469107551489</v>
      </c>
      <c r="J80" s="435">
        <v>0.24113475177304963</v>
      </c>
      <c r="K80" s="435">
        <v>0</v>
      </c>
      <c r="L80" s="435">
        <v>0.1864864864864865</v>
      </c>
      <c r="M80" s="432">
        <v>0.18421450344791501</v>
      </c>
      <c r="N80" s="431">
        <v>0.18539969155604197</v>
      </c>
      <c r="O80" s="430"/>
      <c r="P80" s="430"/>
      <c r="Q80" s="430"/>
      <c r="R80" s="430"/>
      <c r="S80" s="430"/>
      <c r="T80" s="430"/>
      <c r="U80" s="430"/>
    </row>
    <row r="81" spans="1:21" x14ac:dyDescent="0.2">
      <c r="A81" s="436"/>
      <c r="B81" s="434" t="s">
        <v>2796</v>
      </c>
      <c r="C81" s="434"/>
      <c r="D81" s="434" t="s">
        <v>2868</v>
      </c>
      <c r="E81" s="435">
        <v>5.1724137931034482E-2</v>
      </c>
      <c r="F81" s="435">
        <v>5.2238805970149252E-2</v>
      </c>
      <c r="G81" s="435">
        <v>0.2</v>
      </c>
      <c r="H81" s="435">
        <v>7.6190476190476197E-2</v>
      </c>
      <c r="I81" s="435">
        <v>0.11441647597254005</v>
      </c>
      <c r="J81" s="435">
        <v>0.1276595744680851</v>
      </c>
      <c r="K81" s="435">
        <v>0</v>
      </c>
      <c r="L81" s="435">
        <v>9.5495495495495492E-2</v>
      </c>
      <c r="M81" s="432">
        <v>0.1024709746635467</v>
      </c>
      <c r="N81" s="431">
        <v>9.9819338149595607E-2</v>
      </c>
      <c r="O81" s="430"/>
      <c r="P81" s="430"/>
      <c r="Q81" s="430"/>
      <c r="R81" s="430"/>
      <c r="S81" s="430"/>
      <c r="T81" s="430"/>
      <c r="U81" s="430"/>
    </row>
    <row r="82" spans="1:21" x14ac:dyDescent="0.2">
      <c r="A82" s="436"/>
      <c r="B82" s="434" t="s">
        <v>2796</v>
      </c>
      <c r="C82" s="434"/>
      <c r="D82" s="434" t="s">
        <v>2867</v>
      </c>
      <c r="E82" s="435">
        <v>0.15517241379310345</v>
      </c>
      <c r="F82" s="435">
        <v>0.2537313432835821</v>
      </c>
      <c r="G82" s="435">
        <v>0.2</v>
      </c>
      <c r="H82" s="435">
        <v>0.18412698412698414</v>
      </c>
      <c r="I82" s="435">
        <v>0.2791762013729977</v>
      </c>
      <c r="J82" s="435">
        <v>0.29078014184397161</v>
      </c>
      <c r="K82" s="435">
        <v>0</v>
      </c>
      <c r="L82" s="435">
        <v>0.24144144144144145</v>
      </c>
      <c r="M82" s="432">
        <v>0.25482805667082714</v>
      </c>
      <c r="N82" s="431">
        <v>0.24962082488081996</v>
      </c>
      <c r="O82" s="430"/>
      <c r="P82" s="430"/>
      <c r="Q82" s="430"/>
      <c r="R82" s="430"/>
      <c r="S82" s="430"/>
      <c r="T82" s="430"/>
      <c r="U82" s="430"/>
    </row>
    <row r="83" spans="1:21" x14ac:dyDescent="0.2">
      <c r="A83" s="436"/>
      <c r="B83" s="434" t="s">
        <v>2796</v>
      </c>
      <c r="C83" s="434"/>
      <c r="D83" s="434" t="s">
        <v>2795</v>
      </c>
      <c r="E83" s="433">
        <v>0.99999999999999989</v>
      </c>
      <c r="F83" s="433">
        <v>1</v>
      </c>
      <c r="G83" s="433">
        <v>1</v>
      </c>
      <c r="H83" s="433">
        <v>1</v>
      </c>
      <c r="I83" s="433">
        <v>1</v>
      </c>
      <c r="J83" s="433">
        <v>0.99999999999999989</v>
      </c>
      <c r="K83" s="433">
        <v>1</v>
      </c>
      <c r="L83" s="433">
        <v>1</v>
      </c>
      <c r="M83" s="432">
        <v>1</v>
      </c>
      <c r="N83" s="431">
        <v>1</v>
      </c>
      <c r="O83" s="430"/>
      <c r="P83" s="430"/>
      <c r="Q83" s="430"/>
      <c r="R83" s="430"/>
      <c r="S83" s="430"/>
      <c r="T83" s="430"/>
      <c r="U83" s="430"/>
    </row>
    <row r="84" spans="1:21" x14ac:dyDescent="0.2">
      <c r="A84" s="436"/>
      <c r="B84" s="434"/>
      <c r="C84" s="434"/>
      <c r="D84" s="434"/>
      <c r="E84" s="433"/>
      <c r="F84" s="433"/>
      <c r="G84" s="433"/>
      <c r="H84" s="433"/>
      <c r="I84" s="433"/>
      <c r="J84" s="433"/>
      <c r="K84" s="433"/>
      <c r="L84" s="433"/>
      <c r="M84" s="432"/>
      <c r="N84" s="431"/>
      <c r="O84" s="430"/>
      <c r="P84" s="430"/>
      <c r="Q84" s="430"/>
      <c r="R84" s="430"/>
      <c r="S84" s="430"/>
      <c r="T84" s="430"/>
      <c r="U84" s="430"/>
    </row>
    <row r="85" spans="1:21" x14ac:dyDescent="0.2">
      <c r="A85" s="436" t="s">
        <v>2866</v>
      </c>
      <c r="B85" s="434" t="s">
        <v>2799</v>
      </c>
      <c r="C85" s="442">
        <v>1</v>
      </c>
      <c r="D85" s="442" t="s">
        <v>38</v>
      </c>
      <c r="E85" s="440">
        <v>25</v>
      </c>
      <c r="F85" s="440">
        <v>47</v>
      </c>
      <c r="G85" s="440">
        <v>7</v>
      </c>
      <c r="H85" s="440">
        <v>144</v>
      </c>
      <c r="I85" s="440">
        <v>161</v>
      </c>
      <c r="J85" s="440">
        <v>58</v>
      </c>
      <c r="K85" s="440">
        <v>3</v>
      </c>
      <c r="L85" s="440">
        <v>445</v>
      </c>
      <c r="M85" s="439"/>
      <c r="N85" s="438"/>
      <c r="O85" s="430"/>
      <c r="P85" s="430"/>
      <c r="Q85" s="430"/>
      <c r="R85" s="430"/>
      <c r="S85" s="430"/>
      <c r="T85" s="430"/>
      <c r="U85" s="430"/>
    </row>
    <row r="86" spans="1:21" x14ac:dyDescent="0.2">
      <c r="A86" s="436"/>
      <c r="B86" s="434" t="s">
        <v>2799</v>
      </c>
      <c r="C86" s="442">
        <v>2</v>
      </c>
      <c r="D86" s="442" t="s">
        <v>2865</v>
      </c>
      <c r="E86" s="440">
        <v>28</v>
      </c>
      <c r="F86" s="440">
        <v>66</v>
      </c>
      <c r="G86" s="440">
        <v>9</v>
      </c>
      <c r="H86" s="440">
        <v>142</v>
      </c>
      <c r="I86" s="440">
        <v>255</v>
      </c>
      <c r="J86" s="440">
        <v>70</v>
      </c>
      <c r="K86" s="440">
        <v>1</v>
      </c>
      <c r="L86" s="440">
        <v>571</v>
      </c>
      <c r="M86" s="439"/>
      <c r="N86" s="438"/>
      <c r="O86" s="430"/>
      <c r="P86" s="430"/>
      <c r="Q86" s="430"/>
      <c r="R86" s="430"/>
      <c r="S86" s="430"/>
      <c r="T86" s="430"/>
      <c r="U86" s="430"/>
    </row>
    <row r="87" spans="1:21" x14ac:dyDescent="0.2">
      <c r="A87" s="436"/>
      <c r="B87" s="434" t="s">
        <v>2799</v>
      </c>
      <c r="C87" s="442">
        <v>3</v>
      </c>
      <c r="D87" s="442" t="s">
        <v>2810</v>
      </c>
      <c r="E87" s="440">
        <v>8</v>
      </c>
      <c r="F87" s="440">
        <v>30</v>
      </c>
      <c r="G87" s="440">
        <v>5</v>
      </c>
      <c r="H87" s="440">
        <v>54</v>
      </c>
      <c r="I87" s="440">
        <v>45</v>
      </c>
      <c r="J87" s="440">
        <v>19</v>
      </c>
      <c r="K87" s="440">
        <v>1</v>
      </c>
      <c r="L87" s="440">
        <v>162</v>
      </c>
      <c r="M87" s="439"/>
      <c r="N87" s="438"/>
      <c r="O87" s="430"/>
      <c r="P87" s="430"/>
      <c r="Q87" s="430"/>
      <c r="R87" s="430"/>
      <c r="S87" s="430"/>
      <c r="T87" s="430"/>
      <c r="U87" s="430"/>
    </row>
    <row r="88" spans="1:21" x14ac:dyDescent="0.2">
      <c r="A88" s="436"/>
      <c r="B88" s="434" t="s">
        <v>2799</v>
      </c>
      <c r="C88" s="443" t="s">
        <v>2</v>
      </c>
      <c r="D88" s="442" t="s">
        <v>2800</v>
      </c>
      <c r="E88" s="440">
        <v>121</v>
      </c>
      <c r="F88" s="440">
        <v>763</v>
      </c>
      <c r="G88" s="440">
        <v>93</v>
      </c>
      <c r="H88" s="440">
        <v>447</v>
      </c>
      <c r="I88" s="440">
        <v>690</v>
      </c>
      <c r="J88" s="440">
        <v>212</v>
      </c>
      <c r="K88" s="440">
        <v>10</v>
      </c>
      <c r="L88" s="440">
        <v>2336</v>
      </c>
      <c r="M88" s="439"/>
      <c r="N88" s="438"/>
      <c r="O88" s="430"/>
      <c r="P88" s="430"/>
      <c r="Q88" s="430"/>
      <c r="R88" s="430"/>
      <c r="S88" s="430"/>
      <c r="T88" s="430"/>
      <c r="U88" s="430"/>
    </row>
    <row r="89" spans="1:21" x14ac:dyDescent="0.2">
      <c r="A89" s="436"/>
      <c r="B89" s="434" t="s">
        <v>2799</v>
      </c>
      <c r="C89" s="442"/>
      <c r="D89" s="442" t="s">
        <v>68</v>
      </c>
      <c r="E89" s="441">
        <v>182</v>
      </c>
      <c r="F89" s="441">
        <v>906</v>
      </c>
      <c r="G89" s="441">
        <v>114</v>
      </c>
      <c r="H89" s="441">
        <v>787</v>
      </c>
      <c r="I89" s="441">
        <v>1151</v>
      </c>
      <c r="J89" s="441">
        <v>359</v>
      </c>
      <c r="K89" s="441">
        <v>15</v>
      </c>
      <c r="L89" s="440">
        <v>3514</v>
      </c>
      <c r="M89" s="439"/>
      <c r="N89" s="438"/>
      <c r="O89" s="430"/>
      <c r="P89" s="430"/>
      <c r="Q89" s="430"/>
      <c r="R89" s="430"/>
      <c r="S89" s="430"/>
      <c r="T89" s="430"/>
      <c r="U89" s="430"/>
    </row>
    <row r="90" spans="1:21" x14ac:dyDescent="0.2">
      <c r="A90" s="436"/>
      <c r="B90" s="434" t="s">
        <v>2799</v>
      </c>
      <c r="C90" s="442"/>
      <c r="D90" s="442" t="s">
        <v>2795</v>
      </c>
      <c r="E90" s="441">
        <v>53</v>
      </c>
      <c r="F90" s="441">
        <v>113</v>
      </c>
      <c r="G90" s="441">
        <v>16</v>
      </c>
      <c r="H90" s="441">
        <v>286</v>
      </c>
      <c r="I90" s="441">
        <v>416</v>
      </c>
      <c r="J90" s="441">
        <v>128</v>
      </c>
      <c r="K90" s="441">
        <v>4</v>
      </c>
      <c r="L90" s="440">
        <v>1016</v>
      </c>
      <c r="M90" s="439"/>
      <c r="N90" s="438"/>
      <c r="O90" s="437">
        <v>0.11122047244094488</v>
      </c>
      <c r="P90" s="437">
        <v>1.5748031496062992E-2</v>
      </c>
      <c r="Q90" s="437">
        <v>0.28149606299212598</v>
      </c>
      <c r="R90" s="437">
        <v>0.40944881889763779</v>
      </c>
      <c r="S90" s="437">
        <v>0.12598425196850394</v>
      </c>
      <c r="T90" s="437">
        <v>3.937007874015748E-3</v>
      </c>
      <c r="U90" s="437">
        <v>0.94783464566929132</v>
      </c>
    </row>
    <row r="91" spans="1:21" x14ac:dyDescent="0.2">
      <c r="A91" s="436"/>
      <c r="B91" s="434" t="s">
        <v>2796</v>
      </c>
      <c r="C91" s="434"/>
      <c r="D91" s="434" t="s">
        <v>38</v>
      </c>
      <c r="E91" s="435">
        <v>0.47169811320754718</v>
      </c>
      <c r="F91" s="435">
        <v>0.41592920353982299</v>
      </c>
      <c r="G91" s="435">
        <v>0.4375</v>
      </c>
      <c r="H91" s="435">
        <v>0.50349650349650354</v>
      </c>
      <c r="I91" s="435">
        <v>0.38701923076923078</v>
      </c>
      <c r="J91" s="435">
        <v>0.453125</v>
      </c>
      <c r="K91" s="435">
        <v>0.75</v>
      </c>
      <c r="L91" s="435">
        <v>0.43799212598425197</v>
      </c>
      <c r="M91" s="432">
        <v>0.4167305658437972</v>
      </c>
      <c r="N91" s="431">
        <v>0.41975130493315643</v>
      </c>
      <c r="O91" s="430"/>
      <c r="P91" s="430"/>
      <c r="Q91" s="430"/>
      <c r="R91" s="430"/>
      <c r="S91" s="430"/>
      <c r="T91" s="430"/>
      <c r="U91" s="430"/>
    </row>
    <row r="92" spans="1:21" x14ac:dyDescent="0.2">
      <c r="A92" s="436"/>
      <c r="B92" s="434" t="s">
        <v>2796</v>
      </c>
      <c r="C92" s="434"/>
      <c r="D92" s="434" t="s">
        <v>2865</v>
      </c>
      <c r="E92" s="435">
        <v>0.52830188679245282</v>
      </c>
      <c r="F92" s="435">
        <v>0.58407079646017701</v>
      </c>
      <c r="G92" s="435">
        <v>0.5625</v>
      </c>
      <c r="H92" s="435">
        <v>0.49650349650349651</v>
      </c>
      <c r="I92" s="435">
        <v>0.61298076923076927</v>
      </c>
      <c r="J92" s="435">
        <v>0.546875</v>
      </c>
      <c r="K92" s="435">
        <v>0.25</v>
      </c>
      <c r="L92" s="435">
        <v>0.56200787401574803</v>
      </c>
      <c r="M92" s="432">
        <v>0.58326943415620269</v>
      </c>
      <c r="N92" s="431">
        <v>0.58024869506684351</v>
      </c>
      <c r="O92" s="430"/>
      <c r="P92" s="430"/>
      <c r="Q92" s="430"/>
      <c r="R92" s="430"/>
      <c r="S92" s="430"/>
      <c r="T92" s="430"/>
      <c r="U92" s="430"/>
    </row>
    <row r="93" spans="1:21" x14ac:dyDescent="0.2">
      <c r="A93" s="436"/>
      <c r="B93" s="434" t="s">
        <v>2796</v>
      </c>
      <c r="C93" s="434"/>
      <c r="D93" s="434" t="s">
        <v>2795</v>
      </c>
      <c r="E93" s="433">
        <v>1</v>
      </c>
      <c r="F93" s="433">
        <v>1</v>
      </c>
      <c r="G93" s="433">
        <v>1</v>
      </c>
      <c r="H93" s="433">
        <v>1</v>
      </c>
      <c r="I93" s="433">
        <v>1</v>
      </c>
      <c r="J93" s="433">
        <v>1</v>
      </c>
      <c r="K93" s="433">
        <v>1</v>
      </c>
      <c r="L93" s="433">
        <v>1</v>
      </c>
      <c r="M93" s="432">
        <v>0.99999999999999989</v>
      </c>
      <c r="N93" s="431">
        <v>1</v>
      </c>
      <c r="O93" s="430"/>
      <c r="P93" s="430"/>
      <c r="Q93" s="430"/>
      <c r="R93" s="430"/>
      <c r="S93" s="430"/>
      <c r="T93" s="430"/>
      <c r="U93" s="430"/>
    </row>
    <row r="94" spans="1:21" x14ac:dyDescent="0.2">
      <c r="A94" s="436"/>
      <c r="B94" s="434"/>
      <c r="C94" s="434"/>
      <c r="D94" s="434"/>
      <c r="E94" s="433"/>
      <c r="F94" s="433"/>
      <c r="G94" s="433"/>
      <c r="H94" s="433"/>
      <c r="I94" s="433"/>
      <c r="J94" s="433"/>
      <c r="K94" s="433"/>
      <c r="L94" s="433"/>
      <c r="M94" s="432"/>
      <c r="N94" s="431"/>
      <c r="O94" s="430"/>
      <c r="P94" s="430"/>
      <c r="Q94" s="430"/>
      <c r="R94" s="430"/>
      <c r="S94" s="430"/>
      <c r="T94" s="430"/>
      <c r="U94" s="430"/>
    </row>
    <row r="95" spans="1:21" x14ac:dyDescent="0.2">
      <c r="A95" s="436" t="s">
        <v>2864</v>
      </c>
      <c r="B95" s="434" t="s">
        <v>2799</v>
      </c>
      <c r="C95" s="442">
        <v>1</v>
      </c>
      <c r="D95" s="442" t="s">
        <v>2295</v>
      </c>
      <c r="E95" s="440">
        <v>7</v>
      </c>
      <c r="F95" s="440">
        <v>16</v>
      </c>
      <c r="G95" s="440">
        <v>2</v>
      </c>
      <c r="H95" s="440">
        <v>51</v>
      </c>
      <c r="I95" s="440">
        <v>26</v>
      </c>
      <c r="J95" s="440">
        <v>7</v>
      </c>
      <c r="K95" s="440">
        <v>2</v>
      </c>
      <c r="L95" s="440">
        <v>111</v>
      </c>
      <c r="M95" s="439"/>
      <c r="N95" s="438"/>
      <c r="O95" s="430"/>
      <c r="P95" s="430"/>
      <c r="Q95" s="430"/>
      <c r="R95" s="430"/>
      <c r="S95" s="430"/>
      <c r="T95" s="430"/>
      <c r="U95" s="430"/>
    </row>
    <row r="96" spans="1:21" x14ac:dyDescent="0.2">
      <c r="A96" s="436"/>
      <c r="B96" s="434" t="s">
        <v>2799</v>
      </c>
      <c r="C96" s="442">
        <v>2</v>
      </c>
      <c r="D96" s="442" t="s">
        <v>2863</v>
      </c>
      <c r="E96" s="440">
        <v>53</v>
      </c>
      <c r="F96" s="440">
        <v>124</v>
      </c>
      <c r="G96" s="440">
        <v>17</v>
      </c>
      <c r="H96" s="440">
        <v>285</v>
      </c>
      <c r="I96" s="440">
        <v>425</v>
      </c>
      <c r="J96" s="440">
        <v>138</v>
      </c>
      <c r="K96" s="440">
        <v>3</v>
      </c>
      <c r="L96" s="440">
        <v>1045</v>
      </c>
      <c r="M96" s="439"/>
      <c r="N96" s="438"/>
      <c r="O96" s="430"/>
      <c r="P96" s="430"/>
      <c r="Q96" s="430"/>
      <c r="R96" s="430"/>
      <c r="S96" s="430"/>
      <c r="T96" s="430"/>
      <c r="U96" s="430"/>
    </row>
    <row r="97" spans="1:21" x14ac:dyDescent="0.2">
      <c r="A97" s="436"/>
      <c r="B97" s="434" t="s">
        <v>2799</v>
      </c>
      <c r="C97" s="442">
        <v>3</v>
      </c>
      <c r="D97" s="442" t="s">
        <v>2862</v>
      </c>
      <c r="E97" s="440">
        <v>0</v>
      </c>
      <c r="F97" s="440">
        <v>1</v>
      </c>
      <c r="G97" s="440">
        <v>1</v>
      </c>
      <c r="H97" s="440">
        <v>1</v>
      </c>
      <c r="I97" s="440">
        <v>2</v>
      </c>
      <c r="J97" s="440">
        <v>0</v>
      </c>
      <c r="K97" s="440">
        <v>0</v>
      </c>
      <c r="L97" s="440">
        <v>5</v>
      </c>
      <c r="M97" s="439"/>
      <c r="N97" s="438"/>
      <c r="O97" s="430"/>
      <c r="P97" s="430"/>
      <c r="Q97" s="430"/>
      <c r="R97" s="430"/>
      <c r="S97" s="430"/>
      <c r="T97" s="430"/>
      <c r="U97" s="430"/>
    </row>
    <row r="98" spans="1:21" x14ac:dyDescent="0.2">
      <c r="A98" s="436"/>
      <c r="B98" s="434" t="s">
        <v>2799</v>
      </c>
      <c r="C98" s="443" t="s">
        <v>2</v>
      </c>
      <c r="D98" s="442" t="s">
        <v>2800</v>
      </c>
      <c r="E98" s="440">
        <v>122</v>
      </c>
      <c r="F98" s="440">
        <v>765</v>
      </c>
      <c r="G98" s="440">
        <v>94</v>
      </c>
      <c r="H98" s="440">
        <v>450</v>
      </c>
      <c r="I98" s="440">
        <v>698</v>
      </c>
      <c r="J98" s="440">
        <v>214</v>
      </c>
      <c r="K98" s="440">
        <v>10</v>
      </c>
      <c r="L98" s="440">
        <v>2353</v>
      </c>
      <c r="M98" s="439"/>
      <c r="N98" s="438"/>
      <c r="O98" s="430"/>
      <c r="P98" s="430"/>
      <c r="Q98" s="430"/>
      <c r="R98" s="430"/>
      <c r="S98" s="430"/>
      <c r="T98" s="430"/>
      <c r="U98" s="430"/>
    </row>
    <row r="99" spans="1:21" x14ac:dyDescent="0.2">
      <c r="A99" s="436"/>
      <c r="B99" s="434" t="s">
        <v>2799</v>
      </c>
      <c r="C99" s="442"/>
      <c r="D99" s="442" t="s">
        <v>68</v>
      </c>
      <c r="E99" s="441">
        <v>182</v>
      </c>
      <c r="F99" s="441">
        <v>906</v>
      </c>
      <c r="G99" s="441">
        <v>114</v>
      </c>
      <c r="H99" s="441">
        <v>787</v>
      </c>
      <c r="I99" s="441">
        <v>1151</v>
      </c>
      <c r="J99" s="441">
        <v>359</v>
      </c>
      <c r="K99" s="441">
        <v>15</v>
      </c>
      <c r="L99" s="440">
        <v>3514</v>
      </c>
      <c r="M99" s="439"/>
      <c r="N99" s="438"/>
      <c r="O99" s="430"/>
      <c r="P99" s="430"/>
      <c r="Q99" s="430"/>
      <c r="R99" s="430"/>
      <c r="S99" s="430"/>
      <c r="T99" s="430"/>
      <c r="U99" s="430"/>
    </row>
    <row r="100" spans="1:21" x14ac:dyDescent="0.2">
      <c r="A100" s="436"/>
      <c r="B100" s="434" t="s">
        <v>2799</v>
      </c>
      <c r="C100" s="442"/>
      <c r="D100" s="442" t="s">
        <v>2795</v>
      </c>
      <c r="E100" s="441">
        <v>60</v>
      </c>
      <c r="F100" s="441">
        <v>141</v>
      </c>
      <c r="G100" s="441">
        <v>20</v>
      </c>
      <c r="H100" s="441">
        <v>337</v>
      </c>
      <c r="I100" s="441">
        <v>453</v>
      </c>
      <c r="J100" s="441">
        <v>145</v>
      </c>
      <c r="K100" s="441">
        <v>5</v>
      </c>
      <c r="L100" s="440">
        <v>1161</v>
      </c>
      <c r="M100" s="439"/>
      <c r="N100" s="438"/>
      <c r="O100" s="437">
        <v>0.12144702842377261</v>
      </c>
      <c r="P100" s="437">
        <v>1.7226528854435832E-2</v>
      </c>
      <c r="Q100" s="437">
        <v>0.29026701119724374</v>
      </c>
      <c r="R100" s="437">
        <v>0.39018087855297157</v>
      </c>
      <c r="S100" s="437">
        <v>0.12489233419465978</v>
      </c>
      <c r="T100" s="437">
        <v>4.3066322136089581E-3</v>
      </c>
      <c r="U100" s="437">
        <v>0.94832041343669249</v>
      </c>
    </row>
    <row r="101" spans="1:21" x14ac:dyDescent="0.2">
      <c r="A101" s="436"/>
      <c r="B101" s="434" t="s">
        <v>2796</v>
      </c>
      <c r="C101" s="434"/>
      <c r="D101" s="434" t="s">
        <v>2295</v>
      </c>
      <c r="E101" s="435">
        <v>0.11666666666666667</v>
      </c>
      <c r="F101" s="435">
        <v>0.11347517730496454</v>
      </c>
      <c r="G101" s="435">
        <v>0.1</v>
      </c>
      <c r="H101" s="435">
        <v>0.1513353115727003</v>
      </c>
      <c r="I101" s="435">
        <v>5.7395143487858721E-2</v>
      </c>
      <c r="J101" s="435">
        <v>4.8275862068965517E-2</v>
      </c>
      <c r="K101" s="435">
        <v>0.4</v>
      </c>
      <c r="L101" s="435">
        <v>9.5607235142118857E-2</v>
      </c>
      <c r="M101" s="432">
        <v>8.4069454709175512E-2</v>
      </c>
      <c r="N101" s="431">
        <v>8.5754065146255151E-2</v>
      </c>
      <c r="O101" s="430"/>
      <c r="P101" s="430"/>
      <c r="Q101" s="430"/>
      <c r="R101" s="430"/>
      <c r="S101" s="430"/>
      <c r="T101" s="430"/>
      <c r="U101" s="430"/>
    </row>
    <row r="102" spans="1:21" x14ac:dyDescent="0.2">
      <c r="A102" s="436"/>
      <c r="B102" s="434" t="s">
        <v>2796</v>
      </c>
      <c r="C102" s="434"/>
      <c r="D102" s="434" t="s">
        <v>2863</v>
      </c>
      <c r="E102" s="435">
        <v>0.8833333333333333</v>
      </c>
      <c r="F102" s="435">
        <v>0.87943262411347523</v>
      </c>
      <c r="G102" s="435">
        <v>0.85</v>
      </c>
      <c r="H102" s="435">
        <v>0.8456973293768546</v>
      </c>
      <c r="I102" s="435">
        <v>0.9381898454746137</v>
      </c>
      <c r="J102" s="435">
        <v>0.9517241379310345</v>
      </c>
      <c r="K102" s="435">
        <v>0.6</v>
      </c>
      <c r="L102" s="435">
        <v>0.90008613264427217</v>
      </c>
      <c r="M102" s="432">
        <v>0.91186294132563162</v>
      </c>
      <c r="N102" s="431">
        <v>0.91038854297977645</v>
      </c>
      <c r="O102" s="430"/>
      <c r="P102" s="430"/>
      <c r="Q102" s="430"/>
      <c r="R102" s="430"/>
      <c r="S102" s="430"/>
      <c r="T102" s="430"/>
      <c r="U102" s="430"/>
    </row>
    <row r="103" spans="1:21" x14ac:dyDescent="0.2">
      <c r="A103" s="436"/>
      <c r="B103" s="434"/>
      <c r="C103" s="434"/>
      <c r="D103" s="434" t="s">
        <v>2862</v>
      </c>
      <c r="E103" s="435">
        <v>0</v>
      </c>
      <c r="F103" s="435">
        <v>7.0921985815602835E-3</v>
      </c>
      <c r="G103" s="435">
        <v>0.05</v>
      </c>
      <c r="H103" s="435">
        <v>2.967359050445104E-3</v>
      </c>
      <c r="I103" s="435">
        <v>4.4150110375275938E-3</v>
      </c>
      <c r="J103" s="435">
        <v>0</v>
      </c>
      <c r="K103" s="435">
        <v>0</v>
      </c>
      <c r="L103" s="435">
        <v>4.3066322136089581E-3</v>
      </c>
      <c r="M103" s="432">
        <v>4.0676039651929164E-3</v>
      </c>
      <c r="N103" s="431">
        <v>3.8573918739684761E-3</v>
      </c>
      <c r="O103" s="430"/>
      <c r="P103" s="430"/>
      <c r="Q103" s="430"/>
      <c r="R103" s="430"/>
      <c r="S103" s="430"/>
      <c r="T103" s="430"/>
      <c r="U103" s="430"/>
    </row>
    <row r="104" spans="1:21" x14ac:dyDescent="0.2">
      <c r="A104" s="436"/>
      <c r="B104" s="434" t="s">
        <v>2796</v>
      </c>
      <c r="C104" s="434"/>
      <c r="D104" s="434" t="s">
        <v>2795</v>
      </c>
      <c r="E104" s="433">
        <v>1</v>
      </c>
      <c r="F104" s="433">
        <v>0.99290780141843982</v>
      </c>
      <c r="G104" s="433">
        <v>0.95</v>
      </c>
      <c r="H104" s="433">
        <v>0.9970326409495549</v>
      </c>
      <c r="I104" s="433">
        <v>0.99558498896247238</v>
      </c>
      <c r="J104" s="433">
        <v>1</v>
      </c>
      <c r="K104" s="433">
        <v>1</v>
      </c>
      <c r="L104" s="433">
        <v>0.99569336778639106</v>
      </c>
      <c r="M104" s="432">
        <v>1</v>
      </c>
      <c r="N104" s="431">
        <v>1</v>
      </c>
      <c r="O104" s="430"/>
      <c r="P104" s="430"/>
      <c r="Q104" s="430"/>
      <c r="R104" s="430"/>
      <c r="S104" s="430"/>
      <c r="T104" s="430"/>
      <c r="U104" s="430"/>
    </row>
    <row r="105" spans="1:21" x14ac:dyDescent="0.2">
      <c r="B105" s="429"/>
      <c r="F105" s="466"/>
      <c r="G105" s="466"/>
      <c r="H105" s="466"/>
      <c r="I105" s="466"/>
      <c r="J105" s="466"/>
      <c r="K105" s="466"/>
      <c r="L105" s="466"/>
      <c r="M105" s="439"/>
      <c r="N105" s="438"/>
      <c r="O105" s="430"/>
      <c r="P105" s="430"/>
      <c r="Q105" s="430"/>
      <c r="R105" s="430"/>
      <c r="S105" s="430"/>
      <c r="T105" s="430"/>
      <c r="U105" s="430"/>
    </row>
    <row r="106" spans="1:21" x14ac:dyDescent="0.2">
      <c r="A106" s="436" t="s">
        <v>2861</v>
      </c>
      <c r="B106" s="434" t="s">
        <v>2799</v>
      </c>
      <c r="C106" s="442">
        <v>1</v>
      </c>
      <c r="D106" s="442" t="s">
        <v>2827</v>
      </c>
      <c r="E106" s="440">
        <v>1</v>
      </c>
      <c r="F106" s="440">
        <v>7</v>
      </c>
      <c r="G106" s="440">
        <v>0</v>
      </c>
      <c r="H106" s="440">
        <v>13</v>
      </c>
      <c r="I106" s="440">
        <v>15</v>
      </c>
      <c r="J106" s="440">
        <v>6</v>
      </c>
      <c r="K106" s="440">
        <v>1</v>
      </c>
      <c r="L106" s="440">
        <v>43</v>
      </c>
      <c r="M106" s="439"/>
      <c r="N106" s="438"/>
      <c r="O106" s="430"/>
      <c r="P106" s="430"/>
      <c r="Q106" s="430"/>
      <c r="R106" s="430"/>
      <c r="S106" s="430"/>
      <c r="T106" s="430"/>
      <c r="U106" s="430"/>
    </row>
    <row r="107" spans="1:21" x14ac:dyDescent="0.2">
      <c r="A107" s="468"/>
      <c r="B107" s="434" t="s">
        <v>2799</v>
      </c>
      <c r="C107" s="442">
        <v>2</v>
      </c>
      <c r="D107" s="442" t="s">
        <v>2826</v>
      </c>
      <c r="E107" s="440">
        <v>6</v>
      </c>
      <c r="F107" s="440">
        <v>14</v>
      </c>
      <c r="G107" s="440">
        <v>2</v>
      </c>
      <c r="H107" s="440">
        <v>25</v>
      </c>
      <c r="I107" s="440">
        <v>42</v>
      </c>
      <c r="J107" s="440">
        <v>16</v>
      </c>
      <c r="K107" s="440">
        <v>0</v>
      </c>
      <c r="L107" s="440">
        <v>105</v>
      </c>
      <c r="M107" s="439"/>
      <c r="N107" s="438"/>
      <c r="O107" s="430"/>
      <c r="P107" s="430"/>
      <c r="Q107" s="430"/>
      <c r="R107" s="430"/>
      <c r="S107" s="430"/>
      <c r="T107" s="430"/>
      <c r="U107" s="430"/>
    </row>
    <row r="108" spans="1:21" x14ac:dyDescent="0.2">
      <c r="A108" s="436"/>
      <c r="B108" s="434" t="s">
        <v>2799</v>
      </c>
      <c r="C108" s="442">
        <v>3</v>
      </c>
      <c r="D108" s="442" t="s">
        <v>2825</v>
      </c>
      <c r="E108" s="440">
        <v>29</v>
      </c>
      <c r="F108" s="440">
        <v>83</v>
      </c>
      <c r="G108" s="440">
        <v>15</v>
      </c>
      <c r="H108" s="440">
        <v>237</v>
      </c>
      <c r="I108" s="440">
        <v>260</v>
      </c>
      <c r="J108" s="440">
        <v>86</v>
      </c>
      <c r="K108" s="440">
        <v>4</v>
      </c>
      <c r="L108" s="440">
        <v>714</v>
      </c>
      <c r="M108" s="439"/>
      <c r="N108" s="438"/>
      <c r="O108" s="430"/>
      <c r="P108" s="430"/>
      <c r="Q108" s="430"/>
      <c r="R108" s="430"/>
      <c r="S108" s="430"/>
      <c r="T108" s="430"/>
      <c r="U108" s="430"/>
    </row>
    <row r="109" spans="1:21" x14ac:dyDescent="0.2">
      <c r="A109" s="436"/>
      <c r="B109" s="434" t="s">
        <v>2799</v>
      </c>
      <c r="C109" s="442">
        <v>4</v>
      </c>
      <c r="D109" s="442" t="s">
        <v>2824</v>
      </c>
      <c r="E109" s="440">
        <v>0</v>
      </c>
      <c r="F109" s="440">
        <v>2</v>
      </c>
      <c r="G109" s="440">
        <v>0</v>
      </c>
      <c r="H109" s="440">
        <v>7</v>
      </c>
      <c r="I109" s="440">
        <v>6</v>
      </c>
      <c r="J109" s="440">
        <v>2</v>
      </c>
      <c r="K109" s="440">
        <v>0</v>
      </c>
      <c r="L109" s="440">
        <v>17</v>
      </c>
      <c r="M109" s="439"/>
      <c r="N109" s="438"/>
      <c r="O109" s="430"/>
      <c r="P109" s="430"/>
      <c r="Q109" s="430"/>
      <c r="R109" s="430"/>
      <c r="S109" s="430"/>
      <c r="T109" s="430"/>
      <c r="U109" s="430"/>
    </row>
    <row r="110" spans="1:21" x14ac:dyDescent="0.2">
      <c r="A110" s="436"/>
      <c r="B110" s="434" t="s">
        <v>2799</v>
      </c>
      <c r="C110" s="442">
        <v>5</v>
      </c>
      <c r="D110" s="442" t="s">
        <v>2823</v>
      </c>
      <c r="E110" s="440">
        <v>9</v>
      </c>
      <c r="F110" s="440">
        <v>17</v>
      </c>
      <c r="G110" s="440">
        <v>2</v>
      </c>
      <c r="H110" s="440">
        <v>22</v>
      </c>
      <c r="I110" s="440">
        <v>51</v>
      </c>
      <c r="J110" s="440">
        <v>10</v>
      </c>
      <c r="K110" s="440">
        <v>0</v>
      </c>
      <c r="L110" s="440">
        <v>111</v>
      </c>
      <c r="M110" s="439"/>
      <c r="N110" s="438"/>
      <c r="O110" s="430"/>
      <c r="P110" s="430"/>
      <c r="Q110" s="430"/>
      <c r="R110" s="430"/>
      <c r="S110" s="430"/>
      <c r="T110" s="430"/>
      <c r="U110" s="430"/>
    </row>
    <row r="111" spans="1:21" x14ac:dyDescent="0.2">
      <c r="A111" s="436"/>
      <c r="B111" s="434" t="s">
        <v>2799</v>
      </c>
      <c r="C111" s="442">
        <v>6</v>
      </c>
      <c r="D111" s="442" t="s">
        <v>2822</v>
      </c>
      <c r="E111" s="440">
        <v>10</v>
      </c>
      <c r="F111" s="440">
        <v>13</v>
      </c>
      <c r="G111" s="440">
        <v>1</v>
      </c>
      <c r="H111" s="440">
        <v>25</v>
      </c>
      <c r="I111" s="440">
        <v>71</v>
      </c>
      <c r="J111" s="440">
        <v>22</v>
      </c>
      <c r="K111" s="440">
        <v>0</v>
      </c>
      <c r="L111" s="440">
        <v>142</v>
      </c>
      <c r="M111" s="439"/>
      <c r="N111" s="438"/>
      <c r="O111" s="430"/>
      <c r="P111" s="430"/>
      <c r="Q111" s="430"/>
      <c r="R111" s="430"/>
      <c r="S111" s="430"/>
      <c r="T111" s="430"/>
      <c r="U111" s="430"/>
    </row>
    <row r="112" spans="1:21" x14ac:dyDescent="0.2">
      <c r="A112" s="436"/>
      <c r="B112" s="434" t="s">
        <v>2799</v>
      </c>
      <c r="C112" s="442">
        <v>7</v>
      </c>
      <c r="D112" s="442" t="s">
        <v>2821</v>
      </c>
      <c r="E112" s="440">
        <v>2</v>
      </c>
      <c r="F112" s="440">
        <v>3</v>
      </c>
      <c r="G112" s="440">
        <v>0</v>
      </c>
      <c r="H112" s="440">
        <v>3</v>
      </c>
      <c r="I112" s="440">
        <v>3</v>
      </c>
      <c r="J112" s="440">
        <v>2</v>
      </c>
      <c r="K112" s="440">
        <v>0</v>
      </c>
      <c r="L112" s="440">
        <v>13</v>
      </c>
      <c r="M112" s="439"/>
      <c r="N112" s="438"/>
      <c r="O112" s="430"/>
      <c r="P112" s="430"/>
      <c r="Q112" s="430"/>
      <c r="R112" s="430"/>
      <c r="S112" s="430"/>
      <c r="T112" s="430"/>
      <c r="U112" s="430"/>
    </row>
    <row r="113" spans="1:21" x14ac:dyDescent="0.2">
      <c r="A113" s="436"/>
      <c r="B113" s="434" t="s">
        <v>2799</v>
      </c>
      <c r="C113" s="442">
        <v>8</v>
      </c>
      <c r="D113" s="442" t="s">
        <v>2810</v>
      </c>
      <c r="E113" s="440">
        <v>0</v>
      </c>
      <c r="F113" s="440">
        <v>1</v>
      </c>
      <c r="G113" s="440">
        <v>0</v>
      </c>
      <c r="H113" s="440">
        <v>0</v>
      </c>
      <c r="I113" s="440">
        <v>4</v>
      </c>
      <c r="J113" s="440">
        <v>0</v>
      </c>
      <c r="K113" s="440">
        <v>0</v>
      </c>
      <c r="L113" s="440">
        <v>5</v>
      </c>
      <c r="M113" s="439"/>
      <c r="N113" s="438"/>
      <c r="O113" s="430"/>
      <c r="P113" s="430"/>
      <c r="Q113" s="430"/>
      <c r="R113" s="430"/>
      <c r="S113" s="430"/>
      <c r="T113" s="430"/>
      <c r="U113" s="430"/>
    </row>
    <row r="114" spans="1:21" x14ac:dyDescent="0.2">
      <c r="A114" s="436"/>
      <c r="B114" s="434" t="s">
        <v>2799</v>
      </c>
      <c r="C114" s="442">
        <v>9</v>
      </c>
      <c r="D114" s="442" t="s">
        <v>2828</v>
      </c>
      <c r="E114" s="440">
        <v>2</v>
      </c>
      <c r="F114" s="440">
        <v>0</v>
      </c>
      <c r="G114" s="440">
        <v>0</v>
      </c>
      <c r="H114" s="440">
        <v>0</v>
      </c>
      <c r="I114" s="440">
        <v>0</v>
      </c>
      <c r="J114" s="440">
        <v>0</v>
      </c>
      <c r="K114" s="440">
        <v>0</v>
      </c>
      <c r="L114" s="440">
        <v>2</v>
      </c>
      <c r="M114" s="439"/>
      <c r="N114" s="438"/>
      <c r="O114" s="430"/>
      <c r="P114" s="430"/>
      <c r="Q114" s="430"/>
      <c r="R114" s="430"/>
      <c r="S114" s="430"/>
      <c r="T114" s="430"/>
      <c r="U114" s="430"/>
    </row>
    <row r="115" spans="1:21" x14ac:dyDescent="0.2">
      <c r="A115" s="436"/>
      <c r="B115" s="434" t="s">
        <v>2799</v>
      </c>
      <c r="C115" s="443" t="s">
        <v>2</v>
      </c>
      <c r="D115" s="442" t="s">
        <v>2800</v>
      </c>
      <c r="E115" s="440">
        <v>123</v>
      </c>
      <c r="F115" s="440">
        <v>766</v>
      </c>
      <c r="G115" s="440">
        <v>94</v>
      </c>
      <c r="H115" s="440">
        <v>455</v>
      </c>
      <c r="I115" s="440">
        <v>699</v>
      </c>
      <c r="J115" s="440">
        <v>215</v>
      </c>
      <c r="K115" s="440">
        <v>10</v>
      </c>
      <c r="L115" s="440">
        <v>2362</v>
      </c>
      <c r="M115" s="439"/>
      <c r="N115" s="438"/>
      <c r="O115" s="430"/>
      <c r="P115" s="430"/>
      <c r="Q115" s="430"/>
      <c r="R115" s="430"/>
      <c r="S115" s="430"/>
      <c r="T115" s="430"/>
      <c r="U115" s="430"/>
    </row>
    <row r="116" spans="1:21" x14ac:dyDescent="0.2">
      <c r="A116" s="436"/>
      <c r="B116" s="434" t="s">
        <v>2799</v>
      </c>
      <c r="C116" s="442"/>
      <c r="D116" s="442" t="s">
        <v>68</v>
      </c>
      <c r="E116" s="441">
        <v>182</v>
      </c>
      <c r="F116" s="441">
        <v>906</v>
      </c>
      <c r="G116" s="441">
        <v>114</v>
      </c>
      <c r="H116" s="441">
        <v>787</v>
      </c>
      <c r="I116" s="441">
        <v>1151</v>
      </c>
      <c r="J116" s="441">
        <v>359</v>
      </c>
      <c r="K116" s="441">
        <v>15</v>
      </c>
      <c r="L116" s="440">
        <v>3514</v>
      </c>
      <c r="M116" s="439"/>
      <c r="N116" s="438"/>
      <c r="O116" s="430"/>
      <c r="P116" s="430"/>
      <c r="Q116" s="430"/>
      <c r="R116" s="430"/>
      <c r="S116" s="430"/>
      <c r="T116" s="430"/>
      <c r="U116" s="430"/>
    </row>
    <row r="117" spans="1:21" x14ac:dyDescent="0.2">
      <c r="A117" s="436"/>
      <c r="B117" s="434" t="s">
        <v>2799</v>
      </c>
      <c r="C117" s="442"/>
      <c r="D117" s="442" t="s">
        <v>2795</v>
      </c>
      <c r="E117" s="441">
        <v>57</v>
      </c>
      <c r="F117" s="441">
        <v>139</v>
      </c>
      <c r="G117" s="441">
        <v>20</v>
      </c>
      <c r="H117" s="441">
        <v>332</v>
      </c>
      <c r="I117" s="441">
        <v>448</v>
      </c>
      <c r="J117" s="441">
        <v>144</v>
      </c>
      <c r="K117" s="441">
        <v>5</v>
      </c>
      <c r="L117" s="440">
        <v>1145</v>
      </c>
      <c r="M117" s="439"/>
      <c r="N117" s="438"/>
      <c r="O117" s="437">
        <v>0.12139737991266375</v>
      </c>
      <c r="P117" s="437">
        <v>1.7467248908296942E-2</v>
      </c>
      <c r="Q117" s="437">
        <v>0.28995633187772923</v>
      </c>
      <c r="R117" s="437">
        <v>0.39126637554585153</v>
      </c>
      <c r="S117" s="437">
        <v>0.125764192139738</v>
      </c>
      <c r="T117" s="437">
        <v>4.3668122270742356E-3</v>
      </c>
      <c r="U117" s="437">
        <v>0.95021834061135368</v>
      </c>
    </row>
    <row r="118" spans="1:21" x14ac:dyDescent="0.2">
      <c r="A118" s="436"/>
      <c r="B118" s="434" t="s">
        <v>2796</v>
      </c>
      <c r="C118" s="434"/>
      <c r="D118" s="434" t="s">
        <v>2827</v>
      </c>
      <c r="E118" s="435">
        <v>1.7543859649122806E-2</v>
      </c>
      <c r="F118" s="435">
        <v>5.0359712230215826E-2</v>
      </c>
      <c r="G118" s="435">
        <v>0</v>
      </c>
      <c r="H118" s="435">
        <v>3.9156626506024098E-2</v>
      </c>
      <c r="I118" s="435">
        <v>3.3482142857142856E-2</v>
      </c>
      <c r="J118" s="435">
        <v>4.1666666666666664E-2</v>
      </c>
      <c r="K118" s="435">
        <v>0.2</v>
      </c>
      <c r="L118" s="435">
        <v>3.7554585152838431E-2</v>
      </c>
      <c r="M118" s="432">
        <v>3.5916212242216854E-2</v>
      </c>
      <c r="N118" s="431">
        <v>3.5001606043259331E-2</v>
      </c>
      <c r="O118" s="430"/>
      <c r="P118" s="430"/>
      <c r="Q118" s="430"/>
      <c r="R118" s="430"/>
      <c r="S118" s="430"/>
      <c r="T118" s="430"/>
      <c r="U118" s="430"/>
    </row>
    <row r="119" spans="1:21" x14ac:dyDescent="0.2">
      <c r="A119" s="436"/>
      <c r="B119" s="434" t="s">
        <v>2796</v>
      </c>
      <c r="C119" s="434"/>
      <c r="D119" s="434" t="s">
        <v>2826</v>
      </c>
      <c r="E119" s="435">
        <v>0.10526315789473684</v>
      </c>
      <c r="F119" s="435">
        <v>0.10071942446043165</v>
      </c>
      <c r="G119" s="435">
        <v>0.1</v>
      </c>
      <c r="H119" s="435">
        <v>7.5301204819277115E-2</v>
      </c>
      <c r="I119" s="435">
        <v>9.375E-2</v>
      </c>
      <c r="J119" s="435">
        <v>0.1111111111111111</v>
      </c>
      <c r="K119" s="435">
        <v>0</v>
      </c>
      <c r="L119" s="435">
        <v>9.1703056768558958E-2</v>
      </c>
      <c r="M119" s="432">
        <v>8.9756206554042178E-2</v>
      </c>
      <c r="N119" s="431">
        <v>9.0528168323840946E-2</v>
      </c>
      <c r="O119" s="430"/>
      <c r="P119" s="430"/>
      <c r="Q119" s="430"/>
      <c r="R119" s="430"/>
      <c r="S119" s="430"/>
      <c r="T119" s="430"/>
      <c r="U119" s="430"/>
    </row>
    <row r="120" spans="1:21" x14ac:dyDescent="0.2">
      <c r="A120" s="436"/>
      <c r="B120" s="434" t="s">
        <v>2796</v>
      </c>
      <c r="C120" s="434"/>
      <c r="D120" s="434" t="s">
        <v>2825</v>
      </c>
      <c r="E120" s="435">
        <v>0.50877192982456143</v>
      </c>
      <c r="F120" s="435">
        <v>0.59712230215827333</v>
      </c>
      <c r="G120" s="435">
        <v>0.75</v>
      </c>
      <c r="H120" s="435">
        <v>0.71385542168674698</v>
      </c>
      <c r="I120" s="435">
        <v>0.5803571428571429</v>
      </c>
      <c r="J120" s="435">
        <v>0.59722222222222221</v>
      </c>
      <c r="K120" s="435">
        <v>0.8</v>
      </c>
      <c r="L120" s="435">
        <v>0.62358078602620093</v>
      </c>
      <c r="M120" s="432">
        <v>0.6158760023850155</v>
      </c>
      <c r="N120" s="431">
        <v>0.61054418392567411</v>
      </c>
      <c r="O120" s="430"/>
      <c r="P120" s="430"/>
      <c r="Q120" s="430"/>
      <c r="R120" s="430"/>
      <c r="S120" s="430"/>
      <c r="T120" s="430"/>
      <c r="U120" s="430"/>
    </row>
    <row r="121" spans="1:21" x14ac:dyDescent="0.2">
      <c r="A121" s="436"/>
      <c r="B121" s="434" t="s">
        <v>2796</v>
      </c>
      <c r="C121" s="434"/>
      <c r="D121" s="434" t="s">
        <v>2824</v>
      </c>
      <c r="E121" s="435">
        <v>0</v>
      </c>
      <c r="F121" s="435">
        <v>1.4388489208633094E-2</v>
      </c>
      <c r="G121" s="435">
        <v>0</v>
      </c>
      <c r="H121" s="435">
        <v>2.1084337349397589E-2</v>
      </c>
      <c r="I121" s="435">
        <v>1.3392857142857142E-2</v>
      </c>
      <c r="J121" s="435">
        <v>1.3888888888888888E-2</v>
      </c>
      <c r="K121" s="435">
        <v>0</v>
      </c>
      <c r="L121" s="435">
        <v>1.4847161572052401E-2</v>
      </c>
      <c r="M121" s="432">
        <v>1.5424857955158943E-2</v>
      </c>
      <c r="N121" s="431">
        <v>1.465698293031697E-2</v>
      </c>
      <c r="O121" s="430"/>
      <c r="P121" s="430"/>
      <c r="Q121" s="430"/>
      <c r="R121" s="430"/>
      <c r="S121" s="430"/>
      <c r="T121" s="430"/>
      <c r="U121" s="430"/>
    </row>
    <row r="122" spans="1:21" x14ac:dyDescent="0.2">
      <c r="A122" s="436"/>
      <c r="B122" s="434" t="s">
        <v>2796</v>
      </c>
      <c r="C122" s="434"/>
      <c r="D122" s="434" t="s">
        <v>2823</v>
      </c>
      <c r="E122" s="435">
        <v>0.15789473684210525</v>
      </c>
      <c r="F122" s="435">
        <v>0.1223021582733813</v>
      </c>
      <c r="G122" s="435">
        <v>0.1</v>
      </c>
      <c r="H122" s="435">
        <v>6.6265060240963861E-2</v>
      </c>
      <c r="I122" s="435">
        <v>0.11383928571428571</v>
      </c>
      <c r="J122" s="435">
        <v>6.9444444444444448E-2</v>
      </c>
      <c r="K122" s="435">
        <v>0</v>
      </c>
      <c r="L122" s="435">
        <v>9.6943231441048036E-2</v>
      </c>
      <c r="M122" s="432">
        <v>0.10092705221222142</v>
      </c>
      <c r="N122" s="431">
        <v>0.10376299808462612</v>
      </c>
      <c r="O122" s="430"/>
      <c r="P122" s="430"/>
      <c r="Q122" s="430"/>
      <c r="R122" s="430"/>
      <c r="S122" s="430"/>
      <c r="T122" s="430"/>
      <c r="U122" s="430"/>
    </row>
    <row r="123" spans="1:21" x14ac:dyDescent="0.2">
      <c r="A123" s="436"/>
      <c r="B123" s="434" t="s">
        <v>2796</v>
      </c>
      <c r="C123" s="434"/>
      <c r="D123" s="434" t="s">
        <v>2822</v>
      </c>
      <c r="E123" s="435">
        <v>0.17543859649122806</v>
      </c>
      <c r="F123" s="435">
        <v>9.3525179856115109E-2</v>
      </c>
      <c r="G123" s="435">
        <v>0.05</v>
      </c>
      <c r="H123" s="435">
        <v>7.5301204819277115E-2</v>
      </c>
      <c r="I123" s="435">
        <v>0.15848214285714285</v>
      </c>
      <c r="J123" s="435">
        <v>0.15277777777777779</v>
      </c>
      <c r="K123" s="435">
        <v>0</v>
      </c>
      <c r="L123" s="435">
        <v>0.1240174672489083</v>
      </c>
      <c r="M123" s="432">
        <v>0.13393781617711198</v>
      </c>
      <c r="N123" s="431">
        <v>0.13600379388707234</v>
      </c>
      <c r="O123" s="430"/>
      <c r="P123" s="430"/>
      <c r="Q123" s="430"/>
      <c r="R123" s="430"/>
      <c r="S123" s="430"/>
      <c r="T123" s="430"/>
      <c r="U123" s="430"/>
    </row>
    <row r="124" spans="1:21" x14ac:dyDescent="0.2">
      <c r="A124" s="436"/>
      <c r="B124" s="434" t="s">
        <v>2796</v>
      </c>
      <c r="C124" s="434"/>
      <c r="D124" s="434" t="s">
        <v>2821</v>
      </c>
      <c r="E124" s="435">
        <v>3.5087719298245612E-2</v>
      </c>
      <c r="F124" s="435">
        <v>2.1582733812949641E-2</v>
      </c>
      <c r="G124" s="435">
        <v>0</v>
      </c>
      <c r="H124" s="435">
        <v>9.0361445783132526E-3</v>
      </c>
      <c r="I124" s="435">
        <v>6.6964285714285711E-3</v>
      </c>
      <c r="J124" s="435">
        <v>1.3888888888888888E-2</v>
      </c>
      <c r="K124" s="435">
        <v>0</v>
      </c>
      <c r="L124" s="435">
        <v>1.1353711790393014E-2</v>
      </c>
      <c r="M124" s="432">
        <v>8.1618524742331448E-3</v>
      </c>
      <c r="N124" s="431">
        <v>9.5022668052101855E-3</v>
      </c>
      <c r="O124" s="430"/>
      <c r="P124" s="430"/>
      <c r="Q124" s="430"/>
      <c r="R124" s="430"/>
      <c r="S124" s="430"/>
      <c r="T124" s="430"/>
      <c r="U124" s="430"/>
    </row>
    <row r="125" spans="1:21" x14ac:dyDescent="0.2">
      <c r="A125" s="436"/>
      <c r="B125" s="434" t="s">
        <v>2796</v>
      </c>
      <c r="C125" s="434"/>
      <c r="D125" s="434" t="s">
        <v>2795</v>
      </c>
      <c r="E125" s="433">
        <v>1</v>
      </c>
      <c r="F125" s="433">
        <v>1</v>
      </c>
      <c r="G125" s="433">
        <v>1</v>
      </c>
      <c r="H125" s="433">
        <v>1</v>
      </c>
      <c r="I125" s="433">
        <v>1</v>
      </c>
      <c r="J125" s="433">
        <v>0.99999999999999989</v>
      </c>
      <c r="K125" s="433">
        <v>1</v>
      </c>
      <c r="L125" s="433">
        <v>1</v>
      </c>
      <c r="M125" s="432">
        <v>1</v>
      </c>
      <c r="N125" s="431">
        <v>0.99999999999999989</v>
      </c>
      <c r="O125" s="430"/>
      <c r="P125" s="430"/>
      <c r="Q125" s="430"/>
      <c r="R125" s="430"/>
      <c r="S125" s="430"/>
      <c r="T125" s="430"/>
      <c r="U125" s="430"/>
    </row>
    <row r="126" spans="1:21" x14ac:dyDescent="0.2">
      <c r="B126" s="434"/>
      <c r="C126" s="434"/>
      <c r="D126" s="434"/>
      <c r="E126" s="434"/>
      <c r="F126" s="433"/>
      <c r="G126" s="433"/>
      <c r="H126" s="433"/>
      <c r="I126" s="433"/>
      <c r="J126" s="433"/>
      <c r="K126" s="433"/>
      <c r="L126" s="433"/>
      <c r="M126" s="439"/>
      <c r="N126" s="438"/>
      <c r="O126" s="430"/>
      <c r="P126" s="430"/>
      <c r="Q126" s="430"/>
      <c r="R126" s="430"/>
      <c r="S126" s="430"/>
      <c r="T126" s="430"/>
      <c r="U126" s="430"/>
    </row>
    <row r="127" spans="1:21" x14ac:dyDescent="0.2">
      <c r="A127" s="436" t="s">
        <v>2860</v>
      </c>
      <c r="B127" s="434" t="s">
        <v>2799</v>
      </c>
      <c r="C127" s="442">
        <v>1</v>
      </c>
      <c r="D127" s="442" t="s">
        <v>2852</v>
      </c>
      <c r="E127" s="440">
        <v>25</v>
      </c>
      <c r="F127" s="440">
        <v>55</v>
      </c>
      <c r="G127" s="440">
        <v>6</v>
      </c>
      <c r="H127" s="440">
        <v>131</v>
      </c>
      <c r="I127" s="440">
        <v>156</v>
      </c>
      <c r="J127" s="440">
        <v>42</v>
      </c>
      <c r="K127" s="440">
        <v>2</v>
      </c>
      <c r="L127" s="440">
        <v>417</v>
      </c>
      <c r="M127" s="439"/>
      <c r="N127" s="438"/>
      <c r="O127" s="430"/>
      <c r="P127" s="430"/>
      <c r="Q127" s="430"/>
      <c r="R127" s="430"/>
      <c r="S127" s="430"/>
      <c r="T127" s="430"/>
      <c r="U127" s="430"/>
    </row>
    <row r="128" spans="1:21" x14ac:dyDescent="0.2">
      <c r="A128" s="468"/>
      <c r="B128" s="434" t="s">
        <v>2799</v>
      </c>
      <c r="C128" s="442">
        <v>2</v>
      </c>
      <c r="D128" s="442" t="s">
        <v>2732</v>
      </c>
      <c r="E128" s="440">
        <v>27</v>
      </c>
      <c r="F128" s="440">
        <v>66</v>
      </c>
      <c r="G128" s="440">
        <v>12</v>
      </c>
      <c r="H128" s="440">
        <v>151</v>
      </c>
      <c r="I128" s="440">
        <v>269</v>
      </c>
      <c r="J128" s="440">
        <v>91</v>
      </c>
      <c r="K128" s="440">
        <v>1</v>
      </c>
      <c r="L128" s="440">
        <v>617</v>
      </c>
      <c r="M128" s="439"/>
      <c r="N128" s="438"/>
      <c r="O128" s="430"/>
      <c r="P128" s="430"/>
      <c r="Q128" s="430"/>
      <c r="R128" s="430"/>
      <c r="S128" s="430"/>
      <c r="T128" s="430"/>
      <c r="U128" s="430"/>
    </row>
    <row r="129" spans="1:21" x14ac:dyDescent="0.2">
      <c r="A129" s="468"/>
      <c r="B129" s="434" t="s">
        <v>2799</v>
      </c>
      <c r="C129" s="442">
        <v>2</v>
      </c>
      <c r="D129" s="442" t="s">
        <v>2853</v>
      </c>
      <c r="E129" s="440">
        <v>8</v>
      </c>
      <c r="F129" s="440">
        <v>19</v>
      </c>
      <c r="G129" s="440">
        <v>2</v>
      </c>
      <c r="H129" s="440">
        <v>46</v>
      </c>
      <c r="I129" s="440">
        <v>73</v>
      </c>
      <c r="J129" s="440">
        <v>21</v>
      </c>
      <c r="K129" s="440">
        <v>0</v>
      </c>
      <c r="L129" s="440">
        <v>169</v>
      </c>
      <c r="M129" s="439"/>
      <c r="N129" s="438"/>
      <c r="O129" s="430"/>
      <c r="P129" s="430"/>
      <c r="Q129" s="430"/>
      <c r="R129" s="430"/>
      <c r="S129" s="430"/>
      <c r="T129" s="430"/>
      <c r="U129" s="430"/>
    </row>
    <row r="130" spans="1:21" x14ac:dyDescent="0.2">
      <c r="A130" s="436"/>
      <c r="B130" s="434" t="s">
        <v>2799</v>
      </c>
      <c r="C130" s="442">
        <v>3</v>
      </c>
      <c r="D130" s="442" t="s">
        <v>2810</v>
      </c>
      <c r="E130" s="440">
        <v>1</v>
      </c>
      <c r="F130" s="440">
        <v>3</v>
      </c>
      <c r="G130" s="440">
        <v>0</v>
      </c>
      <c r="H130" s="440">
        <v>4</v>
      </c>
      <c r="I130" s="440">
        <v>2</v>
      </c>
      <c r="J130" s="440">
        <v>5</v>
      </c>
      <c r="K130" s="440">
        <v>0</v>
      </c>
      <c r="L130" s="440">
        <v>15</v>
      </c>
      <c r="M130" s="439"/>
      <c r="N130" s="438"/>
      <c r="O130" s="430"/>
      <c r="P130" s="430"/>
      <c r="Q130" s="430"/>
      <c r="R130" s="430"/>
      <c r="S130" s="430"/>
      <c r="T130" s="430"/>
      <c r="U130" s="430"/>
    </row>
    <row r="131" spans="1:21" x14ac:dyDescent="0.2">
      <c r="A131" s="436"/>
      <c r="B131" s="434" t="s">
        <v>2799</v>
      </c>
      <c r="C131" s="443" t="s">
        <v>2</v>
      </c>
      <c r="D131" s="442" t="s">
        <v>2800</v>
      </c>
      <c r="E131" s="440">
        <v>129</v>
      </c>
      <c r="F131" s="440">
        <v>782</v>
      </c>
      <c r="G131" s="440">
        <v>96</v>
      </c>
      <c r="H131" s="440">
        <v>501</v>
      </c>
      <c r="I131" s="440">
        <v>724</v>
      </c>
      <c r="J131" s="440">
        <v>221</v>
      </c>
      <c r="K131" s="440">
        <v>12</v>
      </c>
      <c r="L131" s="440">
        <v>2465</v>
      </c>
      <c r="M131" s="439"/>
      <c r="N131" s="438"/>
      <c r="O131" s="430"/>
      <c r="P131" s="430"/>
      <c r="Q131" s="430"/>
      <c r="R131" s="430"/>
      <c r="S131" s="430"/>
      <c r="T131" s="430"/>
      <c r="U131" s="430"/>
    </row>
    <row r="132" spans="1:21" x14ac:dyDescent="0.2">
      <c r="A132" s="436"/>
      <c r="B132" s="434" t="s">
        <v>2799</v>
      </c>
      <c r="C132" s="442"/>
      <c r="D132" s="442" t="s">
        <v>68</v>
      </c>
      <c r="E132" s="441">
        <v>182</v>
      </c>
      <c r="F132" s="441">
        <v>906</v>
      </c>
      <c r="G132" s="441">
        <v>114</v>
      </c>
      <c r="H132" s="441">
        <v>787</v>
      </c>
      <c r="I132" s="441">
        <v>1151</v>
      </c>
      <c r="J132" s="441">
        <v>359</v>
      </c>
      <c r="K132" s="441">
        <v>15</v>
      </c>
      <c r="L132" s="440">
        <v>3514</v>
      </c>
      <c r="M132" s="439"/>
      <c r="N132" s="438"/>
      <c r="O132" s="430"/>
      <c r="P132" s="430"/>
      <c r="Q132" s="430"/>
      <c r="R132" s="430"/>
      <c r="S132" s="430"/>
      <c r="T132" s="430"/>
      <c r="U132" s="430"/>
    </row>
    <row r="133" spans="1:21" x14ac:dyDescent="0.2">
      <c r="A133" s="436"/>
      <c r="B133" s="434" t="s">
        <v>2799</v>
      </c>
      <c r="C133" s="442"/>
      <c r="D133" s="442" t="s">
        <v>2795</v>
      </c>
      <c r="E133" s="441">
        <v>60</v>
      </c>
      <c r="F133" s="441">
        <v>140</v>
      </c>
      <c r="G133" s="441">
        <v>20</v>
      </c>
      <c r="H133" s="441">
        <v>328</v>
      </c>
      <c r="I133" s="441">
        <v>498</v>
      </c>
      <c r="J133" s="441">
        <v>154</v>
      </c>
      <c r="K133" s="441">
        <v>3</v>
      </c>
      <c r="L133" s="440">
        <v>1203</v>
      </c>
      <c r="M133" s="439"/>
      <c r="N133" s="438"/>
      <c r="O133" s="437">
        <v>0.11637572734829593</v>
      </c>
      <c r="P133" s="437">
        <v>1.6625103906899419E-2</v>
      </c>
      <c r="Q133" s="437">
        <v>0.27265170407315048</v>
      </c>
      <c r="R133" s="437">
        <v>0.41396508728179549</v>
      </c>
      <c r="S133" s="437">
        <v>0.12801330008312553</v>
      </c>
      <c r="T133" s="437">
        <v>2.4937655860349127E-3</v>
      </c>
      <c r="U133" s="437">
        <v>0.95012468827930163</v>
      </c>
    </row>
    <row r="134" spans="1:21" x14ac:dyDescent="0.2">
      <c r="A134" s="436"/>
      <c r="B134" s="434" t="s">
        <v>2796</v>
      </c>
      <c r="C134" s="434"/>
      <c r="D134" s="434" t="s">
        <v>2852</v>
      </c>
      <c r="E134" s="435">
        <v>0.41666666666666669</v>
      </c>
      <c r="F134" s="435">
        <v>0.39285714285714285</v>
      </c>
      <c r="G134" s="435">
        <v>0.3</v>
      </c>
      <c r="H134" s="435">
        <v>0.39939024390243905</v>
      </c>
      <c r="I134" s="435">
        <v>0.31325301204819278</v>
      </c>
      <c r="J134" s="435">
        <v>0.27272727272727271</v>
      </c>
      <c r="K134" s="435">
        <v>0.66666666666666663</v>
      </c>
      <c r="L134" s="435">
        <v>0.34663341645885287</v>
      </c>
      <c r="M134" s="432">
        <v>0.33419661140183871</v>
      </c>
      <c r="N134" s="431">
        <v>0.33830983111579521</v>
      </c>
      <c r="O134" s="430"/>
      <c r="P134" s="430"/>
      <c r="Q134" s="430"/>
      <c r="R134" s="430"/>
      <c r="S134" s="430"/>
      <c r="T134" s="430"/>
      <c r="U134" s="430"/>
    </row>
    <row r="135" spans="1:21" x14ac:dyDescent="0.2">
      <c r="A135" s="436"/>
      <c r="B135" s="434" t="s">
        <v>2796</v>
      </c>
      <c r="C135" s="434"/>
      <c r="D135" s="434" t="s">
        <v>2732</v>
      </c>
      <c r="E135" s="435">
        <v>0.45</v>
      </c>
      <c r="F135" s="435">
        <v>0.47142857142857142</v>
      </c>
      <c r="G135" s="435">
        <v>0.6</v>
      </c>
      <c r="H135" s="435">
        <v>0.46036585365853661</v>
      </c>
      <c r="I135" s="435">
        <v>0.54016064257028118</v>
      </c>
      <c r="J135" s="435">
        <v>0.59090909090909094</v>
      </c>
      <c r="K135" s="435">
        <v>0.33333333333333331</v>
      </c>
      <c r="L135" s="435">
        <v>0.51288445552784701</v>
      </c>
      <c r="M135" s="432">
        <v>0.52128802568418331</v>
      </c>
      <c r="N135" s="431">
        <v>0.51773251318123159</v>
      </c>
      <c r="O135" s="430"/>
      <c r="P135" s="430"/>
      <c r="Q135" s="430"/>
      <c r="R135" s="430"/>
      <c r="S135" s="430"/>
      <c r="T135" s="430"/>
      <c r="U135" s="430"/>
    </row>
    <row r="136" spans="1:21" x14ac:dyDescent="0.2">
      <c r="A136" s="436"/>
      <c r="B136" s="434" t="s">
        <v>2796</v>
      </c>
      <c r="C136" s="434"/>
      <c r="D136" s="467" t="s">
        <v>2851</v>
      </c>
      <c r="E136" s="435">
        <v>0.13333333333333333</v>
      </c>
      <c r="F136" s="435">
        <v>0.1357142857142857</v>
      </c>
      <c r="G136" s="435">
        <v>0.1</v>
      </c>
      <c r="H136" s="435">
        <v>0.1402439024390244</v>
      </c>
      <c r="I136" s="435">
        <v>0.1465863453815261</v>
      </c>
      <c r="J136" s="435">
        <v>0.13636363636363635</v>
      </c>
      <c r="K136" s="435">
        <v>0</v>
      </c>
      <c r="L136" s="435">
        <v>0.14048212801330009</v>
      </c>
      <c r="M136" s="432">
        <v>0.14451536291397798</v>
      </c>
      <c r="N136" s="431">
        <v>0.14395765570297325</v>
      </c>
      <c r="O136" s="430"/>
      <c r="P136" s="430"/>
      <c r="Q136" s="430"/>
      <c r="R136" s="430"/>
      <c r="S136" s="430"/>
      <c r="T136" s="430"/>
      <c r="U136" s="430"/>
    </row>
    <row r="137" spans="1:21" x14ac:dyDescent="0.2">
      <c r="B137" s="434" t="s">
        <v>2796</v>
      </c>
      <c r="C137" s="434"/>
      <c r="D137" s="434" t="s">
        <v>2795</v>
      </c>
      <c r="E137" s="435">
        <v>1</v>
      </c>
      <c r="F137" s="435">
        <v>1</v>
      </c>
      <c r="G137" s="435">
        <v>0.99999999999999989</v>
      </c>
      <c r="H137" s="435">
        <v>1</v>
      </c>
      <c r="I137" s="435">
        <v>1</v>
      </c>
      <c r="J137" s="435">
        <v>1</v>
      </c>
      <c r="K137" s="435">
        <v>1</v>
      </c>
      <c r="L137" s="435">
        <v>0.99999999999999989</v>
      </c>
      <c r="M137" s="432">
        <v>1</v>
      </c>
      <c r="N137" s="431">
        <v>1</v>
      </c>
      <c r="O137" s="430"/>
      <c r="P137" s="430"/>
      <c r="Q137" s="430"/>
      <c r="R137" s="430"/>
      <c r="S137" s="430"/>
      <c r="T137" s="430"/>
      <c r="U137" s="430"/>
    </row>
    <row r="138" spans="1:21" x14ac:dyDescent="0.2">
      <c r="B138" s="434"/>
      <c r="C138" s="442"/>
      <c r="D138" s="442"/>
      <c r="E138" s="442"/>
      <c r="F138" s="475"/>
      <c r="G138" s="475"/>
      <c r="H138" s="475"/>
      <c r="I138" s="475"/>
      <c r="J138" s="475"/>
      <c r="K138" s="475"/>
      <c r="L138" s="475"/>
      <c r="M138" s="439"/>
      <c r="N138" s="438"/>
      <c r="O138" s="430"/>
      <c r="P138" s="430"/>
      <c r="Q138" s="430"/>
      <c r="R138" s="430"/>
      <c r="S138" s="430"/>
      <c r="T138" s="430"/>
      <c r="U138" s="430"/>
    </row>
    <row r="139" spans="1:21" x14ac:dyDescent="0.2">
      <c r="A139" s="436" t="s">
        <v>2859</v>
      </c>
      <c r="B139" s="434" t="s">
        <v>2799</v>
      </c>
      <c r="C139" s="442">
        <v>1</v>
      </c>
      <c r="D139" s="442" t="s">
        <v>2798</v>
      </c>
      <c r="E139" s="440">
        <v>19</v>
      </c>
      <c r="F139" s="440">
        <v>38</v>
      </c>
      <c r="G139" s="440">
        <v>7</v>
      </c>
      <c r="H139" s="440">
        <v>106</v>
      </c>
      <c r="I139" s="440">
        <v>128</v>
      </c>
      <c r="J139" s="440">
        <v>39</v>
      </c>
      <c r="K139" s="440">
        <v>0</v>
      </c>
      <c r="L139" s="440">
        <v>337</v>
      </c>
      <c r="M139" s="439"/>
      <c r="N139" s="438"/>
      <c r="O139" s="430"/>
      <c r="P139" s="430"/>
      <c r="Q139" s="430"/>
      <c r="R139" s="430"/>
      <c r="S139" s="430"/>
      <c r="T139" s="430"/>
      <c r="U139" s="430"/>
    </row>
    <row r="140" spans="1:21" x14ac:dyDescent="0.2">
      <c r="A140" s="436"/>
      <c r="B140" s="434" t="s">
        <v>2799</v>
      </c>
      <c r="C140" s="442">
        <v>2</v>
      </c>
      <c r="D140" s="442" t="s">
        <v>2797</v>
      </c>
      <c r="E140" s="440">
        <v>16</v>
      </c>
      <c r="F140" s="440">
        <v>43</v>
      </c>
      <c r="G140" s="440">
        <v>7</v>
      </c>
      <c r="H140" s="440">
        <v>88</v>
      </c>
      <c r="I140" s="440">
        <v>209</v>
      </c>
      <c r="J140" s="440">
        <v>72</v>
      </c>
      <c r="K140" s="440">
        <v>1</v>
      </c>
      <c r="L140" s="440">
        <v>436</v>
      </c>
      <c r="M140" s="439"/>
      <c r="N140" s="438"/>
      <c r="O140" s="430"/>
      <c r="P140" s="430"/>
      <c r="Q140" s="430"/>
      <c r="R140" s="430"/>
      <c r="S140" s="430"/>
      <c r="T140" s="430"/>
      <c r="U140" s="430"/>
    </row>
    <row r="141" spans="1:21" x14ac:dyDescent="0.2">
      <c r="A141" s="436"/>
      <c r="B141" s="434" t="s">
        <v>2799</v>
      </c>
      <c r="C141" s="442">
        <v>3</v>
      </c>
      <c r="D141" s="442" t="s">
        <v>2810</v>
      </c>
      <c r="E141" s="440">
        <v>0</v>
      </c>
      <c r="F141" s="440">
        <v>4</v>
      </c>
      <c r="G141" s="440">
        <v>0</v>
      </c>
      <c r="H141" s="440">
        <v>3</v>
      </c>
      <c r="I141" s="440">
        <v>5</v>
      </c>
      <c r="J141" s="440">
        <v>1</v>
      </c>
      <c r="K141" s="440">
        <v>0</v>
      </c>
      <c r="L141" s="440">
        <v>13</v>
      </c>
      <c r="M141" s="439"/>
      <c r="N141" s="438"/>
      <c r="O141" s="430"/>
      <c r="P141" s="430"/>
      <c r="Q141" s="430"/>
      <c r="R141" s="430"/>
      <c r="S141" s="430"/>
      <c r="T141" s="430"/>
      <c r="U141" s="430"/>
    </row>
    <row r="142" spans="1:21" x14ac:dyDescent="0.2">
      <c r="A142" s="436"/>
      <c r="B142" s="434" t="s">
        <v>2799</v>
      </c>
      <c r="C142" s="443" t="s">
        <v>2</v>
      </c>
      <c r="D142" s="442" t="s">
        <v>2800</v>
      </c>
      <c r="E142" s="440">
        <v>147</v>
      </c>
      <c r="F142" s="440">
        <v>821</v>
      </c>
      <c r="G142" s="440">
        <v>100</v>
      </c>
      <c r="H142" s="440">
        <v>590</v>
      </c>
      <c r="I142" s="440">
        <v>809</v>
      </c>
      <c r="J142" s="440">
        <v>247</v>
      </c>
      <c r="K142" s="440">
        <v>14</v>
      </c>
      <c r="L142" s="440">
        <v>2728</v>
      </c>
      <c r="M142" s="439"/>
      <c r="N142" s="438"/>
      <c r="O142" s="430"/>
      <c r="P142" s="430"/>
      <c r="Q142" s="430"/>
      <c r="R142" s="430"/>
      <c r="S142" s="430"/>
      <c r="T142" s="430"/>
      <c r="U142" s="430"/>
    </row>
    <row r="143" spans="1:21" x14ac:dyDescent="0.2">
      <c r="A143" s="436"/>
      <c r="B143" s="434" t="s">
        <v>2799</v>
      </c>
      <c r="C143" s="442"/>
      <c r="D143" s="442" t="s">
        <v>68</v>
      </c>
      <c r="E143" s="441">
        <v>182</v>
      </c>
      <c r="F143" s="441">
        <v>906</v>
      </c>
      <c r="G143" s="441">
        <v>114</v>
      </c>
      <c r="H143" s="441">
        <v>787</v>
      </c>
      <c r="I143" s="441">
        <v>1151</v>
      </c>
      <c r="J143" s="441">
        <v>359</v>
      </c>
      <c r="K143" s="441">
        <v>15</v>
      </c>
      <c r="L143" s="440">
        <v>3514</v>
      </c>
      <c r="M143" s="439"/>
      <c r="N143" s="438"/>
      <c r="O143" s="430"/>
      <c r="P143" s="430"/>
      <c r="Q143" s="430"/>
      <c r="R143" s="430"/>
      <c r="S143" s="430"/>
      <c r="T143" s="430"/>
      <c r="U143" s="430"/>
    </row>
    <row r="144" spans="1:21" x14ac:dyDescent="0.2">
      <c r="A144" s="436"/>
      <c r="B144" s="434" t="s">
        <v>2799</v>
      </c>
      <c r="C144" s="442"/>
      <c r="D144" s="442" t="s">
        <v>2795</v>
      </c>
      <c r="E144" s="441">
        <v>35</v>
      </c>
      <c r="F144" s="441">
        <v>81</v>
      </c>
      <c r="G144" s="441">
        <v>14</v>
      </c>
      <c r="H144" s="441">
        <v>194</v>
      </c>
      <c r="I144" s="441">
        <v>337</v>
      </c>
      <c r="J144" s="441">
        <v>111</v>
      </c>
      <c r="K144" s="441">
        <v>1</v>
      </c>
      <c r="L144" s="440">
        <v>773</v>
      </c>
      <c r="M144" s="439"/>
      <c r="N144" s="438"/>
      <c r="O144" s="437">
        <v>0.10478654592496765</v>
      </c>
      <c r="P144" s="437">
        <v>1.8111254851228976E-2</v>
      </c>
      <c r="Q144" s="437">
        <v>0.25097024579560157</v>
      </c>
      <c r="R144" s="437">
        <v>0.43596377749029752</v>
      </c>
      <c r="S144" s="437">
        <v>0.14359637774902975</v>
      </c>
      <c r="T144" s="437">
        <v>1.29366106080207E-3</v>
      </c>
      <c r="U144" s="437">
        <v>0.95472186287192751</v>
      </c>
    </row>
    <row r="145" spans="1:21" x14ac:dyDescent="0.2">
      <c r="A145" s="436"/>
      <c r="B145" s="434" t="s">
        <v>2796</v>
      </c>
      <c r="C145" s="434"/>
      <c r="D145" s="434" t="s">
        <v>2798</v>
      </c>
      <c r="E145" s="435">
        <v>0.54285714285714282</v>
      </c>
      <c r="F145" s="435">
        <v>0.46913580246913578</v>
      </c>
      <c r="G145" s="435">
        <v>0.5</v>
      </c>
      <c r="H145" s="435">
        <v>0.54639175257731953</v>
      </c>
      <c r="I145" s="435">
        <v>0.37982195845697331</v>
      </c>
      <c r="J145" s="435">
        <v>0.35135135135135137</v>
      </c>
      <c r="K145" s="435">
        <v>0</v>
      </c>
      <c r="L145" s="435">
        <v>0.43596377749029752</v>
      </c>
      <c r="M145" s="432">
        <v>0.41116385179207998</v>
      </c>
      <c r="N145" s="431">
        <v>0.41712667868377107</v>
      </c>
      <c r="O145" s="430"/>
      <c r="P145" s="430"/>
      <c r="Q145" s="430"/>
      <c r="R145" s="430"/>
      <c r="S145" s="430"/>
      <c r="T145" s="430"/>
      <c r="U145" s="430"/>
    </row>
    <row r="146" spans="1:21" x14ac:dyDescent="0.2">
      <c r="A146" s="436"/>
      <c r="B146" s="434" t="s">
        <v>2796</v>
      </c>
      <c r="C146" s="434"/>
      <c r="D146" s="434" t="s">
        <v>2797</v>
      </c>
      <c r="E146" s="435">
        <v>0.45714285714285713</v>
      </c>
      <c r="F146" s="435">
        <v>0.53086419753086422</v>
      </c>
      <c r="G146" s="435">
        <v>0.5</v>
      </c>
      <c r="H146" s="435">
        <v>0.45360824742268041</v>
      </c>
      <c r="I146" s="435">
        <v>0.62017804154302669</v>
      </c>
      <c r="J146" s="435">
        <v>0.64864864864864868</v>
      </c>
      <c r="K146" s="435">
        <v>1</v>
      </c>
      <c r="L146" s="435">
        <v>0.56403622250970242</v>
      </c>
      <c r="M146" s="432">
        <v>0.58883614820792018</v>
      </c>
      <c r="N146" s="431">
        <v>0.58287332131622915</v>
      </c>
      <c r="O146" s="430"/>
      <c r="P146" s="430"/>
      <c r="Q146" s="430"/>
      <c r="R146" s="430"/>
      <c r="S146" s="430"/>
      <c r="T146" s="430"/>
      <c r="U146" s="430"/>
    </row>
    <row r="147" spans="1:21" x14ac:dyDescent="0.2">
      <c r="B147" s="434" t="s">
        <v>2796</v>
      </c>
      <c r="C147" s="434"/>
      <c r="D147" s="434" t="s">
        <v>2795</v>
      </c>
      <c r="E147" s="433">
        <v>1</v>
      </c>
      <c r="F147" s="433">
        <v>1</v>
      </c>
      <c r="G147" s="433">
        <v>1</v>
      </c>
      <c r="H147" s="433">
        <v>1</v>
      </c>
      <c r="I147" s="433">
        <v>1</v>
      </c>
      <c r="J147" s="433">
        <v>1</v>
      </c>
      <c r="K147" s="433">
        <v>1</v>
      </c>
      <c r="L147" s="433">
        <v>1</v>
      </c>
      <c r="M147" s="432">
        <v>1.0000000000000002</v>
      </c>
      <c r="N147" s="431">
        <v>1.0000000000000002</v>
      </c>
      <c r="O147" s="430"/>
      <c r="P147" s="430"/>
      <c r="Q147" s="430"/>
      <c r="R147" s="430"/>
      <c r="S147" s="430"/>
      <c r="T147" s="430"/>
      <c r="U147" s="430"/>
    </row>
    <row r="148" spans="1:21" x14ac:dyDescent="0.2">
      <c r="B148" s="434"/>
      <c r="C148" s="434"/>
      <c r="D148" s="434"/>
      <c r="E148" s="433"/>
      <c r="F148" s="433"/>
      <c r="G148" s="433"/>
      <c r="H148" s="433"/>
      <c r="I148" s="433"/>
      <c r="J148" s="433"/>
      <c r="K148" s="433"/>
      <c r="L148" s="433"/>
      <c r="M148" s="432"/>
      <c r="N148" s="431"/>
      <c r="O148" s="430"/>
      <c r="P148" s="430"/>
      <c r="Q148" s="430"/>
      <c r="R148" s="430"/>
      <c r="S148" s="430"/>
      <c r="T148" s="430"/>
      <c r="U148" s="430"/>
    </row>
    <row r="149" spans="1:21" x14ac:dyDescent="0.2">
      <c r="A149" s="436" t="s">
        <v>2858</v>
      </c>
      <c r="B149" s="434" t="s">
        <v>2559</v>
      </c>
      <c r="C149" s="434"/>
      <c r="D149" s="434" t="s">
        <v>2857</v>
      </c>
      <c r="E149" s="474">
        <v>15.710526315789474</v>
      </c>
      <c r="F149" s="474">
        <v>15.434343434343434</v>
      </c>
      <c r="G149" s="474">
        <v>17.066666666666666</v>
      </c>
      <c r="H149" s="474">
        <v>14.145299145299145</v>
      </c>
      <c r="I149" s="474">
        <v>18.712041884816752</v>
      </c>
      <c r="J149" s="474">
        <v>12.702479338842975</v>
      </c>
      <c r="K149" s="449">
        <v>9</v>
      </c>
      <c r="L149" s="474">
        <v>16.154882154882156</v>
      </c>
      <c r="M149" s="473">
        <v>15.970290701870656</v>
      </c>
      <c r="N149" s="472">
        <v>15.956836769523822</v>
      </c>
      <c r="O149" s="430"/>
      <c r="P149" s="430"/>
      <c r="Q149" s="430"/>
      <c r="R149" s="430"/>
      <c r="S149" s="430"/>
      <c r="T149" s="430"/>
      <c r="U149" s="430"/>
    </row>
    <row r="150" spans="1:21" x14ac:dyDescent="0.2">
      <c r="A150" s="468"/>
      <c r="B150" s="434" t="s">
        <v>2799</v>
      </c>
      <c r="D150" s="434" t="s">
        <v>2857</v>
      </c>
      <c r="E150" s="446">
        <v>38</v>
      </c>
      <c r="F150" s="446">
        <v>99</v>
      </c>
      <c r="G150" s="446">
        <v>15</v>
      </c>
      <c r="H150" s="446">
        <v>234</v>
      </c>
      <c r="I150" s="446">
        <v>382</v>
      </c>
      <c r="J150" s="446">
        <v>121</v>
      </c>
      <c r="K150" s="446">
        <v>2</v>
      </c>
      <c r="L150" s="446">
        <v>891</v>
      </c>
      <c r="M150" s="439"/>
      <c r="N150" s="438"/>
      <c r="O150" s="430"/>
      <c r="P150" s="430"/>
      <c r="Q150" s="430"/>
      <c r="R150" s="430"/>
      <c r="S150" s="430"/>
      <c r="T150" s="430"/>
      <c r="U150" s="430"/>
    </row>
    <row r="151" spans="1:21" x14ac:dyDescent="0.2">
      <c r="B151" s="445"/>
      <c r="D151" s="436"/>
      <c r="E151" s="436"/>
      <c r="F151" s="436"/>
      <c r="G151" s="436"/>
      <c r="H151" s="436"/>
      <c r="I151" s="436"/>
      <c r="J151" s="436"/>
      <c r="K151" s="436"/>
      <c r="L151" s="436"/>
      <c r="M151" s="439"/>
      <c r="N151" s="444"/>
      <c r="O151" s="430"/>
      <c r="P151" s="430"/>
      <c r="Q151" s="430"/>
      <c r="R151" s="430"/>
      <c r="S151" s="430"/>
      <c r="T151" s="430"/>
      <c r="U151" s="430"/>
    </row>
    <row r="152" spans="1:21" x14ac:dyDescent="0.2">
      <c r="A152" s="436" t="s">
        <v>2856</v>
      </c>
      <c r="B152" s="434" t="s">
        <v>2559</v>
      </c>
      <c r="C152" s="434"/>
      <c r="D152" s="434" t="s">
        <v>2805</v>
      </c>
      <c r="E152" s="471">
        <v>0.13545454545454544</v>
      </c>
      <c r="F152" s="471">
        <v>0.16090909090909089</v>
      </c>
      <c r="G152" s="471">
        <v>0.21249999999999999</v>
      </c>
      <c r="H152" s="471">
        <v>0.1575</v>
      </c>
      <c r="I152" s="471">
        <v>0.16328571428571428</v>
      </c>
      <c r="J152" s="471">
        <v>0.13470588235294118</v>
      </c>
      <c r="K152" s="471" t="s">
        <v>65</v>
      </c>
      <c r="L152" s="471">
        <v>0.15791666666666665</v>
      </c>
      <c r="M152" s="470">
        <v>0.16015722084464823</v>
      </c>
      <c r="N152" s="469">
        <v>0.15887779941010108</v>
      </c>
      <c r="O152" s="430"/>
      <c r="P152" s="430"/>
      <c r="Q152" s="430"/>
      <c r="R152" s="430"/>
      <c r="S152" s="430"/>
      <c r="T152" s="430"/>
      <c r="U152" s="430"/>
    </row>
    <row r="153" spans="1:21" x14ac:dyDescent="0.2">
      <c r="A153" s="468"/>
      <c r="B153" s="434" t="s">
        <v>2799</v>
      </c>
      <c r="D153" s="434" t="s">
        <v>2805</v>
      </c>
      <c r="E153" s="446">
        <v>11</v>
      </c>
      <c r="F153" s="446">
        <v>22</v>
      </c>
      <c r="G153" s="446">
        <v>4</v>
      </c>
      <c r="H153" s="446">
        <v>44</v>
      </c>
      <c r="I153" s="446">
        <v>70</v>
      </c>
      <c r="J153" s="446">
        <v>17</v>
      </c>
      <c r="K153" s="446">
        <v>0</v>
      </c>
      <c r="L153" s="446">
        <v>168</v>
      </c>
      <c r="M153" s="439"/>
      <c r="N153" s="438"/>
      <c r="O153" s="430"/>
      <c r="P153" s="430"/>
      <c r="Q153" s="430"/>
      <c r="R153" s="430"/>
      <c r="S153" s="430"/>
      <c r="T153" s="430"/>
      <c r="U153" s="430"/>
    </row>
    <row r="154" spans="1:21" x14ac:dyDescent="0.2">
      <c r="B154" s="429"/>
      <c r="F154" s="466"/>
      <c r="G154" s="466"/>
      <c r="H154" s="466"/>
      <c r="I154" s="466"/>
      <c r="J154" s="466"/>
      <c r="K154" s="466"/>
      <c r="L154" s="466"/>
      <c r="M154" s="439"/>
      <c r="N154" s="438"/>
      <c r="O154" s="430"/>
      <c r="P154" s="430"/>
      <c r="Q154" s="430"/>
      <c r="R154" s="430"/>
      <c r="S154" s="430"/>
      <c r="T154" s="430"/>
      <c r="U154" s="430"/>
    </row>
    <row r="155" spans="1:21" x14ac:dyDescent="0.2">
      <c r="A155" s="436" t="s">
        <v>2855</v>
      </c>
      <c r="B155" s="434" t="s">
        <v>2799</v>
      </c>
      <c r="C155" s="442">
        <v>1</v>
      </c>
      <c r="D155" s="442" t="s">
        <v>2827</v>
      </c>
      <c r="E155" s="440">
        <v>0</v>
      </c>
      <c r="F155" s="440">
        <v>1</v>
      </c>
      <c r="G155" s="440">
        <v>0</v>
      </c>
      <c r="H155" s="440">
        <v>0</v>
      </c>
      <c r="I155" s="440">
        <v>2</v>
      </c>
      <c r="J155" s="440">
        <v>1</v>
      </c>
      <c r="K155" s="440">
        <v>0</v>
      </c>
      <c r="L155" s="440">
        <v>4</v>
      </c>
      <c r="M155" s="439"/>
      <c r="N155" s="438"/>
      <c r="O155" s="430"/>
      <c r="P155" s="430"/>
      <c r="Q155" s="430"/>
      <c r="R155" s="430"/>
      <c r="S155" s="430"/>
      <c r="T155" s="430"/>
      <c r="U155" s="430"/>
    </row>
    <row r="156" spans="1:21" x14ac:dyDescent="0.2">
      <c r="A156" s="436"/>
      <c r="B156" s="434" t="s">
        <v>2799</v>
      </c>
      <c r="C156" s="442">
        <v>2</v>
      </c>
      <c r="D156" s="442" t="s">
        <v>2826</v>
      </c>
      <c r="E156" s="440">
        <v>0</v>
      </c>
      <c r="F156" s="440">
        <v>3</v>
      </c>
      <c r="G156" s="440">
        <v>0</v>
      </c>
      <c r="H156" s="440">
        <v>1</v>
      </c>
      <c r="I156" s="440">
        <v>8</v>
      </c>
      <c r="J156" s="440">
        <v>2</v>
      </c>
      <c r="K156" s="440">
        <v>0</v>
      </c>
      <c r="L156" s="440">
        <v>14</v>
      </c>
      <c r="M156" s="439"/>
      <c r="N156" s="438"/>
      <c r="O156" s="430"/>
      <c r="P156" s="430"/>
      <c r="Q156" s="430"/>
      <c r="R156" s="430"/>
      <c r="S156" s="430"/>
      <c r="T156" s="430"/>
      <c r="U156" s="430"/>
    </row>
    <row r="157" spans="1:21" x14ac:dyDescent="0.2">
      <c r="A157" s="436"/>
      <c r="B157" s="434" t="s">
        <v>2799</v>
      </c>
      <c r="C157" s="442">
        <v>3</v>
      </c>
      <c r="D157" s="442" t="s">
        <v>2825</v>
      </c>
      <c r="E157" s="440">
        <v>2</v>
      </c>
      <c r="F157" s="440">
        <v>3</v>
      </c>
      <c r="G157" s="440">
        <v>2</v>
      </c>
      <c r="H157" s="440">
        <v>4</v>
      </c>
      <c r="I157" s="440">
        <v>4</v>
      </c>
      <c r="J157" s="440">
        <v>7</v>
      </c>
      <c r="K157" s="440">
        <v>0</v>
      </c>
      <c r="L157" s="440">
        <v>22</v>
      </c>
      <c r="M157" s="439"/>
      <c r="N157" s="438"/>
      <c r="O157" s="430"/>
      <c r="P157" s="430"/>
      <c r="Q157" s="430"/>
      <c r="R157" s="430"/>
      <c r="S157" s="430"/>
      <c r="T157" s="430"/>
      <c r="U157" s="430"/>
    </row>
    <row r="158" spans="1:21" x14ac:dyDescent="0.2">
      <c r="A158" s="436"/>
      <c r="B158" s="434" t="s">
        <v>2799</v>
      </c>
      <c r="C158" s="442">
        <v>4</v>
      </c>
      <c r="D158" s="442" t="s">
        <v>2824</v>
      </c>
      <c r="E158" s="440">
        <v>0</v>
      </c>
      <c r="F158" s="440">
        <v>0</v>
      </c>
      <c r="G158" s="440">
        <v>0</v>
      </c>
      <c r="H158" s="440">
        <v>0</v>
      </c>
      <c r="I158" s="440">
        <v>2</v>
      </c>
      <c r="J158" s="440">
        <v>1</v>
      </c>
      <c r="K158" s="440">
        <v>0</v>
      </c>
      <c r="L158" s="440">
        <v>3</v>
      </c>
      <c r="M158" s="439"/>
      <c r="N158" s="438"/>
      <c r="O158" s="430"/>
      <c r="P158" s="430"/>
      <c r="Q158" s="430"/>
      <c r="R158" s="430"/>
      <c r="S158" s="430"/>
      <c r="T158" s="430"/>
      <c r="U158" s="430"/>
    </row>
    <row r="159" spans="1:21" x14ac:dyDescent="0.2">
      <c r="A159" s="436"/>
      <c r="B159" s="434" t="s">
        <v>2799</v>
      </c>
      <c r="C159" s="442">
        <v>5</v>
      </c>
      <c r="D159" s="442" t="s">
        <v>2823</v>
      </c>
      <c r="E159" s="440">
        <v>1</v>
      </c>
      <c r="F159" s="440">
        <v>1</v>
      </c>
      <c r="G159" s="440">
        <v>0</v>
      </c>
      <c r="H159" s="440">
        <v>3</v>
      </c>
      <c r="I159" s="440">
        <v>2</v>
      </c>
      <c r="J159" s="440">
        <v>1</v>
      </c>
      <c r="K159" s="440">
        <v>0</v>
      </c>
      <c r="L159" s="440">
        <v>8</v>
      </c>
      <c r="M159" s="439"/>
      <c r="N159" s="438"/>
      <c r="O159" s="430"/>
      <c r="P159" s="430"/>
      <c r="Q159" s="430"/>
      <c r="R159" s="430"/>
      <c r="S159" s="430"/>
      <c r="T159" s="430"/>
      <c r="U159" s="430"/>
    </row>
    <row r="160" spans="1:21" x14ac:dyDescent="0.2">
      <c r="A160" s="436"/>
      <c r="B160" s="434" t="s">
        <v>2799</v>
      </c>
      <c r="C160" s="442">
        <v>6</v>
      </c>
      <c r="D160" s="442" t="s">
        <v>2822</v>
      </c>
      <c r="E160" s="440">
        <v>0</v>
      </c>
      <c r="F160" s="440">
        <v>1</v>
      </c>
      <c r="G160" s="440">
        <v>1</v>
      </c>
      <c r="H160" s="440">
        <v>5</v>
      </c>
      <c r="I160" s="440">
        <v>8</v>
      </c>
      <c r="J160" s="440">
        <v>3</v>
      </c>
      <c r="K160" s="440">
        <v>0</v>
      </c>
      <c r="L160" s="440">
        <v>18</v>
      </c>
      <c r="M160" s="439"/>
      <c r="N160" s="438"/>
      <c r="O160" s="430"/>
      <c r="P160" s="430"/>
      <c r="Q160" s="430"/>
      <c r="R160" s="430"/>
      <c r="S160" s="430"/>
      <c r="T160" s="430"/>
      <c r="U160" s="430"/>
    </row>
    <row r="161" spans="1:21" x14ac:dyDescent="0.2">
      <c r="A161" s="436"/>
      <c r="B161" s="434" t="s">
        <v>2799</v>
      </c>
      <c r="C161" s="442">
        <v>7</v>
      </c>
      <c r="D161" s="442" t="s">
        <v>2821</v>
      </c>
      <c r="E161" s="440">
        <v>1</v>
      </c>
      <c r="F161" s="440">
        <v>3</v>
      </c>
      <c r="G161" s="440">
        <v>1</v>
      </c>
      <c r="H161" s="440">
        <v>0</v>
      </c>
      <c r="I161" s="440">
        <v>1</v>
      </c>
      <c r="J161" s="440">
        <v>1</v>
      </c>
      <c r="K161" s="440">
        <v>0</v>
      </c>
      <c r="L161" s="440">
        <v>7</v>
      </c>
      <c r="M161" s="439"/>
      <c r="N161" s="438"/>
      <c r="O161" s="430"/>
      <c r="P161" s="430"/>
      <c r="Q161" s="430"/>
      <c r="R161" s="430"/>
      <c r="S161" s="430"/>
      <c r="T161" s="430"/>
      <c r="U161" s="430"/>
    </row>
    <row r="162" spans="1:21" x14ac:dyDescent="0.2">
      <c r="A162" s="436"/>
      <c r="B162" s="434" t="s">
        <v>2799</v>
      </c>
      <c r="C162" s="442">
        <v>8</v>
      </c>
      <c r="D162" s="442" t="s">
        <v>2810</v>
      </c>
      <c r="E162" s="440">
        <v>0</v>
      </c>
      <c r="F162" s="440">
        <v>1</v>
      </c>
      <c r="G162" s="440">
        <v>0</v>
      </c>
      <c r="H162" s="440">
        <v>0</v>
      </c>
      <c r="I162" s="440">
        <v>1</v>
      </c>
      <c r="J162" s="440">
        <v>0</v>
      </c>
      <c r="K162" s="440">
        <v>0</v>
      </c>
      <c r="L162" s="440">
        <v>2</v>
      </c>
      <c r="M162" s="439"/>
      <c r="N162" s="438"/>
      <c r="O162" s="430"/>
      <c r="P162" s="430"/>
      <c r="Q162" s="430"/>
      <c r="R162" s="430"/>
      <c r="S162" s="430"/>
      <c r="T162" s="430"/>
      <c r="U162" s="430"/>
    </row>
    <row r="163" spans="1:21" x14ac:dyDescent="0.2">
      <c r="A163" s="436"/>
      <c r="B163" s="434" t="s">
        <v>2799</v>
      </c>
      <c r="C163" s="442">
        <v>9</v>
      </c>
      <c r="D163" s="442" t="s">
        <v>2828</v>
      </c>
      <c r="E163" s="440">
        <v>0</v>
      </c>
      <c r="F163" s="440">
        <v>0</v>
      </c>
      <c r="G163" s="440">
        <v>0</v>
      </c>
      <c r="H163" s="440">
        <v>0</v>
      </c>
      <c r="I163" s="440">
        <v>0</v>
      </c>
      <c r="J163" s="440">
        <v>0</v>
      </c>
      <c r="K163" s="440">
        <v>0</v>
      </c>
      <c r="L163" s="440">
        <v>0</v>
      </c>
      <c r="M163" s="439"/>
      <c r="N163" s="438"/>
      <c r="O163" s="430"/>
      <c r="P163" s="430"/>
      <c r="Q163" s="430"/>
      <c r="R163" s="430"/>
      <c r="S163" s="430"/>
      <c r="T163" s="430"/>
      <c r="U163" s="430"/>
    </row>
    <row r="164" spans="1:21" x14ac:dyDescent="0.2">
      <c r="A164" s="436"/>
      <c r="B164" s="434" t="s">
        <v>2799</v>
      </c>
      <c r="C164" s="443" t="s">
        <v>2</v>
      </c>
      <c r="D164" s="442" t="s">
        <v>2800</v>
      </c>
      <c r="E164" s="440">
        <v>178</v>
      </c>
      <c r="F164" s="440">
        <v>893</v>
      </c>
      <c r="G164" s="440">
        <v>110</v>
      </c>
      <c r="H164" s="440">
        <v>774</v>
      </c>
      <c r="I164" s="440">
        <v>1123</v>
      </c>
      <c r="J164" s="440">
        <v>343</v>
      </c>
      <c r="K164" s="440">
        <v>15</v>
      </c>
      <c r="L164" s="440">
        <v>3436</v>
      </c>
      <c r="M164" s="439"/>
      <c r="N164" s="438"/>
      <c r="O164" s="430"/>
      <c r="P164" s="430"/>
      <c r="Q164" s="430"/>
      <c r="R164" s="430"/>
      <c r="S164" s="430"/>
      <c r="T164" s="430"/>
      <c r="U164" s="430"/>
    </row>
    <row r="165" spans="1:21" x14ac:dyDescent="0.2">
      <c r="A165" s="436"/>
      <c r="B165" s="434" t="s">
        <v>2799</v>
      </c>
      <c r="C165" s="442"/>
      <c r="D165" s="442" t="s">
        <v>68</v>
      </c>
      <c r="E165" s="441">
        <v>182</v>
      </c>
      <c r="F165" s="441">
        <v>906</v>
      </c>
      <c r="G165" s="441">
        <v>114</v>
      </c>
      <c r="H165" s="441">
        <v>787</v>
      </c>
      <c r="I165" s="441">
        <v>1151</v>
      </c>
      <c r="J165" s="441">
        <v>359</v>
      </c>
      <c r="K165" s="441">
        <v>15</v>
      </c>
      <c r="L165" s="440">
        <v>3514</v>
      </c>
      <c r="M165" s="439"/>
      <c r="N165" s="438"/>
      <c r="O165" s="430"/>
      <c r="P165" s="430"/>
      <c r="Q165" s="430"/>
      <c r="R165" s="430"/>
      <c r="S165" s="430"/>
      <c r="T165" s="430"/>
      <c r="U165" s="430"/>
    </row>
    <row r="166" spans="1:21" x14ac:dyDescent="0.2">
      <c r="A166" s="436"/>
      <c r="B166" s="434" t="s">
        <v>2799</v>
      </c>
      <c r="C166" s="442"/>
      <c r="D166" s="442" t="s">
        <v>2795</v>
      </c>
      <c r="E166" s="441">
        <v>4</v>
      </c>
      <c r="F166" s="441">
        <v>12</v>
      </c>
      <c r="G166" s="441">
        <v>4</v>
      </c>
      <c r="H166" s="441">
        <v>13</v>
      </c>
      <c r="I166" s="441">
        <v>27</v>
      </c>
      <c r="J166" s="441">
        <v>16</v>
      </c>
      <c r="K166" s="441">
        <v>0</v>
      </c>
      <c r="L166" s="440">
        <v>76</v>
      </c>
      <c r="M166" s="439"/>
      <c r="N166" s="438"/>
      <c r="O166" s="437">
        <v>0.15789473684210525</v>
      </c>
      <c r="P166" s="437">
        <v>5.2631578947368418E-2</v>
      </c>
      <c r="Q166" s="437">
        <v>0.17105263157894737</v>
      </c>
      <c r="R166" s="437">
        <v>0.35526315789473684</v>
      </c>
      <c r="S166" s="437">
        <v>0.21052631578947367</v>
      </c>
      <c r="T166" s="437">
        <v>0</v>
      </c>
      <c r="U166" s="437">
        <v>0.94736842105263153</v>
      </c>
    </row>
    <row r="167" spans="1:21" x14ac:dyDescent="0.2">
      <c r="A167" s="436"/>
      <c r="B167" s="434" t="s">
        <v>2796</v>
      </c>
      <c r="C167" s="434"/>
      <c r="D167" s="434" t="s">
        <v>2827</v>
      </c>
      <c r="E167" s="435">
        <v>0</v>
      </c>
      <c r="F167" s="435">
        <v>8.3333333333333329E-2</v>
      </c>
      <c r="G167" s="435">
        <v>0</v>
      </c>
      <c r="H167" s="435">
        <v>0</v>
      </c>
      <c r="I167" s="435">
        <v>7.407407407407407E-2</v>
      </c>
      <c r="J167" s="435">
        <v>6.25E-2</v>
      </c>
      <c r="K167" s="435">
        <v>0</v>
      </c>
      <c r="L167" s="435">
        <v>5.2631578947368418E-2</v>
      </c>
      <c r="M167" s="432">
        <v>6.5477715567761385E-2</v>
      </c>
      <c r="N167" s="431">
        <v>6.2031520011563417E-2</v>
      </c>
      <c r="O167" s="430"/>
      <c r="P167" s="430"/>
      <c r="Q167" s="430"/>
      <c r="R167" s="430"/>
      <c r="S167" s="430"/>
      <c r="T167" s="430"/>
      <c r="U167" s="430"/>
    </row>
    <row r="168" spans="1:21" x14ac:dyDescent="0.2">
      <c r="A168" s="436"/>
      <c r="B168" s="434" t="s">
        <v>2796</v>
      </c>
      <c r="C168" s="434"/>
      <c r="D168" s="434" t="s">
        <v>2826</v>
      </c>
      <c r="E168" s="435">
        <v>0</v>
      </c>
      <c r="F168" s="435">
        <v>0.25</v>
      </c>
      <c r="G168" s="435">
        <v>0</v>
      </c>
      <c r="H168" s="435">
        <v>7.6923076923076927E-2</v>
      </c>
      <c r="I168" s="435">
        <v>0.29629629629629628</v>
      </c>
      <c r="J168" s="435">
        <v>0.125</v>
      </c>
      <c r="K168" s="435">
        <v>0</v>
      </c>
      <c r="L168" s="435">
        <v>0.18421052631578946</v>
      </c>
      <c r="M168" s="432">
        <v>0.25158639657713883</v>
      </c>
      <c r="N168" s="431">
        <v>0.23834500728360519</v>
      </c>
      <c r="O168" s="430"/>
      <c r="P168" s="430"/>
      <c r="Q168" s="430"/>
      <c r="R168" s="430"/>
      <c r="S168" s="430"/>
      <c r="T168" s="430"/>
      <c r="U168" s="430"/>
    </row>
    <row r="169" spans="1:21" x14ac:dyDescent="0.2">
      <c r="A169" s="436"/>
      <c r="B169" s="434" t="s">
        <v>2796</v>
      </c>
      <c r="C169" s="434"/>
      <c r="D169" s="434" t="s">
        <v>2825</v>
      </c>
      <c r="E169" s="435">
        <v>0.5</v>
      </c>
      <c r="F169" s="435">
        <v>0.25</v>
      </c>
      <c r="G169" s="435">
        <v>0.5</v>
      </c>
      <c r="H169" s="435">
        <v>0.30769230769230771</v>
      </c>
      <c r="I169" s="435">
        <v>0.14814814814814814</v>
      </c>
      <c r="J169" s="435">
        <v>0.4375</v>
      </c>
      <c r="K169" s="435">
        <v>0</v>
      </c>
      <c r="L169" s="435">
        <v>0.28947368421052633</v>
      </c>
      <c r="M169" s="432">
        <v>0.20187761336384163</v>
      </c>
      <c r="N169" s="431">
        <v>0.21756826529206053</v>
      </c>
      <c r="O169" s="430"/>
      <c r="P169" s="430"/>
      <c r="Q169" s="430"/>
      <c r="R169" s="430"/>
      <c r="S169" s="430"/>
      <c r="T169" s="430"/>
      <c r="U169" s="430"/>
    </row>
    <row r="170" spans="1:21" x14ac:dyDescent="0.2">
      <c r="A170" s="436"/>
      <c r="B170" s="434" t="s">
        <v>2796</v>
      </c>
      <c r="C170" s="434"/>
      <c r="D170" s="434" t="s">
        <v>2824</v>
      </c>
      <c r="E170" s="435">
        <v>0</v>
      </c>
      <c r="F170" s="435">
        <v>0</v>
      </c>
      <c r="G170" s="435">
        <v>0</v>
      </c>
      <c r="H170" s="435">
        <v>0</v>
      </c>
      <c r="I170" s="435">
        <v>7.407407407407407E-2</v>
      </c>
      <c r="J170" s="435">
        <v>6.25E-2</v>
      </c>
      <c r="K170" s="435">
        <v>0</v>
      </c>
      <c r="L170" s="435">
        <v>3.9473684210526314E-2</v>
      </c>
      <c r="M170" s="432">
        <v>5.7217084635835032E-2</v>
      </c>
      <c r="N170" s="431">
        <v>5.4205659128685815E-2</v>
      </c>
      <c r="O170" s="430"/>
      <c r="P170" s="430"/>
      <c r="Q170" s="430"/>
      <c r="R170" s="430"/>
      <c r="S170" s="430"/>
      <c r="T170" s="430"/>
      <c r="U170" s="430"/>
    </row>
    <row r="171" spans="1:21" x14ac:dyDescent="0.2">
      <c r="A171" s="436"/>
      <c r="B171" s="434" t="s">
        <v>2796</v>
      </c>
      <c r="C171" s="434"/>
      <c r="D171" s="434" t="s">
        <v>2823</v>
      </c>
      <c r="E171" s="435">
        <v>0.25</v>
      </c>
      <c r="F171" s="435">
        <v>8.3333333333333329E-2</v>
      </c>
      <c r="G171" s="435">
        <v>0</v>
      </c>
      <c r="H171" s="435">
        <v>0.23076923076923078</v>
      </c>
      <c r="I171" s="435">
        <v>7.407407407407407E-2</v>
      </c>
      <c r="J171" s="435">
        <v>6.25E-2</v>
      </c>
      <c r="K171" s="435">
        <v>0</v>
      </c>
      <c r="L171" s="435">
        <v>0.10526315789473684</v>
      </c>
      <c r="M171" s="432">
        <v>9.1537069162366203E-2</v>
      </c>
      <c r="N171" s="431">
        <v>9.9877223416978522E-2</v>
      </c>
      <c r="O171" s="430"/>
      <c r="P171" s="430"/>
      <c r="Q171" s="430"/>
      <c r="R171" s="430"/>
      <c r="S171" s="430"/>
      <c r="T171" s="430"/>
      <c r="U171" s="430"/>
    </row>
    <row r="172" spans="1:21" x14ac:dyDescent="0.2">
      <c r="A172" s="436"/>
      <c r="B172" s="434" t="s">
        <v>2796</v>
      </c>
      <c r="C172" s="434"/>
      <c r="D172" s="434" t="s">
        <v>2822</v>
      </c>
      <c r="E172" s="435">
        <v>0</v>
      </c>
      <c r="F172" s="435">
        <v>8.3333333333333329E-2</v>
      </c>
      <c r="G172" s="435">
        <v>0.25</v>
      </c>
      <c r="H172" s="435">
        <v>0.38461538461538464</v>
      </c>
      <c r="I172" s="435">
        <v>0.29629629629629628</v>
      </c>
      <c r="J172" s="435">
        <v>0.1875</v>
      </c>
      <c r="K172" s="435">
        <v>0</v>
      </c>
      <c r="L172" s="435">
        <v>0.23684210526315788</v>
      </c>
      <c r="M172" s="432">
        <v>0.27570609828774922</v>
      </c>
      <c r="N172" s="431">
        <v>0.26119525100944663</v>
      </c>
      <c r="O172" s="430"/>
      <c r="P172" s="430"/>
      <c r="Q172" s="430"/>
      <c r="R172" s="430"/>
      <c r="S172" s="430"/>
      <c r="T172" s="430"/>
      <c r="U172" s="430"/>
    </row>
    <row r="173" spans="1:21" x14ac:dyDescent="0.2">
      <c r="B173" s="434" t="s">
        <v>2796</v>
      </c>
      <c r="C173" s="434"/>
      <c r="D173" s="434" t="s">
        <v>2821</v>
      </c>
      <c r="E173" s="435">
        <v>0.25</v>
      </c>
      <c r="F173" s="435">
        <v>0.25</v>
      </c>
      <c r="G173" s="435">
        <v>0.25</v>
      </c>
      <c r="H173" s="435">
        <v>0</v>
      </c>
      <c r="I173" s="435">
        <v>3.7037037037037035E-2</v>
      </c>
      <c r="J173" s="435">
        <v>6.25E-2</v>
      </c>
      <c r="K173" s="435">
        <v>0</v>
      </c>
      <c r="L173" s="435">
        <v>9.2105263157894732E-2</v>
      </c>
      <c r="M173" s="432">
        <v>5.6598022405307674E-2</v>
      </c>
      <c r="N173" s="431">
        <v>6.6777073857659908E-2</v>
      </c>
      <c r="O173" s="430"/>
      <c r="P173" s="430"/>
      <c r="Q173" s="430"/>
      <c r="R173" s="430"/>
      <c r="S173" s="430"/>
      <c r="T173" s="430"/>
      <c r="U173" s="430"/>
    </row>
    <row r="174" spans="1:21" x14ac:dyDescent="0.2">
      <c r="B174" s="434" t="s">
        <v>2796</v>
      </c>
      <c r="C174" s="434"/>
      <c r="D174" s="434" t="s">
        <v>2795</v>
      </c>
      <c r="E174" s="433">
        <v>1</v>
      </c>
      <c r="F174" s="433">
        <v>1</v>
      </c>
      <c r="G174" s="433">
        <v>1</v>
      </c>
      <c r="H174" s="433">
        <v>1</v>
      </c>
      <c r="I174" s="433">
        <v>1</v>
      </c>
      <c r="J174" s="433">
        <v>1</v>
      </c>
      <c r="K174" s="433">
        <v>0</v>
      </c>
      <c r="L174" s="433">
        <v>0.99999999999999989</v>
      </c>
      <c r="M174" s="432">
        <v>1.0000000000000002</v>
      </c>
      <c r="N174" s="431">
        <v>1</v>
      </c>
      <c r="O174" s="430"/>
      <c r="P174" s="430"/>
      <c r="Q174" s="430"/>
      <c r="R174" s="430"/>
      <c r="S174" s="430"/>
      <c r="T174" s="430"/>
      <c r="U174" s="430"/>
    </row>
    <row r="175" spans="1:21" x14ac:dyDescent="0.2">
      <c r="B175" s="429"/>
      <c r="F175" s="466"/>
      <c r="G175" s="466"/>
      <c r="H175" s="466"/>
      <c r="I175" s="466"/>
      <c r="J175" s="466"/>
      <c r="K175" s="466"/>
      <c r="L175" s="466"/>
      <c r="M175" s="439"/>
      <c r="N175" s="438"/>
      <c r="O175" s="430"/>
      <c r="P175" s="430"/>
      <c r="Q175" s="430"/>
      <c r="R175" s="430"/>
      <c r="S175" s="430"/>
      <c r="T175" s="430"/>
      <c r="U175" s="430"/>
    </row>
    <row r="176" spans="1:21" x14ac:dyDescent="0.2">
      <c r="A176" s="436" t="s">
        <v>2854</v>
      </c>
      <c r="B176" s="434" t="s">
        <v>2799</v>
      </c>
      <c r="C176" s="442">
        <v>1</v>
      </c>
      <c r="D176" s="442" t="s">
        <v>2852</v>
      </c>
      <c r="E176" s="440">
        <v>2</v>
      </c>
      <c r="F176" s="440">
        <v>7</v>
      </c>
      <c r="G176" s="440">
        <v>2</v>
      </c>
      <c r="H176" s="440">
        <v>3</v>
      </c>
      <c r="I176" s="440">
        <v>9</v>
      </c>
      <c r="J176" s="440">
        <v>5</v>
      </c>
      <c r="K176" s="440">
        <v>0</v>
      </c>
      <c r="L176" s="440">
        <v>28</v>
      </c>
      <c r="M176" s="439"/>
      <c r="N176" s="438"/>
      <c r="O176" s="430"/>
      <c r="P176" s="430"/>
      <c r="Q176" s="430"/>
      <c r="R176" s="430"/>
      <c r="S176" s="430"/>
      <c r="T176" s="430"/>
      <c r="U176" s="430"/>
    </row>
    <row r="177" spans="1:21" x14ac:dyDescent="0.2">
      <c r="A177" s="436"/>
      <c r="B177" s="434" t="s">
        <v>2799</v>
      </c>
      <c r="C177" s="442">
        <v>2</v>
      </c>
      <c r="D177" s="442" t="s">
        <v>2732</v>
      </c>
      <c r="E177" s="440">
        <v>2</v>
      </c>
      <c r="F177" s="440">
        <v>5</v>
      </c>
      <c r="G177" s="440">
        <v>1</v>
      </c>
      <c r="H177" s="440">
        <v>7</v>
      </c>
      <c r="I177" s="440">
        <v>18</v>
      </c>
      <c r="J177" s="440">
        <v>10</v>
      </c>
      <c r="K177" s="440">
        <v>0</v>
      </c>
      <c r="L177" s="440">
        <v>43</v>
      </c>
      <c r="M177" s="439"/>
      <c r="N177" s="438"/>
      <c r="O177" s="430"/>
      <c r="P177" s="430"/>
      <c r="Q177" s="430"/>
      <c r="R177" s="430"/>
      <c r="S177" s="430"/>
      <c r="T177" s="430"/>
      <c r="U177" s="430"/>
    </row>
    <row r="178" spans="1:21" x14ac:dyDescent="0.2">
      <c r="A178" s="436"/>
      <c r="B178" s="434" t="s">
        <v>2799</v>
      </c>
      <c r="C178" s="442">
        <v>2</v>
      </c>
      <c r="D178" s="442" t="s">
        <v>2853</v>
      </c>
      <c r="E178" s="440">
        <v>0</v>
      </c>
      <c r="F178" s="440">
        <v>2</v>
      </c>
      <c r="G178" s="440">
        <v>0</v>
      </c>
      <c r="H178" s="440">
        <v>0</v>
      </c>
      <c r="I178" s="440">
        <v>1</v>
      </c>
      <c r="J178" s="440">
        <v>1</v>
      </c>
      <c r="K178" s="440">
        <v>0</v>
      </c>
      <c r="L178" s="440">
        <v>4</v>
      </c>
      <c r="M178" s="439"/>
      <c r="N178" s="438"/>
      <c r="O178" s="430"/>
      <c r="P178" s="430"/>
      <c r="Q178" s="430"/>
      <c r="R178" s="430"/>
      <c r="S178" s="430"/>
      <c r="T178" s="430"/>
      <c r="U178" s="430"/>
    </row>
    <row r="179" spans="1:21" x14ac:dyDescent="0.2">
      <c r="A179" s="436"/>
      <c r="B179" s="434" t="s">
        <v>2799</v>
      </c>
      <c r="C179" s="442">
        <v>3</v>
      </c>
      <c r="D179" s="442" t="s">
        <v>2810</v>
      </c>
      <c r="E179" s="440">
        <v>0</v>
      </c>
      <c r="F179" s="440">
        <v>1</v>
      </c>
      <c r="G179" s="440">
        <v>1</v>
      </c>
      <c r="H179" s="440">
        <v>3</v>
      </c>
      <c r="I179" s="440">
        <v>1</v>
      </c>
      <c r="J179" s="440">
        <v>1</v>
      </c>
      <c r="K179" s="440">
        <v>0</v>
      </c>
      <c r="L179" s="440">
        <v>7</v>
      </c>
      <c r="M179" s="439"/>
      <c r="N179" s="438"/>
      <c r="O179" s="430"/>
      <c r="P179" s="430"/>
      <c r="Q179" s="430"/>
      <c r="R179" s="430"/>
      <c r="S179" s="430"/>
      <c r="T179" s="430"/>
      <c r="U179" s="430"/>
    </row>
    <row r="180" spans="1:21" x14ac:dyDescent="0.2">
      <c r="A180" s="436"/>
      <c r="B180" s="434" t="s">
        <v>2799</v>
      </c>
      <c r="C180" s="443" t="s">
        <v>2</v>
      </c>
      <c r="D180" s="442" t="s">
        <v>2800</v>
      </c>
      <c r="E180" s="440">
        <v>178</v>
      </c>
      <c r="F180" s="440">
        <v>893</v>
      </c>
      <c r="G180" s="440">
        <v>110</v>
      </c>
      <c r="H180" s="440">
        <v>774</v>
      </c>
      <c r="I180" s="440">
        <v>1123</v>
      </c>
      <c r="J180" s="440">
        <v>343</v>
      </c>
      <c r="K180" s="440">
        <v>15</v>
      </c>
      <c r="L180" s="440">
        <v>3436</v>
      </c>
      <c r="M180" s="439"/>
      <c r="N180" s="438"/>
      <c r="O180" s="430"/>
      <c r="P180" s="430"/>
      <c r="Q180" s="430"/>
      <c r="R180" s="430"/>
      <c r="S180" s="430"/>
      <c r="T180" s="430"/>
      <c r="U180" s="430"/>
    </row>
    <row r="181" spans="1:21" x14ac:dyDescent="0.2">
      <c r="A181" s="436"/>
      <c r="B181" s="434" t="s">
        <v>2799</v>
      </c>
      <c r="C181" s="442"/>
      <c r="D181" s="442" t="s">
        <v>68</v>
      </c>
      <c r="E181" s="441">
        <v>182</v>
      </c>
      <c r="F181" s="441">
        <v>908</v>
      </c>
      <c r="G181" s="441">
        <v>114</v>
      </c>
      <c r="H181" s="441">
        <v>787</v>
      </c>
      <c r="I181" s="441">
        <v>1152</v>
      </c>
      <c r="J181" s="441">
        <v>360</v>
      </c>
      <c r="K181" s="441">
        <v>15</v>
      </c>
      <c r="L181" s="440">
        <v>3518</v>
      </c>
      <c r="M181" s="439"/>
      <c r="N181" s="438"/>
      <c r="O181" s="430"/>
      <c r="P181" s="430"/>
      <c r="Q181" s="430"/>
      <c r="R181" s="430"/>
      <c r="S181" s="430"/>
      <c r="T181" s="430"/>
      <c r="U181" s="430"/>
    </row>
    <row r="182" spans="1:21" x14ac:dyDescent="0.2">
      <c r="A182" s="436"/>
      <c r="B182" s="434" t="s">
        <v>2799</v>
      </c>
      <c r="C182" s="442"/>
      <c r="D182" s="442" t="s">
        <v>2795</v>
      </c>
      <c r="E182" s="465">
        <v>4</v>
      </c>
      <c r="F182" s="465">
        <v>14</v>
      </c>
      <c r="G182" s="465">
        <v>3</v>
      </c>
      <c r="H182" s="465">
        <v>10</v>
      </c>
      <c r="I182" s="465">
        <v>28</v>
      </c>
      <c r="J182" s="465">
        <v>16</v>
      </c>
      <c r="K182" s="465">
        <v>0</v>
      </c>
      <c r="L182" s="440">
        <v>75</v>
      </c>
      <c r="M182" s="439"/>
      <c r="N182" s="438"/>
      <c r="O182" s="437">
        <v>0.18666666666666668</v>
      </c>
      <c r="P182" s="437">
        <v>0.04</v>
      </c>
      <c r="Q182" s="437">
        <v>0.13333333333333333</v>
      </c>
      <c r="R182" s="437">
        <v>0.37333333333333335</v>
      </c>
      <c r="S182" s="437">
        <v>0.21333333333333335</v>
      </c>
      <c r="T182" s="437">
        <v>0</v>
      </c>
      <c r="U182" s="437">
        <v>0.94666666666666677</v>
      </c>
    </row>
    <row r="183" spans="1:21" x14ac:dyDescent="0.2">
      <c r="A183" s="436"/>
      <c r="B183" s="434" t="s">
        <v>2796</v>
      </c>
      <c r="C183" s="434"/>
      <c r="D183" s="434" t="s">
        <v>2852</v>
      </c>
      <c r="E183" s="435">
        <v>0.5</v>
      </c>
      <c r="F183" s="435">
        <v>0.5</v>
      </c>
      <c r="G183" s="435">
        <v>0.66666666666666663</v>
      </c>
      <c r="H183" s="435">
        <v>0.3</v>
      </c>
      <c r="I183" s="435">
        <v>0.32142857142857145</v>
      </c>
      <c r="J183" s="435">
        <v>0.3125</v>
      </c>
      <c r="K183" s="435">
        <v>0</v>
      </c>
      <c r="L183" s="435">
        <v>0.37333333333333335</v>
      </c>
      <c r="M183" s="432">
        <v>0.342836118781431</v>
      </c>
      <c r="N183" s="431">
        <v>0.35121819244642133</v>
      </c>
      <c r="O183" s="430"/>
      <c r="P183" s="430"/>
      <c r="Q183" s="430"/>
      <c r="R183" s="430"/>
      <c r="S183" s="430"/>
      <c r="T183" s="430"/>
      <c r="U183" s="430"/>
    </row>
    <row r="184" spans="1:21" x14ac:dyDescent="0.2">
      <c r="A184" s="436"/>
      <c r="B184" s="434" t="s">
        <v>2796</v>
      </c>
      <c r="C184" s="434"/>
      <c r="D184" s="434" t="s">
        <v>2732</v>
      </c>
      <c r="E184" s="435">
        <v>0.5</v>
      </c>
      <c r="F184" s="435">
        <v>0.35714285714285715</v>
      </c>
      <c r="G184" s="435">
        <v>0.33333333333333331</v>
      </c>
      <c r="H184" s="435">
        <v>0.7</v>
      </c>
      <c r="I184" s="435">
        <v>0.6428571428571429</v>
      </c>
      <c r="J184" s="435">
        <v>0.625</v>
      </c>
      <c r="K184" s="435">
        <v>0</v>
      </c>
      <c r="L184" s="435">
        <v>0.57333333333333336</v>
      </c>
      <c r="M184" s="432">
        <v>0.60769019076868891</v>
      </c>
      <c r="N184" s="431">
        <v>0.60194671392769217</v>
      </c>
      <c r="O184" s="430"/>
      <c r="P184" s="430"/>
      <c r="Q184" s="430"/>
      <c r="R184" s="430"/>
      <c r="S184" s="430"/>
      <c r="T184" s="430"/>
      <c r="U184" s="430"/>
    </row>
    <row r="185" spans="1:21" x14ac:dyDescent="0.2">
      <c r="B185" s="434" t="s">
        <v>2796</v>
      </c>
      <c r="C185" s="434"/>
      <c r="D185" s="467" t="s">
        <v>2851</v>
      </c>
      <c r="E185" s="435">
        <v>0</v>
      </c>
      <c r="F185" s="435">
        <v>0.14285714285714285</v>
      </c>
      <c r="G185" s="435">
        <v>0</v>
      </c>
      <c r="H185" s="435">
        <v>0</v>
      </c>
      <c r="I185" s="435">
        <v>3.5714285714285712E-2</v>
      </c>
      <c r="J185" s="435">
        <v>6.25E-2</v>
      </c>
      <c r="K185" s="435">
        <v>0</v>
      </c>
      <c r="L185" s="435">
        <v>5.3333333333333337E-2</v>
      </c>
      <c r="M185" s="432">
        <v>4.9473690449880141E-2</v>
      </c>
      <c r="N185" s="431">
        <v>4.6835093625886538E-2</v>
      </c>
      <c r="O185" s="430"/>
      <c r="P185" s="430"/>
      <c r="Q185" s="430"/>
      <c r="R185" s="430"/>
      <c r="S185" s="430"/>
      <c r="T185" s="430"/>
      <c r="U185" s="430"/>
    </row>
    <row r="186" spans="1:21" x14ac:dyDescent="0.2">
      <c r="B186" s="434" t="s">
        <v>2796</v>
      </c>
      <c r="C186" s="434"/>
      <c r="D186" s="434" t="s">
        <v>2795</v>
      </c>
      <c r="E186" s="435">
        <v>1</v>
      </c>
      <c r="F186" s="435">
        <v>1</v>
      </c>
      <c r="G186" s="435">
        <v>1</v>
      </c>
      <c r="H186" s="435">
        <v>1</v>
      </c>
      <c r="I186" s="435">
        <v>1.0000000000000002</v>
      </c>
      <c r="J186" s="435">
        <v>1</v>
      </c>
      <c r="K186" s="435">
        <v>0</v>
      </c>
      <c r="L186" s="435">
        <v>1</v>
      </c>
      <c r="M186" s="432">
        <v>1</v>
      </c>
      <c r="N186" s="431">
        <v>1</v>
      </c>
      <c r="O186" s="430"/>
      <c r="P186" s="430"/>
      <c r="Q186" s="430"/>
      <c r="R186" s="430"/>
      <c r="S186" s="430"/>
      <c r="T186" s="430"/>
      <c r="U186" s="430"/>
    </row>
    <row r="187" spans="1:21" x14ac:dyDescent="0.2">
      <c r="A187" s="436" t="s">
        <v>2850</v>
      </c>
      <c r="B187" s="429"/>
      <c r="F187" s="466"/>
      <c r="G187" s="466"/>
      <c r="H187" s="466"/>
      <c r="I187" s="466"/>
      <c r="J187" s="466"/>
      <c r="K187" s="466"/>
      <c r="L187" s="466"/>
      <c r="M187" s="439"/>
      <c r="N187" s="438"/>
      <c r="O187" s="430"/>
      <c r="P187" s="430"/>
      <c r="Q187" s="430"/>
      <c r="R187" s="430"/>
      <c r="S187" s="430"/>
      <c r="T187" s="430"/>
      <c r="U187" s="430"/>
    </row>
    <row r="188" spans="1:21" x14ac:dyDescent="0.2">
      <c r="A188" s="436"/>
      <c r="B188" s="434" t="s">
        <v>2799</v>
      </c>
      <c r="C188" s="442">
        <v>1</v>
      </c>
      <c r="D188" s="442" t="s">
        <v>2798</v>
      </c>
      <c r="E188" s="440">
        <v>1</v>
      </c>
      <c r="F188" s="440">
        <v>3</v>
      </c>
      <c r="G188" s="440">
        <v>1</v>
      </c>
      <c r="H188" s="440">
        <v>5</v>
      </c>
      <c r="I188" s="440">
        <v>6</v>
      </c>
      <c r="J188" s="440">
        <v>2</v>
      </c>
      <c r="K188" s="440">
        <v>0</v>
      </c>
      <c r="L188" s="440">
        <v>18</v>
      </c>
      <c r="M188" s="439"/>
      <c r="N188" s="438"/>
      <c r="O188" s="430"/>
      <c r="P188" s="430"/>
      <c r="Q188" s="430"/>
      <c r="R188" s="430"/>
      <c r="S188" s="430"/>
      <c r="T188" s="430"/>
      <c r="U188" s="430"/>
    </row>
    <row r="189" spans="1:21" x14ac:dyDescent="0.2">
      <c r="A189" s="436"/>
      <c r="B189" s="434" t="s">
        <v>2799</v>
      </c>
      <c r="C189" s="442">
        <v>2</v>
      </c>
      <c r="D189" s="442" t="s">
        <v>2797</v>
      </c>
      <c r="E189" s="440">
        <v>1</v>
      </c>
      <c r="F189" s="440">
        <v>4</v>
      </c>
      <c r="G189" s="440">
        <v>0</v>
      </c>
      <c r="H189" s="440">
        <v>2</v>
      </c>
      <c r="I189" s="440">
        <v>13</v>
      </c>
      <c r="J189" s="440">
        <v>9</v>
      </c>
      <c r="K189" s="440">
        <v>0</v>
      </c>
      <c r="L189" s="440">
        <v>29</v>
      </c>
      <c r="M189" s="439"/>
      <c r="N189" s="438"/>
      <c r="O189" s="430"/>
      <c r="P189" s="430"/>
      <c r="Q189" s="430"/>
      <c r="R189" s="430"/>
      <c r="S189" s="430"/>
      <c r="T189" s="430"/>
      <c r="U189" s="430"/>
    </row>
    <row r="190" spans="1:21" x14ac:dyDescent="0.2">
      <c r="A190" s="436"/>
      <c r="B190" s="434" t="s">
        <v>2799</v>
      </c>
      <c r="C190" s="442">
        <v>3</v>
      </c>
      <c r="D190" s="442" t="s">
        <v>2810</v>
      </c>
      <c r="E190" s="440">
        <v>0</v>
      </c>
      <c r="F190" s="440">
        <v>0</v>
      </c>
      <c r="G190" s="440">
        <v>0</v>
      </c>
      <c r="H190" s="440">
        <v>0</v>
      </c>
      <c r="I190" s="440">
        <v>0</v>
      </c>
      <c r="J190" s="440">
        <v>0</v>
      </c>
      <c r="K190" s="440">
        <v>0</v>
      </c>
      <c r="L190" s="440">
        <v>0</v>
      </c>
      <c r="M190" s="439"/>
      <c r="N190" s="438"/>
      <c r="O190" s="430"/>
      <c r="P190" s="430"/>
      <c r="Q190" s="430"/>
      <c r="R190" s="430"/>
      <c r="S190" s="430"/>
      <c r="T190" s="430"/>
      <c r="U190" s="430"/>
    </row>
    <row r="191" spans="1:21" x14ac:dyDescent="0.2">
      <c r="A191" s="436"/>
      <c r="B191" s="434" t="s">
        <v>2799</v>
      </c>
      <c r="C191" s="443" t="s">
        <v>2</v>
      </c>
      <c r="D191" s="442" t="s">
        <v>2800</v>
      </c>
      <c r="E191" s="440">
        <v>180</v>
      </c>
      <c r="F191" s="440">
        <v>899</v>
      </c>
      <c r="G191" s="440">
        <v>113</v>
      </c>
      <c r="H191" s="440">
        <v>780</v>
      </c>
      <c r="I191" s="440">
        <v>1132</v>
      </c>
      <c r="J191" s="440">
        <v>348</v>
      </c>
      <c r="K191" s="440">
        <v>15</v>
      </c>
      <c r="L191" s="440">
        <v>3467</v>
      </c>
      <c r="M191" s="439"/>
      <c r="N191" s="438"/>
      <c r="O191" s="430"/>
      <c r="P191" s="430"/>
      <c r="Q191" s="430"/>
      <c r="R191" s="430"/>
      <c r="S191" s="430"/>
      <c r="T191" s="430"/>
      <c r="U191" s="430"/>
    </row>
    <row r="192" spans="1:21" x14ac:dyDescent="0.2">
      <c r="A192" s="436"/>
      <c r="B192" s="434" t="s">
        <v>2799</v>
      </c>
      <c r="C192" s="442"/>
      <c r="D192" s="442" t="s">
        <v>68</v>
      </c>
      <c r="E192" s="441">
        <v>182</v>
      </c>
      <c r="F192" s="441">
        <v>906</v>
      </c>
      <c r="G192" s="441">
        <v>114</v>
      </c>
      <c r="H192" s="441">
        <v>787</v>
      </c>
      <c r="I192" s="441">
        <v>1151</v>
      </c>
      <c r="J192" s="441">
        <v>359</v>
      </c>
      <c r="K192" s="441">
        <v>15</v>
      </c>
      <c r="L192" s="440">
        <v>3514</v>
      </c>
      <c r="M192" s="439"/>
      <c r="N192" s="438"/>
      <c r="O192" s="430"/>
      <c r="P192" s="430"/>
      <c r="Q192" s="430"/>
      <c r="R192" s="430"/>
      <c r="S192" s="430"/>
      <c r="T192" s="430"/>
      <c r="U192" s="430"/>
    </row>
    <row r="193" spans="1:21" x14ac:dyDescent="0.2">
      <c r="A193" s="436"/>
      <c r="B193" s="434" t="s">
        <v>2799</v>
      </c>
      <c r="C193" s="442"/>
      <c r="D193" s="442" t="s">
        <v>2795</v>
      </c>
      <c r="E193" s="465">
        <v>2</v>
      </c>
      <c r="F193" s="465">
        <v>7</v>
      </c>
      <c r="G193" s="465">
        <v>1</v>
      </c>
      <c r="H193" s="465">
        <v>7</v>
      </c>
      <c r="I193" s="465">
        <v>19</v>
      </c>
      <c r="J193" s="465">
        <v>11</v>
      </c>
      <c r="K193" s="465">
        <v>0</v>
      </c>
      <c r="L193" s="440">
        <v>47</v>
      </c>
      <c r="M193" s="439"/>
      <c r="N193" s="438"/>
      <c r="O193" s="437">
        <v>0.14893617021276595</v>
      </c>
      <c r="P193" s="437">
        <v>2.1276595744680851E-2</v>
      </c>
      <c r="Q193" s="437">
        <v>0.14893617021276595</v>
      </c>
      <c r="R193" s="437">
        <v>0.40425531914893614</v>
      </c>
      <c r="S193" s="437">
        <v>0.23404255319148937</v>
      </c>
      <c r="T193" s="437">
        <v>0</v>
      </c>
      <c r="U193" s="437">
        <v>0.95744680851063824</v>
      </c>
    </row>
    <row r="194" spans="1:21" x14ac:dyDescent="0.2">
      <c r="A194" s="436"/>
      <c r="B194" s="434" t="s">
        <v>2796</v>
      </c>
      <c r="C194" s="434"/>
      <c r="D194" s="434" t="s">
        <v>2798</v>
      </c>
      <c r="E194" s="435">
        <v>0.5</v>
      </c>
      <c r="F194" s="435">
        <v>0.42857142857142855</v>
      </c>
      <c r="G194" s="435">
        <v>1</v>
      </c>
      <c r="H194" s="435">
        <v>0.7142857142857143</v>
      </c>
      <c r="I194" s="435">
        <v>0.31578947368421051</v>
      </c>
      <c r="J194" s="435">
        <v>0.18181818181818182</v>
      </c>
      <c r="K194" s="435">
        <v>0</v>
      </c>
      <c r="L194" s="435">
        <v>0.38297872340425532</v>
      </c>
      <c r="M194" s="432">
        <v>0.34111771470194346</v>
      </c>
      <c r="N194" s="431">
        <v>0.34787866301249909</v>
      </c>
      <c r="O194" s="430"/>
      <c r="P194" s="430"/>
      <c r="Q194" s="430"/>
      <c r="R194" s="430"/>
      <c r="S194" s="430"/>
      <c r="T194" s="430"/>
      <c r="U194" s="430"/>
    </row>
    <row r="195" spans="1:21" x14ac:dyDescent="0.2">
      <c r="A195" s="436"/>
      <c r="B195" s="434" t="s">
        <v>2796</v>
      </c>
      <c r="C195" s="434"/>
      <c r="D195" s="434" t="s">
        <v>2797</v>
      </c>
      <c r="E195" s="435">
        <v>0.5</v>
      </c>
      <c r="F195" s="435">
        <v>0.5714285714285714</v>
      </c>
      <c r="G195" s="435">
        <v>0</v>
      </c>
      <c r="H195" s="435">
        <v>0.2857142857142857</v>
      </c>
      <c r="I195" s="435">
        <v>0.68421052631578949</v>
      </c>
      <c r="J195" s="435">
        <v>0.81818181818181823</v>
      </c>
      <c r="K195" s="435">
        <v>0</v>
      </c>
      <c r="L195" s="435">
        <v>0.61702127659574468</v>
      </c>
      <c r="M195" s="432">
        <v>0.6588822852980567</v>
      </c>
      <c r="N195" s="431">
        <v>0.65212133698750108</v>
      </c>
      <c r="O195" s="430"/>
      <c r="P195" s="430"/>
      <c r="Q195" s="430"/>
      <c r="R195" s="430"/>
      <c r="S195" s="430"/>
      <c r="T195" s="430"/>
      <c r="U195" s="430"/>
    </row>
    <row r="196" spans="1:21" x14ac:dyDescent="0.2">
      <c r="A196" s="436"/>
      <c r="B196" s="434" t="s">
        <v>2796</v>
      </c>
      <c r="C196" s="434"/>
      <c r="D196" s="434" t="s">
        <v>2795</v>
      </c>
      <c r="E196" s="433">
        <v>1</v>
      </c>
      <c r="F196" s="433">
        <v>1</v>
      </c>
      <c r="G196" s="433">
        <v>1</v>
      </c>
      <c r="H196" s="433">
        <v>1</v>
      </c>
      <c r="I196" s="433">
        <v>1</v>
      </c>
      <c r="J196" s="433">
        <v>1</v>
      </c>
      <c r="K196" s="433">
        <v>0</v>
      </c>
      <c r="L196" s="433">
        <v>1</v>
      </c>
      <c r="M196" s="432">
        <v>1.0000000000000002</v>
      </c>
      <c r="N196" s="431">
        <v>1.0000000000000002</v>
      </c>
      <c r="O196" s="430"/>
      <c r="P196" s="430"/>
      <c r="Q196" s="430"/>
      <c r="R196" s="430"/>
      <c r="S196" s="430"/>
      <c r="T196" s="430"/>
      <c r="U196" s="430"/>
    </row>
    <row r="197" spans="1:21" x14ac:dyDescent="0.2">
      <c r="A197" s="436"/>
      <c r="B197" s="434"/>
      <c r="C197" s="434"/>
      <c r="D197" s="434"/>
      <c r="E197" s="434"/>
      <c r="F197" s="433"/>
      <c r="G197" s="433"/>
      <c r="H197" s="433"/>
      <c r="I197" s="433"/>
      <c r="J197" s="433"/>
      <c r="K197" s="433"/>
      <c r="M197" s="439"/>
      <c r="N197" s="438"/>
      <c r="O197" s="430"/>
      <c r="P197" s="430"/>
      <c r="Q197" s="430"/>
      <c r="R197" s="430"/>
      <c r="S197" s="430"/>
      <c r="T197" s="430"/>
      <c r="U197" s="430"/>
    </row>
    <row r="198" spans="1:21" x14ac:dyDescent="0.2">
      <c r="A198" s="436" t="s">
        <v>2849</v>
      </c>
      <c r="B198" s="434" t="s">
        <v>2559</v>
      </c>
      <c r="C198" s="434"/>
      <c r="D198" s="434" t="s">
        <v>2805</v>
      </c>
      <c r="E198" s="461">
        <v>3.2492487931780198</v>
      </c>
      <c r="F198" s="461">
        <v>3.5178203360070599</v>
      </c>
      <c r="G198" s="461">
        <v>3.9444444444444446</v>
      </c>
      <c r="H198" s="461">
        <v>4.6878018008545359</v>
      </c>
      <c r="I198" s="461">
        <v>3.5898696334513902</v>
      </c>
      <c r="J198" s="461">
        <v>3.8292787215564479</v>
      </c>
      <c r="K198" s="461">
        <v>5.0758122743682312</v>
      </c>
      <c r="L198" s="461">
        <v>3.9091604222752383</v>
      </c>
      <c r="M198" s="460">
        <v>3.8865950164060235</v>
      </c>
      <c r="N198" s="459">
        <v>3.853585052653179</v>
      </c>
      <c r="O198" s="430"/>
      <c r="P198" s="430"/>
      <c r="Q198" s="430"/>
      <c r="R198" s="430"/>
      <c r="S198" s="430"/>
      <c r="T198" s="430"/>
      <c r="U198" s="430"/>
    </row>
    <row r="199" spans="1:21" x14ac:dyDescent="0.2">
      <c r="A199" s="436" t="s">
        <v>2848</v>
      </c>
      <c r="B199" s="434" t="s">
        <v>2559</v>
      </c>
      <c r="C199" s="434"/>
      <c r="D199" s="434" t="s">
        <v>2805</v>
      </c>
      <c r="E199" s="461">
        <v>2.9635396001347272</v>
      </c>
      <c r="F199" s="461">
        <v>3.1391152254832773</v>
      </c>
      <c r="G199" s="461">
        <v>3.3166666666666669</v>
      </c>
      <c r="H199" s="461">
        <v>4.2002881695633443</v>
      </c>
      <c r="I199" s="461">
        <v>3.320369344170623</v>
      </c>
      <c r="J199" s="461">
        <v>3.4866658100307242</v>
      </c>
      <c r="K199" s="461">
        <v>4.666666666666667</v>
      </c>
      <c r="L199" s="461">
        <v>3.5494080997917501</v>
      </c>
      <c r="M199" s="460">
        <v>3.5120018475966237</v>
      </c>
      <c r="N199" s="459">
        <v>3.483595436373498</v>
      </c>
      <c r="O199" s="430"/>
      <c r="P199" s="430"/>
      <c r="Q199" s="430"/>
      <c r="R199" s="430"/>
      <c r="S199" s="430"/>
      <c r="T199" s="430"/>
      <c r="U199" s="430"/>
    </row>
    <row r="200" spans="1:21" x14ac:dyDescent="0.2">
      <c r="A200" s="436" t="s">
        <v>2847</v>
      </c>
      <c r="B200" s="434" t="s">
        <v>2559</v>
      </c>
      <c r="C200" s="434"/>
      <c r="D200" s="434" t="s">
        <v>2805</v>
      </c>
      <c r="E200" s="464">
        <v>1.6455177854274241</v>
      </c>
      <c r="F200" s="464">
        <v>2.3203235294117648</v>
      </c>
      <c r="G200" s="464">
        <v>0.59166666666666667</v>
      </c>
      <c r="H200" s="464">
        <v>2.6105646154977591</v>
      </c>
      <c r="I200" s="464">
        <v>1.8433076386637877</v>
      </c>
      <c r="J200" s="464">
        <v>1.1092857142857142</v>
      </c>
      <c r="K200" s="464">
        <v>2.2499999999999999E-2</v>
      </c>
      <c r="L200" s="464">
        <v>2.1207063329973828</v>
      </c>
      <c r="M200" s="463">
        <v>1.9894863936297014</v>
      </c>
      <c r="N200" s="462">
        <v>1.9716712864319739</v>
      </c>
      <c r="O200" s="430"/>
      <c r="P200" s="430"/>
      <c r="Q200" s="430"/>
      <c r="R200" s="430"/>
      <c r="S200" s="430"/>
      <c r="T200" s="430"/>
      <c r="U200" s="430"/>
    </row>
    <row r="201" spans="1:21" x14ac:dyDescent="0.2">
      <c r="A201" s="436" t="s">
        <v>2846</v>
      </c>
      <c r="B201" s="434" t="s">
        <v>2559</v>
      </c>
      <c r="C201" s="434"/>
      <c r="D201" s="434" t="s">
        <v>2805</v>
      </c>
      <c r="E201" s="464">
        <v>1.4380808950086059</v>
      </c>
      <c r="F201" s="464">
        <v>1.9803235294117647</v>
      </c>
      <c r="G201" s="464">
        <v>0.40833333333333333</v>
      </c>
      <c r="H201" s="464">
        <v>2.1443229181450585</v>
      </c>
      <c r="I201" s="464">
        <v>1.5656601692864676</v>
      </c>
      <c r="J201" s="464">
        <v>1.0092857142857143</v>
      </c>
      <c r="K201" s="464">
        <v>2.1250000000000002E-2</v>
      </c>
      <c r="L201" s="464">
        <v>1.7754439626745091</v>
      </c>
      <c r="M201" s="463">
        <v>1.6783939398812548</v>
      </c>
      <c r="N201" s="462">
        <v>1.6659474475173328</v>
      </c>
      <c r="O201" s="430"/>
      <c r="P201" s="430"/>
      <c r="Q201" s="430"/>
      <c r="R201" s="430"/>
      <c r="S201" s="430"/>
      <c r="T201" s="430"/>
      <c r="U201" s="430"/>
    </row>
    <row r="202" spans="1:21" x14ac:dyDescent="0.2">
      <c r="A202" s="436" t="s">
        <v>2845</v>
      </c>
      <c r="B202" s="434" t="s">
        <v>2559</v>
      </c>
      <c r="C202" s="434"/>
      <c r="D202" s="434" t="s">
        <v>2805</v>
      </c>
      <c r="E202" s="461">
        <v>1.6666666666666667</v>
      </c>
      <c r="F202" s="461">
        <v>1.8602941176470589</v>
      </c>
      <c r="G202" s="461">
        <v>5</v>
      </c>
      <c r="H202" s="461">
        <v>3.2</v>
      </c>
      <c r="I202" s="461">
        <v>2.2895927601809953</v>
      </c>
      <c r="J202" s="461">
        <v>2.9499999999999997</v>
      </c>
      <c r="K202" s="461" t="s">
        <v>65</v>
      </c>
      <c r="L202" s="461">
        <v>2.5827264239028946</v>
      </c>
      <c r="M202" s="460">
        <v>2.6083730952741901</v>
      </c>
      <c r="N202" s="459">
        <v>2.5595994555455137</v>
      </c>
      <c r="O202" s="430"/>
      <c r="P202" s="430"/>
      <c r="Q202" s="430"/>
      <c r="R202" s="430"/>
      <c r="S202" s="430"/>
      <c r="T202" s="430"/>
      <c r="U202" s="430"/>
    </row>
    <row r="203" spans="1:21" x14ac:dyDescent="0.2">
      <c r="A203" s="436" t="s">
        <v>2844</v>
      </c>
      <c r="B203" s="434" t="s">
        <v>2559</v>
      </c>
      <c r="C203" s="434"/>
      <c r="D203" s="434" t="s">
        <v>2805</v>
      </c>
      <c r="E203" s="461">
        <v>0.75</v>
      </c>
      <c r="F203" s="461">
        <v>1.599264705882353</v>
      </c>
      <c r="G203" s="461">
        <v>4.75</v>
      </c>
      <c r="H203" s="461">
        <v>2.4</v>
      </c>
      <c r="I203" s="461">
        <v>2.0164027149321266</v>
      </c>
      <c r="J203" s="461">
        <v>2.1107142857142858</v>
      </c>
      <c r="K203" s="461" t="s">
        <v>65</v>
      </c>
      <c r="L203" s="461">
        <v>2.0717553688141921</v>
      </c>
      <c r="M203" s="460">
        <v>2.1444234459327927</v>
      </c>
      <c r="N203" s="459">
        <v>2.0722023112828873</v>
      </c>
      <c r="O203" s="430"/>
      <c r="P203" s="430"/>
      <c r="Q203" s="430"/>
      <c r="R203" s="430"/>
      <c r="S203" s="430"/>
      <c r="T203" s="430"/>
      <c r="U203" s="430"/>
    </row>
    <row r="204" spans="1:21" x14ac:dyDescent="0.2">
      <c r="A204" s="436" t="s">
        <v>2843</v>
      </c>
      <c r="B204" s="434" t="s">
        <v>2559</v>
      </c>
      <c r="C204" s="434"/>
      <c r="D204" s="434" t="s">
        <v>2805</v>
      </c>
      <c r="E204" s="461">
        <v>18</v>
      </c>
      <c r="F204" s="461">
        <v>3.2856558029192193</v>
      </c>
      <c r="G204" s="461" t="s">
        <v>65</v>
      </c>
      <c r="H204" s="461">
        <v>8.9844850104257841</v>
      </c>
      <c r="I204" s="461">
        <v>12.276127782841222</v>
      </c>
      <c r="J204" s="461">
        <v>7.8</v>
      </c>
      <c r="K204" s="461">
        <v>20</v>
      </c>
      <c r="L204" s="461">
        <v>9.9651145399226753</v>
      </c>
      <c r="M204" s="460">
        <v>8.6014379329890769</v>
      </c>
      <c r="N204" s="459">
        <v>9.0882160480135461</v>
      </c>
      <c r="O204" s="430"/>
      <c r="P204" s="430"/>
      <c r="Q204" s="430"/>
      <c r="R204" s="430"/>
      <c r="S204" s="430"/>
      <c r="T204" s="430"/>
      <c r="U204" s="430"/>
    </row>
    <row r="205" spans="1:21" x14ac:dyDescent="0.2">
      <c r="A205" s="436" t="s">
        <v>2842</v>
      </c>
      <c r="B205" s="434" t="s">
        <v>2559</v>
      </c>
      <c r="C205" s="434"/>
      <c r="D205" s="434" t="s">
        <v>2805</v>
      </c>
      <c r="E205" s="461">
        <v>17</v>
      </c>
      <c r="F205" s="461">
        <v>2.6983607137059731</v>
      </c>
      <c r="G205" s="461" t="s">
        <v>65</v>
      </c>
      <c r="H205" s="461">
        <v>8.5848947688552855</v>
      </c>
      <c r="I205" s="461">
        <v>11.451844860092846</v>
      </c>
      <c r="J205" s="461">
        <v>7</v>
      </c>
      <c r="K205" s="461">
        <v>15</v>
      </c>
      <c r="L205" s="461">
        <v>9.2090414480555953</v>
      </c>
      <c r="M205" s="460">
        <v>7.9279989225796141</v>
      </c>
      <c r="N205" s="459">
        <v>8.3978635202149334</v>
      </c>
      <c r="O205" s="430"/>
      <c r="P205" s="430"/>
      <c r="Q205" s="430"/>
      <c r="R205" s="430"/>
      <c r="S205" s="430"/>
      <c r="T205" s="430"/>
      <c r="U205" s="430"/>
    </row>
    <row r="206" spans="1:21" x14ac:dyDescent="0.2">
      <c r="A206" s="436" t="s">
        <v>2841</v>
      </c>
      <c r="B206" s="434" t="s">
        <v>2559</v>
      </c>
      <c r="C206" s="434"/>
      <c r="D206" s="434" t="s">
        <v>2805</v>
      </c>
      <c r="E206" s="446">
        <v>1042.3908771349754</v>
      </c>
      <c r="F206" s="446">
        <v>1130.0483484057108</v>
      </c>
      <c r="G206" s="446">
        <v>1067.4442931704468</v>
      </c>
      <c r="H206" s="446">
        <v>1120.7394589790315</v>
      </c>
      <c r="I206" s="446">
        <v>1159.4678868081446</v>
      </c>
      <c r="J206" s="446">
        <v>1143.7585976097755</v>
      </c>
      <c r="K206" s="446">
        <v>730</v>
      </c>
      <c r="L206" s="446">
        <v>1132.9786852010022</v>
      </c>
      <c r="M206" s="455">
        <v>1134.8457651489994</v>
      </c>
      <c r="N206" s="454">
        <v>1130.0572649729743</v>
      </c>
      <c r="O206" s="430"/>
      <c r="P206" s="430"/>
      <c r="Q206" s="430"/>
      <c r="R206" s="430"/>
      <c r="S206" s="430"/>
      <c r="T206" s="430"/>
      <c r="U206" s="430"/>
    </row>
    <row r="207" spans="1:21" x14ac:dyDescent="0.2">
      <c r="A207" s="436" t="s">
        <v>2840</v>
      </c>
      <c r="B207" s="434" t="s">
        <v>2559</v>
      </c>
      <c r="C207" s="434"/>
      <c r="D207" s="434" t="s">
        <v>2805</v>
      </c>
      <c r="E207" s="446">
        <v>846.69910947497078</v>
      </c>
      <c r="F207" s="446">
        <v>873.79814547423143</v>
      </c>
      <c r="G207" s="446">
        <v>855.8158996526364</v>
      </c>
      <c r="H207" s="446">
        <v>877.50712273878071</v>
      </c>
      <c r="I207" s="446">
        <v>902.99279431443415</v>
      </c>
      <c r="J207" s="446">
        <v>887.50153546296565</v>
      </c>
      <c r="K207" s="446">
        <v>606.85714285714289</v>
      </c>
      <c r="L207" s="446">
        <v>883.61517938798693</v>
      </c>
      <c r="M207" s="455">
        <v>884.3094205864337</v>
      </c>
      <c r="N207" s="454">
        <v>882.36147618623852</v>
      </c>
      <c r="O207" s="430"/>
      <c r="P207" s="430"/>
      <c r="Q207" s="430"/>
      <c r="R207" s="430"/>
      <c r="S207" s="430"/>
      <c r="T207" s="430"/>
      <c r="U207" s="430"/>
    </row>
    <row r="208" spans="1:21" x14ac:dyDescent="0.2">
      <c r="A208" s="436" t="s">
        <v>2839</v>
      </c>
      <c r="B208" s="434" t="s">
        <v>2559</v>
      </c>
      <c r="C208" s="434"/>
      <c r="D208" s="434" t="s">
        <v>2805</v>
      </c>
      <c r="E208" s="446">
        <v>269.82649071358748</v>
      </c>
      <c r="F208" s="446">
        <v>441.8308778234404</v>
      </c>
      <c r="G208" s="446">
        <v>28.333333333333332</v>
      </c>
      <c r="H208" s="446">
        <v>261.35000228427134</v>
      </c>
      <c r="I208" s="446">
        <v>342.2513744020136</v>
      </c>
      <c r="J208" s="446">
        <v>276.63636363636363</v>
      </c>
      <c r="K208" s="446" t="s">
        <v>65</v>
      </c>
      <c r="L208" s="446">
        <v>315.38807046865361</v>
      </c>
      <c r="M208" s="455">
        <v>324.87099659284775</v>
      </c>
      <c r="N208" s="454">
        <v>322.02008592977847</v>
      </c>
      <c r="O208" s="430"/>
      <c r="P208" s="430"/>
      <c r="Q208" s="430"/>
      <c r="R208" s="430"/>
      <c r="S208" s="430"/>
      <c r="T208" s="430"/>
      <c r="U208" s="430"/>
    </row>
    <row r="209" spans="1:21" x14ac:dyDescent="0.2">
      <c r="A209" s="436" t="s">
        <v>2838</v>
      </c>
      <c r="B209" s="434" t="s">
        <v>2559</v>
      </c>
      <c r="C209" s="434"/>
      <c r="D209" s="434" t="s">
        <v>2805</v>
      </c>
      <c r="E209" s="446">
        <v>243.43628269337785</v>
      </c>
      <c r="F209" s="446">
        <v>292.71470225875248</v>
      </c>
      <c r="G209" s="446">
        <v>28.333333333333332</v>
      </c>
      <c r="H209" s="446">
        <v>171.66889071630595</v>
      </c>
      <c r="I209" s="446">
        <v>289.11780496343772</v>
      </c>
      <c r="J209" s="446">
        <v>130.27272727272728</v>
      </c>
      <c r="K209" s="446" t="s">
        <v>65</v>
      </c>
      <c r="L209" s="446">
        <v>222.53878437670039</v>
      </c>
      <c r="M209" s="455">
        <v>230.44220817580489</v>
      </c>
      <c r="N209" s="454">
        <v>231.11520805121705</v>
      </c>
      <c r="O209" s="430"/>
      <c r="P209" s="430"/>
      <c r="Q209" s="430"/>
      <c r="R209" s="430"/>
      <c r="S209" s="430"/>
      <c r="T209" s="430"/>
      <c r="U209" s="430"/>
    </row>
    <row r="210" spans="1:21" x14ac:dyDescent="0.2">
      <c r="A210" s="436" t="s">
        <v>2837</v>
      </c>
      <c r="B210" s="434" t="s">
        <v>2559</v>
      </c>
      <c r="C210" s="434"/>
      <c r="D210" s="434" t="s">
        <v>2805</v>
      </c>
      <c r="E210" s="446">
        <v>440.0707211060257</v>
      </c>
      <c r="F210" s="446">
        <v>495.93505925569599</v>
      </c>
      <c r="G210" s="446">
        <v>124</v>
      </c>
      <c r="H210" s="446">
        <v>413.081518561824</v>
      </c>
      <c r="I210" s="446">
        <v>359.08565472928933</v>
      </c>
      <c r="J210" s="446">
        <v>505.13656192664826</v>
      </c>
      <c r="K210" s="446">
        <v>192.5</v>
      </c>
      <c r="L210" s="446">
        <v>408.60457787210515</v>
      </c>
      <c r="M210" s="455">
        <v>411.55735456479351</v>
      </c>
      <c r="N210" s="454">
        <v>413.03414247330358</v>
      </c>
      <c r="O210" s="430"/>
      <c r="P210" s="430"/>
      <c r="Q210" s="430"/>
      <c r="R210" s="430"/>
      <c r="S210" s="430"/>
      <c r="T210" s="430"/>
      <c r="U210" s="430"/>
    </row>
    <row r="211" spans="1:21" x14ac:dyDescent="0.2">
      <c r="A211" s="436" t="s">
        <v>2836</v>
      </c>
      <c r="B211" s="434" t="s">
        <v>2559</v>
      </c>
      <c r="C211" s="434"/>
      <c r="D211" s="434" t="s">
        <v>2805</v>
      </c>
      <c r="E211" s="446">
        <v>371.17741935483872</v>
      </c>
      <c r="F211" s="446">
        <v>429.80769230769232</v>
      </c>
      <c r="G211" s="446">
        <v>112</v>
      </c>
      <c r="H211" s="446">
        <v>362.92705716878481</v>
      </c>
      <c r="I211" s="446">
        <v>310.37116114510559</v>
      </c>
      <c r="J211" s="446">
        <v>471.04575127390473</v>
      </c>
      <c r="K211" s="446">
        <v>154</v>
      </c>
      <c r="L211" s="446">
        <v>359.12037250127622</v>
      </c>
      <c r="M211" s="455">
        <v>361.72188745902974</v>
      </c>
      <c r="N211" s="454">
        <v>362.2116162026374</v>
      </c>
      <c r="O211" s="430"/>
      <c r="P211" s="430"/>
      <c r="Q211" s="430"/>
      <c r="R211" s="430"/>
      <c r="S211" s="430"/>
      <c r="T211" s="430"/>
      <c r="U211" s="430"/>
    </row>
    <row r="212" spans="1:21" x14ac:dyDescent="0.2">
      <c r="A212" s="436" t="s">
        <v>2835</v>
      </c>
      <c r="B212" s="434" t="s">
        <v>2559</v>
      </c>
      <c r="C212" s="434"/>
      <c r="D212" s="434" t="s">
        <v>2805</v>
      </c>
      <c r="E212" s="458">
        <v>2733.3333333333335</v>
      </c>
      <c r="F212" s="458">
        <v>4084.5238095238096</v>
      </c>
      <c r="G212" s="458">
        <v>2132.3076923076924</v>
      </c>
      <c r="H212" s="458">
        <v>1966.6666666666667</v>
      </c>
      <c r="I212" s="458">
        <v>2691.6666666666665</v>
      </c>
      <c r="J212" s="458">
        <v>1350</v>
      </c>
      <c r="K212" s="458">
        <v>1320</v>
      </c>
      <c r="L212" s="458">
        <v>2849.7540983606559</v>
      </c>
      <c r="M212" s="457">
        <v>2667.8830721335376</v>
      </c>
      <c r="N212" s="456">
        <v>2671.2729262992643</v>
      </c>
      <c r="O212" s="430"/>
      <c r="P212" s="430"/>
      <c r="Q212" s="430"/>
      <c r="R212" s="430"/>
      <c r="S212" s="430"/>
      <c r="T212" s="430"/>
      <c r="U212" s="430"/>
    </row>
    <row r="213" spans="1:21" x14ac:dyDescent="0.2">
      <c r="A213" s="436" t="s">
        <v>2834</v>
      </c>
      <c r="B213" s="434" t="s">
        <v>2559</v>
      </c>
      <c r="C213" s="434"/>
      <c r="D213" s="434" t="s">
        <v>2805</v>
      </c>
      <c r="E213" s="458">
        <v>2276.6666666666665</v>
      </c>
      <c r="F213" s="458">
        <v>2846.1904761904761</v>
      </c>
      <c r="G213" s="458">
        <v>1675.3846153846155</v>
      </c>
      <c r="H213" s="458">
        <v>1283.3333333333333</v>
      </c>
      <c r="I213" s="458">
        <v>2156.25</v>
      </c>
      <c r="J213" s="458">
        <v>1128.75</v>
      </c>
      <c r="K213" s="458">
        <v>915</v>
      </c>
      <c r="L213" s="458">
        <v>2103.2786885245901</v>
      </c>
      <c r="M213" s="457">
        <v>1966.0024902368634</v>
      </c>
      <c r="N213" s="456">
        <v>1982.0926667053393</v>
      </c>
      <c r="O213" s="430"/>
      <c r="P213" s="430"/>
      <c r="Q213" s="430"/>
      <c r="R213" s="430"/>
      <c r="S213" s="430"/>
      <c r="T213" s="430"/>
      <c r="U213" s="430"/>
    </row>
    <row r="214" spans="1:21" x14ac:dyDescent="0.2">
      <c r="A214" s="436" t="s">
        <v>2833</v>
      </c>
      <c r="B214" s="434" t="s">
        <v>2559</v>
      </c>
      <c r="C214" s="434"/>
      <c r="D214" s="434" t="s">
        <v>2805</v>
      </c>
      <c r="E214" s="461">
        <v>1.625</v>
      </c>
      <c r="F214" s="461">
        <v>3.2399999999999998</v>
      </c>
      <c r="G214" s="461">
        <v>1.375</v>
      </c>
      <c r="H214" s="461">
        <v>10.34375</v>
      </c>
      <c r="I214" s="461">
        <v>7.333333333333333</v>
      </c>
      <c r="J214" s="461">
        <v>5.6428571428571432</v>
      </c>
      <c r="K214" s="461" t="s">
        <v>65</v>
      </c>
      <c r="L214" s="461">
        <v>6.6796052631578942</v>
      </c>
      <c r="M214" s="460">
        <v>6.5611010235023679</v>
      </c>
      <c r="N214" s="459">
        <v>6.3054463888189787</v>
      </c>
      <c r="O214" s="430"/>
      <c r="P214" s="430"/>
      <c r="Q214" s="430"/>
      <c r="R214" s="430"/>
      <c r="S214" s="430"/>
      <c r="T214" s="430"/>
      <c r="U214" s="430"/>
    </row>
    <row r="215" spans="1:21" x14ac:dyDescent="0.2">
      <c r="A215" s="436" t="s">
        <v>2832</v>
      </c>
      <c r="B215" s="434" t="s">
        <v>2559</v>
      </c>
      <c r="C215" s="434"/>
      <c r="D215" s="434" t="s">
        <v>2805</v>
      </c>
      <c r="E215" s="461">
        <v>1.075</v>
      </c>
      <c r="F215" s="461">
        <v>3.1920000000000002</v>
      </c>
      <c r="G215" s="461">
        <v>0.70833333333333337</v>
      </c>
      <c r="H215" s="461">
        <v>8.1843749999999993</v>
      </c>
      <c r="I215" s="461">
        <v>5.666666666666667</v>
      </c>
      <c r="J215" s="461">
        <v>5.6428571428571432</v>
      </c>
      <c r="K215" s="461" t="s">
        <v>65</v>
      </c>
      <c r="L215" s="461">
        <v>5.5219736842105256</v>
      </c>
      <c r="M215" s="460">
        <v>5.4245072064770001</v>
      </c>
      <c r="N215" s="459">
        <v>5.1992339248666379</v>
      </c>
      <c r="O215" s="430"/>
      <c r="P215" s="430"/>
      <c r="Q215" s="430"/>
      <c r="R215" s="430"/>
      <c r="S215" s="430"/>
      <c r="T215" s="430"/>
      <c r="U215" s="430"/>
    </row>
    <row r="216" spans="1:21" x14ac:dyDescent="0.2">
      <c r="A216" s="436" t="s">
        <v>2831</v>
      </c>
      <c r="B216" s="434" t="s">
        <v>2559</v>
      </c>
      <c r="C216" s="434"/>
      <c r="D216" s="434" t="s">
        <v>2805</v>
      </c>
      <c r="E216" s="458">
        <v>1429.094674556213</v>
      </c>
      <c r="F216" s="458">
        <v>3142.8571428571427</v>
      </c>
      <c r="G216" s="458">
        <v>801.27810650887579</v>
      </c>
      <c r="H216" s="458">
        <v>720.5</v>
      </c>
      <c r="I216" s="458">
        <v>4000</v>
      </c>
      <c r="J216" s="458">
        <v>200</v>
      </c>
      <c r="K216" s="458" t="s">
        <v>65</v>
      </c>
      <c r="L216" s="458">
        <v>2411.5405019383802</v>
      </c>
      <c r="M216" s="457">
        <v>2392.196010301248</v>
      </c>
      <c r="N216" s="456">
        <v>2342.3142678124614</v>
      </c>
      <c r="O216" s="430"/>
      <c r="P216" s="430"/>
      <c r="Q216" s="430"/>
      <c r="R216" s="430"/>
      <c r="S216" s="430"/>
      <c r="T216" s="430"/>
      <c r="U216" s="430"/>
    </row>
    <row r="217" spans="1:21" x14ac:dyDescent="0.2">
      <c r="A217" s="436" t="s">
        <v>2830</v>
      </c>
      <c r="B217" s="434" t="s">
        <v>2559</v>
      </c>
      <c r="C217" s="434"/>
      <c r="D217" s="434" t="s">
        <v>2805</v>
      </c>
      <c r="E217" s="458">
        <v>803.1</v>
      </c>
      <c r="F217" s="458">
        <v>1811.4285714285713</v>
      </c>
      <c r="G217" s="458">
        <v>574</v>
      </c>
      <c r="H217" s="458">
        <v>505</v>
      </c>
      <c r="I217" s="458">
        <v>3875</v>
      </c>
      <c r="J217" s="458">
        <v>200</v>
      </c>
      <c r="K217" s="458" t="s">
        <v>65</v>
      </c>
      <c r="L217" s="458">
        <v>1632.7344827586207</v>
      </c>
      <c r="M217" s="457">
        <v>1957.3150020602873</v>
      </c>
      <c r="N217" s="456">
        <v>1897.534942192623</v>
      </c>
      <c r="O217" s="430"/>
      <c r="P217" s="430"/>
      <c r="Q217" s="430"/>
      <c r="R217" s="430"/>
      <c r="S217" s="430"/>
      <c r="T217" s="430"/>
      <c r="U217" s="430"/>
    </row>
    <row r="218" spans="1:21" x14ac:dyDescent="0.2">
      <c r="A218" s="436"/>
      <c r="B218" s="434"/>
      <c r="C218" s="434"/>
      <c r="D218" s="434"/>
      <c r="E218" s="446"/>
      <c r="F218" s="446"/>
      <c r="G218" s="446"/>
      <c r="H218" s="446"/>
      <c r="I218" s="446"/>
      <c r="J218" s="446"/>
      <c r="K218" s="446"/>
      <c r="L218" s="446"/>
      <c r="M218" s="455"/>
      <c r="N218" s="454"/>
      <c r="O218" s="430"/>
      <c r="P218" s="430"/>
      <c r="Q218" s="430"/>
      <c r="R218" s="430"/>
      <c r="S218" s="430"/>
      <c r="T218" s="430"/>
      <c r="U218" s="430"/>
    </row>
    <row r="219" spans="1:21" x14ac:dyDescent="0.2">
      <c r="A219" s="436" t="s">
        <v>2829</v>
      </c>
      <c r="B219" s="434" t="s">
        <v>2799</v>
      </c>
      <c r="C219" s="442">
        <v>1</v>
      </c>
      <c r="D219" s="442" t="s">
        <v>2827</v>
      </c>
      <c r="E219" s="440">
        <v>2</v>
      </c>
      <c r="F219" s="440">
        <v>16</v>
      </c>
      <c r="G219" s="440">
        <v>1</v>
      </c>
      <c r="H219" s="440">
        <v>16</v>
      </c>
      <c r="I219" s="440">
        <v>25</v>
      </c>
      <c r="J219" s="440">
        <v>8</v>
      </c>
      <c r="K219" s="440">
        <v>1</v>
      </c>
      <c r="L219" s="440">
        <v>69</v>
      </c>
      <c r="M219" s="439"/>
      <c r="N219" s="438"/>
      <c r="O219" s="430"/>
      <c r="P219" s="430"/>
      <c r="Q219" s="430"/>
      <c r="R219" s="430"/>
      <c r="S219" s="430"/>
      <c r="T219" s="430"/>
      <c r="U219" s="430"/>
    </row>
    <row r="220" spans="1:21" x14ac:dyDescent="0.2">
      <c r="A220" s="436"/>
      <c r="B220" s="434" t="s">
        <v>2799</v>
      </c>
      <c r="C220" s="442">
        <v>2</v>
      </c>
      <c r="D220" s="442" t="s">
        <v>2826</v>
      </c>
      <c r="E220" s="440">
        <v>3</v>
      </c>
      <c r="F220" s="440">
        <v>21</v>
      </c>
      <c r="G220" s="440">
        <v>2</v>
      </c>
      <c r="H220" s="440">
        <v>20</v>
      </c>
      <c r="I220" s="440">
        <v>12</v>
      </c>
      <c r="J220" s="440">
        <v>6</v>
      </c>
      <c r="K220" s="440">
        <v>0</v>
      </c>
      <c r="L220" s="440">
        <v>64</v>
      </c>
      <c r="M220" s="439"/>
      <c r="N220" s="438"/>
      <c r="O220" s="430"/>
      <c r="P220" s="430"/>
      <c r="Q220" s="430"/>
      <c r="R220" s="430"/>
      <c r="S220" s="430"/>
      <c r="T220" s="430"/>
      <c r="U220" s="430"/>
    </row>
    <row r="221" spans="1:21" x14ac:dyDescent="0.2">
      <c r="A221" s="436"/>
      <c r="B221" s="434" t="s">
        <v>2799</v>
      </c>
      <c r="C221" s="442">
        <v>3</v>
      </c>
      <c r="D221" s="442" t="s">
        <v>2825</v>
      </c>
      <c r="E221" s="440">
        <v>111</v>
      </c>
      <c r="F221" s="440">
        <v>683</v>
      </c>
      <c r="G221" s="440">
        <v>57</v>
      </c>
      <c r="H221" s="440">
        <v>552</v>
      </c>
      <c r="I221" s="440">
        <v>816</v>
      </c>
      <c r="J221" s="440">
        <v>240</v>
      </c>
      <c r="K221" s="440">
        <v>8</v>
      </c>
      <c r="L221" s="440">
        <v>2467</v>
      </c>
      <c r="M221" s="439"/>
      <c r="N221" s="438"/>
      <c r="O221" s="430"/>
      <c r="P221" s="430"/>
      <c r="Q221" s="430"/>
      <c r="R221" s="430"/>
      <c r="S221" s="430"/>
      <c r="T221" s="430"/>
      <c r="U221" s="430"/>
    </row>
    <row r="222" spans="1:21" x14ac:dyDescent="0.2">
      <c r="A222" s="436"/>
      <c r="B222" s="434" t="s">
        <v>2799</v>
      </c>
      <c r="C222" s="442">
        <v>4</v>
      </c>
      <c r="D222" s="442" t="s">
        <v>2824</v>
      </c>
      <c r="E222" s="440">
        <v>1</v>
      </c>
      <c r="F222" s="440">
        <v>0</v>
      </c>
      <c r="G222" s="440">
        <v>0</v>
      </c>
      <c r="H222" s="440">
        <v>5</v>
      </c>
      <c r="I222" s="440">
        <v>0</v>
      </c>
      <c r="J222" s="440">
        <v>1</v>
      </c>
      <c r="K222" s="440">
        <v>0</v>
      </c>
      <c r="L222" s="440">
        <v>7</v>
      </c>
      <c r="M222" s="439"/>
      <c r="N222" s="438"/>
      <c r="O222" s="430"/>
      <c r="P222" s="430"/>
      <c r="Q222" s="430"/>
      <c r="R222" s="430"/>
      <c r="S222" s="430"/>
      <c r="T222" s="430"/>
      <c r="U222" s="430"/>
    </row>
    <row r="223" spans="1:21" x14ac:dyDescent="0.2">
      <c r="A223" s="436"/>
      <c r="B223" s="434" t="s">
        <v>2799</v>
      </c>
      <c r="C223" s="442">
        <v>5</v>
      </c>
      <c r="D223" s="442" t="s">
        <v>2823</v>
      </c>
      <c r="E223" s="440">
        <v>3</v>
      </c>
      <c r="F223" s="440">
        <v>8</v>
      </c>
      <c r="G223" s="440">
        <v>0</v>
      </c>
      <c r="H223" s="440">
        <v>9</v>
      </c>
      <c r="I223" s="440">
        <v>6</v>
      </c>
      <c r="J223" s="440">
        <v>1</v>
      </c>
      <c r="K223" s="440">
        <v>0</v>
      </c>
      <c r="L223" s="440">
        <v>27</v>
      </c>
      <c r="M223" s="439"/>
      <c r="N223" s="438"/>
      <c r="O223" s="430"/>
      <c r="P223" s="430"/>
      <c r="Q223" s="430"/>
      <c r="R223" s="430"/>
      <c r="S223" s="430"/>
      <c r="T223" s="430"/>
      <c r="U223" s="430"/>
    </row>
    <row r="224" spans="1:21" x14ac:dyDescent="0.2">
      <c r="A224" s="436"/>
      <c r="B224" s="434" t="s">
        <v>2799</v>
      </c>
      <c r="C224" s="442">
        <v>6</v>
      </c>
      <c r="D224" s="442" t="s">
        <v>2822</v>
      </c>
      <c r="E224" s="440">
        <v>17</v>
      </c>
      <c r="F224" s="440">
        <v>21</v>
      </c>
      <c r="G224" s="440">
        <v>6</v>
      </c>
      <c r="H224" s="440">
        <v>60</v>
      </c>
      <c r="I224" s="440">
        <v>44</v>
      </c>
      <c r="J224" s="440">
        <v>28</v>
      </c>
      <c r="K224" s="440">
        <v>0</v>
      </c>
      <c r="L224" s="440">
        <v>176</v>
      </c>
      <c r="M224" s="439"/>
      <c r="N224" s="438"/>
      <c r="O224" s="430"/>
      <c r="P224" s="430"/>
      <c r="Q224" s="430"/>
      <c r="R224" s="430"/>
      <c r="S224" s="430"/>
      <c r="T224" s="430"/>
      <c r="U224" s="430"/>
    </row>
    <row r="225" spans="1:21" x14ac:dyDescent="0.2">
      <c r="A225" s="436"/>
      <c r="B225" s="434" t="s">
        <v>2799</v>
      </c>
      <c r="C225" s="442">
        <v>7</v>
      </c>
      <c r="D225" s="442" t="s">
        <v>2821</v>
      </c>
      <c r="E225" s="440">
        <v>7</v>
      </c>
      <c r="F225" s="440">
        <v>27</v>
      </c>
      <c r="G225" s="440">
        <v>6</v>
      </c>
      <c r="H225" s="440">
        <v>22</v>
      </c>
      <c r="I225" s="440">
        <v>35</v>
      </c>
      <c r="J225" s="440">
        <v>9</v>
      </c>
      <c r="K225" s="440">
        <v>0</v>
      </c>
      <c r="L225" s="440">
        <v>106</v>
      </c>
      <c r="M225" s="439"/>
      <c r="N225" s="438"/>
      <c r="O225" s="430"/>
      <c r="P225" s="430"/>
      <c r="Q225" s="430"/>
      <c r="R225" s="430"/>
      <c r="S225" s="430"/>
      <c r="T225" s="430"/>
      <c r="U225" s="430"/>
    </row>
    <row r="226" spans="1:21" x14ac:dyDescent="0.2">
      <c r="A226" s="436"/>
      <c r="B226" s="434" t="s">
        <v>2799</v>
      </c>
      <c r="C226" s="442">
        <v>8</v>
      </c>
      <c r="D226" s="442" t="s">
        <v>2810</v>
      </c>
      <c r="E226" s="440">
        <v>0</v>
      </c>
      <c r="F226" s="440">
        <v>9</v>
      </c>
      <c r="G226" s="440">
        <v>0</v>
      </c>
      <c r="H226" s="440">
        <v>3</v>
      </c>
      <c r="I226" s="440">
        <v>19</v>
      </c>
      <c r="J226" s="440">
        <v>2</v>
      </c>
      <c r="K226" s="440">
        <v>0</v>
      </c>
      <c r="L226" s="440">
        <v>33</v>
      </c>
      <c r="M226" s="439"/>
      <c r="N226" s="438"/>
      <c r="O226" s="430"/>
      <c r="P226" s="430"/>
      <c r="Q226" s="430"/>
      <c r="R226" s="430"/>
      <c r="S226" s="430"/>
      <c r="T226" s="430"/>
      <c r="U226" s="430"/>
    </row>
    <row r="227" spans="1:21" x14ac:dyDescent="0.2">
      <c r="A227" s="436"/>
      <c r="B227" s="434" t="s">
        <v>2799</v>
      </c>
      <c r="C227" s="442">
        <v>9</v>
      </c>
      <c r="D227" s="442" t="s">
        <v>2828</v>
      </c>
      <c r="E227" s="440">
        <v>0</v>
      </c>
      <c r="F227" s="440">
        <v>6</v>
      </c>
      <c r="G227" s="440">
        <v>0</v>
      </c>
      <c r="H227" s="440">
        <v>4</v>
      </c>
      <c r="I227" s="440">
        <v>0</v>
      </c>
      <c r="J227" s="440">
        <v>1</v>
      </c>
      <c r="K227" s="440">
        <v>0</v>
      </c>
      <c r="L227" s="440">
        <v>11</v>
      </c>
      <c r="M227" s="439"/>
      <c r="N227" s="438"/>
      <c r="O227" s="430"/>
      <c r="P227" s="430"/>
      <c r="Q227" s="430"/>
      <c r="R227" s="430"/>
      <c r="S227" s="430"/>
      <c r="T227" s="430"/>
      <c r="U227" s="430"/>
    </row>
    <row r="228" spans="1:21" x14ac:dyDescent="0.2">
      <c r="A228" s="436"/>
      <c r="B228" s="434" t="s">
        <v>2799</v>
      </c>
      <c r="C228" s="443" t="s">
        <v>2</v>
      </c>
      <c r="D228" s="442" t="s">
        <v>2800</v>
      </c>
      <c r="E228" s="440">
        <v>38</v>
      </c>
      <c r="F228" s="440">
        <v>115</v>
      </c>
      <c r="G228" s="440">
        <v>42</v>
      </c>
      <c r="H228" s="440">
        <v>96</v>
      </c>
      <c r="I228" s="440">
        <v>194</v>
      </c>
      <c r="J228" s="440">
        <v>63</v>
      </c>
      <c r="K228" s="440">
        <v>6</v>
      </c>
      <c r="L228" s="440">
        <v>554</v>
      </c>
      <c r="M228" s="439"/>
      <c r="N228" s="438"/>
      <c r="O228" s="430"/>
      <c r="P228" s="430"/>
      <c r="Q228" s="430"/>
      <c r="R228" s="430"/>
      <c r="S228" s="430"/>
      <c r="T228" s="430"/>
      <c r="U228" s="430"/>
    </row>
    <row r="229" spans="1:21" x14ac:dyDescent="0.2">
      <c r="A229" s="436"/>
      <c r="B229" s="434" t="s">
        <v>2799</v>
      </c>
      <c r="C229" s="442"/>
      <c r="D229" s="442" t="s">
        <v>68</v>
      </c>
      <c r="E229" s="441">
        <v>182</v>
      </c>
      <c r="F229" s="441">
        <v>906</v>
      </c>
      <c r="G229" s="441">
        <v>114</v>
      </c>
      <c r="H229" s="441">
        <v>787</v>
      </c>
      <c r="I229" s="441">
        <v>1151</v>
      </c>
      <c r="J229" s="441">
        <v>359</v>
      </c>
      <c r="K229" s="441">
        <v>15</v>
      </c>
      <c r="L229" s="440">
        <v>3514</v>
      </c>
      <c r="M229" s="439"/>
      <c r="N229" s="438"/>
      <c r="O229" s="430"/>
      <c r="P229" s="430"/>
      <c r="Q229" s="430"/>
      <c r="R229" s="430"/>
      <c r="S229" s="430"/>
      <c r="T229" s="430"/>
      <c r="U229" s="430"/>
    </row>
    <row r="230" spans="1:21" x14ac:dyDescent="0.2">
      <c r="A230" s="436"/>
      <c r="B230" s="434" t="s">
        <v>2799</v>
      </c>
      <c r="C230" s="442"/>
      <c r="D230" s="442" t="s">
        <v>2795</v>
      </c>
      <c r="E230" s="441">
        <v>144</v>
      </c>
      <c r="F230" s="441">
        <v>776</v>
      </c>
      <c r="G230" s="441">
        <v>72</v>
      </c>
      <c r="H230" s="441">
        <v>684</v>
      </c>
      <c r="I230" s="441">
        <v>938</v>
      </c>
      <c r="J230" s="441">
        <v>293</v>
      </c>
      <c r="K230" s="441">
        <v>9</v>
      </c>
      <c r="L230" s="440">
        <v>2916</v>
      </c>
      <c r="M230" s="439"/>
      <c r="N230" s="438"/>
      <c r="O230" s="437">
        <v>0.26611796982167352</v>
      </c>
      <c r="P230" s="437">
        <v>2.4691358024691357E-2</v>
      </c>
      <c r="Q230" s="437">
        <v>0.23456790123456789</v>
      </c>
      <c r="R230" s="437">
        <v>0.3216735253772291</v>
      </c>
      <c r="S230" s="437">
        <v>0.10048010973936899</v>
      </c>
      <c r="T230" s="437">
        <v>3.0864197530864196E-3</v>
      </c>
      <c r="U230" s="437">
        <v>0.95061728395061729</v>
      </c>
    </row>
    <row r="231" spans="1:21" x14ac:dyDescent="0.2">
      <c r="A231" s="436"/>
      <c r="B231" s="434" t="s">
        <v>2796</v>
      </c>
      <c r="C231" s="434"/>
      <c r="D231" s="434" t="s">
        <v>2827</v>
      </c>
      <c r="E231" s="435">
        <v>1.3888888888888888E-2</v>
      </c>
      <c r="F231" s="435">
        <v>2.0618556701030927E-2</v>
      </c>
      <c r="G231" s="435">
        <v>1.3888888888888888E-2</v>
      </c>
      <c r="H231" s="435">
        <v>2.3391812865497075E-2</v>
      </c>
      <c r="I231" s="435">
        <v>2.6652452025586353E-2</v>
      </c>
      <c r="J231" s="435">
        <v>2.7303754266211604E-2</v>
      </c>
      <c r="K231" s="435">
        <v>0.1111111111111111</v>
      </c>
      <c r="L231" s="435">
        <v>2.3662551440329218E-2</v>
      </c>
      <c r="M231" s="432">
        <v>2.4460362952829044E-2</v>
      </c>
      <c r="N231" s="431">
        <v>2.3938314850906073E-2</v>
      </c>
      <c r="O231" s="430"/>
      <c r="P231" s="430"/>
      <c r="Q231" s="430"/>
      <c r="R231" s="430"/>
      <c r="S231" s="430"/>
      <c r="T231" s="430"/>
      <c r="U231" s="430"/>
    </row>
    <row r="232" spans="1:21" x14ac:dyDescent="0.2">
      <c r="A232" s="436"/>
      <c r="B232" s="434" t="s">
        <v>2796</v>
      </c>
      <c r="C232" s="434"/>
      <c r="D232" s="434" t="s">
        <v>2826</v>
      </c>
      <c r="E232" s="435">
        <v>2.0833333333333332E-2</v>
      </c>
      <c r="F232" s="435">
        <v>2.7061855670103094E-2</v>
      </c>
      <c r="G232" s="435">
        <v>2.7777777777777776E-2</v>
      </c>
      <c r="H232" s="435">
        <v>2.9239766081871343E-2</v>
      </c>
      <c r="I232" s="435">
        <v>1.279317697228145E-2</v>
      </c>
      <c r="J232" s="435">
        <v>2.0477815699658702E-2</v>
      </c>
      <c r="K232" s="435">
        <v>0</v>
      </c>
      <c r="L232" s="435">
        <v>2.194787379972565E-2</v>
      </c>
      <c r="M232" s="432">
        <v>1.9842241897051336E-2</v>
      </c>
      <c r="N232" s="431">
        <v>1.9891184684028222E-2</v>
      </c>
      <c r="O232" s="430"/>
      <c r="P232" s="430"/>
      <c r="Q232" s="430"/>
      <c r="R232" s="430"/>
      <c r="S232" s="430"/>
      <c r="T232" s="430"/>
      <c r="U232" s="430"/>
    </row>
    <row r="233" spans="1:21" x14ac:dyDescent="0.2">
      <c r="A233" s="436"/>
      <c r="B233" s="434" t="s">
        <v>2796</v>
      </c>
      <c r="C233" s="434"/>
      <c r="D233" s="434" t="s">
        <v>2825</v>
      </c>
      <c r="E233" s="435">
        <v>0.77083333333333337</v>
      </c>
      <c r="F233" s="435">
        <v>0.88015463917525771</v>
      </c>
      <c r="G233" s="435">
        <v>0.79166666666666663</v>
      </c>
      <c r="H233" s="435">
        <v>0.80701754385964908</v>
      </c>
      <c r="I233" s="435">
        <v>0.86993603411513865</v>
      </c>
      <c r="J233" s="435">
        <v>0.8191126279863481</v>
      </c>
      <c r="K233" s="435">
        <v>0.88888888888888884</v>
      </c>
      <c r="L233" s="435">
        <v>0.8460219478737997</v>
      </c>
      <c r="M233" s="432">
        <v>0.85934996639927597</v>
      </c>
      <c r="N233" s="431">
        <v>0.85497877464293315</v>
      </c>
      <c r="O233" s="430"/>
      <c r="P233" s="430"/>
      <c r="Q233" s="430"/>
      <c r="R233" s="430"/>
      <c r="S233" s="430"/>
      <c r="T233" s="430"/>
      <c r="U233" s="430"/>
    </row>
    <row r="234" spans="1:21" x14ac:dyDescent="0.2">
      <c r="A234" s="436"/>
      <c r="B234" s="434" t="s">
        <v>2796</v>
      </c>
      <c r="C234" s="434"/>
      <c r="D234" s="434" t="s">
        <v>2824</v>
      </c>
      <c r="E234" s="435">
        <v>6.9444444444444441E-3</v>
      </c>
      <c r="F234" s="435">
        <v>0</v>
      </c>
      <c r="G234" s="435">
        <v>0</v>
      </c>
      <c r="H234" s="435">
        <v>7.3099415204678359E-3</v>
      </c>
      <c r="I234" s="435">
        <v>0</v>
      </c>
      <c r="J234" s="435">
        <v>3.4129692832764505E-3</v>
      </c>
      <c r="K234" s="435">
        <v>0</v>
      </c>
      <c r="L234" s="435">
        <v>2.4005486968449933E-3</v>
      </c>
      <c r="M234" s="432">
        <v>1.4885237863497347E-3</v>
      </c>
      <c r="N234" s="431">
        <v>1.757951966996387E-3</v>
      </c>
      <c r="O234" s="430"/>
      <c r="P234" s="430"/>
      <c r="Q234" s="430"/>
      <c r="R234" s="430"/>
      <c r="S234" s="430"/>
      <c r="T234" s="430"/>
      <c r="U234" s="430"/>
    </row>
    <row r="235" spans="1:21" x14ac:dyDescent="0.2">
      <c r="A235" s="436"/>
      <c r="B235" s="434" t="s">
        <v>2796</v>
      </c>
      <c r="C235" s="434"/>
      <c r="D235" s="434" t="s">
        <v>2823</v>
      </c>
      <c r="E235" s="435">
        <v>2.0833333333333332E-2</v>
      </c>
      <c r="F235" s="435">
        <v>1.0309278350515464E-2</v>
      </c>
      <c r="G235" s="435">
        <v>0</v>
      </c>
      <c r="H235" s="435">
        <v>1.3157894736842105E-2</v>
      </c>
      <c r="I235" s="435">
        <v>6.3965884861407248E-3</v>
      </c>
      <c r="J235" s="435">
        <v>3.4129692832764505E-3</v>
      </c>
      <c r="K235" s="435">
        <v>0</v>
      </c>
      <c r="L235" s="435">
        <v>9.2592592592592587E-3</v>
      </c>
      <c r="M235" s="432">
        <v>8.6729595474494339E-3</v>
      </c>
      <c r="N235" s="431">
        <v>9.2734718331720957E-3</v>
      </c>
      <c r="O235" s="430"/>
      <c r="P235" s="430"/>
      <c r="Q235" s="430"/>
      <c r="R235" s="430"/>
      <c r="S235" s="430"/>
      <c r="T235" s="430"/>
      <c r="U235" s="430"/>
    </row>
    <row r="236" spans="1:21" x14ac:dyDescent="0.2">
      <c r="A236" s="436"/>
      <c r="B236" s="434" t="s">
        <v>2796</v>
      </c>
      <c r="C236" s="434"/>
      <c r="D236" s="434" t="s">
        <v>2822</v>
      </c>
      <c r="E236" s="435">
        <v>0.11805555555555555</v>
      </c>
      <c r="F236" s="435">
        <v>2.7061855670103094E-2</v>
      </c>
      <c r="G236" s="435">
        <v>8.3333333333333329E-2</v>
      </c>
      <c r="H236" s="435">
        <v>8.771929824561403E-2</v>
      </c>
      <c r="I236" s="435">
        <v>4.6908315565031986E-2</v>
      </c>
      <c r="J236" s="435">
        <v>9.556313993174062E-2</v>
      </c>
      <c r="K236" s="435">
        <v>0</v>
      </c>
      <c r="L236" s="435">
        <v>6.035665294924554E-2</v>
      </c>
      <c r="M236" s="432">
        <v>5.062954335634464E-2</v>
      </c>
      <c r="N236" s="431">
        <v>5.3959222971120484E-2</v>
      </c>
      <c r="O236" s="430"/>
      <c r="P236" s="430"/>
      <c r="Q236" s="430"/>
      <c r="R236" s="430"/>
      <c r="S236" s="430"/>
      <c r="T236" s="430"/>
      <c r="U236" s="430"/>
    </row>
    <row r="237" spans="1:21" x14ac:dyDescent="0.2">
      <c r="A237" s="436"/>
      <c r="B237" s="434" t="s">
        <v>2796</v>
      </c>
      <c r="C237" s="434"/>
      <c r="D237" s="434" t="s">
        <v>2821</v>
      </c>
      <c r="E237" s="435">
        <v>4.8611111111111112E-2</v>
      </c>
      <c r="F237" s="435">
        <v>3.4793814432989692E-2</v>
      </c>
      <c r="G237" s="435">
        <v>8.3333333333333329E-2</v>
      </c>
      <c r="H237" s="435">
        <v>3.2163742690058478E-2</v>
      </c>
      <c r="I237" s="435">
        <v>3.7313432835820892E-2</v>
      </c>
      <c r="J237" s="435">
        <v>3.0716723549488054E-2</v>
      </c>
      <c r="K237" s="435">
        <v>0</v>
      </c>
      <c r="L237" s="435">
        <v>3.6351165980795609E-2</v>
      </c>
      <c r="M237" s="432">
        <v>3.5556402060699904E-2</v>
      </c>
      <c r="N237" s="431">
        <v>3.6201079050843667E-2</v>
      </c>
      <c r="O237" s="430"/>
      <c r="P237" s="430"/>
      <c r="Q237" s="430"/>
      <c r="R237" s="430"/>
      <c r="S237" s="430"/>
      <c r="T237" s="430"/>
      <c r="U237" s="430"/>
    </row>
    <row r="238" spans="1:21" x14ac:dyDescent="0.2">
      <c r="A238" s="436"/>
      <c r="B238" s="434" t="s">
        <v>2796</v>
      </c>
      <c r="C238" s="434"/>
      <c r="D238" s="434" t="s">
        <v>2795</v>
      </c>
      <c r="E238" s="433">
        <v>1</v>
      </c>
      <c r="F238" s="433">
        <v>1</v>
      </c>
      <c r="G238" s="433">
        <v>1</v>
      </c>
      <c r="H238" s="433">
        <v>1</v>
      </c>
      <c r="I238" s="433">
        <v>1</v>
      </c>
      <c r="J238" s="433">
        <v>1</v>
      </c>
      <c r="K238" s="433">
        <v>1</v>
      </c>
      <c r="L238" s="433">
        <v>1</v>
      </c>
      <c r="M238" s="432">
        <v>1</v>
      </c>
      <c r="N238" s="431">
        <v>1</v>
      </c>
      <c r="O238" s="430"/>
      <c r="P238" s="430"/>
      <c r="Q238" s="430"/>
      <c r="R238" s="430"/>
      <c r="S238" s="430"/>
      <c r="T238" s="430"/>
      <c r="U238" s="430"/>
    </row>
    <row r="239" spans="1:21" x14ac:dyDescent="0.2">
      <c r="B239" s="429"/>
      <c r="M239" s="439"/>
      <c r="N239" s="438"/>
      <c r="O239" s="430"/>
      <c r="P239" s="430"/>
      <c r="Q239" s="430"/>
      <c r="R239" s="430"/>
      <c r="S239" s="430"/>
      <c r="T239" s="430"/>
      <c r="U239" s="430"/>
    </row>
    <row r="240" spans="1:21" x14ac:dyDescent="0.2">
      <c r="A240" s="436" t="s">
        <v>2820</v>
      </c>
      <c r="B240" s="434" t="s">
        <v>2799</v>
      </c>
      <c r="C240" s="442">
        <v>1</v>
      </c>
      <c r="D240" s="442" t="s">
        <v>2819</v>
      </c>
      <c r="E240" s="440">
        <v>7</v>
      </c>
      <c r="F240" s="440">
        <v>14</v>
      </c>
      <c r="G240" s="440">
        <v>2</v>
      </c>
      <c r="H240" s="440">
        <v>15</v>
      </c>
      <c r="I240" s="440">
        <v>14</v>
      </c>
      <c r="J240" s="440">
        <v>10</v>
      </c>
      <c r="K240" s="440">
        <v>0</v>
      </c>
      <c r="L240" s="440">
        <v>62</v>
      </c>
      <c r="M240" s="439"/>
      <c r="N240" s="438"/>
      <c r="O240" s="430"/>
      <c r="P240" s="430"/>
      <c r="Q240" s="430"/>
      <c r="R240" s="430"/>
      <c r="S240" s="430"/>
      <c r="T240" s="430"/>
      <c r="U240" s="430"/>
    </row>
    <row r="241" spans="1:21" x14ac:dyDescent="0.2">
      <c r="B241" s="434" t="s">
        <v>2799</v>
      </c>
      <c r="C241" s="442">
        <v>2</v>
      </c>
      <c r="D241" s="442" t="s">
        <v>2818</v>
      </c>
      <c r="E241" s="440">
        <v>3</v>
      </c>
      <c r="F241" s="440">
        <v>6</v>
      </c>
      <c r="G241" s="440">
        <v>1</v>
      </c>
      <c r="H241" s="440">
        <v>7</v>
      </c>
      <c r="I241" s="440">
        <v>11</v>
      </c>
      <c r="J241" s="440">
        <v>2</v>
      </c>
      <c r="K241" s="440">
        <v>0</v>
      </c>
      <c r="L241" s="440">
        <v>30</v>
      </c>
      <c r="M241" s="439"/>
      <c r="N241" s="438"/>
      <c r="O241" s="430"/>
      <c r="P241" s="430"/>
      <c r="Q241" s="430"/>
      <c r="R241" s="430"/>
      <c r="S241" s="430"/>
      <c r="T241" s="430"/>
      <c r="U241" s="430"/>
    </row>
    <row r="242" spans="1:21" x14ac:dyDescent="0.2">
      <c r="B242" s="434" t="s">
        <v>2799</v>
      </c>
      <c r="C242" s="442">
        <v>1</v>
      </c>
      <c r="D242" s="442" t="s">
        <v>2817</v>
      </c>
      <c r="E242" s="440">
        <v>5</v>
      </c>
      <c r="F242" s="440">
        <v>6</v>
      </c>
      <c r="G242" s="440">
        <v>2</v>
      </c>
      <c r="H242" s="440">
        <v>11</v>
      </c>
      <c r="I242" s="440">
        <v>12</v>
      </c>
      <c r="J242" s="440">
        <v>7</v>
      </c>
      <c r="K242" s="440">
        <v>0</v>
      </c>
      <c r="L242" s="440">
        <v>43</v>
      </c>
      <c r="M242" s="439"/>
      <c r="N242" s="438"/>
      <c r="O242" s="430"/>
      <c r="P242" s="430"/>
      <c r="Q242" s="430"/>
      <c r="R242" s="430"/>
      <c r="S242" s="430"/>
      <c r="T242" s="430"/>
      <c r="U242" s="430"/>
    </row>
    <row r="243" spans="1:21" x14ac:dyDescent="0.2">
      <c r="B243" s="434" t="s">
        <v>2799</v>
      </c>
      <c r="C243" s="442">
        <v>2</v>
      </c>
      <c r="D243" s="442" t="s">
        <v>2816</v>
      </c>
      <c r="E243" s="440">
        <v>5</v>
      </c>
      <c r="F243" s="440">
        <v>14</v>
      </c>
      <c r="G243" s="440">
        <v>1</v>
      </c>
      <c r="H243" s="440">
        <v>10</v>
      </c>
      <c r="I243" s="440">
        <v>14</v>
      </c>
      <c r="J243" s="440">
        <v>5</v>
      </c>
      <c r="K243" s="440">
        <v>1</v>
      </c>
      <c r="L243" s="440">
        <v>50</v>
      </c>
      <c r="M243" s="439"/>
      <c r="N243" s="438"/>
      <c r="O243" s="430"/>
      <c r="P243" s="430"/>
      <c r="Q243" s="430"/>
      <c r="R243" s="430"/>
      <c r="S243" s="430"/>
      <c r="T243" s="430"/>
      <c r="U243" s="430"/>
    </row>
    <row r="244" spans="1:21" x14ac:dyDescent="0.2">
      <c r="B244" s="434" t="s">
        <v>2799</v>
      </c>
      <c r="C244" s="442">
        <v>3</v>
      </c>
      <c r="D244" s="442" t="s">
        <v>2810</v>
      </c>
      <c r="E244" s="440">
        <v>1</v>
      </c>
      <c r="F244" s="440">
        <v>3</v>
      </c>
      <c r="G244" s="440">
        <v>0</v>
      </c>
      <c r="H244" s="440">
        <v>1</v>
      </c>
      <c r="I244" s="440">
        <v>2</v>
      </c>
      <c r="J244" s="440">
        <v>0</v>
      </c>
      <c r="K244" s="440">
        <v>2</v>
      </c>
      <c r="L244" s="440">
        <v>9</v>
      </c>
      <c r="M244" s="439"/>
      <c r="N244" s="438"/>
      <c r="O244" s="430"/>
      <c r="P244" s="430"/>
      <c r="Q244" s="430"/>
      <c r="R244" s="430"/>
      <c r="S244" s="430"/>
      <c r="T244" s="430"/>
      <c r="U244" s="430"/>
    </row>
    <row r="245" spans="1:21" x14ac:dyDescent="0.2">
      <c r="B245" s="434" t="s">
        <v>2799</v>
      </c>
      <c r="C245" s="443" t="s">
        <v>2</v>
      </c>
      <c r="D245" s="442" t="s">
        <v>2800</v>
      </c>
      <c r="E245" s="440">
        <v>171</v>
      </c>
      <c r="F245" s="440">
        <v>883</v>
      </c>
      <c r="G245" s="440">
        <v>111</v>
      </c>
      <c r="H245" s="440">
        <v>764</v>
      </c>
      <c r="I245" s="440">
        <v>1123</v>
      </c>
      <c r="J245" s="440">
        <v>347</v>
      </c>
      <c r="K245" s="440">
        <v>13</v>
      </c>
      <c r="L245" s="440">
        <v>3412</v>
      </c>
      <c r="M245" s="439"/>
      <c r="N245" s="438"/>
      <c r="O245" s="430"/>
      <c r="P245" s="430"/>
      <c r="Q245" s="430"/>
      <c r="R245" s="430"/>
      <c r="S245" s="430"/>
      <c r="T245" s="430"/>
      <c r="U245" s="430"/>
    </row>
    <row r="246" spans="1:21" x14ac:dyDescent="0.2">
      <c r="B246" s="434" t="s">
        <v>2799</v>
      </c>
      <c r="C246" s="442"/>
      <c r="D246" s="442" t="s">
        <v>68</v>
      </c>
      <c r="E246" s="440">
        <v>182</v>
      </c>
      <c r="F246" s="440">
        <v>906</v>
      </c>
      <c r="G246" s="440">
        <v>114</v>
      </c>
      <c r="H246" s="440">
        <v>787</v>
      </c>
      <c r="I246" s="440">
        <v>1150</v>
      </c>
      <c r="J246" s="440">
        <v>359</v>
      </c>
      <c r="K246" s="440">
        <v>15</v>
      </c>
      <c r="L246" s="440">
        <v>3513</v>
      </c>
      <c r="M246" s="439"/>
      <c r="N246" s="438"/>
      <c r="O246" s="430"/>
      <c r="P246" s="430"/>
      <c r="Q246" s="430"/>
      <c r="R246" s="430"/>
      <c r="S246" s="430"/>
      <c r="T246" s="430"/>
      <c r="U246" s="430"/>
    </row>
    <row r="247" spans="1:21" x14ac:dyDescent="0.2">
      <c r="B247" s="434" t="s">
        <v>2799</v>
      </c>
      <c r="C247" s="442"/>
      <c r="D247" s="442" t="s">
        <v>2795</v>
      </c>
      <c r="E247" s="440">
        <v>10</v>
      </c>
      <c r="F247" s="440">
        <v>20</v>
      </c>
      <c r="G247" s="440">
        <v>3</v>
      </c>
      <c r="H247" s="440">
        <v>21</v>
      </c>
      <c r="I247" s="440">
        <v>26</v>
      </c>
      <c r="J247" s="440">
        <v>12</v>
      </c>
      <c r="K247" s="440">
        <v>1</v>
      </c>
      <c r="L247" s="440">
        <v>93</v>
      </c>
      <c r="M247" s="439"/>
      <c r="N247" s="438"/>
      <c r="O247" s="437">
        <v>0.21505376344086022</v>
      </c>
      <c r="P247" s="437">
        <v>3.2258064516129031E-2</v>
      </c>
      <c r="Q247" s="437">
        <v>0.22580645161290322</v>
      </c>
      <c r="R247" s="437">
        <v>0.27956989247311825</v>
      </c>
      <c r="S247" s="437">
        <v>0.12903225806451613</v>
      </c>
      <c r="T247" s="437">
        <v>1.0752688172043012E-2</v>
      </c>
      <c r="U247" s="437">
        <v>0.89247311827956988</v>
      </c>
    </row>
    <row r="248" spans="1:21" x14ac:dyDescent="0.2">
      <c r="B248" s="434" t="s">
        <v>2796</v>
      </c>
      <c r="C248" s="434"/>
      <c r="D248" s="434" t="s">
        <v>2815</v>
      </c>
      <c r="E248" s="435">
        <v>0.6</v>
      </c>
      <c r="F248" s="435">
        <v>0.7</v>
      </c>
      <c r="G248" s="435">
        <v>0.5</v>
      </c>
      <c r="H248" s="435">
        <v>0.59523809523809523</v>
      </c>
      <c r="I248" s="435">
        <v>0.53846153846153844</v>
      </c>
      <c r="J248" s="435">
        <v>0.625</v>
      </c>
      <c r="K248" s="435">
        <v>0.5</v>
      </c>
      <c r="L248" s="435">
        <v>0.60215053763440862</v>
      </c>
      <c r="M248" s="432">
        <v>0.58997758632269282</v>
      </c>
      <c r="N248" s="431">
        <v>0.59105526521272589</v>
      </c>
      <c r="O248" s="430"/>
      <c r="P248" s="430"/>
      <c r="Q248" s="430"/>
      <c r="R248" s="430"/>
      <c r="S248" s="430"/>
      <c r="T248" s="430"/>
      <c r="U248" s="430"/>
    </row>
    <row r="249" spans="1:21" x14ac:dyDescent="0.2">
      <c r="B249" s="434" t="s">
        <v>2796</v>
      </c>
      <c r="C249" s="434"/>
      <c r="D249" s="434" t="s">
        <v>2107</v>
      </c>
      <c r="E249" s="435">
        <v>0.4</v>
      </c>
      <c r="F249" s="435">
        <v>0.3</v>
      </c>
      <c r="G249" s="435">
        <v>0.5</v>
      </c>
      <c r="H249" s="435">
        <v>0.42857142857142855</v>
      </c>
      <c r="I249" s="435">
        <v>0.44230769230769229</v>
      </c>
      <c r="J249" s="435">
        <v>0.375</v>
      </c>
      <c r="K249" s="435">
        <v>0</v>
      </c>
      <c r="L249" s="435">
        <v>0.39247311827956988</v>
      </c>
      <c r="M249" s="432">
        <v>0.40570980746819457</v>
      </c>
      <c r="N249" s="431">
        <v>0.40509584967591561</v>
      </c>
      <c r="O249" s="430"/>
      <c r="P249" s="430"/>
      <c r="Q249" s="430"/>
      <c r="R249" s="430"/>
      <c r="S249" s="430"/>
      <c r="T249" s="430"/>
      <c r="U249" s="430"/>
    </row>
    <row r="250" spans="1:21" x14ac:dyDescent="0.2">
      <c r="B250" s="434" t="s">
        <v>2796</v>
      </c>
      <c r="C250" s="434"/>
      <c r="D250" s="434" t="s">
        <v>2795</v>
      </c>
      <c r="E250" s="433">
        <v>1</v>
      </c>
      <c r="F250" s="433">
        <v>1</v>
      </c>
      <c r="G250" s="433">
        <v>1</v>
      </c>
      <c r="H250" s="433">
        <v>1.0238095238095237</v>
      </c>
      <c r="I250" s="433">
        <v>0.98076923076923073</v>
      </c>
      <c r="J250" s="433">
        <v>1</v>
      </c>
      <c r="K250" s="433">
        <v>0.5</v>
      </c>
      <c r="L250" s="433">
        <v>0.9946236559139785</v>
      </c>
      <c r="M250" s="432">
        <v>0.99568739379088744</v>
      </c>
      <c r="N250" s="431">
        <v>0.9961511148886415</v>
      </c>
      <c r="O250" s="430"/>
      <c r="P250" s="430"/>
      <c r="Q250" s="430"/>
      <c r="R250" s="430"/>
      <c r="S250" s="430"/>
      <c r="T250" s="430"/>
      <c r="U250" s="430"/>
    </row>
    <row r="251" spans="1:21" x14ac:dyDescent="0.2">
      <c r="B251" s="453"/>
      <c r="C251" s="453"/>
      <c r="D251" s="453"/>
      <c r="E251" s="453"/>
      <c r="F251" s="452"/>
      <c r="G251" s="452"/>
      <c r="H251" s="452"/>
      <c r="I251" s="452"/>
      <c r="J251" s="452"/>
      <c r="K251" s="452"/>
      <c r="L251" s="452"/>
      <c r="M251" s="439"/>
      <c r="N251" s="438"/>
      <c r="O251" s="430"/>
      <c r="P251" s="430"/>
      <c r="Q251" s="430"/>
      <c r="R251" s="430"/>
      <c r="S251" s="430"/>
      <c r="T251" s="430"/>
      <c r="U251" s="430"/>
    </row>
    <row r="252" spans="1:21" x14ac:dyDescent="0.2">
      <c r="A252" s="436" t="s">
        <v>2814</v>
      </c>
      <c r="B252" s="434" t="s">
        <v>2799</v>
      </c>
      <c r="C252" s="442">
        <v>1</v>
      </c>
      <c r="D252" s="442" t="s">
        <v>2809</v>
      </c>
      <c r="E252" s="440">
        <v>34</v>
      </c>
      <c r="F252" s="440">
        <v>132</v>
      </c>
      <c r="G252" s="440">
        <v>11</v>
      </c>
      <c r="H252" s="440">
        <v>165</v>
      </c>
      <c r="I252" s="440">
        <v>233</v>
      </c>
      <c r="J252" s="440">
        <v>89</v>
      </c>
      <c r="K252" s="440">
        <v>0</v>
      </c>
      <c r="L252" s="440">
        <v>664</v>
      </c>
      <c r="M252" s="439"/>
      <c r="N252" s="438"/>
      <c r="O252" s="430"/>
      <c r="P252" s="430"/>
      <c r="Q252" s="430"/>
      <c r="R252" s="430"/>
      <c r="S252" s="430"/>
      <c r="T252" s="430"/>
      <c r="U252" s="430"/>
    </row>
    <row r="253" spans="1:21" x14ac:dyDescent="0.2">
      <c r="A253" s="436"/>
      <c r="B253" s="434" t="s">
        <v>2799</v>
      </c>
      <c r="C253" s="442">
        <v>2</v>
      </c>
      <c r="D253" s="442" t="s">
        <v>2808</v>
      </c>
      <c r="E253" s="440">
        <v>40</v>
      </c>
      <c r="F253" s="440">
        <v>317</v>
      </c>
      <c r="G253" s="440">
        <v>19</v>
      </c>
      <c r="H253" s="440">
        <v>303</v>
      </c>
      <c r="I253" s="440">
        <v>417</v>
      </c>
      <c r="J253" s="440">
        <v>128</v>
      </c>
      <c r="K253" s="440">
        <v>4</v>
      </c>
      <c r="L253" s="440">
        <v>1228</v>
      </c>
      <c r="M253" s="439"/>
      <c r="N253" s="438"/>
      <c r="O253" s="430"/>
      <c r="P253" s="430"/>
      <c r="Q253" s="430"/>
      <c r="R253" s="430"/>
      <c r="S253" s="430"/>
      <c r="T253" s="430"/>
      <c r="U253" s="430"/>
    </row>
    <row r="254" spans="1:21" x14ac:dyDescent="0.2">
      <c r="A254" s="436"/>
      <c r="B254" s="434"/>
      <c r="C254" s="442">
        <v>3</v>
      </c>
      <c r="D254" s="442" t="s">
        <v>2813</v>
      </c>
      <c r="E254" s="440">
        <v>6</v>
      </c>
      <c r="F254" s="440">
        <v>50</v>
      </c>
      <c r="G254" s="440">
        <v>3</v>
      </c>
      <c r="H254" s="440">
        <v>47</v>
      </c>
      <c r="I254" s="440">
        <v>61</v>
      </c>
      <c r="J254" s="440">
        <v>21</v>
      </c>
      <c r="K254" s="440">
        <v>0</v>
      </c>
      <c r="L254" s="440">
        <v>188</v>
      </c>
      <c r="M254" s="439"/>
      <c r="N254" s="438"/>
      <c r="O254" s="430"/>
      <c r="P254" s="430"/>
      <c r="Q254" s="430"/>
      <c r="R254" s="430"/>
      <c r="S254" s="430"/>
      <c r="T254" s="430"/>
      <c r="U254" s="430"/>
    </row>
    <row r="255" spans="1:21" x14ac:dyDescent="0.2">
      <c r="A255" s="436"/>
      <c r="B255" s="434"/>
      <c r="C255" s="442"/>
      <c r="D255" s="442" t="s">
        <v>2812</v>
      </c>
      <c r="E255" s="451">
        <v>0.38666666666666666</v>
      </c>
      <c r="F255" s="451">
        <v>0.48692307692307696</v>
      </c>
      <c r="G255" s="451">
        <v>0.15</v>
      </c>
      <c r="H255" s="451">
        <v>0.48102564102564105</v>
      </c>
      <c r="I255" s="451">
        <v>0.50888888888888884</v>
      </c>
      <c r="J255" s="451">
        <v>0.4707142857142857</v>
      </c>
      <c r="K255" s="451" t="s">
        <v>65</v>
      </c>
      <c r="L255" s="451">
        <v>0.48409722222222223</v>
      </c>
      <c r="M255" s="439"/>
      <c r="N255" s="438"/>
      <c r="O255" s="430"/>
      <c r="P255" s="430"/>
      <c r="Q255" s="430"/>
      <c r="R255" s="430"/>
      <c r="S255" s="430"/>
      <c r="T255" s="430"/>
      <c r="U255" s="430"/>
    </row>
    <row r="256" spans="1:21" x14ac:dyDescent="0.2">
      <c r="A256" s="436"/>
      <c r="B256" s="434"/>
      <c r="C256" s="442"/>
      <c r="D256" s="442" t="s">
        <v>2811</v>
      </c>
      <c r="E256" s="451">
        <v>0.6133333333333334</v>
      </c>
      <c r="F256" s="451">
        <v>0.5130769230769231</v>
      </c>
      <c r="G256" s="451">
        <v>0.85</v>
      </c>
      <c r="H256" s="451">
        <v>0.51897435897435895</v>
      </c>
      <c r="I256" s="451">
        <v>0.49111111111111116</v>
      </c>
      <c r="J256" s="451">
        <v>0.52928571428571436</v>
      </c>
      <c r="K256" s="451" t="s">
        <v>65</v>
      </c>
      <c r="L256" s="451">
        <v>0.51590277777777782</v>
      </c>
      <c r="M256" s="439"/>
      <c r="N256" s="438"/>
      <c r="O256" s="430"/>
      <c r="P256" s="430"/>
      <c r="Q256" s="430"/>
      <c r="R256" s="430"/>
      <c r="S256" s="430"/>
      <c r="T256" s="430"/>
      <c r="U256" s="430"/>
    </row>
    <row r="257" spans="1:21" x14ac:dyDescent="0.2">
      <c r="A257" s="436"/>
      <c r="B257" s="434" t="s">
        <v>2799</v>
      </c>
      <c r="C257" s="442">
        <v>4</v>
      </c>
      <c r="D257" s="442" t="s">
        <v>2810</v>
      </c>
      <c r="E257" s="440">
        <v>34</v>
      </c>
      <c r="F257" s="440">
        <v>205</v>
      </c>
      <c r="G257" s="440">
        <v>48</v>
      </c>
      <c r="H257" s="440">
        <v>118</v>
      </c>
      <c r="I257" s="440">
        <v>202</v>
      </c>
      <c r="J257" s="440">
        <v>53</v>
      </c>
      <c r="K257" s="440">
        <v>4</v>
      </c>
      <c r="L257" s="440">
        <v>664</v>
      </c>
      <c r="M257" s="439"/>
      <c r="N257" s="438"/>
      <c r="O257" s="430"/>
      <c r="P257" s="430"/>
      <c r="Q257" s="430"/>
      <c r="R257" s="430"/>
      <c r="S257" s="430"/>
      <c r="T257" s="430"/>
      <c r="U257" s="430"/>
    </row>
    <row r="258" spans="1:21" x14ac:dyDescent="0.2">
      <c r="A258" s="436"/>
      <c r="B258" s="434" t="s">
        <v>2799</v>
      </c>
      <c r="C258" s="443" t="s">
        <v>2</v>
      </c>
      <c r="D258" s="442" t="s">
        <v>2800</v>
      </c>
      <c r="E258" s="440">
        <v>68</v>
      </c>
      <c r="F258" s="440">
        <v>202</v>
      </c>
      <c r="G258" s="440">
        <v>33</v>
      </c>
      <c r="H258" s="440">
        <v>154</v>
      </c>
      <c r="I258" s="440">
        <v>238</v>
      </c>
      <c r="J258" s="440">
        <v>68</v>
      </c>
      <c r="K258" s="440">
        <v>7</v>
      </c>
      <c r="L258" s="440">
        <v>770</v>
      </c>
      <c r="M258" s="439"/>
      <c r="N258" s="438"/>
      <c r="O258" s="430"/>
      <c r="P258" s="430"/>
      <c r="Q258" s="430"/>
      <c r="R258" s="430"/>
      <c r="S258" s="430"/>
      <c r="T258" s="430"/>
      <c r="U258" s="430"/>
    </row>
    <row r="259" spans="1:21" x14ac:dyDescent="0.2">
      <c r="A259" s="436"/>
      <c r="B259" s="434" t="s">
        <v>2799</v>
      </c>
      <c r="C259" s="442"/>
      <c r="D259" s="442" t="s">
        <v>68</v>
      </c>
      <c r="E259" s="450">
        <v>115</v>
      </c>
      <c r="F259" s="450">
        <v>705</v>
      </c>
      <c r="G259" s="450">
        <v>82</v>
      </c>
      <c r="H259" s="450">
        <v>634</v>
      </c>
      <c r="I259" s="450">
        <v>914</v>
      </c>
      <c r="J259" s="450">
        <v>292</v>
      </c>
      <c r="K259" s="450">
        <v>8</v>
      </c>
      <c r="L259" s="440">
        <v>2750</v>
      </c>
      <c r="M259" s="439"/>
      <c r="N259" s="438"/>
      <c r="O259" s="430"/>
      <c r="P259" s="430"/>
      <c r="Q259" s="430"/>
      <c r="R259" s="430"/>
      <c r="S259" s="430"/>
      <c r="T259" s="430"/>
      <c r="U259" s="430"/>
    </row>
    <row r="260" spans="1:21" x14ac:dyDescent="0.2">
      <c r="A260" s="436"/>
      <c r="B260" s="434" t="s">
        <v>2799</v>
      </c>
      <c r="C260" s="442"/>
      <c r="D260" s="442" t="s">
        <v>2795</v>
      </c>
      <c r="E260" s="440">
        <v>74</v>
      </c>
      <c r="F260" s="440">
        <v>449</v>
      </c>
      <c r="G260" s="440">
        <v>30</v>
      </c>
      <c r="H260" s="440">
        <v>468</v>
      </c>
      <c r="I260" s="440">
        <v>650</v>
      </c>
      <c r="J260" s="440">
        <v>217</v>
      </c>
      <c r="K260" s="440">
        <v>4</v>
      </c>
      <c r="L260" s="440">
        <v>1892</v>
      </c>
      <c r="M260" s="439"/>
      <c r="N260" s="438"/>
      <c r="O260" s="437">
        <v>0.23731501057082452</v>
      </c>
      <c r="P260" s="437">
        <v>1.5856236786469344E-2</v>
      </c>
      <c r="Q260" s="437">
        <v>0.24735729386892177</v>
      </c>
      <c r="R260" s="437">
        <v>0.34355179704016914</v>
      </c>
      <c r="S260" s="437">
        <v>0.11469344608879492</v>
      </c>
      <c r="T260" s="437">
        <v>2.1141649048625794E-3</v>
      </c>
      <c r="U260" s="437">
        <v>0.96088794926004228</v>
      </c>
    </row>
    <row r="261" spans="1:21" x14ac:dyDescent="0.2">
      <c r="A261" s="436"/>
      <c r="B261" s="434" t="s">
        <v>2796</v>
      </c>
      <c r="C261" s="434"/>
      <c r="D261" s="442" t="s">
        <v>2809</v>
      </c>
      <c r="E261" s="435">
        <v>0.45945945945945948</v>
      </c>
      <c r="F261" s="435">
        <v>0.29398663697104677</v>
      </c>
      <c r="G261" s="435">
        <v>0.36666666666666664</v>
      </c>
      <c r="H261" s="435">
        <v>0.35256410256410259</v>
      </c>
      <c r="I261" s="435">
        <v>0.35846153846153844</v>
      </c>
      <c r="J261" s="435">
        <v>0.41013824884792627</v>
      </c>
      <c r="K261" s="435">
        <v>0</v>
      </c>
      <c r="L261" s="435">
        <v>0.35095137420718814</v>
      </c>
      <c r="M261" s="432">
        <v>0.34573656979565576</v>
      </c>
      <c r="N261" s="431">
        <v>0.35018450522648104</v>
      </c>
      <c r="O261" s="430"/>
      <c r="P261" s="430"/>
      <c r="Q261" s="430"/>
      <c r="R261" s="430"/>
      <c r="S261" s="430"/>
      <c r="T261" s="430"/>
      <c r="U261" s="430"/>
    </row>
    <row r="262" spans="1:21" x14ac:dyDescent="0.2">
      <c r="A262" s="436"/>
      <c r="B262" s="434" t="s">
        <v>2796</v>
      </c>
      <c r="C262" s="434"/>
      <c r="D262" s="442" t="s">
        <v>2808</v>
      </c>
      <c r="E262" s="435">
        <v>0.54054054054054057</v>
      </c>
      <c r="F262" s="435">
        <v>0.70601336302895323</v>
      </c>
      <c r="G262" s="435">
        <v>0.6333333333333333</v>
      </c>
      <c r="H262" s="435">
        <v>0.64743589743589747</v>
      </c>
      <c r="I262" s="435">
        <v>0.6415384615384615</v>
      </c>
      <c r="J262" s="435">
        <v>0.58986175115207373</v>
      </c>
      <c r="K262" s="435">
        <v>1</v>
      </c>
      <c r="L262" s="435">
        <v>0.64904862579281186</v>
      </c>
      <c r="M262" s="432">
        <v>0.6542634302043443</v>
      </c>
      <c r="N262" s="431">
        <v>0.64981549477351896</v>
      </c>
      <c r="O262" s="430"/>
      <c r="P262" s="430"/>
      <c r="Q262" s="430"/>
      <c r="R262" s="430"/>
      <c r="S262" s="430"/>
      <c r="T262" s="430"/>
      <c r="U262" s="430"/>
    </row>
    <row r="263" spans="1:21" x14ac:dyDescent="0.2">
      <c r="A263" s="436"/>
      <c r="B263" s="434" t="s">
        <v>2796</v>
      </c>
      <c r="C263" s="434"/>
      <c r="D263" s="434" t="s">
        <v>2795</v>
      </c>
      <c r="E263" s="433">
        <v>1</v>
      </c>
      <c r="F263" s="433">
        <v>1</v>
      </c>
      <c r="G263" s="433">
        <v>1</v>
      </c>
      <c r="H263" s="433">
        <v>1</v>
      </c>
      <c r="I263" s="433">
        <v>1</v>
      </c>
      <c r="J263" s="433">
        <v>1</v>
      </c>
      <c r="K263" s="433">
        <v>1</v>
      </c>
      <c r="L263" s="433">
        <v>1</v>
      </c>
      <c r="M263" s="432">
        <v>1</v>
      </c>
      <c r="N263" s="431">
        <v>1</v>
      </c>
      <c r="O263" s="430"/>
      <c r="P263" s="430"/>
      <c r="Q263" s="430"/>
      <c r="R263" s="430"/>
      <c r="S263" s="430"/>
      <c r="T263" s="430"/>
      <c r="U263" s="430"/>
    </row>
    <row r="264" spans="1:21" x14ac:dyDescent="0.2">
      <c r="B264" s="429"/>
      <c r="M264" s="439"/>
      <c r="N264" s="438"/>
      <c r="O264" s="430"/>
      <c r="P264" s="430"/>
      <c r="Q264" s="430"/>
      <c r="R264" s="430"/>
      <c r="S264" s="430"/>
      <c r="T264" s="430"/>
      <c r="U264" s="430"/>
    </row>
    <row r="265" spans="1:21" x14ac:dyDescent="0.2">
      <c r="A265" s="436" t="s">
        <v>2807</v>
      </c>
      <c r="B265" s="434" t="s">
        <v>2806</v>
      </c>
      <c r="C265" s="434"/>
      <c r="D265" s="434" t="s">
        <v>2805</v>
      </c>
      <c r="E265" s="449">
        <v>3.2</v>
      </c>
      <c r="F265" s="449">
        <v>2.6710526315789473</v>
      </c>
      <c r="G265" s="449">
        <v>2.75</v>
      </c>
      <c r="H265" s="449">
        <v>2.277227722772277</v>
      </c>
      <c r="I265" s="449">
        <v>2.4347826086956523</v>
      </c>
      <c r="J265" s="449">
        <v>2.8</v>
      </c>
      <c r="K265" s="449">
        <v>3</v>
      </c>
      <c r="L265" s="449">
        <v>2.5063694267515926</v>
      </c>
      <c r="M265" s="448">
        <v>2.5164279718817602</v>
      </c>
      <c r="N265" s="447">
        <v>2.5518321008281233</v>
      </c>
      <c r="O265" s="430"/>
      <c r="P265" s="430"/>
      <c r="Q265" s="430"/>
      <c r="R265" s="430"/>
      <c r="S265" s="430"/>
      <c r="T265" s="430"/>
      <c r="U265" s="430"/>
    </row>
    <row r="266" spans="1:21" x14ac:dyDescent="0.2">
      <c r="B266" s="434" t="s">
        <v>2799</v>
      </c>
      <c r="D266" s="434" t="s">
        <v>2805</v>
      </c>
      <c r="E266" s="446">
        <v>10</v>
      </c>
      <c r="F266" s="446">
        <v>76</v>
      </c>
      <c r="G266" s="446">
        <v>4</v>
      </c>
      <c r="H266" s="446">
        <v>101</v>
      </c>
      <c r="I266" s="446">
        <v>92</v>
      </c>
      <c r="J266" s="446">
        <v>30</v>
      </c>
      <c r="K266" s="446">
        <v>1</v>
      </c>
      <c r="L266" s="446">
        <v>314</v>
      </c>
      <c r="M266" s="439"/>
      <c r="N266" s="444"/>
      <c r="O266" s="430"/>
      <c r="P266" s="430"/>
      <c r="Q266" s="430"/>
      <c r="R266" s="430"/>
      <c r="S266" s="430"/>
      <c r="T266" s="430"/>
      <c r="U266" s="430"/>
    </row>
    <row r="267" spans="1:21" x14ac:dyDescent="0.2">
      <c r="B267" s="445"/>
      <c r="D267" s="436"/>
      <c r="E267" s="436"/>
      <c r="F267" s="436"/>
      <c r="G267" s="436"/>
      <c r="H267" s="436"/>
      <c r="I267" s="436"/>
      <c r="J267" s="436"/>
      <c r="K267" s="436"/>
      <c r="L267" s="436"/>
      <c r="M267" s="439"/>
      <c r="N267" s="444"/>
      <c r="O267" s="430"/>
      <c r="P267" s="430"/>
      <c r="Q267" s="430"/>
      <c r="R267" s="430"/>
      <c r="S267" s="430"/>
      <c r="T267" s="430"/>
      <c r="U267" s="430"/>
    </row>
    <row r="268" spans="1:21" x14ac:dyDescent="0.2">
      <c r="A268" s="436" t="s">
        <v>2804</v>
      </c>
      <c r="B268" s="434" t="s">
        <v>2799</v>
      </c>
      <c r="C268" s="442">
        <v>1</v>
      </c>
      <c r="D268" s="442" t="s">
        <v>2803</v>
      </c>
      <c r="E268" s="440">
        <v>0</v>
      </c>
      <c r="F268" s="440">
        <v>1</v>
      </c>
      <c r="G268" s="440">
        <v>0</v>
      </c>
      <c r="H268" s="440">
        <v>2</v>
      </c>
      <c r="I268" s="440">
        <v>1</v>
      </c>
      <c r="J268" s="440">
        <v>4</v>
      </c>
      <c r="K268" s="440">
        <v>0</v>
      </c>
      <c r="L268" s="440">
        <v>8</v>
      </c>
      <c r="M268" s="439"/>
      <c r="N268" s="438"/>
      <c r="O268" s="430"/>
      <c r="P268" s="430"/>
      <c r="Q268" s="430"/>
      <c r="R268" s="430"/>
      <c r="S268" s="430"/>
      <c r="T268" s="430"/>
      <c r="U268" s="430"/>
    </row>
    <row r="269" spans="1:21" x14ac:dyDescent="0.2">
      <c r="A269" s="436"/>
      <c r="B269" s="434" t="s">
        <v>2799</v>
      </c>
      <c r="C269" s="442">
        <v>2</v>
      </c>
      <c r="D269" s="442" t="s">
        <v>2802</v>
      </c>
      <c r="E269" s="440">
        <v>0</v>
      </c>
      <c r="F269" s="440">
        <v>1</v>
      </c>
      <c r="G269" s="440">
        <v>0</v>
      </c>
      <c r="H269" s="440">
        <v>0</v>
      </c>
      <c r="I269" s="440">
        <v>3</v>
      </c>
      <c r="J269" s="440">
        <v>0</v>
      </c>
      <c r="K269" s="440">
        <v>0</v>
      </c>
      <c r="L269" s="440">
        <v>4</v>
      </c>
      <c r="M269" s="439"/>
      <c r="N269" s="438"/>
      <c r="O269" s="430"/>
      <c r="P269" s="430"/>
      <c r="Q269" s="430"/>
      <c r="R269" s="430"/>
      <c r="S269" s="430"/>
      <c r="T269" s="430"/>
      <c r="U269" s="430"/>
    </row>
    <row r="270" spans="1:21" x14ac:dyDescent="0.2">
      <c r="A270" s="436"/>
      <c r="B270" s="434" t="s">
        <v>2799</v>
      </c>
      <c r="C270" s="442">
        <v>3</v>
      </c>
      <c r="D270" s="442" t="s">
        <v>2801</v>
      </c>
      <c r="E270" s="440">
        <v>0</v>
      </c>
      <c r="F270" s="440">
        <v>0</v>
      </c>
      <c r="G270" s="440">
        <v>0</v>
      </c>
      <c r="H270" s="440">
        <v>1</v>
      </c>
      <c r="I270" s="440">
        <v>0</v>
      </c>
      <c r="J270" s="440">
        <v>0</v>
      </c>
      <c r="K270" s="440">
        <v>0</v>
      </c>
      <c r="L270" s="440">
        <v>1</v>
      </c>
      <c r="M270" s="439"/>
      <c r="N270" s="438"/>
      <c r="O270" s="430"/>
      <c r="P270" s="430"/>
      <c r="Q270" s="430"/>
      <c r="R270" s="430"/>
      <c r="S270" s="430"/>
      <c r="T270" s="430"/>
      <c r="U270" s="430"/>
    </row>
    <row r="271" spans="1:21" x14ac:dyDescent="0.2">
      <c r="A271" s="436"/>
      <c r="B271" s="434" t="s">
        <v>2799</v>
      </c>
      <c r="C271" s="443" t="s">
        <v>2</v>
      </c>
      <c r="D271" s="442" t="s">
        <v>2800</v>
      </c>
      <c r="E271" s="440">
        <v>182</v>
      </c>
      <c r="F271" s="440">
        <v>903</v>
      </c>
      <c r="G271" s="440">
        <v>114</v>
      </c>
      <c r="H271" s="440">
        <v>777</v>
      </c>
      <c r="I271" s="440">
        <v>1143</v>
      </c>
      <c r="J271" s="440">
        <v>352</v>
      </c>
      <c r="K271" s="440">
        <v>15</v>
      </c>
      <c r="L271" s="440">
        <v>3486</v>
      </c>
      <c r="M271" s="439"/>
      <c r="N271" s="438"/>
      <c r="O271" s="430"/>
      <c r="P271" s="430"/>
      <c r="Q271" s="430"/>
      <c r="R271" s="430"/>
      <c r="S271" s="430"/>
      <c r="T271" s="430"/>
      <c r="U271" s="430"/>
    </row>
    <row r="272" spans="1:21" x14ac:dyDescent="0.2">
      <c r="A272" s="436"/>
      <c r="B272" s="434" t="s">
        <v>2799</v>
      </c>
      <c r="C272" s="442"/>
      <c r="D272" s="442" t="s">
        <v>68</v>
      </c>
      <c r="E272" s="441">
        <v>182</v>
      </c>
      <c r="F272" s="441">
        <v>905</v>
      </c>
      <c r="G272" s="441">
        <v>114</v>
      </c>
      <c r="H272" s="441">
        <v>780</v>
      </c>
      <c r="I272" s="441">
        <v>1147</v>
      </c>
      <c r="J272" s="441">
        <v>356</v>
      </c>
      <c r="K272" s="441">
        <v>15</v>
      </c>
      <c r="L272" s="440">
        <v>3499</v>
      </c>
      <c r="M272" s="439"/>
      <c r="N272" s="438"/>
      <c r="O272" s="430"/>
      <c r="P272" s="430"/>
      <c r="Q272" s="430"/>
      <c r="R272" s="430"/>
      <c r="S272" s="430"/>
      <c r="T272" s="430"/>
      <c r="U272" s="430"/>
    </row>
    <row r="273" spans="1:21" x14ac:dyDescent="0.2">
      <c r="A273" s="436"/>
      <c r="B273" s="434" t="s">
        <v>2799</v>
      </c>
      <c r="C273" s="442"/>
      <c r="D273" s="442" t="s">
        <v>2795</v>
      </c>
      <c r="E273" s="441">
        <v>0</v>
      </c>
      <c r="F273" s="441">
        <v>2</v>
      </c>
      <c r="G273" s="441">
        <v>0</v>
      </c>
      <c r="H273" s="441">
        <v>2</v>
      </c>
      <c r="I273" s="441">
        <v>4</v>
      </c>
      <c r="J273" s="441">
        <v>4</v>
      </c>
      <c r="K273" s="441">
        <v>0</v>
      </c>
      <c r="L273" s="440">
        <v>12</v>
      </c>
      <c r="M273" s="439"/>
      <c r="N273" s="438"/>
      <c r="O273" s="437">
        <v>0.16666666666666666</v>
      </c>
      <c r="P273" s="437">
        <v>0</v>
      </c>
      <c r="Q273" s="437">
        <v>0.16666666666666666</v>
      </c>
      <c r="R273" s="437">
        <v>0.33333333333333331</v>
      </c>
      <c r="S273" s="437">
        <v>0.33333333333333331</v>
      </c>
      <c r="T273" s="437">
        <v>0</v>
      </c>
      <c r="U273" s="437">
        <v>1</v>
      </c>
    </row>
    <row r="274" spans="1:21" x14ac:dyDescent="0.2">
      <c r="A274" s="436"/>
      <c r="B274" s="434" t="s">
        <v>2796</v>
      </c>
      <c r="C274" s="434"/>
      <c r="D274" s="434" t="s">
        <v>2798</v>
      </c>
      <c r="E274" s="435">
        <v>0</v>
      </c>
      <c r="F274" s="435">
        <v>1.2345679012345678E-2</v>
      </c>
      <c r="G274" s="435">
        <v>0</v>
      </c>
      <c r="H274" s="435">
        <v>1.0309278350515464E-2</v>
      </c>
      <c r="I274" s="435">
        <v>2.967359050445104E-3</v>
      </c>
      <c r="J274" s="435">
        <v>3.6036036036036036E-2</v>
      </c>
      <c r="K274" s="435">
        <v>0</v>
      </c>
      <c r="L274" s="435">
        <v>1.034928848641656E-2</v>
      </c>
      <c r="M274" s="432">
        <v>5.5138719327214635E-3</v>
      </c>
      <c r="N274" s="431">
        <v>5.2642140832450711E-3</v>
      </c>
      <c r="O274" s="430"/>
      <c r="P274" s="430"/>
      <c r="Q274" s="430"/>
      <c r="R274" s="430"/>
      <c r="S274" s="430"/>
      <c r="T274" s="430"/>
      <c r="U274" s="430"/>
    </row>
    <row r="275" spans="1:21" x14ac:dyDescent="0.2">
      <c r="A275" s="436"/>
      <c r="B275" s="434" t="s">
        <v>2796</v>
      </c>
      <c r="C275" s="434"/>
      <c r="D275" s="434" t="s">
        <v>2797</v>
      </c>
      <c r="E275" s="435">
        <v>0</v>
      </c>
      <c r="F275" s="435">
        <v>1.2345679012345678E-2</v>
      </c>
      <c r="G275" s="435">
        <v>0</v>
      </c>
      <c r="H275" s="435">
        <v>0</v>
      </c>
      <c r="I275" s="435">
        <v>8.9020771513353119E-3</v>
      </c>
      <c r="J275" s="435">
        <v>0</v>
      </c>
      <c r="K275" s="435">
        <v>0</v>
      </c>
      <c r="L275" s="435">
        <v>5.1746442432082798E-3</v>
      </c>
      <c r="M275" s="432">
        <v>7.1843728745715511E-3</v>
      </c>
      <c r="N275" s="431">
        <v>6.8590778543774957E-3</v>
      </c>
      <c r="O275" s="430"/>
      <c r="P275" s="430"/>
      <c r="Q275" s="430"/>
      <c r="R275" s="430"/>
      <c r="S275" s="430"/>
      <c r="T275" s="430"/>
      <c r="U275" s="430"/>
    </row>
    <row r="276" spans="1:21" x14ac:dyDescent="0.2">
      <c r="B276" s="434" t="s">
        <v>2796</v>
      </c>
      <c r="C276" s="434"/>
      <c r="D276" s="434" t="s">
        <v>2795</v>
      </c>
      <c r="E276" s="433">
        <v>0</v>
      </c>
      <c r="F276" s="433">
        <v>2.4691358024691357E-2</v>
      </c>
      <c r="G276" s="433">
        <v>0</v>
      </c>
      <c r="H276" s="433">
        <v>1.0309278350515464E-2</v>
      </c>
      <c r="I276" s="433">
        <v>1.1869436201780416E-2</v>
      </c>
      <c r="J276" s="433">
        <v>3.6036036036036036E-2</v>
      </c>
      <c r="K276" s="433">
        <v>0</v>
      </c>
      <c r="L276" s="433">
        <v>1.552393272962484E-2</v>
      </c>
      <c r="M276" s="432">
        <v>1.2698244807293015E-2</v>
      </c>
      <c r="N276" s="431">
        <v>1.2123291937622568E-2</v>
      </c>
      <c r="O276" s="430"/>
      <c r="P276" s="430"/>
      <c r="Q276" s="430"/>
      <c r="R276" s="430"/>
      <c r="S276" s="430"/>
      <c r="T276" s="430"/>
      <c r="U276" s="430"/>
    </row>
  </sheetData>
  <mergeCells count="1">
    <mergeCell ref="A1:N1"/>
  </mergeCells>
  <printOptions horizontalCentered="1" gridLines="1"/>
  <pageMargins left="0.25" right="0.25" top="0.75" bottom="1" header="0.5" footer="0.5"/>
  <pageSetup scale="39" fitToHeight="0" orientation="portrait" r:id="rId1"/>
  <headerFooter alignWithMargins="0">
    <oddHeader>&amp;A</oddHeader>
    <oddFooter>Page &amp;P of &amp;N</oddFooter>
  </headerFooter>
  <rowBreaks count="2" manualBreakCount="2">
    <brk id="137" max="16383" man="1"/>
    <brk id="237"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FFCC"/>
    <pageSetUpPr fitToPage="1"/>
  </sheetPr>
  <dimension ref="A1:AD72"/>
  <sheetViews>
    <sheetView zoomScaleNormal="100" workbookViewId="0">
      <selection sqref="A1:B1"/>
    </sheetView>
  </sheetViews>
  <sheetFormatPr defaultRowHeight="15" x14ac:dyDescent="0.25"/>
  <cols>
    <col min="1" max="1" width="33.140625" style="117" customWidth="1"/>
    <col min="2" max="2" width="13.85546875" style="117" customWidth="1"/>
    <col min="3" max="3" width="14.85546875" style="117" customWidth="1"/>
    <col min="4" max="4" width="9.28515625" style="117" bestFit="1" customWidth="1"/>
    <col min="5" max="5" width="9.85546875" style="117" bestFit="1" customWidth="1"/>
    <col min="6" max="6" width="9.28515625" style="117" bestFit="1" customWidth="1"/>
    <col min="7" max="7" width="9.85546875" style="117" bestFit="1" customWidth="1"/>
    <col min="8" max="14" width="9.28515625" style="117" bestFit="1" customWidth="1"/>
    <col min="15" max="15" width="11.7109375" style="117" customWidth="1"/>
    <col min="16" max="17" width="9.28515625" style="117" bestFit="1" customWidth="1"/>
    <col min="18" max="18" width="12.7109375" style="117" customWidth="1"/>
    <col min="19" max="19" width="9.28515625" style="117" bestFit="1" customWidth="1"/>
    <col min="20" max="20" width="12.7109375" style="117" customWidth="1"/>
    <col min="21" max="22" width="9.28515625" style="117" bestFit="1" customWidth="1"/>
    <col min="23" max="23" width="12.28515625" style="117" customWidth="1"/>
    <col min="24" max="24" width="11.140625" style="117" customWidth="1"/>
    <col min="25" max="25" width="12" style="117" customWidth="1"/>
    <col min="26" max="257" width="8.85546875" style="117"/>
    <col min="258" max="258" width="33.140625" style="117" customWidth="1"/>
    <col min="259" max="259" width="13.85546875" style="117" customWidth="1"/>
    <col min="260" max="260" width="14.85546875" style="117" customWidth="1"/>
    <col min="261" max="513" width="8.85546875" style="117"/>
    <col min="514" max="514" width="33.140625" style="117" customWidth="1"/>
    <col min="515" max="515" width="13.85546875" style="117" customWidth="1"/>
    <col min="516" max="516" width="14.85546875" style="117" customWidth="1"/>
    <col min="517" max="769" width="8.85546875" style="117"/>
    <col min="770" max="770" width="33.140625" style="117" customWidth="1"/>
    <col min="771" max="771" width="13.85546875" style="117" customWidth="1"/>
    <col min="772" max="772" width="14.85546875" style="117" customWidth="1"/>
    <col min="773" max="1025" width="8.85546875" style="117"/>
    <col min="1026" max="1026" width="33.140625" style="117" customWidth="1"/>
    <col min="1027" max="1027" width="13.85546875" style="117" customWidth="1"/>
    <col min="1028" max="1028" width="14.85546875" style="117" customWidth="1"/>
    <col min="1029" max="1281" width="8.85546875" style="117"/>
    <col min="1282" max="1282" width="33.140625" style="117" customWidth="1"/>
    <col min="1283" max="1283" width="13.85546875" style="117" customWidth="1"/>
    <col min="1284" max="1284" width="14.85546875" style="117" customWidth="1"/>
    <col min="1285" max="1537" width="8.85546875" style="117"/>
    <col min="1538" max="1538" width="33.140625" style="117" customWidth="1"/>
    <col min="1539" max="1539" width="13.85546875" style="117" customWidth="1"/>
    <col min="1540" max="1540" width="14.85546875" style="117" customWidth="1"/>
    <col min="1541" max="1793" width="8.85546875" style="117"/>
    <col min="1794" max="1794" width="33.140625" style="117" customWidth="1"/>
    <col min="1795" max="1795" width="13.85546875" style="117" customWidth="1"/>
    <col min="1796" max="1796" width="14.85546875" style="117" customWidth="1"/>
    <col min="1797" max="2049" width="8.85546875" style="117"/>
    <col min="2050" max="2050" width="33.140625" style="117" customWidth="1"/>
    <col min="2051" max="2051" width="13.85546875" style="117" customWidth="1"/>
    <col min="2052" max="2052" width="14.85546875" style="117" customWidth="1"/>
    <col min="2053" max="2305" width="8.85546875" style="117"/>
    <col min="2306" max="2306" width="33.140625" style="117" customWidth="1"/>
    <col min="2307" max="2307" width="13.85546875" style="117" customWidth="1"/>
    <col min="2308" max="2308" width="14.85546875" style="117" customWidth="1"/>
    <col min="2309" max="2561" width="8.85546875" style="117"/>
    <col min="2562" max="2562" width="33.140625" style="117" customWidth="1"/>
    <col min="2563" max="2563" width="13.85546875" style="117" customWidth="1"/>
    <col min="2564" max="2564" width="14.85546875" style="117" customWidth="1"/>
    <col min="2565" max="2817" width="8.85546875" style="117"/>
    <col min="2818" max="2818" width="33.140625" style="117" customWidth="1"/>
    <col min="2819" max="2819" width="13.85546875" style="117" customWidth="1"/>
    <col min="2820" max="2820" width="14.85546875" style="117" customWidth="1"/>
    <col min="2821" max="3073" width="8.85546875" style="117"/>
    <col min="3074" max="3074" width="33.140625" style="117" customWidth="1"/>
    <col min="3075" max="3075" width="13.85546875" style="117" customWidth="1"/>
    <col min="3076" max="3076" width="14.85546875" style="117" customWidth="1"/>
    <col min="3077" max="3329" width="8.85546875" style="117"/>
    <col min="3330" max="3330" width="33.140625" style="117" customWidth="1"/>
    <col min="3331" max="3331" width="13.85546875" style="117" customWidth="1"/>
    <col min="3332" max="3332" width="14.85546875" style="117" customWidth="1"/>
    <col min="3333" max="3585" width="8.85546875" style="117"/>
    <col min="3586" max="3586" width="33.140625" style="117" customWidth="1"/>
    <col min="3587" max="3587" width="13.85546875" style="117" customWidth="1"/>
    <col min="3588" max="3588" width="14.85546875" style="117" customWidth="1"/>
    <col min="3589" max="3841" width="8.85546875" style="117"/>
    <col min="3842" max="3842" width="33.140625" style="117" customWidth="1"/>
    <col min="3843" max="3843" width="13.85546875" style="117" customWidth="1"/>
    <col min="3844" max="3844" width="14.85546875" style="117" customWidth="1"/>
    <col min="3845" max="4097" width="8.85546875" style="117"/>
    <col min="4098" max="4098" width="33.140625" style="117" customWidth="1"/>
    <col min="4099" max="4099" width="13.85546875" style="117" customWidth="1"/>
    <col min="4100" max="4100" width="14.85546875" style="117" customWidth="1"/>
    <col min="4101" max="4353" width="8.85546875" style="117"/>
    <col min="4354" max="4354" width="33.140625" style="117" customWidth="1"/>
    <col min="4355" max="4355" width="13.85546875" style="117" customWidth="1"/>
    <col min="4356" max="4356" width="14.85546875" style="117" customWidth="1"/>
    <col min="4357" max="4609" width="8.85546875" style="117"/>
    <col min="4610" max="4610" width="33.140625" style="117" customWidth="1"/>
    <col min="4611" max="4611" width="13.85546875" style="117" customWidth="1"/>
    <col min="4612" max="4612" width="14.85546875" style="117" customWidth="1"/>
    <col min="4613" max="4865" width="8.85546875" style="117"/>
    <col min="4866" max="4866" width="33.140625" style="117" customWidth="1"/>
    <col min="4867" max="4867" width="13.85546875" style="117" customWidth="1"/>
    <col min="4868" max="4868" width="14.85546875" style="117" customWidth="1"/>
    <col min="4869" max="5121" width="8.85546875" style="117"/>
    <col min="5122" max="5122" width="33.140625" style="117" customWidth="1"/>
    <col min="5123" max="5123" width="13.85546875" style="117" customWidth="1"/>
    <col min="5124" max="5124" width="14.85546875" style="117" customWidth="1"/>
    <col min="5125" max="5377" width="8.85546875" style="117"/>
    <col min="5378" max="5378" width="33.140625" style="117" customWidth="1"/>
    <col min="5379" max="5379" width="13.85546875" style="117" customWidth="1"/>
    <col min="5380" max="5380" width="14.85546875" style="117" customWidth="1"/>
    <col min="5381" max="5633" width="8.85546875" style="117"/>
    <col min="5634" max="5634" width="33.140625" style="117" customWidth="1"/>
    <col min="5635" max="5635" width="13.85546875" style="117" customWidth="1"/>
    <col min="5636" max="5636" width="14.85546875" style="117" customWidth="1"/>
    <col min="5637" max="5889" width="8.85546875" style="117"/>
    <col min="5890" max="5890" width="33.140625" style="117" customWidth="1"/>
    <col min="5891" max="5891" width="13.85546875" style="117" customWidth="1"/>
    <col min="5892" max="5892" width="14.85546875" style="117" customWidth="1"/>
    <col min="5893" max="6145" width="8.85546875" style="117"/>
    <col min="6146" max="6146" width="33.140625" style="117" customWidth="1"/>
    <col min="6147" max="6147" width="13.85546875" style="117" customWidth="1"/>
    <col min="6148" max="6148" width="14.85546875" style="117" customWidth="1"/>
    <col min="6149" max="6401" width="8.85546875" style="117"/>
    <col min="6402" max="6402" width="33.140625" style="117" customWidth="1"/>
    <col min="6403" max="6403" width="13.85546875" style="117" customWidth="1"/>
    <col min="6404" max="6404" width="14.85546875" style="117" customWidth="1"/>
    <col min="6405" max="6657" width="8.85546875" style="117"/>
    <col min="6658" max="6658" width="33.140625" style="117" customWidth="1"/>
    <col min="6659" max="6659" width="13.85546875" style="117" customWidth="1"/>
    <col min="6660" max="6660" width="14.85546875" style="117" customWidth="1"/>
    <col min="6661" max="6913" width="8.85546875" style="117"/>
    <col min="6914" max="6914" width="33.140625" style="117" customWidth="1"/>
    <col min="6915" max="6915" width="13.85546875" style="117" customWidth="1"/>
    <col min="6916" max="6916" width="14.85546875" style="117" customWidth="1"/>
    <col min="6917" max="7169" width="8.85546875" style="117"/>
    <col min="7170" max="7170" width="33.140625" style="117" customWidth="1"/>
    <col min="7171" max="7171" width="13.85546875" style="117" customWidth="1"/>
    <col min="7172" max="7172" width="14.85546875" style="117" customWidth="1"/>
    <col min="7173" max="7425" width="8.85546875" style="117"/>
    <col min="7426" max="7426" width="33.140625" style="117" customWidth="1"/>
    <col min="7427" max="7427" width="13.85546875" style="117" customWidth="1"/>
    <col min="7428" max="7428" width="14.85546875" style="117" customWidth="1"/>
    <col min="7429" max="7681" width="8.85546875" style="117"/>
    <col min="7682" max="7682" width="33.140625" style="117" customWidth="1"/>
    <col min="7683" max="7683" width="13.85546875" style="117" customWidth="1"/>
    <col min="7684" max="7684" width="14.85546875" style="117" customWidth="1"/>
    <col min="7685" max="7937" width="8.85546875" style="117"/>
    <col min="7938" max="7938" width="33.140625" style="117" customWidth="1"/>
    <col min="7939" max="7939" width="13.85546875" style="117" customWidth="1"/>
    <col min="7940" max="7940" width="14.85546875" style="117" customWidth="1"/>
    <col min="7941" max="8193" width="8.85546875" style="117"/>
    <col min="8194" max="8194" width="33.140625" style="117" customWidth="1"/>
    <col min="8195" max="8195" width="13.85546875" style="117" customWidth="1"/>
    <col min="8196" max="8196" width="14.85546875" style="117" customWidth="1"/>
    <col min="8197" max="8449" width="8.85546875" style="117"/>
    <col min="8450" max="8450" width="33.140625" style="117" customWidth="1"/>
    <col min="8451" max="8451" width="13.85546875" style="117" customWidth="1"/>
    <col min="8452" max="8452" width="14.85546875" style="117" customWidth="1"/>
    <col min="8453" max="8705" width="8.85546875" style="117"/>
    <col min="8706" max="8706" width="33.140625" style="117" customWidth="1"/>
    <col min="8707" max="8707" width="13.85546875" style="117" customWidth="1"/>
    <col min="8708" max="8708" width="14.85546875" style="117" customWidth="1"/>
    <col min="8709" max="8961" width="8.85546875" style="117"/>
    <col min="8962" max="8962" width="33.140625" style="117" customWidth="1"/>
    <col min="8963" max="8963" width="13.85546875" style="117" customWidth="1"/>
    <col min="8964" max="8964" width="14.85546875" style="117" customWidth="1"/>
    <col min="8965" max="9217" width="8.85546875" style="117"/>
    <col min="9218" max="9218" width="33.140625" style="117" customWidth="1"/>
    <col min="9219" max="9219" width="13.85546875" style="117" customWidth="1"/>
    <col min="9220" max="9220" width="14.85546875" style="117" customWidth="1"/>
    <col min="9221" max="9473" width="8.85546875" style="117"/>
    <col min="9474" max="9474" width="33.140625" style="117" customWidth="1"/>
    <col min="9475" max="9475" width="13.85546875" style="117" customWidth="1"/>
    <col min="9476" max="9476" width="14.85546875" style="117" customWidth="1"/>
    <col min="9477" max="9729" width="8.85546875" style="117"/>
    <col min="9730" max="9730" width="33.140625" style="117" customWidth="1"/>
    <col min="9731" max="9731" width="13.85546875" style="117" customWidth="1"/>
    <col min="9732" max="9732" width="14.85546875" style="117" customWidth="1"/>
    <col min="9733" max="9985" width="8.85546875" style="117"/>
    <col min="9986" max="9986" width="33.140625" style="117" customWidth="1"/>
    <col min="9987" max="9987" width="13.85546875" style="117" customWidth="1"/>
    <col min="9988" max="9988" width="14.85546875" style="117" customWidth="1"/>
    <col min="9989" max="10241" width="8.85546875" style="117"/>
    <col min="10242" max="10242" width="33.140625" style="117" customWidth="1"/>
    <col min="10243" max="10243" width="13.85546875" style="117" customWidth="1"/>
    <col min="10244" max="10244" width="14.85546875" style="117" customWidth="1"/>
    <col min="10245" max="10497" width="8.85546875" style="117"/>
    <col min="10498" max="10498" width="33.140625" style="117" customWidth="1"/>
    <col min="10499" max="10499" width="13.85546875" style="117" customWidth="1"/>
    <col min="10500" max="10500" width="14.85546875" style="117" customWidth="1"/>
    <col min="10501" max="10753" width="8.85546875" style="117"/>
    <col min="10754" max="10754" width="33.140625" style="117" customWidth="1"/>
    <col min="10755" max="10755" width="13.85546875" style="117" customWidth="1"/>
    <col min="10756" max="10756" width="14.85546875" style="117" customWidth="1"/>
    <col min="10757" max="11009" width="8.85546875" style="117"/>
    <col min="11010" max="11010" width="33.140625" style="117" customWidth="1"/>
    <col min="11011" max="11011" width="13.85546875" style="117" customWidth="1"/>
    <col min="11012" max="11012" width="14.85546875" style="117" customWidth="1"/>
    <col min="11013" max="11265" width="8.85546875" style="117"/>
    <col min="11266" max="11266" width="33.140625" style="117" customWidth="1"/>
    <col min="11267" max="11267" width="13.85546875" style="117" customWidth="1"/>
    <col min="11268" max="11268" width="14.85546875" style="117" customWidth="1"/>
    <col min="11269" max="11521" width="8.85546875" style="117"/>
    <col min="11522" max="11522" width="33.140625" style="117" customWidth="1"/>
    <col min="11523" max="11523" width="13.85546875" style="117" customWidth="1"/>
    <col min="11524" max="11524" width="14.85546875" style="117" customWidth="1"/>
    <col min="11525" max="11777" width="8.85546875" style="117"/>
    <col min="11778" max="11778" width="33.140625" style="117" customWidth="1"/>
    <col min="11779" max="11779" width="13.85546875" style="117" customWidth="1"/>
    <col min="11780" max="11780" width="14.85546875" style="117" customWidth="1"/>
    <col min="11781" max="12033" width="8.85546875" style="117"/>
    <col min="12034" max="12034" width="33.140625" style="117" customWidth="1"/>
    <col min="12035" max="12035" width="13.85546875" style="117" customWidth="1"/>
    <col min="12036" max="12036" width="14.85546875" style="117" customWidth="1"/>
    <col min="12037" max="12289" width="8.85546875" style="117"/>
    <col min="12290" max="12290" width="33.140625" style="117" customWidth="1"/>
    <col min="12291" max="12291" width="13.85546875" style="117" customWidth="1"/>
    <col min="12292" max="12292" width="14.85546875" style="117" customWidth="1"/>
    <col min="12293" max="12545" width="8.85546875" style="117"/>
    <col min="12546" max="12546" width="33.140625" style="117" customWidth="1"/>
    <col min="12547" max="12547" width="13.85546875" style="117" customWidth="1"/>
    <col min="12548" max="12548" width="14.85546875" style="117" customWidth="1"/>
    <col min="12549" max="12801" width="8.85546875" style="117"/>
    <col min="12802" max="12802" width="33.140625" style="117" customWidth="1"/>
    <col min="12803" max="12803" width="13.85546875" style="117" customWidth="1"/>
    <col min="12804" max="12804" width="14.85546875" style="117" customWidth="1"/>
    <col min="12805" max="13057" width="8.85546875" style="117"/>
    <col min="13058" max="13058" width="33.140625" style="117" customWidth="1"/>
    <col min="13059" max="13059" width="13.85546875" style="117" customWidth="1"/>
    <col min="13060" max="13060" width="14.85546875" style="117" customWidth="1"/>
    <col min="13061" max="13313" width="8.85546875" style="117"/>
    <col min="13314" max="13314" width="33.140625" style="117" customWidth="1"/>
    <col min="13315" max="13315" width="13.85546875" style="117" customWidth="1"/>
    <col min="13316" max="13316" width="14.85546875" style="117" customWidth="1"/>
    <col min="13317" max="13569" width="8.85546875" style="117"/>
    <col min="13570" max="13570" width="33.140625" style="117" customWidth="1"/>
    <col min="13571" max="13571" width="13.85546875" style="117" customWidth="1"/>
    <col min="13572" max="13572" width="14.85546875" style="117" customWidth="1"/>
    <col min="13573" max="13825" width="8.85546875" style="117"/>
    <col min="13826" max="13826" width="33.140625" style="117" customWidth="1"/>
    <col min="13827" max="13827" width="13.85546875" style="117" customWidth="1"/>
    <col min="13828" max="13828" width="14.85546875" style="117" customWidth="1"/>
    <col min="13829" max="14081" width="8.85546875" style="117"/>
    <col min="14082" max="14082" width="33.140625" style="117" customWidth="1"/>
    <col min="14083" max="14083" width="13.85546875" style="117" customWidth="1"/>
    <col min="14084" max="14084" width="14.85546875" style="117" customWidth="1"/>
    <col min="14085" max="14337" width="8.85546875" style="117"/>
    <col min="14338" max="14338" width="33.140625" style="117" customWidth="1"/>
    <col min="14339" max="14339" width="13.85546875" style="117" customWidth="1"/>
    <col min="14340" max="14340" width="14.85546875" style="117" customWidth="1"/>
    <col min="14341" max="14593" width="8.85546875" style="117"/>
    <col min="14594" max="14594" width="33.140625" style="117" customWidth="1"/>
    <col min="14595" max="14595" width="13.85546875" style="117" customWidth="1"/>
    <col min="14596" max="14596" width="14.85546875" style="117" customWidth="1"/>
    <col min="14597" max="14849" width="8.85546875" style="117"/>
    <col min="14850" max="14850" width="33.140625" style="117" customWidth="1"/>
    <col min="14851" max="14851" width="13.85546875" style="117" customWidth="1"/>
    <col min="14852" max="14852" width="14.85546875" style="117" customWidth="1"/>
    <col min="14853" max="15105" width="8.85546875" style="117"/>
    <col min="15106" max="15106" width="33.140625" style="117" customWidth="1"/>
    <col min="15107" max="15107" width="13.85546875" style="117" customWidth="1"/>
    <col min="15108" max="15108" width="14.85546875" style="117" customWidth="1"/>
    <col min="15109" max="15361" width="8.85546875" style="117"/>
    <col min="15362" max="15362" width="33.140625" style="117" customWidth="1"/>
    <col min="15363" max="15363" width="13.85546875" style="117" customWidth="1"/>
    <col min="15364" max="15364" width="14.85546875" style="117" customWidth="1"/>
    <col min="15365" max="15617" width="8.85546875" style="117"/>
    <col min="15618" max="15618" width="33.140625" style="117" customWidth="1"/>
    <col min="15619" max="15619" width="13.85546875" style="117" customWidth="1"/>
    <col min="15620" max="15620" width="14.85546875" style="117" customWidth="1"/>
    <col min="15621" max="15873" width="8.85546875" style="117"/>
    <col min="15874" max="15874" width="33.140625" style="117" customWidth="1"/>
    <col min="15875" max="15875" width="13.85546875" style="117" customWidth="1"/>
    <col min="15876" max="15876" width="14.85546875" style="117" customWidth="1"/>
    <col min="15877" max="16129" width="8.85546875" style="117"/>
    <col min="16130" max="16130" width="33.140625" style="117" customWidth="1"/>
    <col min="16131" max="16131" width="13.85546875" style="117" customWidth="1"/>
    <col min="16132" max="16132" width="14.85546875" style="117" customWidth="1"/>
    <col min="16133" max="16384" width="8.85546875" style="117"/>
  </cols>
  <sheetData>
    <row r="1" spans="1:30" x14ac:dyDescent="0.25">
      <c r="A1" s="915" t="s">
        <v>2534</v>
      </c>
      <c r="B1" s="915"/>
    </row>
    <row r="2" spans="1:30" ht="15.75" thickBot="1" x14ac:dyDescent="0.3">
      <c r="A2" s="295" t="s">
        <v>16</v>
      </c>
      <c r="B2" s="295" t="s">
        <v>2535</v>
      </c>
    </row>
    <row r="3" spans="1:30" ht="15.75" thickTop="1" x14ac:dyDescent="0.25">
      <c r="A3" s="296">
        <v>99701</v>
      </c>
      <c r="B3" s="117" t="s">
        <v>2536</v>
      </c>
    </row>
    <row r="4" spans="1:30" x14ac:dyDescent="0.25">
      <c r="A4" s="296">
        <v>99703</v>
      </c>
      <c r="B4" s="117" t="s">
        <v>2537</v>
      </c>
    </row>
    <row r="5" spans="1:30" x14ac:dyDescent="0.25">
      <c r="A5" s="296">
        <v>99705</v>
      </c>
      <c r="B5" s="117" t="s">
        <v>2461</v>
      </c>
    </row>
    <row r="6" spans="1:30" x14ac:dyDescent="0.25">
      <c r="A6" s="296">
        <v>99709</v>
      </c>
      <c r="B6" s="117" t="s">
        <v>2538</v>
      </c>
    </row>
    <row r="7" spans="1:30" x14ac:dyDescent="0.25">
      <c r="A7" s="296">
        <v>99712</v>
      </c>
      <c r="B7" s="117" t="s">
        <v>2539</v>
      </c>
    </row>
    <row r="8" spans="1:30" x14ac:dyDescent="0.25">
      <c r="A8" s="296">
        <v>99775</v>
      </c>
      <c r="B8" s="117" t="s">
        <v>2540</v>
      </c>
    </row>
    <row r="9" spans="1:30" x14ac:dyDescent="0.25">
      <c r="A9" s="296"/>
    </row>
    <row r="11" spans="1:30" ht="15.75" x14ac:dyDescent="0.25">
      <c r="A11" s="937" t="s">
        <v>2541</v>
      </c>
      <c r="B11" s="937"/>
      <c r="C11" s="937"/>
      <c r="D11" s="937"/>
      <c r="E11" s="937"/>
      <c r="F11" s="937"/>
      <c r="G11" s="937"/>
      <c r="H11" s="937"/>
      <c r="I11" s="937"/>
      <c r="J11" s="937"/>
      <c r="K11" s="937"/>
      <c r="L11" s="937"/>
      <c r="M11" s="937"/>
      <c r="N11" s="937"/>
      <c r="O11" s="937"/>
      <c r="P11" s="937"/>
      <c r="Q11" s="937"/>
      <c r="R11" s="937"/>
      <c r="S11" s="937"/>
      <c r="T11" s="937"/>
      <c r="U11" s="937"/>
      <c r="V11" s="937"/>
      <c r="W11" s="937"/>
      <c r="X11" s="937"/>
      <c r="Y11" s="937"/>
    </row>
    <row r="12" spans="1:30" x14ac:dyDescent="0.25">
      <c r="O12" s="915">
        <v>2017</v>
      </c>
      <c r="P12" s="915"/>
      <c r="X12" s="297"/>
      <c r="Z12" s="298" t="s">
        <v>4132</v>
      </c>
      <c r="AC12" s="298" t="s">
        <v>2995</v>
      </c>
    </row>
    <row r="13" spans="1:30" x14ac:dyDescent="0.25">
      <c r="D13" s="298" t="s">
        <v>2542</v>
      </c>
      <c r="O13" s="296" t="s">
        <v>2543</v>
      </c>
      <c r="P13" s="296" t="s">
        <v>2544</v>
      </c>
      <c r="U13" s="915" t="s">
        <v>2545</v>
      </c>
      <c r="V13" s="915"/>
      <c r="W13" s="915"/>
      <c r="X13" s="915"/>
      <c r="Y13" s="915"/>
      <c r="Z13" s="269">
        <v>0.68227118291301903</v>
      </c>
      <c r="AA13" t="s">
        <v>2546</v>
      </c>
      <c r="AC13" s="269">
        <v>0</v>
      </c>
      <c r="AD13" t="s">
        <v>2546</v>
      </c>
    </row>
    <row r="14" spans="1:30" ht="14.45" customHeight="1" x14ac:dyDescent="0.25">
      <c r="A14" s="299"/>
      <c r="B14" s="298" t="s">
        <v>2547</v>
      </c>
      <c r="D14" s="298" t="s">
        <v>2548</v>
      </c>
      <c r="F14" s="915" t="s">
        <v>2549</v>
      </c>
      <c r="G14" s="915"/>
      <c r="H14" s="915"/>
      <c r="I14" s="915"/>
      <c r="J14" s="915"/>
      <c r="K14" s="915"/>
      <c r="L14" s="915"/>
      <c r="M14" s="915"/>
      <c r="N14" s="915"/>
      <c r="O14" s="296" t="s">
        <v>2550</v>
      </c>
      <c r="P14" s="296" t="s">
        <v>2551</v>
      </c>
      <c r="V14" s="915" t="s">
        <v>2552</v>
      </c>
      <c r="W14" s="915"/>
      <c r="X14" s="915" t="s">
        <v>2553</v>
      </c>
      <c r="Y14" s="915"/>
      <c r="Z14" s="269">
        <v>0.31772881708698097</v>
      </c>
      <c r="AA14" t="s">
        <v>2554</v>
      </c>
      <c r="AC14" s="269">
        <v>1</v>
      </c>
      <c r="AD14" t="s">
        <v>2554</v>
      </c>
    </row>
    <row r="15" spans="1:30" x14ac:dyDescent="0.25">
      <c r="A15" s="300" t="s">
        <v>1889</v>
      </c>
      <c r="B15" s="301" t="s">
        <v>2555</v>
      </c>
      <c r="C15" s="301" t="s">
        <v>2548</v>
      </c>
      <c r="D15" s="301" t="s">
        <v>2140</v>
      </c>
      <c r="E15" s="302" t="s">
        <v>2556</v>
      </c>
      <c r="F15" s="301">
        <v>2010</v>
      </c>
      <c r="G15" s="301">
        <v>2011</v>
      </c>
      <c r="H15" s="301">
        <v>2012</v>
      </c>
      <c r="I15" s="301">
        <v>2013</v>
      </c>
      <c r="J15" s="301">
        <v>2014</v>
      </c>
      <c r="K15" s="301">
        <v>2015</v>
      </c>
      <c r="L15" s="301">
        <v>2016</v>
      </c>
      <c r="M15" s="301">
        <v>2017</v>
      </c>
      <c r="N15" s="301">
        <v>2018</v>
      </c>
      <c r="O15" s="302" t="s">
        <v>2557</v>
      </c>
      <c r="P15" s="302" t="s">
        <v>2558</v>
      </c>
      <c r="U15" s="301" t="s">
        <v>21</v>
      </c>
      <c r="V15" s="301" t="s">
        <v>2559</v>
      </c>
      <c r="W15" s="301" t="s">
        <v>64</v>
      </c>
      <c r="X15" s="301" t="s">
        <v>2559</v>
      </c>
      <c r="Y15" s="301" t="s">
        <v>64</v>
      </c>
      <c r="Z15" s="301" t="s">
        <v>2560</v>
      </c>
      <c r="AC15" s="301" t="s">
        <v>2560</v>
      </c>
    </row>
    <row r="16" spans="1:30" x14ac:dyDescent="0.25">
      <c r="A16" s="117" t="s">
        <v>2561</v>
      </c>
      <c r="B16" s="303">
        <v>3413</v>
      </c>
      <c r="C16" s="117" t="s">
        <v>2562</v>
      </c>
      <c r="D16" s="304">
        <v>1</v>
      </c>
      <c r="E16" s="305">
        <f t="shared" ref="E16:E22" si="0">AVERAGE(F16:K16)</f>
        <v>0.19841666666666669</v>
      </c>
      <c r="F16" s="306">
        <v>0.17499999999999999</v>
      </c>
      <c r="G16" s="306">
        <v>0.1976</v>
      </c>
      <c r="H16" s="306">
        <v>0.22770000000000001</v>
      </c>
      <c r="I16" s="306">
        <v>0.20300000000000001</v>
      </c>
      <c r="J16" s="306">
        <v>0.2072</v>
      </c>
      <c r="K16" s="306">
        <v>0.18</v>
      </c>
      <c r="L16" s="306">
        <v>0.19989999999999999</v>
      </c>
      <c r="M16" s="306">
        <v>0.21099999999999999</v>
      </c>
      <c r="N16" s="306">
        <v>0.20050000000000001</v>
      </c>
      <c r="O16" s="307">
        <f>M16*10^5/(B16*D16)</f>
        <v>6.1822443598007615</v>
      </c>
      <c r="P16" s="308">
        <f>10^5/O16</f>
        <v>16175.355450236968</v>
      </c>
      <c r="T16" s="296" t="s">
        <v>2563</v>
      </c>
      <c r="U16" s="296">
        <v>2000</v>
      </c>
      <c r="V16" s="309">
        <v>1.3720000000000001</v>
      </c>
      <c r="W16" s="296" t="s">
        <v>2564</v>
      </c>
      <c r="X16" s="309">
        <v>1.3120000000000001</v>
      </c>
      <c r="Y16" s="296" t="s">
        <v>2565</v>
      </c>
      <c r="Z16" s="310">
        <f>X16*$Z$13+V16*$Z$14</f>
        <v>1.331063729025219</v>
      </c>
      <c r="AC16" s="310">
        <f>X16*$AC$13+V16*$AC$14</f>
        <v>1.3720000000000001</v>
      </c>
    </row>
    <row r="17" spans="1:29" x14ac:dyDescent="0.25">
      <c r="A17" s="117" t="s">
        <v>2566</v>
      </c>
      <c r="B17" s="303">
        <v>1000000</v>
      </c>
      <c r="C17" s="117" t="s">
        <v>2567</v>
      </c>
      <c r="D17" s="304">
        <v>1</v>
      </c>
      <c r="E17" s="305">
        <f t="shared" si="0"/>
        <v>23.474999999999998</v>
      </c>
      <c r="F17" s="305">
        <v>23.4</v>
      </c>
      <c r="G17" s="305">
        <v>17.93</v>
      </c>
      <c r="H17" s="305">
        <v>27.03</v>
      </c>
      <c r="I17" s="305">
        <v>27.03</v>
      </c>
      <c r="J17" s="305">
        <v>27.03</v>
      </c>
      <c r="K17" s="305">
        <v>18.43</v>
      </c>
      <c r="L17" s="305">
        <v>18.43</v>
      </c>
      <c r="M17" s="305">
        <v>21.05</v>
      </c>
      <c r="N17" s="305">
        <v>24.41</v>
      </c>
      <c r="O17" s="307">
        <f t="shared" ref="O17:O27" si="1">M17*10^5/(B17*D17)</f>
        <v>2.105</v>
      </c>
      <c r="P17" s="308">
        <f t="shared" ref="P17:P27" si="2">10^5/O17</f>
        <v>47505.938242280288</v>
      </c>
      <c r="T17" s="296" t="s">
        <v>2563</v>
      </c>
      <c r="U17" s="296">
        <v>2001</v>
      </c>
      <c r="V17" s="309">
        <v>1.343</v>
      </c>
      <c r="W17" s="296" t="s">
        <v>2568</v>
      </c>
      <c r="X17" s="309">
        <v>1.2829999999999999</v>
      </c>
      <c r="Y17" s="296" t="s">
        <v>2569</v>
      </c>
      <c r="Z17" s="310">
        <f t="shared" ref="Z17:Z34" si="3">X17*$Z$13+V17*$Z$14</f>
        <v>1.3020637290252188</v>
      </c>
      <c r="AC17" s="310">
        <f t="shared" ref="AC17:AC42" si="4">X17*$AC$13+V17*$AC$14</f>
        <v>1.343</v>
      </c>
    </row>
    <row r="18" spans="1:29" x14ac:dyDescent="0.25">
      <c r="A18" s="117" t="s">
        <v>2570</v>
      </c>
      <c r="B18" s="303">
        <v>1066000</v>
      </c>
      <c r="C18" s="117" t="s">
        <v>2571</v>
      </c>
      <c r="D18" s="304">
        <v>1</v>
      </c>
      <c r="E18" s="305">
        <f t="shared" si="0"/>
        <v>12.526666666666666</v>
      </c>
      <c r="F18" s="305">
        <v>10.5</v>
      </c>
      <c r="G18" s="305">
        <v>10.5</v>
      </c>
      <c r="H18" s="305">
        <v>10.5</v>
      </c>
      <c r="I18" s="305">
        <v>10.5</v>
      </c>
      <c r="J18" s="305">
        <v>15</v>
      </c>
      <c r="K18" s="305">
        <v>18.16</v>
      </c>
      <c r="L18" s="305">
        <v>18.16</v>
      </c>
      <c r="M18" s="305">
        <v>19.59</v>
      </c>
      <c r="N18" s="305">
        <v>19.59</v>
      </c>
      <c r="O18" s="307">
        <f t="shared" si="1"/>
        <v>1.8377110694183865</v>
      </c>
      <c r="P18" s="308">
        <f t="shared" si="2"/>
        <v>54415.518121490561</v>
      </c>
      <c r="T18" s="296" t="s">
        <v>2563</v>
      </c>
      <c r="U18" s="296">
        <v>2002</v>
      </c>
      <c r="V18" s="309">
        <v>1.212</v>
      </c>
      <c r="W18" s="296" t="s">
        <v>2572</v>
      </c>
      <c r="X18" s="309">
        <v>1.175</v>
      </c>
      <c r="Y18" s="296" t="s">
        <v>2573</v>
      </c>
      <c r="Z18" s="310">
        <f t="shared" si="3"/>
        <v>1.1867559662322182</v>
      </c>
      <c r="AC18" s="310">
        <f t="shared" si="4"/>
        <v>1.212</v>
      </c>
    </row>
    <row r="19" spans="1:29" x14ac:dyDescent="0.25">
      <c r="A19" s="117" t="s">
        <v>2574</v>
      </c>
      <c r="B19" s="303">
        <v>135000</v>
      </c>
      <c r="C19" s="117" t="s">
        <v>2575</v>
      </c>
      <c r="D19" s="304">
        <v>0.85</v>
      </c>
      <c r="E19" s="305">
        <f t="shared" si="0"/>
        <v>3.4064166666666669</v>
      </c>
      <c r="F19" s="305">
        <v>3.1</v>
      </c>
      <c r="G19" s="305">
        <v>3.8525</v>
      </c>
      <c r="H19" s="305">
        <v>3.867</v>
      </c>
      <c r="I19" s="305">
        <v>3.7320000000000002</v>
      </c>
      <c r="J19" s="305">
        <v>3.452</v>
      </c>
      <c r="K19" s="305">
        <v>2.4350000000000001</v>
      </c>
      <c r="L19" s="305">
        <v>2.3940000000000001</v>
      </c>
      <c r="M19" s="305">
        <v>2.7829999999999999</v>
      </c>
      <c r="N19" s="305">
        <v>2.9279999999999999</v>
      </c>
      <c r="O19" s="307">
        <f t="shared" si="1"/>
        <v>2.4252723311546842</v>
      </c>
      <c r="P19" s="308">
        <f t="shared" si="2"/>
        <v>41232.482932087674</v>
      </c>
      <c r="T19" s="296" t="s">
        <v>2563</v>
      </c>
      <c r="U19" s="296">
        <v>2003</v>
      </c>
      <c r="V19" s="309">
        <v>1.2729999999999999</v>
      </c>
      <c r="W19" s="296" t="s">
        <v>2576</v>
      </c>
      <c r="X19" s="309">
        <v>1.224</v>
      </c>
      <c r="Y19" s="296" t="s">
        <v>2577</v>
      </c>
      <c r="Z19" s="310">
        <f t="shared" si="3"/>
        <v>1.239568712037262</v>
      </c>
      <c r="AC19" s="310">
        <f t="shared" si="4"/>
        <v>1.2729999999999999</v>
      </c>
    </row>
    <row r="20" spans="1:29" x14ac:dyDescent="0.25">
      <c r="A20" s="117" t="s">
        <v>2110</v>
      </c>
      <c r="B20" s="303">
        <v>1010000</v>
      </c>
      <c r="C20" s="117" t="s">
        <v>2578</v>
      </c>
      <c r="D20" s="304">
        <v>0.85</v>
      </c>
      <c r="E20" s="305">
        <f t="shared" si="0"/>
        <v>23.349999999999998</v>
      </c>
      <c r="F20" s="305">
        <v>23.35</v>
      </c>
      <c r="G20" s="305">
        <v>23.35</v>
      </c>
      <c r="H20" s="305">
        <v>23.35</v>
      </c>
      <c r="I20" s="305">
        <v>23.35</v>
      </c>
      <c r="J20" s="305">
        <v>23.35</v>
      </c>
      <c r="K20" s="305">
        <v>23.35</v>
      </c>
      <c r="L20" s="305">
        <v>20.2</v>
      </c>
      <c r="M20" s="305">
        <v>20.2</v>
      </c>
      <c r="N20" s="305">
        <v>20.81</v>
      </c>
      <c r="O20" s="307">
        <f t="shared" si="1"/>
        <v>2.3529411764705883</v>
      </c>
      <c r="P20" s="308">
        <f t="shared" si="2"/>
        <v>42500</v>
      </c>
      <c r="T20" s="296" t="s">
        <v>2563</v>
      </c>
      <c r="U20" s="296">
        <v>2004</v>
      </c>
      <c r="V20" s="309">
        <v>1.8240000000000001</v>
      </c>
      <c r="W20" s="296" t="s">
        <v>2579</v>
      </c>
      <c r="X20" s="309">
        <v>1.8089999999999999</v>
      </c>
      <c r="Y20" s="296" t="s">
        <v>2580</v>
      </c>
      <c r="Z20" s="310">
        <f t="shared" si="3"/>
        <v>1.8137659322563047</v>
      </c>
      <c r="AC20" s="310">
        <f t="shared" si="4"/>
        <v>1.8240000000000001</v>
      </c>
    </row>
    <row r="21" spans="1:29" x14ac:dyDescent="0.25">
      <c r="A21" s="117" t="s">
        <v>2109</v>
      </c>
      <c r="B21" s="303">
        <v>91333</v>
      </c>
      <c r="C21" s="117" t="s">
        <v>2575</v>
      </c>
      <c r="D21" s="304">
        <v>0.85</v>
      </c>
      <c r="E21" s="305">
        <f t="shared" si="0"/>
        <v>3.8056666666666668</v>
      </c>
      <c r="F21" s="305">
        <v>3.54</v>
      </c>
      <c r="G21" s="305">
        <v>4.07</v>
      </c>
      <c r="H21" s="305">
        <v>4.117</v>
      </c>
      <c r="I21" s="305">
        <v>2.8069999999999999</v>
      </c>
      <c r="J21" s="305">
        <v>4.4400000000000004</v>
      </c>
      <c r="K21" s="305">
        <v>3.86</v>
      </c>
      <c r="L21" s="305">
        <v>3.88</v>
      </c>
      <c r="M21" s="305">
        <v>4.34</v>
      </c>
      <c r="N21" s="305">
        <v>3.43</v>
      </c>
      <c r="O21" s="307">
        <f t="shared" si="1"/>
        <v>5.5904025411857452</v>
      </c>
      <c r="P21" s="308">
        <f t="shared" si="2"/>
        <v>17887.799539170504</v>
      </c>
      <c r="T21" s="296" t="s">
        <v>2563</v>
      </c>
      <c r="U21" s="296">
        <v>2005</v>
      </c>
      <c r="V21" s="309">
        <v>2.544</v>
      </c>
      <c r="W21" s="296" t="s">
        <v>2581</v>
      </c>
      <c r="X21" s="309">
        <v>2.5230000000000001</v>
      </c>
      <c r="Y21" s="296" t="s">
        <v>2582</v>
      </c>
      <c r="Z21" s="310">
        <f t="shared" si="3"/>
        <v>2.5296723051588268</v>
      </c>
      <c r="AC21" s="310">
        <f t="shared" si="4"/>
        <v>2.544</v>
      </c>
    </row>
    <row r="22" spans="1:29" x14ac:dyDescent="0.25">
      <c r="A22" s="117" t="s">
        <v>2583</v>
      </c>
      <c r="B22" s="303">
        <v>16000000</v>
      </c>
      <c r="C22" s="117" t="s">
        <v>2584</v>
      </c>
      <c r="D22" s="304">
        <v>0.85</v>
      </c>
      <c r="E22" s="305">
        <f t="shared" si="0"/>
        <v>290.5</v>
      </c>
      <c r="F22" s="305">
        <v>295</v>
      </c>
      <c r="G22" s="305">
        <v>295</v>
      </c>
      <c r="H22" s="305">
        <v>282</v>
      </c>
      <c r="I22" s="305">
        <v>282</v>
      </c>
      <c r="J22" s="305">
        <v>294.5</v>
      </c>
      <c r="K22" s="305">
        <v>294.5</v>
      </c>
      <c r="L22" s="305">
        <v>292</v>
      </c>
      <c r="M22" s="305">
        <v>272</v>
      </c>
      <c r="N22" s="305">
        <v>272</v>
      </c>
      <c r="O22" s="307">
        <f t="shared" si="1"/>
        <v>2</v>
      </c>
      <c r="P22" s="308">
        <f t="shared" si="2"/>
        <v>50000</v>
      </c>
      <c r="Q22" s="117" t="s">
        <v>2585</v>
      </c>
      <c r="S22" s="311"/>
      <c r="T22" s="296" t="s">
        <v>2563</v>
      </c>
      <c r="U22" s="296">
        <v>2006</v>
      </c>
      <c r="V22" s="309">
        <v>2.4940000000000002</v>
      </c>
      <c r="W22" s="296" t="s">
        <v>2586</v>
      </c>
      <c r="X22" s="309">
        <v>2.4790000000000001</v>
      </c>
      <c r="Y22" s="296" t="s">
        <v>2587</v>
      </c>
      <c r="Z22" s="310">
        <f t="shared" si="3"/>
        <v>2.483765932256305</v>
      </c>
      <c r="AC22" s="310">
        <f t="shared" si="4"/>
        <v>2.4940000000000002</v>
      </c>
    </row>
    <row r="23" spans="1:29" x14ac:dyDescent="0.25">
      <c r="A23" s="117" t="s">
        <v>2588</v>
      </c>
      <c r="B23" s="114">
        <f>23600000</f>
        <v>23600000</v>
      </c>
      <c r="C23" s="117" t="s">
        <v>2589</v>
      </c>
      <c r="D23" s="304">
        <v>0.7</v>
      </c>
      <c r="E23" s="305">
        <f>AVERAGE(F23:K23)</f>
        <v>264.43</v>
      </c>
      <c r="F23" s="305">
        <v>185</v>
      </c>
      <c r="G23" s="305">
        <v>250</v>
      </c>
      <c r="H23" s="305">
        <v>325</v>
      </c>
      <c r="I23" s="305">
        <v>272.33</v>
      </c>
      <c r="J23" s="305">
        <v>260.5</v>
      </c>
      <c r="K23" s="305">
        <v>293.75</v>
      </c>
      <c r="L23" s="305">
        <v>277</v>
      </c>
      <c r="M23" s="305">
        <v>277.77999999999997</v>
      </c>
      <c r="N23" s="305">
        <v>285</v>
      </c>
      <c r="O23" s="307">
        <f t="shared" si="1"/>
        <v>1.6814769975786925</v>
      </c>
      <c r="P23" s="308">
        <f t="shared" si="2"/>
        <v>59471.524227806178</v>
      </c>
      <c r="Q23" s="114">
        <v>3964.5620734824852</v>
      </c>
      <c r="R23" s="312">
        <f>B23/Q23*2000</f>
        <v>11905476.349002995</v>
      </c>
      <c r="S23" s="311" t="s">
        <v>2584</v>
      </c>
      <c r="T23" s="296" t="s">
        <v>2563</v>
      </c>
      <c r="U23" s="296">
        <v>2007</v>
      </c>
      <c r="V23" s="309">
        <v>2.6829999999999998</v>
      </c>
      <c r="W23" s="296" t="s">
        <v>2590</v>
      </c>
      <c r="X23" s="309">
        <v>2.5979999999999999</v>
      </c>
      <c r="Y23" s="296" t="s">
        <v>2591</v>
      </c>
      <c r="Z23" s="310">
        <f t="shared" si="3"/>
        <v>2.6250069494523931</v>
      </c>
      <c r="AC23" s="310">
        <f t="shared" si="4"/>
        <v>2.6829999999999998</v>
      </c>
    </row>
    <row r="24" spans="1:29" x14ac:dyDescent="0.25">
      <c r="A24" s="117" t="s">
        <v>2592</v>
      </c>
      <c r="B24" s="114">
        <f>18100000</f>
        <v>18100000</v>
      </c>
      <c r="C24" s="117" t="s">
        <v>2589</v>
      </c>
      <c r="D24" s="304">
        <v>0.7</v>
      </c>
      <c r="E24" s="305">
        <f>AVERAGE(F24:K24)</f>
        <v>272.19499999999999</v>
      </c>
      <c r="F24" s="305">
        <v>165</v>
      </c>
      <c r="G24" s="305">
        <v>250</v>
      </c>
      <c r="H24" s="305">
        <v>327</v>
      </c>
      <c r="I24" s="305">
        <v>340</v>
      </c>
      <c r="J24" s="305">
        <v>276.67</v>
      </c>
      <c r="K24" s="305">
        <v>274.5</v>
      </c>
      <c r="L24" s="305">
        <v>258.33</v>
      </c>
      <c r="M24" s="305">
        <v>280</v>
      </c>
      <c r="N24" s="305">
        <v>229.17</v>
      </c>
      <c r="O24" s="307">
        <f t="shared" si="1"/>
        <v>2.2099447513812156</v>
      </c>
      <c r="P24" s="308">
        <f t="shared" si="2"/>
        <v>45250</v>
      </c>
      <c r="Q24" s="114">
        <v>2900.8990781579155</v>
      </c>
      <c r="R24" s="312">
        <f>B24/Q24*2000</f>
        <v>12478889.828524187</v>
      </c>
      <c r="S24" s="311" t="s">
        <v>2584</v>
      </c>
      <c r="T24" s="296" t="s">
        <v>2563</v>
      </c>
      <c r="U24" s="296">
        <v>2008</v>
      </c>
      <c r="V24" s="309">
        <v>3.67</v>
      </c>
      <c r="W24" s="296" t="s">
        <v>2593</v>
      </c>
      <c r="X24" s="309">
        <v>3.67</v>
      </c>
      <c r="Y24" s="296" t="s">
        <v>2594</v>
      </c>
      <c r="Z24" s="310">
        <f t="shared" si="3"/>
        <v>3.67</v>
      </c>
      <c r="AC24" s="310">
        <f t="shared" si="4"/>
        <v>3.67</v>
      </c>
    </row>
    <row r="25" spans="1:29" x14ac:dyDescent="0.25">
      <c r="A25" s="117" t="s">
        <v>2595</v>
      </c>
      <c r="B25" s="114">
        <f>16600000</f>
        <v>16600000</v>
      </c>
      <c r="C25" s="117" t="s">
        <v>2589</v>
      </c>
      <c r="D25" s="304">
        <v>0.7</v>
      </c>
      <c r="E25" s="305">
        <f>AVERAGE(F25:K25)</f>
        <v>272.19499999999999</v>
      </c>
      <c r="F25" s="305">
        <f t="shared" ref="F25:N25" si="5">F24</f>
        <v>165</v>
      </c>
      <c r="G25" s="305">
        <f t="shared" si="5"/>
        <v>250</v>
      </c>
      <c r="H25" s="305">
        <f t="shared" si="5"/>
        <v>327</v>
      </c>
      <c r="I25" s="305">
        <f t="shared" si="5"/>
        <v>340</v>
      </c>
      <c r="J25" s="305">
        <f t="shared" si="5"/>
        <v>276.67</v>
      </c>
      <c r="K25" s="305">
        <f t="shared" si="5"/>
        <v>274.5</v>
      </c>
      <c r="L25" s="305">
        <f t="shared" si="5"/>
        <v>258.33</v>
      </c>
      <c r="M25" s="305">
        <f t="shared" si="5"/>
        <v>280</v>
      </c>
      <c r="N25" s="305">
        <f t="shared" si="5"/>
        <v>229.17</v>
      </c>
      <c r="O25" s="307">
        <f t="shared" si="1"/>
        <v>2.4096385542168677</v>
      </c>
      <c r="P25" s="308">
        <f t="shared" si="2"/>
        <v>41500</v>
      </c>
      <c r="Q25" s="114">
        <v>2746.1844606561604</v>
      </c>
      <c r="R25" s="312">
        <f>B25/Q25*2000</f>
        <v>12089501.078914179</v>
      </c>
      <c r="S25" s="311" t="s">
        <v>2584</v>
      </c>
      <c r="T25" s="296" t="s">
        <v>2563</v>
      </c>
      <c r="U25" s="296">
        <v>2009</v>
      </c>
      <c r="V25" s="309">
        <v>2.7309999999999999</v>
      </c>
      <c r="W25" s="296" t="s">
        <v>2596</v>
      </c>
      <c r="X25" s="309">
        <v>2.722</v>
      </c>
      <c r="Y25" s="296" t="s">
        <v>2597</v>
      </c>
      <c r="Z25" s="310">
        <f t="shared" si="3"/>
        <v>2.7248595593537828</v>
      </c>
      <c r="AC25" s="310">
        <f t="shared" si="4"/>
        <v>2.7309999999999999</v>
      </c>
    </row>
    <row r="26" spans="1:29" x14ac:dyDescent="0.25">
      <c r="A26" s="299" t="s">
        <v>2598</v>
      </c>
      <c r="B26" s="312">
        <f>SUMPRODUCT(B23:B25,$J37:$J39)</f>
        <v>20372979.938722931</v>
      </c>
      <c r="C26" s="299" t="s">
        <v>2589</v>
      </c>
      <c r="D26" s="313">
        <v>0.7</v>
      </c>
      <c r="E26" s="314">
        <f t="shared" ref="E26:L26" si="6">SUMPRODUCT(E23:E25,$J37:$J39)</f>
        <v>268.59436513969553</v>
      </c>
      <c r="F26" s="314">
        <f t="shared" si="6"/>
        <v>174.27401123066184</v>
      </c>
      <c r="G26" s="314">
        <f t="shared" si="6"/>
        <v>250</v>
      </c>
      <c r="H26" s="314">
        <f t="shared" si="6"/>
        <v>326.0725988769338</v>
      </c>
      <c r="I26" s="314">
        <f t="shared" si="6"/>
        <v>308.62138300105556</v>
      </c>
      <c r="J26" s="314">
        <f t="shared" si="6"/>
        <v>269.17196192000989</v>
      </c>
      <c r="K26" s="314">
        <f t="shared" si="6"/>
        <v>283.42623580951204</v>
      </c>
      <c r="L26" s="314">
        <f t="shared" si="6"/>
        <v>266.98728948382279</v>
      </c>
      <c r="M26" s="314">
        <f>SUMPRODUCT(M23:M25,$J37:$J39)</f>
        <v>278.97058475339651</v>
      </c>
      <c r="N26" s="314">
        <f>SUMPRODUCT(N23:N25,$J37:$J39)</f>
        <v>255.05840235039256</v>
      </c>
      <c r="O26" s="307">
        <f t="shared" si="1"/>
        <v>1.9561664910545633</v>
      </c>
      <c r="P26" s="308">
        <f t="shared" si="2"/>
        <v>51120.393104213901</v>
      </c>
      <c r="R26" s="312">
        <f>SUMPRODUCT(R23:R25,K37:K39)</f>
        <v>12106915.95953868</v>
      </c>
      <c r="S26" s="315" t="s">
        <v>2584</v>
      </c>
      <c r="T26" s="296" t="s">
        <v>2563</v>
      </c>
      <c r="U26" s="296">
        <v>2010</v>
      </c>
      <c r="V26" s="309">
        <v>3.02</v>
      </c>
      <c r="W26" s="296" t="s">
        <v>2599</v>
      </c>
      <c r="X26" s="309">
        <v>3</v>
      </c>
      <c r="Y26" s="296" t="s">
        <v>2600</v>
      </c>
      <c r="Z26" s="310">
        <f t="shared" si="3"/>
        <v>3.0063545763417396</v>
      </c>
      <c r="AC26" s="310">
        <f t="shared" si="4"/>
        <v>3.02</v>
      </c>
    </row>
    <row r="27" spans="1:29" x14ac:dyDescent="0.25">
      <c r="A27" s="117" t="s">
        <v>2601</v>
      </c>
      <c r="B27" s="303">
        <v>15200000</v>
      </c>
      <c r="C27" s="117" t="s">
        <v>2584</v>
      </c>
      <c r="D27" s="304">
        <v>0.55000000000000004</v>
      </c>
      <c r="E27" s="305">
        <f>AVERAGE(F27:K27)</f>
        <v>116.66666666666667</v>
      </c>
      <c r="F27" s="305">
        <v>115</v>
      </c>
      <c r="G27" s="305">
        <v>110</v>
      </c>
      <c r="H27" s="305">
        <v>115</v>
      </c>
      <c r="I27" s="305">
        <v>120</v>
      </c>
      <c r="J27" s="305">
        <v>120</v>
      </c>
      <c r="K27" s="305">
        <v>120</v>
      </c>
      <c r="L27" s="305">
        <v>120</v>
      </c>
      <c r="M27" s="305">
        <v>120</v>
      </c>
      <c r="N27" s="305">
        <v>120</v>
      </c>
      <c r="O27" s="307">
        <f t="shared" si="1"/>
        <v>1.4354066985645932</v>
      </c>
      <c r="P27" s="308">
        <f t="shared" si="2"/>
        <v>69666.666666666672</v>
      </c>
      <c r="T27" s="296" t="s">
        <v>2563</v>
      </c>
      <c r="U27" s="296">
        <v>2011</v>
      </c>
      <c r="V27" s="309">
        <v>3.9220000000000002</v>
      </c>
      <c r="W27" s="296" t="s">
        <v>2602</v>
      </c>
      <c r="X27" s="309">
        <v>3.8519999999999999</v>
      </c>
      <c r="Y27" s="296" t="s">
        <v>2603</v>
      </c>
      <c r="Z27" s="310">
        <f t="shared" si="3"/>
        <v>3.8742410171960886</v>
      </c>
      <c r="AC27" s="310">
        <f t="shared" si="4"/>
        <v>3.9220000000000002</v>
      </c>
    </row>
    <row r="28" spans="1:29" x14ac:dyDescent="0.25">
      <c r="B28" s="303"/>
      <c r="D28" s="304"/>
      <c r="E28" s="305"/>
      <c r="F28" s="305"/>
      <c r="G28" s="305"/>
      <c r="H28" s="305"/>
      <c r="I28" s="305"/>
      <c r="J28" s="305"/>
      <c r="K28" s="305"/>
      <c r="T28" s="296" t="s">
        <v>2563</v>
      </c>
      <c r="U28" s="296">
        <v>2012</v>
      </c>
      <c r="V28" s="309">
        <v>4.0549999999999997</v>
      </c>
      <c r="W28" s="296" t="s">
        <v>2604</v>
      </c>
      <c r="X28" s="309">
        <v>3.9769999999999999</v>
      </c>
      <c r="Y28" s="296" t="s">
        <v>2605</v>
      </c>
      <c r="Z28" s="310">
        <f t="shared" si="3"/>
        <v>4.0017828477327839</v>
      </c>
      <c r="AA28" s="305"/>
      <c r="AC28" s="310">
        <f t="shared" si="4"/>
        <v>4.0549999999999997</v>
      </c>
    </row>
    <row r="29" spans="1:29" x14ac:dyDescent="0.25">
      <c r="A29" s="316" t="s">
        <v>1947</v>
      </c>
      <c r="B29" s="303"/>
      <c r="D29" s="304"/>
      <c r="E29" s="305"/>
      <c r="F29" s="305"/>
      <c r="G29" s="305"/>
      <c r="H29" s="305"/>
      <c r="I29" s="305"/>
      <c r="J29" s="305"/>
      <c r="K29" s="305"/>
      <c r="S29" s="317">
        <f>AVERAGE(V27:V31)</f>
        <v>3.6012</v>
      </c>
      <c r="T29" s="296" t="s">
        <v>2563</v>
      </c>
      <c r="U29" s="296">
        <v>2013</v>
      </c>
      <c r="V29" s="309">
        <v>3.887</v>
      </c>
      <c r="W29" s="296" t="s">
        <v>2606</v>
      </c>
      <c r="X29" s="309">
        <v>3.8079999999999998</v>
      </c>
      <c r="Y29" s="296" t="s">
        <v>2607</v>
      </c>
      <c r="Z29" s="310">
        <f t="shared" si="3"/>
        <v>3.8331005765498718</v>
      </c>
      <c r="AA29" s="305"/>
      <c r="AC29" s="310">
        <f t="shared" si="4"/>
        <v>3.887</v>
      </c>
    </row>
    <row r="30" spans="1:29" x14ac:dyDescent="0.25">
      <c r="A30" s="117" t="s">
        <v>2608</v>
      </c>
      <c r="B30" s="303"/>
      <c r="D30" s="304"/>
      <c r="E30" s="305"/>
      <c r="F30" s="305"/>
      <c r="G30" s="305"/>
      <c r="H30" s="305" t="s">
        <v>2609</v>
      </c>
      <c r="I30" s="305" t="s">
        <v>2610</v>
      </c>
      <c r="J30" s="305"/>
      <c r="K30" s="305"/>
      <c r="T30" s="296" t="s">
        <v>2563</v>
      </c>
      <c r="U30" s="296">
        <v>2014</v>
      </c>
      <c r="V30" s="309">
        <v>3.806</v>
      </c>
      <c r="W30" s="296" t="s">
        <v>2611</v>
      </c>
      <c r="X30" s="309">
        <v>3.754</v>
      </c>
      <c r="Y30" s="296" t="s">
        <v>2612</v>
      </c>
      <c r="Z30" s="310">
        <f t="shared" si="3"/>
        <v>3.7705218984885231</v>
      </c>
      <c r="AC30" s="310">
        <f t="shared" si="4"/>
        <v>3.806</v>
      </c>
    </row>
    <row r="31" spans="1:29" x14ac:dyDescent="0.25">
      <c r="A31" s="117" t="s">
        <v>2613</v>
      </c>
      <c r="B31" s="303"/>
      <c r="D31" s="304"/>
      <c r="E31" s="305"/>
      <c r="F31" s="305"/>
      <c r="G31" s="305"/>
      <c r="H31" s="305"/>
      <c r="I31" s="305"/>
      <c r="J31" s="305"/>
      <c r="K31" s="305"/>
      <c r="M31" s="305">
        <f>M26*B37</f>
        <v>469.43929780869769</v>
      </c>
      <c r="T31" s="296" t="s">
        <v>2563</v>
      </c>
      <c r="U31" s="296">
        <v>2015</v>
      </c>
      <c r="V31" s="309">
        <v>2.3359999999999999</v>
      </c>
      <c r="W31" s="296" t="s">
        <v>2614</v>
      </c>
      <c r="X31" s="309">
        <v>2.3279999999999998</v>
      </c>
      <c r="Y31" s="296" t="s">
        <v>2615</v>
      </c>
      <c r="Z31" s="310">
        <f t="shared" si="3"/>
        <v>2.3305418305366956</v>
      </c>
      <c r="AC31" s="310">
        <f t="shared" si="4"/>
        <v>2.3359999999999999</v>
      </c>
    </row>
    <row r="32" spans="1:29" ht="14.25" customHeight="1" x14ac:dyDescent="0.25">
      <c r="A32" s="117" t="s">
        <v>2616</v>
      </c>
      <c r="B32" s="303"/>
      <c r="D32" s="304"/>
      <c r="E32" s="305"/>
      <c r="F32" s="305"/>
      <c r="G32" s="305"/>
      <c r="H32" s="305"/>
      <c r="I32" s="305"/>
      <c r="J32" s="305"/>
      <c r="K32" s="305"/>
      <c r="T32" s="296" t="s">
        <v>2563</v>
      </c>
      <c r="U32" s="296">
        <v>2016</v>
      </c>
      <c r="V32" s="309">
        <v>2.306</v>
      </c>
      <c r="W32" s="296" t="s">
        <v>2617</v>
      </c>
      <c r="X32" s="309">
        <v>2.2770000000000001</v>
      </c>
      <c r="Y32" s="296" t="s">
        <v>2618</v>
      </c>
      <c r="Z32" s="310">
        <f t="shared" si="3"/>
        <v>2.2862141356955226</v>
      </c>
      <c r="AC32" s="310">
        <f t="shared" si="4"/>
        <v>2.306</v>
      </c>
    </row>
    <row r="33" spans="1:30" ht="14.25" customHeight="1" x14ac:dyDescent="0.25">
      <c r="A33" s="117" t="s">
        <v>2619</v>
      </c>
      <c r="B33" s="303"/>
      <c r="D33" s="304"/>
      <c r="E33" s="305"/>
      <c r="F33" s="305"/>
      <c r="G33" s="305"/>
      <c r="H33" s="305"/>
      <c r="I33" s="305"/>
      <c r="J33" s="305"/>
      <c r="K33" s="305"/>
      <c r="T33" s="296" t="s">
        <v>2563</v>
      </c>
      <c r="U33" s="296">
        <v>2017</v>
      </c>
      <c r="V33" s="309">
        <v>2.6779999999999999</v>
      </c>
      <c r="W33" s="117" t="s">
        <v>2620</v>
      </c>
      <c r="X33" s="309">
        <v>2.62</v>
      </c>
      <c r="Y33" s="117" t="s">
        <v>2621</v>
      </c>
      <c r="Z33" s="857">
        <f t="shared" si="3"/>
        <v>2.638428271391045</v>
      </c>
      <c r="AA33" s="296" t="s">
        <v>2622</v>
      </c>
      <c r="AB33" s="296" t="s">
        <v>2623</v>
      </c>
      <c r="AC33" s="310">
        <f t="shared" si="4"/>
        <v>2.6779999999999999</v>
      </c>
      <c r="AD33" s="296"/>
    </row>
    <row r="34" spans="1:30" x14ac:dyDescent="0.25">
      <c r="A34" s="117" t="s">
        <v>2624</v>
      </c>
      <c r="B34" s="303"/>
      <c r="D34" s="304"/>
      <c r="E34" s="305"/>
      <c r="F34" s="305"/>
      <c r="G34" s="305"/>
      <c r="H34" s="305"/>
      <c r="I34" s="305"/>
      <c r="J34" s="296"/>
      <c r="K34" s="305"/>
      <c r="T34" s="296" t="s">
        <v>2563</v>
      </c>
      <c r="U34" s="296">
        <v>2018</v>
      </c>
      <c r="V34" s="854">
        <v>3.15</v>
      </c>
      <c r="W34" s="855" t="s">
        <v>4204</v>
      </c>
      <c r="X34" s="854">
        <v>3.073</v>
      </c>
      <c r="Y34" s="855" t="s">
        <v>4205</v>
      </c>
      <c r="Z34" s="856">
        <f t="shared" si="3"/>
        <v>3.0974651189156974</v>
      </c>
      <c r="AA34" s="319">
        <f>EIAProjections!L9</f>
        <v>3.4466095664788394</v>
      </c>
      <c r="AB34" s="319">
        <f>EIAProjections!M9</f>
        <v>2.0330879087254106</v>
      </c>
      <c r="AC34" s="310">
        <f t="shared" si="4"/>
        <v>3.15</v>
      </c>
    </row>
    <row r="35" spans="1:30" x14ac:dyDescent="0.25">
      <c r="B35" s="303"/>
      <c r="D35" s="304"/>
      <c r="E35" s="305"/>
      <c r="F35" s="305"/>
      <c r="G35" s="305"/>
      <c r="H35" s="305"/>
      <c r="I35" s="305"/>
      <c r="J35" s="941" t="s">
        <v>2626</v>
      </c>
      <c r="K35" s="941"/>
      <c r="T35" s="296" t="s">
        <v>2625</v>
      </c>
      <c r="U35" s="296">
        <v>2019</v>
      </c>
      <c r="V35" s="309">
        <f>V$34*$Z35/$Z$34</f>
        <v>2.9400815595766203</v>
      </c>
      <c r="X35" s="309">
        <f t="shared" ref="V35:X42" si="7">X$33*$Z35/$Z$33</f>
        <v>2.8708549360783047</v>
      </c>
      <c r="Z35" s="319">
        <f>EIAProjections!K10</f>
        <v>2.8910476436685228</v>
      </c>
      <c r="AA35" s="319">
        <f>EIAProjections!L10</f>
        <v>4.2546560413939725</v>
      </c>
      <c r="AB35" s="319">
        <f>EIAProjections!M10</f>
        <v>2.1315051597117756</v>
      </c>
      <c r="AC35" s="310">
        <f t="shared" si="4"/>
        <v>2.9400815595766203</v>
      </c>
    </row>
    <row r="36" spans="1:30" x14ac:dyDescent="0.25">
      <c r="A36" s="320" t="s">
        <v>2627</v>
      </c>
      <c r="B36" s="303"/>
      <c r="D36" s="304"/>
      <c r="E36" s="305"/>
      <c r="F36" s="305"/>
      <c r="G36" s="305"/>
      <c r="H36" s="305"/>
      <c r="I36" s="305"/>
      <c r="J36" s="296" t="s">
        <v>2628</v>
      </c>
      <c r="K36" s="296" t="s">
        <v>2629</v>
      </c>
      <c r="T36" s="296" t="s">
        <v>2625</v>
      </c>
      <c r="U36" s="296">
        <v>2020</v>
      </c>
      <c r="V36" s="309">
        <f t="shared" si="7"/>
        <v>3.439213230664143</v>
      </c>
      <c r="X36" s="309">
        <f t="shared" si="7"/>
        <v>3.3647269097610368</v>
      </c>
      <c r="Z36" s="319">
        <f>EIAProjections!K11</f>
        <v>3.3883933603907419</v>
      </c>
      <c r="AA36" s="319">
        <f>EIAProjections!L11</f>
        <v>4.8015949308633443</v>
      </c>
      <c r="AB36" s="319">
        <f>EIAProjections!M11</f>
        <v>2.2307589152924114</v>
      </c>
      <c r="AC36" s="310">
        <f t="shared" si="4"/>
        <v>3.439213230664143</v>
      </c>
    </row>
    <row r="37" spans="1:30" x14ac:dyDescent="0.25">
      <c r="A37" s="117" t="s">
        <v>2119</v>
      </c>
      <c r="B37" s="116">
        <v>1.6827555429317793</v>
      </c>
      <c r="C37" s="117" t="s">
        <v>2120</v>
      </c>
      <c r="D37" s="304"/>
      <c r="E37" s="305"/>
      <c r="F37" s="305"/>
      <c r="G37" s="305"/>
      <c r="H37" s="305"/>
      <c r="I37" s="305"/>
      <c r="J37" s="321">
        <v>0.4637005615330928</v>
      </c>
      <c r="K37" s="322">
        <v>0.54623788565977127</v>
      </c>
      <c r="T37" s="296" t="s">
        <v>2625</v>
      </c>
      <c r="U37" s="296">
        <v>2021</v>
      </c>
      <c r="V37" s="309">
        <f t="shared" si="7"/>
        <v>3.684234343415369</v>
      </c>
      <c r="X37" s="309">
        <f t="shared" si="7"/>
        <v>3.6044413665975608</v>
      </c>
      <c r="Z37" s="319">
        <f>EIAProjections!K12</f>
        <v>3.6297938947337318</v>
      </c>
      <c r="AA37" s="319">
        <f>EIAProjections!L12</f>
        <v>5.3326049791889751</v>
      </c>
      <c r="AB37" s="319">
        <f>EIAProjections!M12</f>
        <v>2.3391474013463371</v>
      </c>
      <c r="AC37" s="310">
        <f t="shared" si="4"/>
        <v>3.684234343415369</v>
      </c>
    </row>
    <row r="38" spans="1:30" x14ac:dyDescent="0.25">
      <c r="A38" s="117" t="s">
        <v>2630</v>
      </c>
      <c r="B38" s="303">
        <f>B26/B37</f>
        <v>12106915.959538678</v>
      </c>
      <c r="C38" s="117" t="s">
        <v>2631</v>
      </c>
      <c r="D38" s="304"/>
      <c r="E38" s="305"/>
      <c r="F38" s="305"/>
      <c r="G38" s="305"/>
      <c r="H38" s="305"/>
      <c r="I38" s="305"/>
      <c r="J38" s="321">
        <v>0.35138400532752173</v>
      </c>
      <c r="K38" s="322">
        <v>0.30287510904825726</v>
      </c>
      <c r="T38" s="296" t="s">
        <v>2625</v>
      </c>
      <c r="U38" s="296">
        <v>2022</v>
      </c>
      <c r="V38" s="309">
        <f t="shared" si="7"/>
        <v>3.7903297454129019</v>
      </c>
      <c r="X38" s="309">
        <f t="shared" si="7"/>
        <v>3.7082389592911884</v>
      </c>
      <c r="Z38" s="319">
        <f>EIAProjections!K13</f>
        <v>3.7343215676593808</v>
      </c>
      <c r="AA38" s="319">
        <f>EIAProjections!L13</f>
        <v>5.5768014833052684</v>
      </c>
      <c r="AB38" s="319">
        <f>EIAProjections!M13</f>
        <v>2.3740584507827198</v>
      </c>
      <c r="AC38" s="310">
        <f t="shared" si="4"/>
        <v>3.7903297454129019</v>
      </c>
    </row>
    <row r="39" spans="1:30" x14ac:dyDescent="0.25">
      <c r="A39" s="117" t="s">
        <v>2630</v>
      </c>
      <c r="B39" s="303">
        <f>B38/2000</f>
        <v>6053.4579797693386</v>
      </c>
      <c r="C39" s="117" t="s">
        <v>2632</v>
      </c>
      <c r="D39" s="304"/>
      <c r="E39" s="305"/>
      <c r="F39" s="305"/>
      <c r="G39" s="305"/>
      <c r="H39" s="305"/>
      <c r="I39" s="305"/>
      <c r="J39" s="323">
        <v>0.18491543313938538</v>
      </c>
      <c r="K39" s="324">
        <v>0.15088700529197147</v>
      </c>
      <c r="T39" s="296" t="s">
        <v>2625</v>
      </c>
      <c r="U39" s="296">
        <v>2023</v>
      </c>
      <c r="V39" s="309">
        <f t="shared" si="7"/>
        <v>3.8729676334657817</v>
      </c>
      <c r="X39" s="309">
        <f t="shared" si="7"/>
        <v>3.789087079791019</v>
      </c>
      <c r="Z39" s="319">
        <f>EIAProjections!K14</f>
        <v>3.8157383488867023</v>
      </c>
      <c r="AA39" s="319">
        <f>EIAProjections!L14</f>
        <v>5.7649676676996275</v>
      </c>
      <c r="AB39" s="319">
        <f>EIAProjections!M14</f>
        <v>2.4446309109446855</v>
      </c>
      <c r="AC39" s="310">
        <f t="shared" si="4"/>
        <v>3.8729676334657817</v>
      </c>
    </row>
    <row r="40" spans="1:30" x14ac:dyDescent="0.25">
      <c r="J40" s="325">
        <f>SUM(J37:J39)</f>
        <v>1</v>
      </c>
      <c r="K40" s="325">
        <f>SUM(K37:K39)</f>
        <v>1</v>
      </c>
      <c r="T40" s="296" t="s">
        <v>2625</v>
      </c>
      <c r="U40" s="296">
        <v>2024</v>
      </c>
      <c r="V40" s="309">
        <f t="shared" si="7"/>
        <v>3.9214072395632509</v>
      </c>
      <c r="X40" s="309">
        <f t="shared" si="7"/>
        <v>3.8364775831425382</v>
      </c>
      <c r="Z40" s="319">
        <f>EIAProjections!K15</f>
        <v>3.8634621824126949</v>
      </c>
      <c r="AA40" s="319">
        <f>EIAProjections!L15</f>
        <v>5.943703077762347</v>
      </c>
      <c r="AB40" s="319">
        <f>EIAProjections!M15</f>
        <v>2.454558484337074</v>
      </c>
      <c r="AC40" s="310">
        <f t="shared" si="4"/>
        <v>3.9214072395632509</v>
      </c>
    </row>
    <row r="41" spans="1:30" x14ac:dyDescent="0.25">
      <c r="T41" s="296" t="s">
        <v>2625</v>
      </c>
      <c r="U41" s="296">
        <v>2025</v>
      </c>
      <c r="V41" s="309">
        <f t="shared" si="7"/>
        <v>3.9381707128258716</v>
      </c>
      <c r="X41" s="309">
        <f t="shared" si="7"/>
        <v>3.8528779938774402</v>
      </c>
      <c r="Z41" s="319">
        <f>EIAProjections!K16</f>
        <v>3.8799779485750578</v>
      </c>
      <c r="AA41" s="319">
        <f>EIAProjections!L16</f>
        <v>6.0832106852673027</v>
      </c>
      <c r="AB41" s="319">
        <f>EIAProjections!M16</f>
        <v>2.4609264511576132</v>
      </c>
      <c r="AC41" s="310">
        <f t="shared" si="4"/>
        <v>3.9381707128258716</v>
      </c>
    </row>
    <row r="42" spans="1:30" x14ac:dyDescent="0.25">
      <c r="T42" s="296" t="s">
        <v>2625</v>
      </c>
      <c r="U42" s="296">
        <v>2026</v>
      </c>
      <c r="V42" s="309">
        <f t="shared" si="7"/>
        <v>3.9618234590187282</v>
      </c>
      <c r="X42" s="309">
        <f t="shared" si="7"/>
        <v>3.8760184699884492</v>
      </c>
      <c r="Z42" s="319">
        <f>EIAProjections!K17</f>
        <v>3.9032811876532012</v>
      </c>
      <c r="AA42" s="319">
        <f>EIAProjections!L17</f>
        <v>6.1939558692409369</v>
      </c>
      <c r="AB42" s="319">
        <f>EIAProjections!M17</f>
        <v>2.4501203340580342</v>
      </c>
      <c r="AC42" s="310">
        <f t="shared" si="4"/>
        <v>3.9618234590187282</v>
      </c>
    </row>
    <row r="44" spans="1:30" x14ac:dyDescent="0.25">
      <c r="U44" s="117" t="s">
        <v>4206</v>
      </c>
    </row>
    <row r="45" spans="1:30" x14ac:dyDescent="0.25">
      <c r="U45" s="117" t="s">
        <v>2633</v>
      </c>
    </row>
    <row r="46" spans="1:30" x14ac:dyDescent="0.25">
      <c r="A46" s="934" t="s">
        <v>2263</v>
      </c>
      <c r="B46" s="934"/>
      <c r="C46" s="934"/>
      <c r="D46" s="934"/>
      <c r="E46" s="934"/>
      <c r="F46" s="934"/>
      <c r="G46" s="934"/>
      <c r="H46" s="934"/>
      <c r="I46"/>
      <c r="J46"/>
      <c r="K46"/>
    </row>
    <row r="47" spans="1:30" x14ac:dyDescent="0.25">
      <c r="A47" s="727"/>
      <c r="B47" s="727"/>
      <c r="C47" s="727"/>
      <c r="D47" s="727"/>
      <c r="E47" s="727"/>
      <c r="F47" s="727"/>
      <c r="G47" s="727"/>
      <c r="H47" s="917" t="s">
        <v>4265</v>
      </c>
      <c r="I47" s="917"/>
      <c r="J47"/>
      <c r="K47"/>
    </row>
    <row r="48" spans="1:30" x14ac:dyDescent="0.25">
      <c r="A48"/>
      <c r="B48"/>
      <c r="C48"/>
      <c r="D48"/>
      <c r="E48"/>
      <c r="F48"/>
      <c r="G48" s="2" t="s">
        <v>4262</v>
      </c>
      <c r="H48" s="941" t="s">
        <v>4264</v>
      </c>
      <c r="I48" s="941"/>
      <c r="J48"/>
      <c r="K48"/>
    </row>
    <row r="49" spans="1:11" x14ac:dyDescent="0.25">
      <c r="A49"/>
      <c r="B49"/>
      <c r="C49" s="44" t="s">
        <v>2264</v>
      </c>
      <c r="D49" s="148" t="s">
        <v>2265</v>
      </c>
      <c r="E49" s="148" t="s">
        <v>2266</v>
      </c>
      <c r="F49" s="148" t="s">
        <v>2267</v>
      </c>
      <c r="G49" s="148" t="s">
        <v>4263</v>
      </c>
      <c r="H49" s="148" t="s">
        <v>4267</v>
      </c>
      <c r="I49" s="148" t="s">
        <v>4266</v>
      </c>
      <c r="J49"/>
      <c r="K49"/>
    </row>
    <row r="50" spans="1:11" x14ac:dyDescent="0.25">
      <c r="A50"/>
      <c r="B50"/>
      <c r="C50" s="149" t="s">
        <v>2268</v>
      </c>
      <c r="D50" s="150">
        <v>0.64615384615384608</v>
      </c>
      <c r="E50" s="151">
        <v>3.0333333333333345</v>
      </c>
      <c r="F50" s="151">
        <v>1.4413043478260872</v>
      </c>
      <c r="G50" s="607">
        <f>F50/E50</f>
        <v>0.47515527950310549</v>
      </c>
      <c r="H50" s="832">
        <f>E50/($D50*D50+(1-$D50)*E50)</f>
        <v>2.0346360437117985</v>
      </c>
      <c r="I50" s="832">
        <f>F50/($D50*E50+(1-$D50)*F50)</f>
        <v>0.58352402745995413</v>
      </c>
      <c r="J50"/>
      <c r="K50"/>
    </row>
    <row r="51" spans="1:11" x14ac:dyDescent="0.25">
      <c r="A51"/>
      <c r="B51"/>
      <c r="C51" s="149" t="s">
        <v>2269</v>
      </c>
      <c r="D51" s="150">
        <v>0.30769230769230771</v>
      </c>
      <c r="E51" s="151">
        <v>3.75</v>
      </c>
      <c r="F51" s="151">
        <v>1.9011111111111114</v>
      </c>
      <c r="G51" s="607">
        <f>F51/E51</f>
        <v>0.50696296296296306</v>
      </c>
      <c r="H51" s="833">
        <f>E51/($D51*D51+(1-$D51)*E51)</f>
        <v>1.393622869708631</v>
      </c>
      <c r="I51" s="833">
        <f>F51/($D51*E51+(1-$D51)*F51)</f>
        <v>0.76968061178587499</v>
      </c>
      <c r="J51"/>
      <c r="K51"/>
    </row>
    <row r="52" spans="1:11" x14ac:dyDescent="0.25">
      <c r="A52"/>
      <c r="B52"/>
      <c r="C52"/>
      <c r="D52"/>
      <c r="E52"/>
      <c r="F52"/>
      <c r="G52"/>
      <c r="H52"/>
      <c r="I52"/>
      <c r="J52"/>
      <c r="K52"/>
    </row>
    <row r="53" spans="1:11" x14ac:dyDescent="0.25">
      <c r="A53" s="934" t="s">
        <v>2270</v>
      </c>
      <c r="B53" s="934"/>
      <c r="C53" s="934"/>
      <c r="D53" s="934"/>
      <c r="E53" s="934"/>
      <c r="F53" s="934"/>
      <c r="G53" s="934"/>
      <c r="H53" s="934"/>
      <c r="I53" s="934"/>
      <c r="J53"/>
      <c r="K53"/>
    </row>
    <row r="54" spans="1:11" x14ac:dyDescent="0.25">
      <c r="A54"/>
      <c r="B54"/>
      <c r="C54"/>
      <c r="D54"/>
      <c r="E54"/>
      <c r="F54"/>
      <c r="G54"/>
      <c r="H54"/>
      <c r="I54"/>
      <c r="J54"/>
      <c r="K54"/>
    </row>
    <row r="55" spans="1:11" x14ac:dyDescent="0.25">
      <c r="A55"/>
      <c r="B55"/>
      <c r="C55"/>
      <c r="D55" s="2" t="s">
        <v>31</v>
      </c>
      <c r="E55" s="2" t="s">
        <v>30</v>
      </c>
      <c r="F55" s="2" t="s">
        <v>32</v>
      </c>
      <c r="G55"/>
      <c r="H55"/>
      <c r="I55"/>
      <c r="J55"/>
      <c r="K55"/>
    </row>
    <row r="56" spans="1:11" x14ac:dyDescent="0.25">
      <c r="A56" s="44" t="s">
        <v>19</v>
      </c>
      <c r="B56" s="44" t="s">
        <v>72</v>
      </c>
      <c r="C56" s="44" t="s">
        <v>73</v>
      </c>
      <c r="D56" s="44" t="s">
        <v>33</v>
      </c>
      <c r="E56" s="44" t="s">
        <v>2271</v>
      </c>
      <c r="F56" s="44" t="s">
        <v>34</v>
      </c>
      <c r="G56" s="918" t="s">
        <v>2272</v>
      </c>
      <c r="H56" s="918"/>
      <c r="I56" s="918"/>
      <c r="J56"/>
      <c r="K56"/>
    </row>
    <row r="57" spans="1:11" x14ac:dyDescent="0.25">
      <c r="A57" s="938" t="s">
        <v>2273</v>
      </c>
      <c r="B57" s="2" t="s">
        <v>2274</v>
      </c>
      <c r="C57" s="2" t="s">
        <v>42</v>
      </c>
      <c r="D57" s="152">
        <v>2.6656646216769024</v>
      </c>
      <c r="E57" s="153">
        <v>5.3806464382512003</v>
      </c>
      <c r="F57" s="154">
        <f>IFERROR($D57/E57,"-")</f>
        <v>0.4954171682284495</v>
      </c>
      <c r="G57" t="s">
        <v>2275</v>
      </c>
      <c r="H57"/>
      <c r="I57"/>
      <c r="J57"/>
      <c r="K57"/>
    </row>
    <row r="58" spans="1:11" x14ac:dyDescent="0.25">
      <c r="A58" s="939"/>
      <c r="B58" s="2" t="s">
        <v>2274</v>
      </c>
      <c r="C58" s="2" t="s">
        <v>42</v>
      </c>
      <c r="D58" s="152">
        <v>2</v>
      </c>
      <c r="E58" s="153">
        <v>5.3806464382512003</v>
      </c>
      <c r="F58" s="154">
        <f>IFERROR($D58/E58,"-")</f>
        <v>0.37170254967543143</v>
      </c>
      <c r="G58" t="s">
        <v>2276</v>
      </c>
      <c r="H58"/>
      <c r="I58"/>
      <c r="J58"/>
      <c r="K58"/>
    </row>
    <row r="59" spans="1:11" x14ac:dyDescent="0.25">
      <c r="A59" s="939"/>
      <c r="B59" s="2" t="s">
        <v>2274</v>
      </c>
      <c r="C59" s="2" t="s">
        <v>38</v>
      </c>
      <c r="D59" s="152">
        <v>2</v>
      </c>
      <c r="E59" s="153">
        <v>5.107054122659048</v>
      </c>
      <c r="F59" s="154">
        <f>IFERROR($D59/E59,"-")</f>
        <v>0.39161519575960091</v>
      </c>
      <c r="G59" t="s">
        <v>2276</v>
      </c>
      <c r="H59"/>
      <c r="I59"/>
      <c r="J59"/>
      <c r="K59"/>
    </row>
    <row r="60" spans="1:11" x14ac:dyDescent="0.25">
      <c r="A60" s="939"/>
      <c r="B60" s="2" t="s">
        <v>2274</v>
      </c>
      <c r="C60" s="2" t="s">
        <v>42</v>
      </c>
      <c r="D60" s="155">
        <f>F$6</f>
        <v>0</v>
      </c>
      <c r="E60" s="156">
        <f>E$14</f>
        <v>0</v>
      </c>
      <c r="F60" s="154" t="str">
        <f>IFERROR($D60/E60,"-")</f>
        <v>-</v>
      </c>
      <c r="G60" t="s">
        <v>2277</v>
      </c>
      <c r="H60"/>
      <c r="I60"/>
      <c r="J60"/>
      <c r="K60"/>
    </row>
    <row r="61" spans="1:11" x14ac:dyDescent="0.25">
      <c r="A61" s="939"/>
      <c r="B61" s="2" t="s">
        <v>2274</v>
      </c>
      <c r="C61" s="2" t="s">
        <v>38</v>
      </c>
      <c r="D61" s="155">
        <f>F$6</f>
        <v>0</v>
      </c>
      <c r="E61" s="156" t="str">
        <f>E$15</f>
        <v>MultYrAvg</v>
      </c>
      <c r="F61" s="154" t="str">
        <f>IFERROR($D61/E61,"-")</f>
        <v>-</v>
      </c>
      <c r="G61" t="s">
        <v>2277</v>
      </c>
      <c r="H61"/>
      <c r="I61"/>
      <c r="J61"/>
      <c r="K61" t="s">
        <v>2458</v>
      </c>
    </row>
    <row r="62" spans="1:11" x14ac:dyDescent="0.25">
      <c r="A62" s="940"/>
      <c r="B62" s="44" t="s">
        <v>2186</v>
      </c>
      <c r="C62" s="44" t="s">
        <v>2278</v>
      </c>
      <c r="D62" s="157">
        <v>5.1000000000000005</v>
      </c>
      <c r="E62" s="158"/>
      <c r="F62" s="159">
        <v>0.28666666666666668</v>
      </c>
      <c r="G62" s="9" t="s">
        <v>2275</v>
      </c>
      <c r="H62" s="9"/>
      <c r="I62" s="9"/>
      <c r="J62"/>
      <c r="K62" s="43">
        <f>D62/F62</f>
        <v>17.790697674418606</v>
      </c>
    </row>
    <row r="63" spans="1:11" x14ac:dyDescent="0.25">
      <c r="A63" s="938" t="s">
        <v>2279</v>
      </c>
      <c r="B63" s="160" t="s">
        <v>2274</v>
      </c>
      <c r="C63" s="160" t="s">
        <v>42</v>
      </c>
      <c r="D63" s="161">
        <v>2</v>
      </c>
      <c r="E63" s="162">
        <f>E$14</f>
        <v>0</v>
      </c>
      <c r="F63" s="163" t="str">
        <f>IFERROR($D63/E63,"-")</f>
        <v>-</v>
      </c>
      <c r="G63" s="164" t="s">
        <v>2276</v>
      </c>
      <c r="H63" s="164"/>
      <c r="I63" s="164"/>
      <c r="J63"/>
      <c r="K63"/>
    </row>
    <row r="64" spans="1:11" x14ac:dyDescent="0.25">
      <c r="A64" s="939"/>
      <c r="B64" s="2" t="s">
        <v>2274</v>
      </c>
      <c r="C64" s="2" t="s">
        <v>38</v>
      </c>
      <c r="D64" s="152">
        <v>2</v>
      </c>
      <c r="E64" s="156" t="str">
        <f>E$15</f>
        <v>MultYrAvg</v>
      </c>
      <c r="F64" s="154" t="str">
        <f>IFERROR($D64/E64,"-")</f>
        <v>-</v>
      </c>
      <c r="G64" t="s">
        <v>2276</v>
      </c>
      <c r="H64"/>
      <c r="I64"/>
      <c r="J64"/>
      <c r="K64"/>
    </row>
    <row r="65" spans="1:11" x14ac:dyDescent="0.25">
      <c r="A65" s="939"/>
      <c r="B65" s="2" t="s">
        <v>2274</v>
      </c>
      <c r="C65" s="2" t="s">
        <v>42</v>
      </c>
      <c r="D65" s="155">
        <f>F$6</f>
        <v>0</v>
      </c>
      <c r="E65" s="156">
        <f>E$14</f>
        <v>0</v>
      </c>
      <c r="F65" s="154" t="str">
        <f>IFERROR($D65/E65,"-")</f>
        <v>-</v>
      </c>
      <c r="G65" t="s">
        <v>2277</v>
      </c>
      <c r="H65"/>
      <c r="I65"/>
      <c r="J65"/>
      <c r="K65"/>
    </row>
    <row r="66" spans="1:11" x14ac:dyDescent="0.25">
      <c r="A66" s="939"/>
      <c r="B66" s="2" t="s">
        <v>2274</v>
      </c>
      <c r="C66" s="2" t="s">
        <v>38</v>
      </c>
      <c r="D66" s="155">
        <f>F$6</f>
        <v>0</v>
      </c>
      <c r="E66" s="156" t="str">
        <f>E$15</f>
        <v>MultYrAvg</v>
      </c>
      <c r="F66" s="154" t="str">
        <f>IFERROR($D66/E66,"-")</f>
        <v>-</v>
      </c>
      <c r="G66" t="s">
        <v>2277</v>
      </c>
      <c r="H66"/>
      <c r="I66"/>
      <c r="J66"/>
      <c r="K66"/>
    </row>
    <row r="67" spans="1:11" x14ac:dyDescent="0.25">
      <c r="A67" s="940"/>
      <c r="B67" s="44" t="s">
        <v>2186</v>
      </c>
      <c r="C67" s="44" t="s">
        <v>68</v>
      </c>
      <c r="D67" s="165">
        <f>F67/E67</f>
        <v>3.9626816860465115</v>
      </c>
      <c r="E67" s="158">
        <v>5.0470871961339904E-2</v>
      </c>
      <c r="F67" s="166">
        <v>0.2</v>
      </c>
      <c r="G67" s="9" t="s">
        <v>2276</v>
      </c>
      <c r="H67" s="9"/>
      <c r="I67" s="9"/>
      <c r="J67"/>
      <c r="K67"/>
    </row>
    <row r="68" spans="1:11" x14ac:dyDescent="0.25">
      <c r="A68" s="938" t="s">
        <v>2280</v>
      </c>
      <c r="B68" s="2" t="s">
        <v>2274</v>
      </c>
      <c r="C68" s="2" t="s">
        <v>42</v>
      </c>
      <c r="D68" s="152">
        <v>2.5</v>
      </c>
      <c r="E68" s="156">
        <f>E58</f>
        <v>5.3806464382512003</v>
      </c>
      <c r="F68" s="154">
        <f>IFERROR($D68/E68,"-")</f>
        <v>0.46462818709428932</v>
      </c>
      <c r="G68" t="s">
        <v>2276</v>
      </c>
      <c r="H68"/>
      <c r="I68"/>
      <c r="J68"/>
      <c r="K68"/>
    </row>
    <row r="69" spans="1:11" x14ac:dyDescent="0.25">
      <c r="A69" s="939"/>
      <c r="B69" s="2" t="s">
        <v>2274</v>
      </c>
      <c r="C69" s="2" t="s">
        <v>38</v>
      </c>
      <c r="D69" s="152">
        <v>2.5</v>
      </c>
      <c r="E69" s="156">
        <f>E59</f>
        <v>5.107054122659048</v>
      </c>
      <c r="F69" s="154">
        <f>IFERROR($D69/E69,"-")</f>
        <v>0.48951899469950116</v>
      </c>
      <c r="G69" t="s">
        <v>2276</v>
      </c>
      <c r="H69"/>
      <c r="I69"/>
      <c r="J69"/>
      <c r="K69"/>
    </row>
    <row r="70" spans="1:11" x14ac:dyDescent="0.25">
      <c r="A70" s="939"/>
      <c r="B70" s="2" t="s">
        <v>2186</v>
      </c>
      <c r="C70" s="2" t="s">
        <v>68</v>
      </c>
      <c r="D70" s="167">
        <f>F70/E70</f>
        <v>6.3402906976744182</v>
      </c>
      <c r="E70" s="168">
        <v>5.0470871961339904E-2</v>
      </c>
      <c r="F70" s="169">
        <v>0.32</v>
      </c>
      <c r="G70" t="s">
        <v>2277</v>
      </c>
      <c r="H70"/>
      <c r="I70"/>
      <c r="J70"/>
      <c r="K70"/>
    </row>
    <row r="71" spans="1:11" x14ac:dyDescent="0.25">
      <c r="A71" s="939"/>
      <c r="B71" s="2" t="s">
        <v>2274</v>
      </c>
      <c r="C71" s="2" t="s">
        <v>42</v>
      </c>
      <c r="D71" s="155">
        <f>F$7</f>
        <v>0</v>
      </c>
      <c r="E71" s="156">
        <f>E63</f>
        <v>0</v>
      </c>
      <c r="F71" s="154" t="str">
        <f>IFERROR($D71/E71,"-")</f>
        <v>-</v>
      </c>
      <c r="G71" t="s">
        <v>2277</v>
      </c>
      <c r="H71"/>
      <c r="I71"/>
      <c r="J71"/>
      <c r="K71"/>
    </row>
    <row r="72" spans="1:11" x14ac:dyDescent="0.25">
      <c r="A72" s="940"/>
      <c r="B72" s="44" t="s">
        <v>2274</v>
      </c>
      <c r="C72" s="44" t="s">
        <v>38</v>
      </c>
      <c r="D72" s="157">
        <f>F$7</f>
        <v>0</v>
      </c>
      <c r="E72" s="170" t="str">
        <f>E64</f>
        <v>MultYrAvg</v>
      </c>
      <c r="F72" s="159" t="str">
        <f>IFERROR($D72/E72,"-")</f>
        <v>-</v>
      </c>
      <c r="G72" s="9" t="s">
        <v>2276</v>
      </c>
      <c r="H72" s="9"/>
      <c r="I72" s="9"/>
      <c r="J72"/>
      <c r="K72"/>
    </row>
  </sheetData>
  <mergeCells count="16">
    <mergeCell ref="A68:A72"/>
    <mergeCell ref="J35:K35"/>
    <mergeCell ref="A46:H46"/>
    <mergeCell ref="A53:I53"/>
    <mergeCell ref="G56:I56"/>
    <mergeCell ref="A57:A62"/>
    <mergeCell ref="A63:A67"/>
    <mergeCell ref="H47:I47"/>
    <mergeCell ref="H48:I48"/>
    <mergeCell ref="A1:B1"/>
    <mergeCell ref="A11:Y11"/>
    <mergeCell ref="O12:P12"/>
    <mergeCell ref="U13:Y13"/>
    <mergeCell ref="V14:W14"/>
    <mergeCell ref="X14:Y14"/>
    <mergeCell ref="F14:N14"/>
  </mergeCells>
  <printOptions headings="1" gridLines="1"/>
  <pageMargins left="0.25" right="0.25" top="0.75" bottom="0.75" header="0.3" footer="0.3"/>
  <pageSetup scale="45" fitToWidth="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41"/>
  <sheetViews>
    <sheetView workbookViewId="0">
      <pane ySplit="6" topLeftCell="A7" activePane="bottomLeft" state="frozen"/>
      <selection pane="bottomLeft" activeCell="A7" sqref="A7"/>
    </sheetView>
  </sheetViews>
  <sheetFormatPr defaultRowHeight="15" x14ac:dyDescent="0.25"/>
  <cols>
    <col min="1" max="13" width="14.28515625" customWidth="1"/>
  </cols>
  <sheetData>
    <row r="1" spans="1:14" x14ac:dyDescent="0.25">
      <c r="A1" t="s">
        <v>4305</v>
      </c>
    </row>
    <row r="2" spans="1:14" x14ac:dyDescent="0.25">
      <c r="A2" s="41" t="s">
        <v>4306</v>
      </c>
    </row>
    <row r="3" spans="1:14" x14ac:dyDescent="0.25">
      <c r="A3" t="s">
        <v>4307</v>
      </c>
      <c r="D3" t="s">
        <v>4308</v>
      </c>
      <c r="E3" s="114">
        <v>138500</v>
      </c>
      <c r="F3" t="s">
        <v>2095</v>
      </c>
      <c r="G3" s="100" t="s">
        <v>4309</v>
      </c>
    </row>
    <row r="4" spans="1:14" x14ac:dyDescent="0.25">
      <c r="A4" t="s">
        <v>4310</v>
      </c>
      <c r="D4" t="s">
        <v>4308</v>
      </c>
      <c r="E4" s="114">
        <f>G4*10^6/M4</f>
        <v>137452.38095238095</v>
      </c>
      <c r="F4" t="s">
        <v>2095</v>
      </c>
      <c r="G4" s="692">
        <v>5.7729999999999997</v>
      </c>
      <c r="H4" t="s">
        <v>4311</v>
      </c>
      <c r="I4" s="240" t="s">
        <v>4312</v>
      </c>
      <c r="M4">
        <v>42</v>
      </c>
      <c r="N4" t="s">
        <v>4313</v>
      </c>
    </row>
    <row r="5" spans="1:14" x14ac:dyDescent="0.25">
      <c r="A5" t="s">
        <v>4314</v>
      </c>
    </row>
    <row r="6" spans="1:14" s="839" customFormat="1" ht="31.9" customHeight="1" x14ac:dyDescent="0.25">
      <c r="A6" s="849" t="s">
        <v>21</v>
      </c>
      <c r="B6" s="49" t="s">
        <v>4315</v>
      </c>
      <c r="C6" s="49" t="s">
        <v>4316</v>
      </c>
      <c r="D6" s="49" t="s">
        <v>4317</v>
      </c>
      <c r="E6" s="850" t="s">
        <v>4318</v>
      </c>
      <c r="F6" s="850" t="s">
        <v>4319</v>
      </c>
      <c r="G6" s="850" t="s">
        <v>4320</v>
      </c>
      <c r="H6" s="49" t="s">
        <v>4321</v>
      </c>
      <c r="I6" s="49" t="s">
        <v>4322</v>
      </c>
      <c r="J6" s="49" t="s">
        <v>4323</v>
      </c>
      <c r="K6" s="840" t="s">
        <v>4324</v>
      </c>
      <c r="L6" s="840" t="s">
        <v>4325</v>
      </c>
      <c r="M6" s="840" t="s">
        <v>4326</v>
      </c>
    </row>
    <row r="7" spans="1:14" x14ac:dyDescent="0.25">
      <c r="A7" s="71">
        <v>2016</v>
      </c>
      <c r="B7">
        <v>15.350858000000001</v>
      </c>
      <c r="C7">
        <v>15.350858000000001</v>
      </c>
      <c r="D7">
        <v>15.350858000000001</v>
      </c>
      <c r="E7" s="851">
        <f>B7*$E$4/10^6</f>
        <v>2.1100119817619047</v>
      </c>
      <c r="F7" s="851">
        <f t="shared" ref="F7:G22" si="0">C7*$E$4/10^6</f>
        <v>2.1100119817619047</v>
      </c>
      <c r="G7" s="851">
        <f t="shared" si="0"/>
        <v>2.1100119817619047</v>
      </c>
    </row>
    <row r="8" spans="1:14" x14ac:dyDescent="0.25">
      <c r="A8" s="71">
        <v>2017</v>
      </c>
      <c r="B8">
        <v>17.886963000000002</v>
      </c>
      <c r="C8">
        <v>17.886963000000002</v>
      </c>
      <c r="D8">
        <v>17.886963000000002</v>
      </c>
      <c r="E8" s="852">
        <f t="shared" ref="E8:G41" si="1">B8*$E$4/10^6</f>
        <v>2.4586056523571429</v>
      </c>
      <c r="F8" s="851">
        <f t="shared" si="0"/>
        <v>2.4586056523571429</v>
      </c>
      <c r="G8" s="851">
        <f t="shared" si="0"/>
        <v>2.4586056523571429</v>
      </c>
      <c r="K8" s="318">
        <f>[2]Lookup!Z33</f>
        <v>2.638428271391045</v>
      </c>
      <c r="L8" s="853">
        <f>$K8</f>
        <v>2.638428271391045</v>
      </c>
      <c r="M8" s="853">
        <f>$K8</f>
        <v>2.638428271391045</v>
      </c>
    </row>
    <row r="9" spans="1:14" x14ac:dyDescent="0.25">
      <c r="A9" s="71">
        <v>2018</v>
      </c>
      <c r="B9">
        <v>18.569464</v>
      </c>
      <c r="C9">
        <v>23.365947999999999</v>
      </c>
      <c r="D9">
        <v>13.783118</v>
      </c>
      <c r="E9" s="851">
        <f t="shared" si="1"/>
        <v>2.5524170398095238</v>
      </c>
      <c r="F9" s="851">
        <f t="shared" si="0"/>
        <v>3.2117051858095236</v>
      </c>
      <c r="G9" s="851">
        <f t="shared" si="0"/>
        <v>1.894522386047619</v>
      </c>
      <c r="H9" s="663">
        <f t="shared" ref="H9:J24" si="2">(B9-B8)/B8</f>
        <v>3.8156337663358415E-2</v>
      </c>
      <c r="I9" s="675">
        <f t="shared" si="2"/>
        <v>0.30631164161294444</v>
      </c>
      <c r="J9" s="675">
        <f t="shared" si="2"/>
        <v>-0.22943218477055055</v>
      </c>
      <c r="K9" s="853">
        <f>K8+(K8*H9)</f>
        <v>2.7391010314147928</v>
      </c>
      <c r="L9" s="853">
        <f>L8+(L8*I9)</f>
        <v>3.4466095664788394</v>
      </c>
      <c r="M9" s="853">
        <f>M8+(M8*J9)</f>
        <v>2.0330879087254106</v>
      </c>
    </row>
    <row r="10" spans="1:14" x14ac:dyDescent="0.25">
      <c r="A10" s="71">
        <v>2019</v>
      </c>
      <c r="B10">
        <v>19.599571000000001</v>
      </c>
      <c r="C10">
        <v>28.844018999999999</v>
      </c>
      <c r="D10">
        <v>14.450328000000001</v>
      </c>
      <c r="E10" s="851">
        <f t="shared" si="1"/>
        <v>2.6940076995952382</v>
      </c>
      <c r="F10" s="851">
        <f t="shared" si="0"/>
        <v>3.9646790877857137</v>
      </c>
      <c r="G10" s="851">
        <f t="shared" si="0"/>
        <v>1.9862319891428573</v>
      </c>
      <c r="H10" s="663">
        <f t="shared" si="2"/>
        <v>5.5473168207763081E-2</v>
      </c>
      <c r="I10" s="675">
        <f t="shared" si="2"/>
        <v>0.23444676843413328</v>
      </c>
      <c r="J10" s="675">
        <f t="shared" si="2"/>
        <v>4.8407769562736153E-2</v>
      </c>
      <c r="K10" s="853">
        <f t="shared" ref="K10:M25" si="3">K9+(K9*H10)</f>
        <v>2.8910476436685228</v>
      </c>
      <c r="L10" s="853">
        <f t="shared" si="3"/>
        <v>4.2546560413939725</v>
      </c>
      <c r="M10" s="853">
        <f t="shared" si="3"/>
        <v>2.1315051597117756</v>
      </c>
    </row>
    <row r="11" spans="1:14" x14ac:dyDescent="0.25">
      <c r="A11" s="71">
        <v>2020</v>
      </c>
      <c r="B11">
        <v>22.971277000000001</v>
      </c>
      <c r="C11">
        <v>32.551937000000002</v>
      </c>
      <c r="D11">
        <v>15.123208999999999</v>
      </c>
      <c r="E11" s="851">
        <f t="shared" si="1"/>
        <v>3.1574567171666663</v>
      </c>
      <c r="F11" s="851">
        <f t="shared" si="0"/>
        <v>4.4743412452619049</v>
      </c>
      <c r="G11" s="851">
        <f t="shared" si="0"/>
        <v>2.0787210846904762</v>
      </c>
      <c r="H11" s="663">
        <f t="shared" si="2"/>
        <v>0.17202958166788443</v>
      </c>
      <c r="I11" s="675">
        <f t="shared" si="2"/>
        <v>0.12855067111140106</v>
      </c>
      <c r="J11" s="675">
        <f t="shared" si="2"/>
        <v>4.6565102190067827E-2</v>
      </c>
      <c r="K11" s="853">
        <f t="shared" si="3"/>
        <v>3.3883933603907419</v>
      </c>
      <c r="L11" s="853">
        <f t="shared" si="3"/>
        <v>4.8015949308633443</v>
      </c>
      <c r="M11" s="853">
        <f t="shared" si="3"/>
        <v>2.2307589152924114</v>
      </c>
    </row>
    <row r="12" spans="1:14" x14ac:dyDescent="0.25">
      <c r="A12" s="71">
        <v>2021</v>
      </c>
      <c r="B12">
        <v>24.607828000000001</v>
      </c>
      <c r="C12">
        <v>36.151867000000003</v>
      </c>
      <c r="D12">
        <v>15.858018</v>
      </c>
      <c r="E12" s="851">
        <f t="shared" si="1"/>
        <v>3.3824045486666665</v>
      </c>
      <c r="F12" s="851">
        <f t="shared" si="0"/>
        <v>4.9691601950238091</v>
      </c>
      <c r="G12" s="851">
        <f t="shared" si="0"/>
        <v>2.1797223312857144</v>
      </c>
      <c r="H12" s="663">
        <f t="shared" si="2"/>
        <v>7.1243361873177563E-2</v>
      </c>
      <c r="I12" s="675">
        <f t="shared" si="2"/>
        <v>0.11059034674342115</v>
      </c>
      <c r="J12" s="675">
        <f t="shared" si="2"/>
        <v>4.8588166704566491E-2</v>
      </c>
      <c r="K12" s="853">
        <f t="shared" si="3"/>
        <v>3.6297938947337318</v>
      </c>
      <c r="L12" s="853">
        <f t="shared" si="3"/>
        <v>5.3326049791889751</v>
      </c>
      <c r="M12" s="853">
        <f t="shared" si="3"/>
        <v>2.3391474013463371</v>
      </c>
    </row>
    <row r="13" spans="1:14" x14ac:dyDescent="0.25">
      <c r="A13" s="71">
        <v>2022</v>
      </c>
      <c r="B13">
        <v>25.316462999999999</v>
      </c>
      <c r="C13">
        <v>37.807372999999998</v>
      </c>
      <c r="D13">
        <v>16.094694</v>
      </c>
      <c r="E13" s="851">
        <f t="shared" si="1"/>
        <v>3.4798081166428569</v>
      </c>
      <c r="F13" s="851">
        <f t="shared" si="0"/>
        <v>5.196713436404762</v>
      </c>
      <c r="G13" s="851">
        <f t="shared" si="0"/>
        <v>2.2122540109999997</v>
      </c>
      <c r="H13" s="663">
        <f t="shared" si="2"/>
        <v>2.8797137236167183E-2</v>
      </c>
      <c r="I13" s="675">
        <f t="shared" si="2"/>
        <v>4.5793098320482187E-2</v>
      </c>
      <c r="J13" s="675">
        <f t="shared" si="2"/>
        <v>1.492468983198285E-2</v>
      </c>
      <c r="K13" s="853">
        <f t="shared" si="3"/>
        <v>3.7343215676593808</v>
      </c>
      <c r="L13" s="853">
        <f t="shared" si="3"/>
        <v>5.5768014833052684</v>
      </c>
      <c r="M13" s="853">
        <f t="shared" si="3"/>
        <v>2.3740584507827198</v>
      </c>
    </row>
    <row r="14" spans="1:14" x14ac:dyDescent="0.25">
      <c r="A14" s="71">
        <v>2023</v>
      </c>
      <c r="B14">
        <v>25.86842</v>
      </c>
      <c r="C14">
        <v>39.083027000000001</v>
      </c>
      <c r="D14">
        <v>16.573132999999999</v>
      </c>
      <c r="E14" s="851">
        <f t="shared" si="1"/>
        <v>3.5556759204761903</v>
      </c>
      <c r="F14" s="851">
        <f t="shared" si="0"/>
        <v>5.37205511597619</v>
      </c>
      <c r="G14" s="851">
        <f t="shared" si="0"/>
        <v>2.2780165906904757</v>
      </c>
      <c r="H14" s="663">
        <f t="shared" si="2"/>
        <v>2.1802295210037896E-2</v>
      </c>
      <c r="I14" s="675">
        <f t="shared" si="2"/>
        <v>3.3740879060811843E-2</v>
      </c>
      <c r="J14" s="675">
        <f t="shared" si="2"/>
        <v>2.9726504896582566E-2</v>
      </c>
      <c r="K14" s="853">
        <f t="shared" si="3"/>
        <v>3.8157383488867023</v>
      </c>
      <c r="L14" s="853">
        <f t="shared" si="3"/>
        <v>5.7649676676996275</v>
      </c>
      <c r="M14" s="853">
        <f t="shared" si="3"/>
        <v>2.4446309109446855</v>
      </c>
    </row>
    <row r="15" spans="1:14" x14ac:dyDescent="0.25">
      <c r="A15" s="71">
        <v>2024</v>
      </c>
      <c r="B15">
        <v>26.191959000000001</v>
      </c>
      <c r="C15">
        <v>40.294746000000004</v>
      </c>
      <c r="D15">
        <v>16.640436000000001</v>
      </c>
      <c r="E15" s="851">
        <f t="shared" si="1"/>
        <v>3.6001471263571427</v>
      </c>
      <c r="F15" s="851">
        <f t="shared" si="0"/>
        <v>5.5386087775714286</v>
      </c>
      <c r="G15" s="851">
        <f t="shared" si="0"/>
        <v>2.2872675482857145</v>
      </c>
      <c r="H15" s="663">
        <f t="shared" si="2"/>
        <v>1.2507103255629847E-2</v>
      </c>
      <c r="I15" s="675">
        <f t="shared" si="2"/>
        <v>3.1003714221009601E-2</v>
      </c>
      <c r="J15" s="675">
        <f t="shared" si="2"/>
        <v>4.0609702462414653E-3</v>
      </c>
      <c r="K15" s="853">
        <f t="shared" si="3"/>
        <v>3.8634621824126949</v>
      </c>
      <c r="L15" s="853">
        <f t="shared" si="3"/>
        <v>5.943703077762347</v>
      </c>
      <c r="M15" s="853">
        <f t="shared" si="3"/>
        <v>2.454558484337074</v>
      </c>
    </row>
    <row r="16" spans="1:14" x14ac:dyDescent="0.25">
      <c r="A16" s="71">
        <v>2025</v>
      </c>
      <c r="B16">
        <v>26.303926000000001</v>
      </c>
      <c r="C16">
        <v>41.240524000000001</v>
      </c>
      <c r="D16">
        <v>16.683606999999999</v>
      </c>
      <c r="E16" s="851">
        <f t="shared" si="1"/>
        <v>3.6155372570952382</v>
      </c>
      <c r="F16" s="851">
        <f t="shared" si="0"/>
        <v>5.6686082155238093</v>
      </c>
      <c r="G16" s="851">
        <f t="shared" si="0"/>
        <v>2.2932015050238093</v>
      </c>
      <c r="H16" s="663">
        <f t="shared" si="2"/>
        <v>4.2748616092442692E-3</v>
      </c>
      <c r="I16" s="675">
        <f t="shared" si="2"/>
        <v>2.3471496755433006E-2</v>
      </c>
      <c r="J16" s="675">
        <f t="shared" si="2"/>
        <v>2.5943430809143102E-3</v>
      </c>
      <c r="K16" s="853">
        <f t="shared" si="3"/>
        <v>3.8799779485750578</v>
      </c>
      <c r="L16" s="853">
        <f t="shared" si="3"/>
        <v>6.0832106852673027</v>
      </c>
      <c r="M16" s="853">
        <f t="shared" si="3"/>
        <v>2.4609264511576132</v>
      </c>
    </row>
    <row r="17" spans="1:13" x14ac:dyDescent="0.25">
      <c r="A17" s="71">
        <v>2026</v>
      </c>
      <c r="B17">
        <v>26.461908000000001</v>
      </c>
      <c r="C17">
        <v>41.991309999999999</v>
      </c>
      <c r="D17">
        <v>16.610347999999998</v>
      </c>
      <c r="E17" s="851">
        <f t="shared" si="1"/>
        <v>3.6372522591428571</v>
      </c>
      <c r="F17" s="851">
        <f t="shared" si="0"/>
        <v>5.7718055388095229</v>
      </c>
      <c r="G17" s="851">
        <f t="shared" si="0"/>
        <v>2.2831318810476184</v>
      </c>
      <c r="H17" s="663">
        <f t="shared" si="2"/>
        <v>6.0060235875055495E-3</v>
      </c>
      <c r="I17" s="675">
        <f t="shared" si="2"/>
        <v>1.8205054814531406E-2</v>
      </c>
      <c r="J17" s="675">
        <f t="shared" si="2"/>
        <v>-4.3910768216969022E-3</v>
      </c>
      <c r="K17" s="853">
        <f t="shared" si="3"/>
        <v>3.9032811876532012</v>
      </c>
      <c r="L17" s="853">
        <f t="shared" si="3"/>
        <v>6.1939558692409369</v>
      </c>
      <c r="M17" s="853">
        <f t="shared" si="3"/>
        <v>2.4501203340580342</v>
      </c>
    </row>
    <row r="18" spans="1:13" x14ac:dyDescent="0.25">
      <c r="A18" s="71">
        <v>2027</v>
      </c>
      <c r="B18">
        <v>26.677890999999999</v>
      </c>
      <c r="C18">
        <v>43.280307999999998</v>
      </c>
      <c r="D18">
        <v>16.756149000000001</v>
      </c>
      <c r="E18" s="851">
        <f t="shared" si="1"/>
        <v>3.6669396367380949</v>
      </c>
      <c r="F18" s="851">
        <f t="shared" si="0"/>
        <v>5.9489813829523799</v>
      </c>
      <c r="G18" s="851">
        <f t="shared" si="0"/>
        <v>2.3031725756428574</v>
      </c>
      <c r="H18" s="663">
        <f t="shared" si="2"/>
        <v>8.1620342720561869E-3</v>
      </c>
      <c r="I18" s="675">
        <f t="shared" si="2"/>
        <v>3.0696779881361155E-2</v>
      </c>
      <c r="J18" s="675">
        <f t="shared" si="2"/>
        <v>8.7777209724927072E-3</v>
      </c>
      <c r="K18" s="853">
        <f t="shared" si="3"/>
        <v>3.9351399024802989</v>
      </c>
      <c r="L18" s="853">
        <f t="shared" si="3"/>
        <v>6.3840903691538911</v>
      </c>
      <c r="M18" s="853">
        <f t="shared" si="3"/>
        <v>2.471626806699426</v>
      </c>
    </row>
    <row r="19" spans="1:13" x14ac:dyDescent="0.25">
      <c r="A19" s="71">
        <v>2028</v>
      </c>
      <c r="B19">
        <v>26.950324999999999</v>
      </c>
      <c r="C19">
        <v>43.599983000000002</v>
      </c>
      <c r="D19">
        <v>16.975829999999998</v>
      </c>
      <c r="E19" s="851">
        <f t="shared" si="1"/>
        <v>3.7043863386904761</v>
      </c>
      <c r="F19" s="851">
        <f t="shared" si="0"/>
        <v>5.9929214728333333</v>
      </c>
      <c r="G19" s="851">
        <f t="shared" si="0"/>
        <v>2.3333682521428569</v>
      </c>
      <c r="H19" s="663">
        <f t="shared" si="2"/>
        <v>1.0211976651377746E-2</v>
      </c>
      <c r="I19" s="675">
        <f t="shared" si="2"/>
        <v>7.3861535366153983E-3</v>
      </c>
      <c r="J19" s="675">
        <f t="shared" si="2"/>
        <v>1.3110470669603009E-2</v>
      </c>
      <c r="K19" s="853">
        <f t="shared" si="3"/>
        <v>3.9753254592843326</v>
      </c>
      <c r="L19" s="853">
        <f t="shared" si="3"/>
        <v>6.4312442408120898</v>
      </c>
      <c r="M19" s="853">
        <f t="shared" si="3"/>
        <v>2.5040309974548633</v>
      </c>
    </row>
    <row r="20" spans="1:13" x14ac:dyDescent="0.25">
      <c r="A20" s="71">
        <v>2029</v>
      </c>
      <c r="B20">
        <v>27.244976000000001</v>
      </c>
      <c r="C20">
        <v>44.497973999999999</v>
      </c>
      <c r="D20">
        <v>17.159507999999999</v>
      </c>
      <c r="E20" s="851">
        <f t="shared" si="1"/>
        <v>3.7448868201904761</v>
      </c>
      <c r="F20" s="851">
        <f t="shared" si="0"/>
        <v>6.1163524738571429</v>
      </c>
      <c r="G20" s="851">
        <f t="shared" si="0"/>
        <v>2.3586152305714285</v>
      </c>
      <c r="H20" s="663">
        <f t="shared" si="2"/>
        <v>1.0933114906777628E-2</v>
      </c>
      <c r="I20" s="675">
        <f t="shared" si="2"/>
        <v>2.0596131883812832E-2</v>
      </c>
      <c r="J20" s="675">
        <f t="shared" si="2"/>
        <v>1.081997168916044E-2</v>
      </c>
      <c r="K20" s="853">
        <f t="shared" si="3"/>
        <v>4.0187881493225266</v>
      </c>
      <c r="L20" s="853">
        <f t="shared" si="3"/>
        <v>6.5637029953728669</v>
      </c>
      <c r="M20" s="853">
        <f t="shared" si="3"/>
        <v>2.531124541956105</v>
      </c>
    </row>
    <row r="21" spans="1:13" x14ac:dyDescent="0.25">
      <c r="A21" s="71">
        <v>2030</v>
      </c>
      <c r="B21">
        <v>27.435493000000001</v>
      </c>
      <c r="C21">
        <v>44.937088000000003</v>
      </c>
      <c r="D21">
        <v>17.306429000000001</v>
      </c>
      <c r="E21" s="851">
        <f t="shared" si="1"/>
        <v>3.771073835452381</v>
      </c>
      <c r="F21" s="851">
        <f t="shared" si="0"/>
        <v>6.1767097386666663</v>
      </c>
      <c r="G21" s="851">
        <f t="shared" si="0"/>
        <v>2.3788098718333335</v>
      </c>
      <c r="H21" s="663">
        <f t="shared" si="2"/>
        <v>6.992738771360996E-3</v>
      </c>
      <c r="I21" s="675">
        <f t="shared" si="2"/>
        <v>9.8681796164473371E-3</v>
      </c>
      <c r="J21" s="675">
        <f t="shared" si="2"/>
        <v>8.5620753229056767E-3</v>
      </c>
      <c r="K21" s="853">
        <f t="shared" si="3"/>
        <v>4.0468904850281806</v>
      </c>
      <c r="L21" s="853">
        <f t="shared" si="3"/>
        <v>6.6284747954802201</v>
      </c>
      <c r="M21" s="853">
        <f t="shared" si="3"/>
        <v>2.5527962209359885</v>
      </c>
    </row>
    <row r="22" spans="1:13" x14ac:dyDescent="0.25">
      <c r="A22" s="71">
        <v>2031</v>
      </c>
      <c r="B22">
        <v>27.820596999999999</v>
      </c>
      <c r="C22">
        <v>45.550766000000003</v>
      </c>
      <c r="D22">
        <v>17.488800000000001</v>
      </c>
      <c r="E22" s="851">
        <f t="shared" si="1"/>
        <v>3.8240072971666663</v>
      </c>
      <c r="F22" s="851">
        <f t="shared" si="0"/>
        <v>6.2610612409047626</v>
      </c>
      <c r="G22" s="851">
        <f t="shared" si="0"/>
        <v>2.4038772000000002</v>
      </c>
      <c r="H22" s="663">
        <f t="shared" si="2"/>
        <v>1.403670785139521E-2</v>
      </c>
      <c r="I22" s="675">
        <f t="shared" si="2"/>
        <v>1.3656381116640227E-2</v>
      </c>
      <c r="J22" s="675">
        <f t="shared" si="2"/>
        <v>1.0537760273942119E-2</v>
      </c>
      <c r="K22" s="853">
        <f t="shared" si="3"/>
        <v>4.1036955044731123</v>
      </c>
      <c r="L22" s="853">
        <f t="shared" si="3"/>
        <v>6.7189957735093415</v>
      </c>
      <c r="M22" s="853">
        <f t="shared" si="3"/>
        <v>2.5796969755404371</v>
      </c>
    </row>
    <row r="23" spans="1:13" x14ac:dyDescent="0.25">
      <c r="A23" s="71">
        <v>2032</v>
      </c>
      <c r="B23">
        <v>28.01539</v>
      </c>
      <c r="C23">
        <v>46.089703</v>
      </c>
      <c r="D23">
        <v>17.527509999999999</v>
      </c>
      <c r="E23" s="851">
        <f t="shared" si="1"/>
        <v>3.8507820588095236</v>
      </c>
      <c r="F23" s="851">
        <f t="shared" si="1"/>
        <v>6.3351394147380953</v>
      </c>
      <c r="G23" s="851">
        <f t="shared" si="1"/>
        <v>2.4091979816666664</v>
      </c>
      <c r="H23" s="663">
        <f t="shared" si="2"/>
        <v>7.0017548509113828E-3</v>
      </c>
      <c r="I23" s="675">
        <f t="shared" si="2"/>
        <v>1.1831568320936625E-2</v>
      </c>
      <c r="J23" s="675">
        <f t="shared" si="2"/>
        <v>2.2134165866153333E-3</v>
      </c>
      <c r="K23" s="853">
        <f t="shared" si="3"/>
        <v>4.1324285743782205</v>
      </c>
      <c r="L23" s="853">
        <f t="shared" si="3"/>
        <v>6.7984920310517021</v>
      </c>
      <c r="M23" s="853">
        <f t="shared" si="3"/>
        <v>2.5854069196145395</v>
      </c>
    </row>
    <row r="24" spans="1:13" x14ac:dyDescent="0.25">
      <c r="A24" s="71">
        <v>2033</v>
      </c>
      <c r="B24">
        <v>28.320105000000002</v>
      </c>
      <c r="C24">
        <v>46.395985000000003</v>
      </c>
      <c r="D24">
        <v>17.667611999999998</v>
      </c>
      <c r="E24" s="851">
        <f t="shared" si="1"/>
        <v>3.8926658610714289</v>
      </c>
      <c r="F24" s="851">
        <f t="shared" si="1"/>
        <v>6.3772386048809526</v>
      </c>
      <c r="G24" s="851">
        <f t="shared" si="1"/>
        <v>2.4284553351428571</v>
      </c>
      <c r="H24" s="663">
        <f t="shared" si="2"/>
        <v>1.0876700270815491E-2</v>
      </c>
      <c r="I24" s="675">
        <f t="shared" si="2"/>
        <v>6.6453454907271382E-3</v>
      </c>
      <c r="J24" s="675">
        <f t="shared" si="2"/>
        <v>7.9932631617382535E-3</v>
      </c>
      <c r="K24" s="853">
        <f t="shared" si="3"/>
        <v>4.1773757613722857</v>
      </c>
      <c r="L24" s="853">
        <f t="shared" si="3"/>
        <v>6.8436703594139958</v>
      </c>
      <c r="M24" s="853">
        <f t="shared" si="3"/>
        <v>2.6060727575031977</v>
      </c>
    </row>
    <row r="25" spans="1:13" x14ac:dyDescent="0.25">
      <c r="A25" s="71">
        <v>2034</v>
      </c>
      <c r="B25">
        <v>28.570540999999999</v>
      </c>
      <c r="C25">
        <v>46.962856000000002</v>
      </c>
      <c r="D25">
        <v>17.850224999999998</v>
      </c>
      <c r="E25" s="851">
        <f t="shared" si="1"/>
        <v>3.9270888855476187</v>
      </c>
      <c r="F25" s="851">
        <f t="shared" si="1"/>
        <v>6.4551563735238098</v>
      </c>
      <c r="G25" s="851">
        <f t="shared" si="1"/>
        <v>2.4535559267857141</v>
      </c>
      <c r="H25" s="663">
        <f t="shared" ref="H25:J41" si="4">(B25-B24)/B24</f>
        <v>8.8430463093267832E-3</v>
      </c>
      <c r="I25" s="675">
        <f t="shared" si="4"/>
        <v>1.2218104648494885E-2</v>
      </c>
      <c r="J25" s="675">
        <f t="shared" si="4"/>
        <v>1.033603183044771E-2</v>
      </c>
      <c r="K25" s="853">
        <f t="shared" si="3"/>
        <v>4.2143164886815603</v>
      </c>
      <c r="L25" s="853">
        <f t="shared" si="3"/>
        <v>6.927287040045119</v>
      </c>
      <c r="M25" s="853">
        <f t="shared" si="3"/>
        <v>2.6330092084772132</v>
      </c>
    </row>
    <row r="26" spans="1:13" x14ac:dyDescent="0.25">
      <c r="A26" s="71">
        <v>2035</v>
      </c>
      <c r="B26">
        <v>28.694842999999999</v>
      </c>
      <c r="C26">
        <v>47.335033000000003</v>
      </c>
      <c r="D26">
        <v>18.054777000000001</v>
      </c>
      <c r="E26" s="851">
        <f t="shared" si="1"/>
        <v>3.9441744914047616</v>
      </c>
      <c r="F26" s="851">
        <f t="shared" si="1"/>
        <v>6.5063129883095243</v>
      </c>
      <c r="G26" s="851">
        <f t="shared" si="1"/>
        <v>2.4816720862142856</v>
      </c>
      <c r="H26" s="663">
        <f t="shared" si="4"/>
        <v>4.3507051546556345E-3</v>
      </c>
      <c r="I26" s="675">
        <f t="shared" si="4"/>
        <v>7.924922623956273E-3</v>
      </c>
      <c r="J26" s="675">
        <f t="shared" si="4"/>
        <v>1.145935135271422E-2</v>
      </c>
      <c r="K26" s="853">
        <f t="shared" ref="K26:M41" si="5">K25+(K25*H26)</f>
        <v>4.2326517371522172</v>
      </c>
      <c r="L26" s="853">
        <f t="shared" si="5"/>
        <v>6.9821852538314113</v>
      </c>
      <c r="M26" s="853">
        <f t="shared" si="5"/>
        <v>2.6631817861120854</v>
      </c>
    </row>
    <row r="27" spans="1:13" x14ac:dyDescent="0.25">
      <c r="A27" s="71">
        <v>2036</v>
      </c>
      <c r="B27">
        <v>28.827456000000002</v>
      </c>
      <c r="C27">
        <v>47.740828999999998</v>
      </c>
      <c r="D27">
        <v>18.213625</v>
      </c>
      <c r="E27" s="851">
        <f t="shared" si="1"/>
        <v>3.9624024640000002</v>
      </c>
      <c r="F27" s="851">
        <f t="shared" si="1"/>
        <v>6.5620906146904758</v>
      </c>
      <c r="G27" s="851">
        <f t="shared" si="1"/>
        <v>2.5035061220238095</v>
      </c>
      <c r="H27" s="663">
        <f t="shared" si="4"/>
        <v>4.6214924402967726E-3</v>
      </c>
      <c r="I27" s="675">
        <f t="shared" si="4"/>
        <v>8.5728470919201674E-3</v>
      </c>
      <c r="J27" s="675">
        <f t="shared" si="4"/>
        <v>8.7981147593237507E-3</v>
      </c>
      <c r="K27" s="853">
        <f t="shared" si="5"/>
        <v>4.252212905157875</v>
      </c>
      <c r="L27" s="853">
        <f t="shared" si="5"/>
        <v>7.0420424603799674</v>
      </c>
      <c r="M27" s="853">
        <f t="shared" si="5"/>
        <v>2.6866127650912404</v>
      </c>
    </row>
    <row r="28" spans="1:13" x14ac:dyDescent="0.25">
      <c r="A28" s="71">
        <v>2037</v>
      </c>
      <c r="B28">
        <v>29.335131000000001</v>
      </c>
      <c r="C28">
        <v>47.833897</v>
      </c>
      <c r="D28">
        <v>18.308001999999998</v>
      </c>
      <c r="E28" s="851">
        <f t="shared" si="1"/>
        <v>4.0321836014999999</v>
      </c>
      <c r="F28" s="851">
        <f t="shared" si="1"/>
        <v>6.5748830328809529</v>
      </c>
      <c r="G28" s="851">
        <f t="shared" si="1"/>
        <v>2.5164784653809522</v>
      </c>
      <c r="H28" s="663">
        <f t="shared" si="4"/>
        <v>1.7610815189519288E-2</v>
      </c>
      <c r="I28" s="675">
        <f t="shared" si="4"/>
        <v>1.9494424782611625E-3</v>
      </c>
      <c r="J28" s="675">
        <f t="shared" si="4"/>
        <v>5.1816703154917232E-3</v>
      </c>
      <c r="K28" s="853">
        <f t="shared" si="5"/>
        <v>4.3270978407770988</v>
      </c>
      <c r="L28" s="853">
        <f t="shared" si="5"/>
        <v>7.0557705170859508</v>
      </c>
      <c r="M28" s="853">
        <f t="shared" si="5"/>
        <v>2.7005339067053349</v>
      </c>
    </row>
    <row r="29" spans="1:13" x14ac:dyDescent="0.25">
      <c r="A29" s="71">
        <v>2038</v>
      </c>
      <c r="B29">
        <v>29.484455000000001</v>
      </c>
      <c r="C29">
        <v>48.352302999999999</v>
      </c>
      <c r="D29">
        <v>18.435503000000001</v>
      </c>
      <c r="E29" s="851">
        <f t="shared" si="1"/>
        <v>4.0527085408333328</v>
      </c>
      <c r="F29" s="851">
        <f t="shared" si="1"/>
        <v>6.6461391718809519</v>
      </c>
      <c r="G29" s="851">
        <f t="shared" si="1"/>
        <v>2.534003781404762</v>
      </c>
      <c r="H29" s="663">
        <f t="shared" si="4"/>
        <v>5.0902789559726189E-3</v>
      </c>
      <c r="I29" s="675">
        <f t="shared" si="4"/>
        <v>1.083762838725013E-2</v>
      </c>
      <c r="J29" s="675">
        <f t="shared" si="4"/>
        <v>6.9642225295803613E-3</v>
      </c>
      <c r="K29" s="853">
        <f t="shared" si="5"/>
        <v>4.3491239758564406</v>
      </c>
      <c r="L29" s="853">
        <f t="shared" si="5"/>
        <v>7.1322383359358437</v>
      </c>
      <c r="M29" s="853">
        <f t="shared" si="5"/>
        <v>2.7193410257803077</v>
      </c>
    </row>
    <row r="30" spans="1:13" x14ac:dyDescent="0.25">
      <c r="A30" s="71">
        <v>2039</v>
      </c>
      <c r="B30">
        <v>29.714451</v>
      </c>
      <c r="C30">
        <v>48.798228999999999</v>
      </c>
      <c r="D30">
        <v>18.661117999999998</v>
      </c>
      <c r="E30" s="851">
        <f t="shared" si="1"/>
        <v>4.0843220386428571</v>
      </c>
      <c r="F30" s="851">
        <f t="shared" si="1"/>
        <v>6.7074327623095229</v>
      </c>
      <c r="G30" s="851">
        <f t="shared" si="1"/>
        <v>2.565015100333333</v>
      </c>
      <c r="H30" s="663">
        <f t="shared" si="4"/>
        <v>7.8005850879726236E-3</v>
      </c>
      <c r="I30" s="675">
        <f t="shared" si="4"/>
        <v>9.222435589055604E-3</v>
      </c>
      <c r="J30" s="675">
        <f t="shared" si="4"/>
        <v>1.2238071291030012E-2</v>
      </c>
      <c r="K30" s="853">
        <f t="shared" si="5"/>
        <v>4.383049687488251</v>
      </c>
      <c r="L30" s="853">
        <f t="shared" si="5"/>
        <v>7.1980149445948047</v>
      </c>
      <c r="M30" s="853">
        <f t="shared" si="5"/>
        <v>2.75262051511843</v>
      </c>
    </row>
    <row r="31" spans="1:13" x14ac:dyDescent="0.25">
      <c r="A31" s="71">
        <v>2040</v>
      </c>
      <c r="B31">
        <v>29.926468</v>
      </c>
      <c r="C31">
        <v>49.061810000000001</v>
      </c>
      <c r="D31">
        <v>18.671317999999999</v>
      </c>
      <c r="E31" s="851">
        <f t="shared" si="1"/>
        <v>4.1134642800952381</v>
      </c>
      <c r="F31" s="851">
        <f t="shared" si="1"/>
        <v>6.7436625983333336</v>
      </c>
      <c r="G31" s="851">
        <f t="shared" si="1"/>
        <v>2.5664171146190475</v>
      </c>
      <c r="H31" s="663">
        <f t="shared" si="4"/>
        <v>7.1351478107402845E-3</v>
      </c>
      <c r="I31" s="675">
        <f t="shared" si="4"/>
        <v>5.4014460237891432E-3</v>
      </c>
      <c r="J31" s="675">
        <f t="shared" si="4"/>
        <v>5.4659104561693994E-4</v>
      </c>
      <c r="K31" s="853">
        <f t="shared" si="5"/>
        <v>4.4143233948702987</v>
      </c>
      <c r="L31" s="853">
        <f t="shared" si="5"/>
        <v>7.236894633796461</v>
      </c>
      <c r="M31" s="853">
        <f t="shared" si="5"/>
        <v>2.754125072843975</v>
      </c>
    </row>
    <row r="32" spans="1:13" x14ac:dyDescent="0.25">
      <c r="A32" s="71">
        <v>2041</v>
      </c>
      <c r="B32">
        <v>30.161176999999999</v>
      </c>
      <c r="C32">
        <v>49.578029999999998</v>
      </c>
      <c r="D32">
        <v>18.830950000000001</v>
      </c>
      <c r="E32" s="851">
        <f t="shared" si="1"/>
        <v>4.1457255909761903</v>
      </c>
      <c r="F32" s="851">
        <f t="shared" si="1"/>
        <v>6.814618266428571</v>
      </c>
      <c r="G32" s="851">
        <f t="shared" si="1"/>
        <v>2.588358913095238</v>
      </c>
      <c r="H32" s="663">
        <f t="shared" si="4"/>
        <v>7.8428566979570971E-3</v>
      </c>
      <c r="I32" s="675">
        <f t="shared" si="4"/>
        <v>1.0521829504455646E-2</v>
      </c>
      <c r="J32" s="675">
        <f t="shared" si="4"/>
        <v>8.5495839126087398E-3</v>
      </c>
      <c r="K32" s="853">
        <f t="shared" si="5"/>
        <v>4.4489443006747056</v>
      </c>
      <c r="L32" s="853">
        <f t="shared" si="5"/>
        <v>7.3130400052749778</v>
      </c>
      <c r="M32" s="853">
        <f t="shared" si="5"/>
        <v>2.7776716962600743</v>
      </c>
    </row>
    <row r="33" spans="1:13" x14ac:dyDescent="0.25">
      <c r="A33" s="71">
        <v>2042</v>
      </c>
      <c r="B33">
        <v>30.216833000000001</v>
      </c>
      <c r="C33">
        <v>49.983055</v>
      </c>
      <c r="D33">
        <v>18.930841000000001</v>
      </c>
      <c r="E33" s="851">
        <f t="shared" si="1"/>
        <v>4.1533756406904763</v>
      </c>
      <c r="F33" s="851">
        <f t="shared" si="1"/>
        <v>6.8702899170238094</v>
      </c>
      <c r="G33" s="851">
        <f t="shared" si="1"/>
        <v>2.6020891688809527</v>
      </c>
      <c r="H33" s="663">
        <f t="shared" si="4"/>
        <v>1.8452860775294874E-3</v>
      </c>
      <c r="I33" s="675">
        <f t="shared" si="4"/>
        <v>8.1694452159555755E-3</v>
      </c>
      <c r="J33" s="675">
        <f t="shared" si="4"/>
        <v>5.3046181950458949E-3</v>
      </c>
      <c r="K33" s="853">
        <f t="shared" si="5"/>
        <v>4.4571538756524447</v>
      </c>
      <c r="L33" s="853">
        <f t="shared" si="5"/>
        <v>7.3727834849601628</v>
      </c>
      <c r="M33" s="853">
        <f t="shared" si="5"/>
        <v>2.7924061840799195</v>
      </c>
    </row>
    <row r="34" spans="1:13" x14ac:dyDescent="0.25">
      <c r="A34" s="71">
        <v>2043</v>
      </c>
      <c r="B34">
        <v>30.26689</v>
      </c>
      <c r="C34">
        <v>50.551205000000003</v>
      </c>
      <c r="D34">
        <v>19.007159999999999</v>
      </c>
      <c r="E34" s="851">
        <f t="shared" si="1"/>
        <v>4.1602560945238096</v>
      </c>
      <c r="F34" s="851">
        <f t="shared" si="1"/>
        <v>6.9483834872619052</v>
      </c>
      <c r="G34" s="851">
        <f t="shared" si="1"/>
        <v>2.612579397142857</v>
      </c>
      <c r="H34" s="663">
        <f t="shared" si="4"/>
        <v>1.6565931975729854E-3</v>
      </c>
      <c r="I34" s="675">
        <f t="shared" si="4"/>
        <v>1.1366852226219522E-2</v>
      </c>
      <c r="J34" s="675">
        <f t="shared" si="4"/>
        <v>4.0314637896962961E-3</v>
      </c>
      <c r="K34" s="853">
        <f t="shared" si="5"/>
        <v>4.4645375664433864</v>
      </c>
      <c r="L34" s="853">
        <f t="shared" si="5"/>
        <v>7.4565888253296171</v>
      </c>
      <c r="M34" s="853">
        <f t="shared" si="5"/>
        <v>2.8036636684971619</v>
      </c>
    </row>
    <row r="35" spans="1:13" x14ac:dyDescent="0.25">
      <c r="A35" s="71">
        <v>2044</v>
      </c>
      <c r="B35">
        <v>30.357994000000001</v>
      </c>
      <c r="C35">
        <v>50.478588000000002</v>
      </c>
      <c r="D35">
        <v>19.113121</v>
      </c>
      <c r="E35" s="851">
        <f t="shared" si="1"/>
        <v>4.1727785562380957</v>
      </c>
      <c r="F35" s="851">
        <f t="shared" si="1"/>
        <v>6.9384021077142863</v>
      </c>
      <c r="G35" s="851">
        <f t="shared" si="1"/>
        <v>2.6271439888809525</v>
      </c>
      <c r="H35" s="663">
        <f t="shared" si="4"/>
        <v>3.0100218423498881E-3</v>
      </c>
      <c r="I35" s="675">
        <f t="shared" si="4"/>
        <v>-1.4365038380390941E-3</v>
      </c>
      <c r="J35" s="675">
        <f t="shared" si="4"/>
        <v>5.574793919765007E-3</v>
      </c>
      <c r="K35" s="853">
        <f t="shared" si="5"/>
        <v>4.4779759220343722</v>
      </c>
      <c r="L35" s="853">
        <f t="shared" si="5"/>
        <v>7.4458774068633513</v>
      </c>
      <c r="M35" s="853">
        <f t="shared" si="5"/>
        <v>2.8192935156693659</v>
      </c>
    </row>
    <row r="36" spans="1:13" x14ac:dyDescent="0.25">
      <c r="A36" s="71">
        <v>2045</v>
      </c>
      <c r="B36">
        <v>30.478110999999998</v>
      </c>
      <c r="C36">
        <v>50.792079999999999</v>
      </c>
      <c r="D36">
        <v>19.285439</v>
      </c>
      <c r="E36" s="851">
        <f t="shared" si="1"/>
        <v>4.1892889238809516</v>
      </c>
      <c r="F36" s="851">
        <f t="shared" si="1"/>
        <v>6.9814923295238094</v>
      </c>
      <c r="G36" s="851">
        <f t="shared" si="1"/>
        <v>2.6508295082619044</v>
      </c>
      <c r="H36" s="663">
        <f t="shared" si="4"/>
        <v>3.9566843579979926E-3</v>
      </c>
      <c r="I36" s="675">
        <f t="shared" si="4"/>
        <v>6.2103955839651562E-3</v>
      </c>
      <c r="J36" s="675">
        <f t="shared" si="4"/>
        <v>9.0156913672026998E-3</v>
      </c>
      <c r="K36" s="853">
        <f t="shared" si="5"/>
        <v>4.4956938593205775</v>
      </c>
      <c r="L36" s="853">
        <f t="shared" si="5"/>
        <v>7.4921192510296812</v>
      </c>
      <c r="M36" s="853">
        <f t="shared" si="5"/>
        <v>2.8447113958801968</v>
      </c>
    </row>
    <row r="37" spans="1:13" x14ac:dyDescent="0.25">
      <c r="A37" s="71">
        <v>2046</v>
      </c>
      <c r="B37">
        <v>30.409288</v>
      </c>
      <c r="C37">
        <v>51.097732999999998</v>
      </c>
      <c r="D37">
        <v>19.443296</v>
      </c>
      <c r="E37" s="851">
        <f t="shared" si="1"/>
        <v>4.1798290386666661</v>
      </c>
      <c r="F37" s="851">
        <f t="shared" si="1"/>
        <v>7.0235050621190469</v>
      </c>
      <c r="G37" s="851">
        <f t="shared" si="1"/>
        <v>2.6725273287619045</v>
      </c>
      <c r="H37" s="663">
        <f t="shared" si="4"/>
        <v>-2.2581123876082186E-3</v>
      </c>
      <c r="I37" s="675">
        <f t="shared" si="4"/>
        <v>6.0177295357858847E-3</v>
      </c>
      <c r="J37" s="675">
        <f t="shared" si="4"/>
        <v>8.185294615279429E-3</v>
      </c>
      <c r="K37" s="853">
        <f t="shared" si="5"/>
        <v>4.4855420773259516</v>
      </c>
      <c r="L37" s="853">
        <f t="shared" si="5"/>
        <v>7.5372047983322323</v>
      </c>
      <c r="M37" s="853">
        <f t="shared" si="5"/>
        <v>2.8679961967509189</v>
      </c>
    </row>
    <row r="38" spans="1:13" x14ac:dyDescent="0.25">
      <c r="A38" s="71">
        <v>2047</v>
      </c>
      <c r="B38">
        <v>30.527103</v>
      </c>
      <c r="C38">
        <v>51.405743000000001</v>
      </c>
      <c r="D38">
        <v>19.633897999999999</v>
      </c>
      <c r="E38" s="851">
        <f t="shared" si="1"/>
        <v>4.1960229909285713</v>
      </c>
      <c r="F38" s="851">
        <f t="shared" si="1"/>
        <v>7.0658417699761902</v>
      </c>
      <c r="G38" s="851">
        <f t="shared" si="1"/>
        <v>2.6987260274761899</v>
      </c>
      <c r="H38" s="663">
        <f t="shared" si="4"/>
        <v>3.8743097174784302E-3</v>
      </c>
      <c r="I38" s="675">
        <f t="shared" si="4"/>
        <v>6.0278603749407637E-3</v>
      </c>
      <c r="J38" s="675">
        <f t="shared" si="4"/>
        <v>9.8029675627012199E-3</v>
      </c>
      <c r="K38" s="853">
        <f t="shared" si="5"/>
        <v>4.5029204565842935</v>
      </c>
      <c r="L38" s="853">
        <f t="shared" si="5"/>
        <v>7.5826380164739122</v>
      </c>
      <c r="M38" s="853">
        <f t="shared" si="5"/>
        <v>2.8961110704376187</v>
      </c>
    </row>
    <row r="39" spans="1:13" x14ac:dyDescent="0.25">
      <c r="A39" s="71">
        <v>2048</v>
      </c>
      <c r="B39">
        <v>30.761935999999999</v>
      </c>
      <c r="C39">
        <v>51.724544999999999</v>
      </c>
      <c r="D39">
        <v>19.768647999999999</v>
      </c>
      <c r="E39" s="851">
        <f t="shared" si="1"/>
        <v>4.2283013459047618</v>
      </c>
      <c r="F39" s="851">
        <f t="shared" si="1"/>
        <v>7.1096618639285714</v>
      </c>
      <c r="G39" s="851">
        <f t="shared" si="1"/>
        <v>2.7172477358095235</v>
      </c>
      <c r="H39" s="663">
        <f t="shared" si="4"/>
        <v>7.6926067960002061E-3</v>
      </c>
      <c r="I39" s="675">
        <f t="shared" si="4"/>
        <v>6.2016806176694696E-3</v>
      </c>
      <c r="J39" s="675">
        <f t="shared" si="4"/>
        <v>6.8631302862019747E-3</v>
      </c>
      <c r="K39" s="853">
        <f t="shared" si="5"/>
        <v>4.5375596530904625</v>
      </c>
      <c r="L39" s="853">
        <f t="shared" si="5"/>
        <v>7.629663115691482</v>
      </c>
      <c r="M39" s="853">
        <f t="shared" si="5"/>
        <v>2.9159874580373439</v>
      </c>
    </row>
    <row r="40" spans="1:13" x14ac:dyDescent="0.25">
      <c r="A40" s="71">
        <v>2049</v>
      </c>
      <c r="B40">
        <v>30.751712999999999</v>
      </c>
      <c r="C40">
        <v>52.123753000000001</v>
      </c>
      <c r="D40">
        <v>19.821659</v>
      </c>
      <c r="E40" s="851">
        <f t="shared" si="1"/>
        <v>4.2268961702142853</v>
      </c>
      <c r="F40" s="851">
        <f t="shared" si="1"/>
        <v>7.1645339540238089</v>
      </c>
      <c r="G40" s="851">
        <f t="shared" si="1"/>
        <v>2.7245342239761903</v>
      </c>
      <c r="H40" s="663">
        <f t="shared" si="4"/>
        <v>-3.3232628791633501E-4</v>
      </c>
      <c r="I40" s="675">
        <f t="shared" si="4"/>
        <v>7.7179605929834968E-3</v>
      </c>
      <c r="J40" s="675">
        <f t="shared" si="4"/>
        <v>2.6815693212809228E-3</v>
      </c>
      <c r="K40" s="853">
        <f t="shared" si="5"/>
        <v>4.5360517027347518</v>
      </c>
      <c r="L40" s="853">
        <f t="shared" si="5"/>
        <v>7.688548554956129</v>
      </c>
      <c r="M40" s="853">
        <f t="shared" si="5"/>
        <v>2.9238068805460569</v>
      </c>
    </row>
    <row r="41" spans="1:13" x14ac:dyDescent="0.25">
      <c r="A41" s="71">
        <v>2050</v>
      </c>
      <c r="B41">
        <v>30.859112</v>
      </c>
      <c r="C41">
        <v>52.461872</v>
      </c>
      <c r="D41">
        <v>19.971299999999999</v>
      </c>
      <c r="E41" s="851">
        <f t="shared" si="1"/>
        <v>4.2416584184761907</v>
      </c>
      <c r="F41" s="851">
        <f t="shared" si="1"/>
        <v>7.2110092156190468</v>
      </c>
      <c r="G41" s="851">
        <f t="shared" si="1"/>
        <v>2.7451027357142856</v>
      </c>
      <c r="H41" s="663">
        <f t="shared" si="4"/>
        <v>3.4924558511586303E-3</v>
      </c>
      <c r="I41" s="675">
        <f t="shared" si="4"/>
        <v>6.4868506302682956E-3</v>
      </c>
      <c r="J41" s="675">
        <f t="shared" si="4"/>
        <v>7.5493680927514201E-3</v>
      </c>
      <c r="K41" s="853">
        <f t="shared" si="5"/>
        <v>4.5518936630451261</v>
      </c>
      <c r="L41" s="853">
        <f t="shared" si="5"/>
        <v>7.7384230209956941</v>
      </c>
      <c r="M41" s="853">
        <f t="shared" si="5"/>
        <v>2.9458797749194185</v>
      </c>
    </row>
  </sheetData>
  <hyperlinks>
    <hyperlink ref="A2" display="https://www.eia.gov/outlooks/aeo/data/browser/#/?id=3-AEO2018&amp;region=1-9&amp;cases=ref2018~highprice~lowprice&amp;start=2016&amp;end=2050&amp;f=A&amp;linechart=~~~ref2018-d121317a.4-3-AEO2018.1-9~highprice-d122017a.4-3-AEO2018.1-9~lowprice-d121317a.4-3-AEO2018.1-9&amp;map=highpr"/>
    <hyperlink ref="G3"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F95"/>
  <sheetViews>
    <sheetView workbookViewId="0">
      <selection sqref="A1:L1"/>
    </sheetView>
  </sheetViews>
  <sheetFormatPr defaultRowHeight="15" x14ac:dyDescent="0.25"/>
  <cols>
    <col min="1" max="1" width="4.5703125" customWidth="1"/>
    <col min="2" max="2" width="9.140625" customWidth="1"/>
    <col min="9" max="9" width="9.140625" customWidth="1"/>
    <col min="13" max="13" width="23.7109375" customWidth="1"/>
    <col min="15" max="15" width="9.140625" customWidth="1"/>
    <col min="17" max="17" width="8.85546875" customWidth="1"/>
    <col min="20" max="26" width="10.7109375" customWidth="1"/>
    <col min="27" max="28" width="8.85546875" customWidth="1"/>
  </cols>
  <sheetData>
    <row r="1" spans="1:27" ht="18.75" x14ac:dyDescent="0.3">
      <c r="A1" s="912" t="s">
        <v>3000</v>
      </c>
      <c r="B1" s="912"/>
      <c r="C1" s="912"/>
      <c r="D1" s="912"/>
      <c r="E1" s="912"/>
      <c r="F1" s="912"/>
      <c r="G1" s="912"/>
      <c r="H1" s="912"/>
      <c r="I1" s="912"/>
      <c r="J1" s="912"/>
      <c r="K1" s="912"/>
      <c r="L1" s="912"/>
    </row>
    <row r="4" spans="1:27" ht="15.75" x14ac:dyDescent="0.25">
      <c r="A4" s="502" t="s">
        <v>2999</v>
      </c>
      <c r="O4" s="923" t="s">
        <v>2998</v>
      </c>
      <c r="P4" s="923"/>
      <c r="Q4" s="923"/>
      <c r="R4" s="923"/>
      <c r="S4" s="923"/>
    </row>
    <row r="5" spans="1:27" x14ac:dyDescent="0.25">
      <c r="G5" s="918" t="s">
        <v>2997</v>
      </c>
      <c r="H5" s="918"/>
      <c r="I5" s="918"/>
      <c r="J5" s="918"/>
      <c r="K5" s="918"/>
      <c r="L5" s="918"/>
      <c r="O5" s="918" t="s">
        <v>2903</v>
      </c>
      <c r="P5" s="918"/>
      <c r="Q5" s="918"/>
      <c r="R5" s="44" t="s">
        <v>2996</v>
      </c>
      <c r="S5" s="44" t="s">
        <v>2995</v>
      </c>
    </row>
    <row r="6" spans="1:27" x14ac:dyDescent="0.25">
      <c r="B6" s="1" t="s">
        <v>2994</v>
      </c>
      <c r="C6" s="942">
        <v>2104004000</v>
      </c>
      <c r="D6" s="942"/>
      <c r="G6" s="2" t="s">
        <v>2149</v>
      </c>
      <c r="H6" s="2" t="s">
        <v>2144</v>
      </c>
      <c r="I6" s="2" t="s">
        <v>2993</v>
      </c>
      <c r="J6" s="2" t="s">
        <v>2993</v>
      </c>
      <c r="K6" s="2" t="s">
        <v>2145</v>
      </c>
      <c r="L6" s="2" t="s">
        <v>2143</v>
      </c>
      <c r="Q6" s="1" t="s">
        <v>2992</v>
      </c>
      <c r="R6" s="507">
        <v>2035.3928754647418</v>
      </c>
      <c r="S6" s="507">
        <v>896</v>
      </c>
    </row>
    <row r="7" spans="1:27" x14ac:dyDescent="0.25">
      <c r="B7" s="1" t="s">
        <v>2991</v>
      </c>
      <c r="C7" t="s">
        <v>2990</v>
      </c>
      <c r="G7" s="2">
        <v>5</v>
      </c>
      <c r="H7" s="2">
        <v>18</v>
      </c>
      <c r="I7" s="506">
        <v>3</v>
      </c>
      <c r="J7" s="505">
        <v>0.4</v>
      </c>
      <c r="K7" s="3" t="s">
        <v>2989</v>
      </c>
      <c r="L7" s="2">
        <v>0.71299999999999997</v>
      </c>
      <c r="Q7" s="1" t="s">
        <v>2988</v>
      </c>
      <c r="R7" s="504">
        <v>134210.66096932575</v>
      </c>
      <c r="S7" s="503">
        <v>125000</v>
      </c>
    </row>
    <row r="8" spans="1:27" x14ac:dyDescent="0.25">
      <c r="B8" s="1" t="s">
        <v>2987</v>
      </c>
      <c r="C8" t="s">
        <v>2764</v>
      </c>
    </row>
    <row r="9" spans="1:27" x14ac:dyDescent="0.25">
      <c r="B9" s="1" t="s">
        <v>2986</v>
      </c>
      <c r="C9" t="s">
        <v>2985</v>
      </c>
      <c r="I9" s="1" t="s">
        <v>2984</v>
      </c>
      <c r="J9" s="410">
        <v>2000</v>
      </c>
      <c r="K9">
        <f>142*J9/10000</f>
        <v>28.4</v>
      </c>
      <c r="L9" t="s">
        <v>2225</v>
      </c>
    </row>
    <row r="10" spans="1:27" x14ac:dyDescent="0.25">
      <c r="B10" s="1" t="s">
        <v>2983</v>
      </c>
      <c r="C10" t="s">
        <v>2982</v>
      </c>
      <c r="I10" s="1" t="s">
        <v>2981</v>
      </c>
      <c r="J10" s="410">
        <v>15</v>
      </c>
      <c r="K10">
        <f>142*J10/10000</f>
        <v>0.21299999999999999</v>
      </c>
      <c r="L10" t="s">
        <v>2225</v>
      </c>
    </row>
    <row r="13" spans="1:27" ht="15.75" x14ac:dyDescent="0.25">
      <c r="A13" s="502" t="s">
        <v>2980</v>
      </c>
    </row>
    <row r="14" spans="1:27" x14ac:dyDescent="0.25">
      <c r="T14" s="2"/>
      <c r="U14" s="2"/>
      <c r="V14" s="2"/>
      <c r="W14" s="2"/>
      <c r="X14" s="2"/>
      <c r="Y14" s="2"/>
      <c r="Z14" s="2" t="s">
        <v>2979</v>
      </c>
    </row>
    <row r="15" spans="1:27" x14ac:dyDescent="0.25">
      <c r="A15" s="241" t="s">
        <v>2978</v>
      </c>
      <c r="S15" s="2" t="s">
        <v>2977</v>
      </c>
      <c r="T15" s="2" t="s">
        <v>2757</v>
      </c>
      <c r="U15" s="2" t="s">
        <v>2135</v>
      </c>
      <c r="V15" s="2" t="s">
        <v>2135</v>
      </c>
      <c r="W15" s="2" t="s">
        <v>2976</v>
      </c>
      <c r="X15" s="2" t="s">
        <v>2135</v>
      </c>
      <c r="Y15" s="2" t="s">
        <v>2135</v>
      </c>
      <c r="Z15" s="2" t="s">
        <v>2975</v>
      </c>
      <c r="AA15" s="2" t="s">
        <v>3231</v>
      </c>
    </row>
    <row r="16" spans="1:27" x14ac:dyDescent="0.25">
      <c r="G16" s="917" t="s">
        <v>2974</v>
      </c>
      <c r="H16" s="917"/>
      <c r="I16" s="917"/>
      <c r="O16" s="918" t="s">
        <v>2973</v>
      </c>
      <c r="P16" s="918"/>
      <c r="Q16" s="918"/>
      <c r="R16" s="918"/>
      <c r="S16" s="44" t="s">
        <v>2972</v>
      </c>
      <c r="T16" s="44" t="s">
        <v>2761</v>
      </c>
      <c r="U16" s="44" t="s">
        <v>2971</v>
      </c>
      <c r="V16" s="44" t="s">
        <v>2970</v>
      </c>
      <c r="W16" s="44" t="s">
        <v>2970</v>
      </c>
      <c r="X16" s="44" t="s">
        <v>2969</v>
      </c>
      <c r="Y16" s="44" t="s">
        <v>2968</v>
      </c>
      <c r="Z16" s="44" t="s">
        <v>2967</v>
      </c>
      <c r="AA16" s="44" t="s">
        <v>2140</v>
      </c>
    </row>
    <row r="17" spans="2:27" x14ac:dyDescent="0.25">
      <c r="B17" s="9" t="s">
        <v>2966</v>
      </c>
      <c r="C17" s="9"/>
      <c r="D17" s="9"/>
      <c r="E17" s="9"/>
      <c r="F17" s="9"/>
      <c r="G17" s="44" t="s">
        <v>2271</v>
      </c>
      <c r="H17" s="44"/>
      <c r="I17" s="44" t="s">
        <v>2965</v>
      </c>
      <c r="N17" s="124"/>
      <c r="O17" s="124"/>
      <c r="P17" s="124"/>
      <c r="Q17" s="124"/>
      <c r="R17" s="836" t="s">
        <v>2961</v>
      </c>
      <c r="S17" s="124">
        <v>3</v>
      </c>
      <c r="T17" s="124">
        <v>5780</v>
      </c>
      <c r="U17" s="124">
        <v>4.5999999999999996</v>
      </c>
      <c r="V17" s="124">
        <v>203.1</v>
      </c>
      <c r="W17" s="124">
        <v>5.6</v>
      </c>
      <c r="X17" s="124">
        <v>1.0999999999999999E-2</v>
      </c>
      <c r="Y17" s="124">
        <v>1.4</v>
      </c>
      <c r="Z17" s="659">
        <f>3405*60/1.49</f>
        <v>137114.09395973154</v>
      </c>
      <c r="AA17" s="837">
        <v>0.86</v>
      </c>
    </row>
    <row r="18" spans="2:27" x14ac:dyDescent="0.25">
      <c r="B18" t="s">
        <v>2964</v>
      </c>
      <c r="G18">
        <v>3.5499999999999997E-2</v>
      </c>
      <c r="H18" s="2" t="s">
        <v>2957</v>
      </c>
      <c r="I18">
        <v>0.99690000000000001</v>
      </c>
      <c r="N18" s="124"/>
      <c r="O18" s="124"/>
      <c r="P18" s="124"/>
      <c r="Q18" s="124"/>
      <c r="R18" s="836" t="s">
        <v>2961</v>
      </c>
      <c r="S18" s="124">
        <v>4</v>
      </c>
      <c r="T18" s="124">
        <f>AVERAGE(1700,1440)</f>
        <v>1570</v>
      </c>
      <c r="U18" s="124">
        <v>1.32</v>
      </c>
      <c r="V18" s="124">
        <v>60</v>
      </c>
      <c r="W18" s="124">
        <v>4.8</v>
      </c>
      <c r="X18" s="124">
        <v>3.0999999999999999E-3</v>
      </c>
      <c r="Y18" s="124">
        <v>0.43</v>
      </c>
      <c r="Z18" s="659">
        <f>10.68/1.5*AVERAGE(19696,19342)</f>
        <v>138975.28</v>
      </c>
      <c r="AA18" s="837">
        <v>0.86</v>
      </c>
    </row>
    <row r="19" spans="2:27" x14ac:dyDescent="0.25">
      <c r="B19" t="s">
        <v>2963</v>
      </c>
      <c r="H19" s="2"/>
      <c r="N19" s="124"/>
      <c r="O19" s="124"/>
      <c r="P19" s="124"/>
      <c r="Q19" s="124"/>
      <c r="R19" s="836" t="s">
        <v>2961</v>
      </c>
      <c r="S19" s="124">
        <v>2</v>
      </c>
      <c r="T19" s="124">
        <v>332</v>
      </c>
      <c r="U19" s="124">
        <v>0.49</v>
      </c>
      <c r="V19" s="124">
        <v>22</v>
      </c>
      <c r="W19" s="640">
        <f>V19/0.49*0.04</f>
        <v>1.795918367346939</v>
      </c>
      <c r="X19" s="124">
        <v>1.1999999999999999E-3</v>
      </c>
      <c r="Y19" s="124">
        <v>0.16</v>
      </c>
      <c r="Z19" s="659">
        <f>10.74/1.5*19333</f>
        <v>138424.28</v>
      </c>
      <c r="AA19" s="837">
        <v>0.88</v>
      </c>
    </row>
    <row r="20" spans="2:27" x14ac:dyDescent="0.25">
      <c r="B20" s="1" t="s">
        <v>65</v>
      </c>
      <c r="C20" t="s">
        <v>2962</v>
      </c>
      <c r="G20">
        <v>8.9999999999999998E-4</v>
      </c>
      <c r="H20" s="2" t="s">
        <v>2957</v>
      </c>
      <c r="I20">
        <v>0.98919999999999997</v>
      </c>
      <c r="N20" s="124"/>
      <c r="O20" s="124"/>
      <c r="P20" s="124"/>
      <c r="Q20" s="124"/>
      <c r="R20" s="836" t="s">
        <v>2961</v>
      </c>
      <c r="S20" s="124">
        <v>2</v>
      </c>
      <c r="T20" s="124">
        <v>11</v>
      </c>
      <c r="U20" s="124">
        <v>2.5000000000000001E-2</v>
      </c>
      <c r="V20" s="124">
        <v>1.18</v>
      </c>
      <c r="W20" s="124">
        <v>0.36</v>
      </c>
      <c r="X20" s="838">
        <f>V20/19865</f>
        <v>5.940095645607853E-5</v>
      </c>
      <c r="Y20" s="658">
        <v>8.0000000000000002E-3</v>
      </c>
      <c r="Z20" s="659">
        <f>10.29/1.5*19865</f>
        <v>136273.9</v>
      </c>
      <c r="AA20" s="837">
        <v>0.88</v>
      </c>
    </row>
    <row r="21" spans="2:27" x14ac:dyDescent="0.25">
      <c r="B21" s="1" t="s">
        <v>65</v>
      </c>
      <c r="C21" t="s">
        <v>2960</v>
      </c>
      <c r="G21">
        <v>1.4E-3</v>
      </c>
      <c r="H21" s="2" t="s">
        <v>2957</v>
      </c>
      <c r="I21">
        <v>0.99070000000000003</v>
      </c>
      <c r="R21" s="1" t="s">
        <v>2959</v>
      </c>
      <c r="S21">
        <v>3</v>
      </c>
      <c r="T21">
        <v>5780</v>
      </c>
      <c r="U21">
        <v>5.0999999999999996</v>
      </c>
      <c r="V21">
        <v>224.5</v>
      </c>
      <c r="W21">
        <v>4.8</v>
      </c>
      <c r="X21" s="11">
        <v>1.2E-2</v>
      </c>
      <c r="Y21" s="107">
        <v>1.6</v>
      </c>
      <c r="Z21" s="114">
        <f>3405*60/1.49</f>
        <v>137114.09395973154</v>
      </c>
      <c r="AA21" s="254">
        <v>0.874</v>
      </c>
    </row>
    <row r="22" spans="2:27" x14ac:dyDescent="0.25">
      <c r="B22" s="1" t="s">
        <v>65</v>
      </c>
      <c r="C22" t="s">
        <v>2949</v>
      </c>
      <c r="G22">
        <v>1.2999999999999999E-3</v>
      </c>
      <c r="H22" s="2" t="s">
        <v>2957</v>
      </c>
      <c r="I22">
        <v>0.99990000000000001</v>
      </c>
      <c r="R22" s="1" t="s">
        <v>2959</v>
      </c>
      <c r="S22">
        <v>3</v>
      </c>
      <c r="T22">
        <v>1440</v>
      </c>
      <c r="U22">
        <v>1.02</v>
      </c>
      <c r="V22">
        <v>45.9</v>
      </c>
      <c r="W22">
        <v>7.8</v>
      </c>
      <c r="X22" s="290">
        <f>V22/19342</f>
        <v>2.3730741391789888E-3</v>
      </c>
      <c r="Y22" s="43">
        <f>X22*1.5*10^3/10.7</f>
        <v>0.33267394474471806</v>
      </c>
      <c r="Z22" s="114">
        <f>10.7/1.5*19342</f>
        <v>137972.93333333332</v>
      </c>
      <c r="AA22" s="254">
        <v>0.91600000000000004</v>
      </c>
    </row>
    <row r="23" spans="2:27" x14ac:dyDescent="0.25">
      <c r="B23" s="1" t="s">
        <v>65</v>
      </c>
      <c r="C23" t="s">
        <v>2958</v>
      </c>
      <c r="G23">
        <v>1.2999999999999999E-3</v>
      </c>
      <c r="H23" s="2" t="s">
        <v>2957</v>
      </c>
      <c r="I23">
        <v>0.99609999999999999</v>
      </c>
      <c r="N23" s="641"/>
      <c r="O23" s="641"/>
      <c r="P23" s="641"/>
      <c r="Q23" s="641"/>
      <c r="R23" s="642" t="s">
        <v>2955</v>
      </c>
      <c r="S23" s="641">
        <v>3</v>
      </c>
      <c r="T23" s="834">
        <v>1440</v>
      </c>
      <c r="U23" s="641">
        <v>2.1</v>
      </c>
      <c r="V23" s="641">
        <v>95.9</v>
      </c>
      <c r="W23" s="645">
        <f>STDEV(95.7,96.7,95.3)</f>
        <v>0.72111025509280025</v>
      </c>
      <c r="X23" s="641">
        <v>5.0000000000000001E-3</v>
      </c>
      <c r="Y23" s="641">
        <v>0.69</v>
      </c>
      <c r="Z23" s="644">
        <f>1536*60/0.67</f>
        <v>137552.23880597015</v>
      </c>
      <c r="AA23" s="558">
        <v>0.89500000000000002</v>
      </c>
    </row>
    <row r="24" spans="2:27" x14ac:dyDescent="0.25">
      <c r="R24" s="1" t="s">
        <v>2955</v>
      </c>
      <c r="S24">
        <v>3</v>
      </c>
      <c r="T24">
        <v>450</v>
      </c>
      <c r="U24">
        <v>0.51</v>
      </c>
      <c r="V24" s="107">
        <f>AVERAGE(23.4,26.7,25.75)</f>
        <v>25.283333333333331</v>
      </c>
      <c r="W24" s="107">
        <f>STDEV(23.4,26.7,25.75)</f>
        <v>1.6987740677716194</v>
      </c>
      <c r="X24">
        <v>1.1999999999999999E-3</v>
      </c>
      <c r="Y24">
        <v>0.18</v>
      </c>
      <c r="Z24" s="114">
        <f>1537*60/0.67</f>
        <v>137641.79104477612</v>
      </c>
      <c r="AA24" s="254">
        <v>0.85699999999999998</v>
      </c>
    </row>
    <row r="25" spans="2:27" x14ac:dyDescent="0.25">
      <c r="G25" s="917" t="s">
        <v>2956</v>
      </c>
      <c r="H25" s="917"/>
      <c r="R25" s="1" t="s">
        <v>2955</v>
      </c>
      <c r="S25">
        <v>2</v>
      </c>
      <c r="T25">
        <v>11</v>
      </c>
      <c r="U25">
        <v>0.06</v>
      </c>
      <c r="V25">
        <v>2.6</v>
      </c>
      <c r="W25" s="107">
        <v>0.6</v>
      </c>
      <c r="X25">
        <v>1.2999999999999999E-3</v>
      </c>
      <c r="Y25">
        <v>1.7999999999999999E-2</v>
      </c>
      <c r="Z25" s="114">
        <f>1411*60/0.62</f>
        <v>136548.38709677418</v>
      </c>
      <c r="AA25" s="254">
        <v>0.86099999999999999</v>
      </c>
    </row>
    <row r="26" spans="2:27" x14ac:dyDescent="0.25">
      <c r="B26" s="9" t="s">
        <v>2954</v>
      </c>
      <c r="C26" s="9"/>
      <c r="D26" s="9"/>
      <c r="E26" s="9"/>
      <c r="F26" s="9"/>
      <c r="G26" s="44" t="s">
        <v>2142</v>
      </c>
      <c r="H26" s="44" t="s">
        <v>2953</v>
      </c>
      <c r="N26" s="124"/>
      <c r="O26" s="124"/>
      <c r="P26" s="124"/>
      <c r="Q26" s="124"/>
      <c r="R26" s="836" t="s">
        <v>2951</v>
      </c>
      <c r="S26" s="124">
        <v>3</v>
      </c>
      <c r="T26" s="124">
        <v>1900</v>
      </c>
      <c r="U26" s="124">
        <v>2.5</v>
      </c>
      <c r="V26" s="124">
        <v>109.8</v>
      </c>
      <c r="W26" s="640">
        <v>2</v>
      </c>
      <c r="X26" s="124">
        <v>5.7000000000000002E-3</v>
      </c>
      <c r="Y26" s="124">
        <v>0.79</v>
      </c>
      <c r="Z26" s="659">
        <f>AVERAGE(1286,1307,1317)*60/AVERAGE(0.56,0.57,0.57)</f>
        <v>138000.00000000003</v>
      </c>
      <c r="AA26" s="799">
        <v>0.91700000000000004</v>
      </c>
    </row>
    <row r="27" spans="2:27" x14ac:dyDescent="0.25">
      <c r="B27" s="1" t="s">
        <v>65</v>
      </c>
      <c r="C27" t="s">
        <v>2952</v>
      </c>
      <c r="G27">
        <v>1.0999999999999999E-2</v>
      </c>
      <c r="H27">
        <v>0.63</v>
      </c>
      <c r="N27" s="124"/>
      <c r="O27" s="124"/>
      <c r="P27" s="124"/>
      <c r="Q27" s="124"/>
      <c r="R27" s="836" t="s">
        <v>2951</v>
      </c>
      <c r="S27" s="124">
        <v>3</v>
      </c>
      <c r="T27" s="124">
        <v>37</v>
      </c>
      <c r="U27" s="124">
        <v>0.03</v>
      </c>
      <c r="V27" s="124">
        <v>1.34</v>
      </c>
      <c r="W27" s="640">
        <v>0.2</v>
      </c>
      <c r="X27" s="124">
        <v>6.9999999999999994E-5</v>
      </c>
      <c r="Y27" s="124">
        <v>0.01</v>
      </c>
      <c r="Z27" s="659">
        <f>AVERAGE(1330,1309,1254)*60/AVERAGE(0.58,0.57,0.55)</f>
        <v>137400</v>
      </c>
      <c r="AA27" s="799">
        <v>0.91700000000000004</v>
      </c>
    </row>
    <row r="28" spans="2:27" x14ac:dyDescent="0.25">
      <c r="B28" s="1" t="s">
        <v>65</v>
      </c>
      <c r="C28" t="s">
        <v>2950</v>
      </c>
      <c r="G28">
        <v>1.6E-2</v>
      </c>
      <c r="H28">
        <v>0.9</v>
      </c>
      <c r="N28" s="641"/>
      <c r="O28" s="641"/>
      <c r="P28" s="641"/>
      <c r="Q28" s="641"/>
      <c r="R28" s="642" t="s">
        <v>2948</v>
      </c>
      <c r="S28" s="641">
        <v>3</v>
      </c>
      <c r="T28" s="641">
        <v>1440</v>
      </c>
      <c r="U28" s="641">
        <v>1.8</v>
      </c>
      <c r="V28" s="641">
        <v>77.900000000000006</v>
      </c>
      <c r="W28" s="643">
        <v>7.9</v>
      </c>
      <c r="X28" s="641">
        <v>4.1999999999999997E-3</v>
      </c>
      <c r="Y28" s="641">
        <v>0.56000000000000005</v>
      </c>
      <c r="Z28" s="644">
        <f>1114*60/0.48</f>
        <v>139250</v>
      </c>
      <c r="AA28" s="558">
        <v>0.93700000000000006</v>
      </c>
    </row>
    <row r="29" spans="2:27" x14ac:dyDescent="0.25">
      <c r="B29" s="1" t="s">
        <v>65</v>
      </c>
      <c r="C29" t="s">
        <v>2949</v>
      </c>
      <c r="G29">
        <v>3.5999999999999997E-2</v>
      </c>
      <c r="H29">
        <v>1.96</v>
      </c>
      <c r="R29" s="1" t="s">
        <v>2948</v>
      </c>
      <c r="S29">
        <v>2</v>
      </c>
      <c r="T29">
        <v>332</v>
      </c>
      <c r="U29">
        <v>0.499</v>
      </c>
      <c r="V29">
        <v>22.4</v>
      </c>
      <c r="W29" s="107">
        <v>0.2</v>
      </c>
      <c r="X29">
        <v>1.6000000000000001E-3</v>
      </c>
      <c r="Y29">
        <v>0.159</v>
      </c>
      <c r="Z29" s="114">
        <f>1080*60/0.48</f>
        <v>135000</v>
      </c>
      <c r="AA29" s="254">
        <v>0.94699999999999995</v>
      </c>
    </row>
    <row r="30" spans="2:27" x14ac:dyDescent="0.25">
      <c r="R30" s="1" t="s">
        <v>2948</v>
      </c>
      <c r="S30">
        <v>2</v>
      </c>
      <c r="T30">
        <v>11</v>
      </c>
      <c r="U30">
        <v>1.4E-2</v>
      </c>
      <c r="V30">
        <v>0.85</v>
      </c>
      <c r="W30" s="107">
        <v>0.2</v>
      </c>
      <c r="X30">
        <v>3.0000000000000001E-5</v>
      </c>
      <c r="Y30">
        <v>6.0000000000000001E-3</v>
      </c>
      <c r="Z30" s="114">
        <f>1015*60/0.45</f>
        <v>135333.33333333334</v>
      </c>
      <c r="AA30" s="254">
        <v>0.93500000000000005</v>
      </c>
    </row>
    <row r="31" spans="2:27" x14ac:dyDescent="0.25">
      <c r="R31" s="1" t="s">
        <v>2947</v>
      </c>
      <c r="S31">
        <v>3</v>
      </c>
      <c r="T31">
        <v>37</v>
      </c>
      <c r="U31">
        <v>3.9E-2</v>
      </c>
      <c r="V31">
        <v>1.8</v>
      </c>
      <c r="W31" s="107">
        <f>STDEV(1.9,1.6,1.8)</f>
        <v>0.15275252316519458</v>
      </c>
      <c r="X31">
        <v>9.0000000000000006E-5</v>
      </c>
      <c r="Y31">
        <v>1.2999999999999999E-2</v>
      </c>
      <c r="Z31" s="114">
        <f>AVERAGE(1535,1485,1563)*60/AVERAGE(0.67,0.65,0.68)</f>
        <v>137490</v>
      </c>
      <c r="AA31" s="254"/>
    </row>
    <row r="32" spans="2:27" x14ac:dyDescent="0.25">
      <c r="B32" s="241"/>
      <c r="C32" s="241"/>
      <c r="D32" s="241"/>
      <c r="E32" s="241"/>
      <c r="F32" s="241"/>
      <c r="G32" s="241"/>
      <c r="H32" s="241"/>
      <c r="I32" s="241"/>
      <c r="J32" s="241"/>
      <c r="K32" s="241"/>
      <c r="L32" s="241"/>
    </row>
    <row r="33" spans="1:27" x14ac:dyDescent="0.25">
      <c r="B33" s="241"/>
      <c r="C33" s="241"/>
      <c r="D33" s="241"/>
      <c r="E33" s="241"/>
      <c r="F33" s="241"/>
      <c r="G33" s="241"/>
      <c r="H33" s="241"/>
      <c r="I33" s="241"/>
      <c r="J33" s="241"/>
      <c r="K33" s="241"/>
      <c r="L33" s="241"/>
      <c r="O33" s="914" t="s">
        <v>4270</v>
      </c>
      <c r="P33" s="914"/>
      <c r="Q33" s="914"/>
      <c r="R33" s="914"/>
      <c r="S33" s="914"/>
      <c r="T33" s="914"/>
      <c r="U33" s="914"/>
      <c r="V33" s="914"/>
      <c r="W33" s="914"/>
      <c r="X33" s="914"/>
      <c r="Y33" s="914"/>
      <c r="Z33" s="914"/>
      <c r="AA33" s="914"/>
    </row>
    <row r="34" spans="1:27" x14ac:dyDescent="0.25">
      <c r="B34" s="241"/>
      <c r="C34" s="241"/>
      <c r="D34" s="241"/>
      <c r="E34" s="241"/>
      <c r="F34" s="241"/>
      <c r="G34" s="241"/>
      <c r="H34" s="241"/>
      <c r="I34" s="241"/>
      <c r="J34" s="241"/>
      <c r="K34" s="241"/>
      <c r="L34" s="241"/>
      <c r="R34" s="1" t="s">
        <v>2961</v>
      </c>
      <c r="T34" s="410">
        <v>2000</v>
      </c>
      <c r="U34" s="43">
        <f>TREND(U17:U20,$T17:$T20,$T34)</f>
        <v>1.6683271585769128</v>
      </c>
      <c r="V34" s="43">
        <f>TREND(V17:V20,$T17:$T20,$T34)</f>
        <v>74.195627132190623</v>
      </c>
      <c r="X34" s="729">
        <f>TREND(X17:X20,$T17:$T20,$T34)</f>
        <v>3.9822294293094165E-3</v>
      </c>
      <c r="Y34" s="11">
        <f>TREND(Y17:Y20,$T17:$T20,$T34)</f>
        <v>0.51753065371145945</v>
      </c>
      <c r="Z34" s="114">
        <f t="shared" ref="Z34:AA34" si="0">TREND(Z17:Z20,$T17:$T20,$T34)</f>
        <v>137692.77485159552</v>
      </c>
      <c r="AA34" s="254">
        <f t="shared" si="0"/>
        <v>0.8697461840902051</v>
      </c>
    </row>
    <row r="35" spans="1:27" x14ac:dyDescent="0.25">
      <c r="B35" s="241"/>
      <c r="C35" s="241"/>
      <c r="D35" s="241"/>
      <c r="E35" s="241"/>
      <c r="F35" s="241"/>
      <c r="G35" s="241"/>
      <c r="H35" s="241"/>
      <c r="I35" s="241"/>
      <c r="J35" s="241"/>
      <c r="K35" s="241"/>
      <c r="L35" s="241"/>
      <c r="R35" s="1" t="s">
        <v>2951</v>
      </c>
      <c r="T35" s="410">
        <f>T34</f>
        <v>2000</v>
      </c>
      <c r="U35" s="43">
        <f>TREND(U26:U27,$T26:$T27,$T35)</f>
        <v>2.632581857219539</v>
      </c>
      <c r="V35" s="43">
        <f>TREND(V26:V27,$T26:$T27,$T35)</f>
        <v>115.62179280730004</v>
      </c>
      <c r="X35" s="729">
        <f t="shared" ref="X35:AA35" si="1">TREND(X26:X27,$T26:$T27,$T35)</f>
        <v>6.002200751476114E-3</v>
      </c>
      <c r="Y35" s="11">
        <f t="shared" si="1"/>
        <v>0.83186795491143317</v>
      </c>
      <c r="Z35" s="114">
        <f t="shared" si="1"/>
        <v>138032.20611916267</v>
      </c>
      <c r="AA35" s="254">
        <f t="shared" si="1"/>
        <v>0.91700000000000004</v>
      </c>
    </row>
    <row r="36" spans="1:27" x14ac:dyDescent="0.25">
      <c r="B36" s="241"/>
      <c r="C36" s="241"/>
      <c r="D36" s="241"/>
      <c r="E36" s="241"/>
      <c r="F36" s="241"/>
      <c r="G36" s="241"/>
      <c r="H36" s="241"/>
      <c r="I36" s="241"/>
      <c r="J36" s="241"/>
      <c r="K36" s="241"/>
      <c r="L36" s="241"/>
    </row>
    <row r="37" spans="1:27" x14ac:dyDescent="0.25">
      <c r="A37" s="241"/>
      <c r="B37" s="241"/>
      <c r="C37" s="241"/>
      <c r="D37" s="241"/>
      <c r="E37" s="241"/>
      <c r="F37" s="241"/>
      <c r="G37" s="241"/>
      <c r="H37" s="241"/>
      <c r="I37" s="241"/>
      <c r="J37" s="241"/>
      <c r="K37" s="241"/>
      <c r="L37" s="241"/>
      <c r="T37" s="1" t="s">
        <v>4269</v>
      </c>
      <c r="U37" s="412">
        <f>1-U35/U34</f>
        <v>-0.57797698352230742</v>
      </c>
      <c r="V37" s="412">
        <f>1-V35/V34</f>
        <v>-0.55833702438153798</v>
      </c>
      <c r="X37" s="412">
        <f>1-X35/X34</f>
        <v>-0.50724634479862041</v>
      </c>
      <c r="Y37" s="412">
        <f>1-Y35/Y34</f>
        <v>-0.6073790971524311</v>
      </c>
    </row>
    <row r="38" spans="1:27" x14ac:dyDescent="0.25">
      <c r="A38" s="241" t="s">
        <v>2946</v>
      </c>
      <c r="B38" s="241"/>
      <c r="C38" s="241"/>
      <c r="D38" s="241"/>
      <c r="E38" s="241"/>
      <c r="F38" s="241"/>
      <c r="G38" s="241"/>
      <c r="H38" s="241"/>
      <c r="I38" s="241"/>
      <c r="J38" s="241"/>
      <c r="K38" s="241"/>
      <c r="L38" s="241"/>
      <c r="T38" s="1" t="s">
        <v>4268</v>
      </c>
      <c r="U38" s="412">
        <f>1-(U35*$AA34/$AA35)/U34</f>
        <v>-0.49666244274885396</v>
      </c>
      <c r="V38" s="412">
        <f>1-(V35*$AA34/$AA35)/V34</f>
        <v>-0.47803454796327971</v>
      </c>
      <c r="X38" s="412">
        <f>1-(X35*$AA34/$AA35)/X34</f>
        <v>-0.42957661600055563</v>
      </c>
      <c r="Y38" s="638">
        <f>1-(Y35*$AA34/$AA35)/Y34</f>
        <v>-0.52454943962343092</v>
      </c>
      <c r="Z38" s="1" t="s">
        <v>3235</v>
      </c>
      <c r="AA38" s="646">
        <f>AA35/AA34</f>
        <v>1.0543305814663901</v>
      </c>
    </row>
    <row r="39" spans="1:27" x14ac:dyDescent="0.25">
      <c r="T39" s="1" t="s">
        <v>3230</v>
      </c>
      <c r="U39" s="412">
        <f>1-U28/U23</f>
        <v>0.1428571428571429</v>
      </c>
      <c r="V39" s="412">
        <f>1-V28/V23</f>
        <v>0.18769551616266944</v>
      </c>
      <c r="W39" s="254"/>
      <c r="X39" s="412">
        <f>1-X28/X23</f>
        <v>0.16000000000000003</v>
      </c>
      <c r="Y39" s="412">
        <f>1-Y28/Y23</f>
        <v>0.18840579710144911</v>
      </c>
    </row>
    <row r="40" spans="1:27" x14ac:dyDescent="0.25">
      <c r="B40" s="241"/>
      <c r="C40" s="241"/>
      <c r="D40" s="241"/>
      <c r="E40" s="241"/>
      <c r="F40" s="241"/>
      <c r="G40" s="241"/>
      <c r="H40" s="241"/>
      <c r="I40" s="71" t="s">
        <v>2945</v>
      </c>
      <c r="J40" s="71" t="s">
        <v>2945</v>
      </c>
      <c r="K40" s="71" t="s">
        <v>2944</v>
      </c>
      <c r="L40" s="71" t="s">
        <v>2943</v>
      </c>
      <c r="T40" s="1" t="s">
        <v>3232</v>
      </c>
      <c r="U40" s="412">
        <f>1-(U28*$AA23/$AA28)/U23</f>
        <v>0.1812776337856381</v>
      </c>
      <c r="V40" s="412">
        <f>1-(V28*$AA23/$AA28)/V23</f>
        <v>0.2241061760571923</v>
      </c>
      <c r="X40" s="412">
        <f>1-(X28*$AA23/$AA28)/X23</f>
        <v>0.19765208110992549</v>
      </c>
      <c r="Y40" s="835">
        <f>1-(Y28*$AA23/$AA28)/Y23</f>
        <v>0.22478461942987937</v>
      </c>
      <c r="Z40" s="1" t="s">
        <v>3235</v>
      </c>
      <c r="AA40" s="137">
        <f>AA28/AA23</f>
        <v>1.046927374301676</v>
      </c>
    </row>
    <row r="41" spans="1:27" x14ac:dyDescent="0.25">
      <c r="B41" s="501" t="s">
        <v>2941</v>
      </c>
      <c r="C41" s="501"/>
      <c r="D41" s="501"/>
      <c r="E41" s="501"/>
      <c r="F41" s="501"/>
      <c r="G41" s="501"/>
      <c r="H41" s="501"/>
      <c r="I41" s="500" t="s">
        <v>2940</v>
      </c>
      <c r="J41" s="500" t="s">
        <v>2940</v>
      </c>
      <c r="K41" s="500" t="s">
        <v>14</v>
      </c>
      <c r="L41" s="500" t="s">
        <v>14</v>
      </c>
    </row>
    <row r="42" spans="1:27" ht="15" customHeight="1" x14ac:dyDescent="0.25">
      <c r="B42" s="498" t="s">
        <v>2939</v>
      </c>
      <c r="T42" s="923" t="s">
        <v>2942</v>
      </c>
      <c r="U42" s="923"/>
      <c r="V42" s="923"/>
      <c r="W42" s="923"/>
      <c r="X42" s="923"/>
      <c r="Y42" s="923"/>
      <c r="Z42" s="923"/>
    </row>
    <row r="43" spans="1:27" ht="30" customHeight="1" x14ac:dyDescent="0.25">
      <c r="B43" s="497" t="s">
        <v>65</v>
      </c>
      <c r="C43" s="496" t="s">
        <v>20</v>
      </c>
      <c r="I43" s="495" t="s">
        <v>2938</v>
      </c>
      <c r="J43" s="495" t="s">
        <v>2937</v>
      </c>
      <c r="K43" s="495" t="s">
        <v>2936</v>
      </c>
      <c r="L43" s="495" t="s">
        <v>2935</v>
      </c>
    </row>
    <row r="44" spans="1:27" x14ac:dyDescent="0.25">
      <c r="B44" s="1" t="s">
        <v>65</v>
      </c>
      <c r="C44" t="s">
        <v>2768</v>
      </c>
      <c r="I44">
        <v>5780</v>
      </c>
      <c r="J44">
        <f>AVERAGE(1700,1440)</f>
        <v>1570</v>
      </c>
      <c r="K44">
        <v>332</v>
      </c>
      <c r="L44">
        <v>11</v>
      </c>
    </row>
    <row r="45" spans="1:27" x14ac:dyDescent="0.25">
      <c r="B45" s="1" t="s">
        <v>65</v>
      </c>
      <c r="C45" t="s">
        <v>2913</v>
      </c>
      <c r="I45">
        <v>4.5999999999999996</v>
      </c>
      <c r="J45">
        <v>1.32</v>
      </c>
      <c r="K45">
        <v>0.49</v>
      </c>
      <c r="L45">
        <v>2.5000000000000001E-2</v>
      </c>
    </row>
    <row r="46" spans="1:27" x14ac:dyDescent="0.25">
      <c r="B46" s="1" t="s">
        <v>65</v>
      </c>
      <c r="C46" t="s">
        <v>2912</v>
      </c>
      <c r="I46">
        <v>203.1</v>
      </c>
      <c r="J46">
        <v>60</v>
      </c>
      <c r="K46">
        <v>22</v>
      </c>
      <c r="L46">
        <v>1.18</v>
      </c>
    </row>
    <row r="47" spans="1:27" x14ac:dyDescent="0.25">
      <c r="B47" s="1" t="s">
        <v>65</v>
      </c>
      <c r="C47" t="s">
        <v>2911</v>
      </c>
      <c r="I47">
        <v>5.6</v>
      </c>
      <c r="J47">
        <v>4.8</v>
      </c>
      <c r="K47" s="107">
        <f>K46/0.49*0.04</f>
        <v>1.795918367346939</v>
      </c>
      <c r="L47">
        <v>0.36</v>
      </c>
    </row>
    <row r="48" spans="1:27" x14ac:dyDescent="0.25">
      <c r="B48" s="1" t="s">
        <v>65</v>
      </c>
      <c r="C48" t="s">
        <v>2910</v>
      </c>
      <c r="I48">
        <v>1.0999999999999999E-2</v>
      </c>
      <c r="J48">
        <v>3.0999999999999999E-3</v>
      </c>
      <c r="K48">
        <v>1.1999999999999999E-3</v>
      </c>
      <c r="L48" s="499">
        <f>L46/19865</f>
        <v>5.940095645607853E-5</v>
      </c>
    </row>
    <row r="49" spans="2:32" x14ac:dyDescent="0.25">
      <c r="B49" s="1" t="s">
        <v>65</v>
      </c>
      <c r="C49" t="s">
        <v>2909</v>
      </c>
      <c r="I49">
        <v>1.4</v>
      </c>
      <c r="J49">
        <v>0.43</v>
      </c>
      <c r="K49">
        <v>0.16</v>
      </c>
      <c r="L49" s="290">
        <v>8.0000000000000002E-3</v>
      </c>
    </row>
    <row r="50" spans="2:32" x14ac:dyDescent="0.25">
      <c r="B50" s="1" t="s">
        <v>65</v>
      </c>
      <c r="C50" t="s">
        <v>2908</v>
      </c>
      <c r="I50" s="114">
        <f>3405*60/1.49</f>
        <v>137114.09395973154</v>
      </c>
      <c r="J50" s="114">
        <f>10.68/1.5*AVERAGE(19696,19342)</f>
        <v>138975.28</v>
      </c>
      <c r="K50" s="114">
        <f>10.74/1.5*19333</f>
        <v>138424.28</v>
      </c>
      <c r="L50" s="114">
        <f>10.29/1.5*19865</f>
        <v>136273.9</v>
      </c>
    </row>
    <row r="51" spans="2:32" x14ac:dyDescent="0.25">
      <c r="B51" s="498" t="s">
        <v>2934</v>
      </c>
    </row>
    <row r="52" spans="2:32" ht="30" x14ac:dyDescent="0.25">
      <c r="B52" s="497" t="s">
        <v>65</v>
      </c>
      <c r="C52" s="496" t="s">
        <v>20</v>
      </c>
      <c r="I52" s="495" t="s">
        <v>2933</v>
      </c>
      <c r="J52" s="495" t="s">
        <v>2932</v>
      </c>
    </row>
    <row r="53" spans="2:32" x14ac:dyDescent="0.25">
      <c r="B53" s="1" t="s">
        <v>65</v>
      </c>
      <c r="C53" t="s">
        <v>2768</v>
      </c>
      <c r="I53">
        <v>5780</v>
      </c>
      <c r="J53">
        <v>1440</v>
      </c>
    </row>
    <row r="54" spans="2:32" x14ac:dyDescent="0.25">
      <c r="B54" s="1" t="s">
        <v>65</v>
      </c>
      <c r="C54" t="s">
        <v>2913</v>
      </c>
      <c r="I54">
        <v>5.0999999999999996</v>
      </c>
      <c r="J54">
        <v>1.02</v>
      </c>
    </row>
    <row r="55" spans="2:32" x14ac:dyDescent="0.25">
      <c r="B55" s="1" t="s">
        <v>65</v>
      </c>
      <c r="C55" t="s">
        <v>2912</v>
      </c>
      <c r="I55">
        <v>224.5</v>
      </c>
      <c r="J55">
        <v>45.9</v>
      </c>
    </row>
    <row r="56" spans="2:32" x14ac:dyDescent="0.25">
      <c r="B56" s="1" t="s">
        <v>65</v>
      </c>
      <c r="C56" t="s">
        <v>2911</v>
      </c>
      <c r="I56">
        <v>4.8</v>
      </c>
      <c r="J56">
        <v>7.8</v>
      </c>
    </row>
    <row r="57" spans="2:32" x14ac:dyDescent="0.25">
      <c r="B57" s="1" t="s">
        <v>65</v>
      </c>
      <c r="C57" t="s">
        <v>2910</v>
      </c>
      <c r="I57" s="11">
        <v>1.2E-2</v>
      </c>
      <c r="J57" s="290">
        <f>J55/19342</f>
        <v>2.3730741391789888E-3</v>
      </c>
    </row>
    <row r="58" spans="2:32" x14ac:dyDescent="0.25">
      <c r="B58" s="1" t="s">
        <v>65</v>
      </c>
      <c r="C58" t="s">
        <v>2909</v>
      </c>
      <c r="I58" s="107">
        <v>1.6</v>
      </c>
      <c r="J58" s="43">
        <f>J57*1.5*10^3/10.7</f>
        <v>0.33267394474471806</v>
      </c>
    </row>
    <row r="59" spans="2:32" x14ac:dyDescent="0.25">
      <c r="B59" s="1" t="s">
        <v>65</v>
      </c>
      <c r="C59" t="s">
        <v>2908</v>
      </c>
      <c r="I59" s="114">
        <f>3405*60/1.49</f>
        <v>137114.09395973154</v>
      </c>
      <c r="J59" s="114">
        <f>10.7/1.5*19342</f>
        <v>137972.93333333332</v>
      </c>
    </row>
    <row r="60" spans="2:32" x14ac:dyDescent="0.25">
      <c r="B60" s="498" t="s">
        <v>2931</v>
      </c>
      <c r="T60" s="923" t="s">
        <v>2773</v>
      </c>
      <c r="U60" s="923"/>
      <c r="V60" s="923"/>
      <c r="W60" s="923"/>
      <c r="X60" s="923"/>
      <c r="Y60" s="923"/>
      <c r="Z60" s="923"/>
    </row>
    <row r="61" spans="2:32" ht="30" x14ac:dyDescent="0.25">
      <c r="B61" s="497" t="s">
        <v>65</v>
      </c>
      <c r="C61" s="496" t="s">
        <v>20</v>
      </c>
      <c r="J61" s="495" t="s">
        <v>2930</v>
      </c>
      <c r="K61" s="495" t="s">
        <v>2929</v>
      </c>
      <c r="L61" s="495" t="s">
        <v>2928</v>
      </c>
      <c r="N61" s="943" t="s">
        <v>2927</v>
      </c>
      <c r="O61" s="943"/>
      <c r="P61" s="943"/>
      <c r="Q61" s="943"/>
      <c r="R61" s="943"/>
      <c r="S61" s="943"/>
      <c r="AA61" s="943" t="s">
        <v>2926</v>
      </c>
      <c r="AB61" s="943"/>
      <c r="AC61" s="943"/>
      <c r="AD61" s="943"/>
      <c r="AE61" s="943"/>
      <c r="AF61" s="943"/>
    </row>
    <row r="62" spans="2:32" x14ac:dyDescent="0.25">
      <c r="B62" s="1" t="s">
        <v>65</v>
      </c>
      <c r="C62" t="s">
        <v>2768</v>
      </c>
      <c r="J62">
        <v>1440</v>
      </c>
      <c r="K62">
        <v>450</v>
      </c>
      <c r="L62">
        <v>11</v>
      </c>
      <c r="N62" s="124">
        <f t="array" ref="N62:S66">LINEST($X$17:$X$31,$T$17:$T$31,TRUE,TRUE)</f>
        <v>1.942443864412639E-6</v>
      </c>
      <c r="O62">
        <v>5.9763082405351123E-4</v>
      </c>
      <c r="P62" t="e">
        <v>#N/A</v>
      </c>
      <c r="Q62" t="e">
        <v>#N/A</v>
      </c>
      <c r="R62" t="e">
        <v>#N/A</v>
      </c>
      <c r="S62" t="e">
        <v>#N/A</v>
      </c>
      <c r="AA62">
        <f t="array" ref="AA62:AF66">LINEST($X$17:$X$31,$T$17:$T$31,FALSE,TRUE)</f>
        <v>2.0970087117246603E-6</v>
      </c>
      <c r="AB62">
        <v>0</v>
      </c>
      <c r="AC62" t="e">
        <v>#N/A</v>
      </c>
      <c r="AD62" t="e">
        <v>#N/A</v>
      </c>
      <c r="AE62" t="e">
        <v>#N/A</v>
      </c>
      <c r="AF62" t="e">
        <v>#N/A</v>
      </c>
    </row>
    <row r="63" spans="2:32" x14ac:dyDescent="0.25">
      <c r="B63" s="1" t="s">
        <v>65</v>
      </c>
      <c r="C63" t="s">
        <v>2913</v>
      </c>
      <c r="J63">
        <v>2.1</v>
      </c>
      <c r="K63">
        <v>0.51</v>
      </c>
      <c r="L63">
        <v>0.06</v>
      </c>
      <c r="N63" s="124">
        <v>1.1802757246404243E-7</v>
      </c>
      <c r="O63">
        <v>2.7178574676352046E-4</v>
      </c>
      <c r="P63" t="e">
        <v>#N/A</v>
      </c>
      <c r="Q63" t="e">
        <v>#N/A</v>
      </c>
      <c r="R63" t="e">
        <v>#N/A</v>
      </c>
      <c r="S63" t="e">
        <v>#N/A</v>
      </c>
      <c r="AA63">
        <v>1.0701492213471273E-7</v>
      </c>
      <c r="AB63" t="e">
        <v>#N/A</v>
      </c>
      <c r="AC63" t="e">
        <v>#N/A</v>
      </c>
      <c r="AD63" t="e">
        <v>#N/A</v>
      </c>
      <c r="AE63" t="e">
        <v>#N/A</v>
      </c>
      <c r="AF63" t="e">
        <v>#N/A</v>
      </c>
    </row>
    <row r="64" spans="2:32" x14ac:dyDescent="0.25">
      <c r="B64" s="1" t="s">
        <v>65</v>
      </c>
      <c r="C64" t="s">
        <v>2912</v>
      </c>
      <c r="J64">
        <v>95.9</v>
      </c>
      <c r="K64" s="107">
        <f>AVERAGE(23.4,26.7,25.75)</f>
        <v>25.283333333333331</v>
      </c>
      <c r="L64">
        <v>2.6</v>
      </c>
      <c r="N64" s="124">
        <v>0.95420127970725499</v>
      </c>
      <c r="O64">
        <v>8.4558728590953766E-4</v>
      </c>
      <c r="P64" t="e">
        <v>#N/A</v>
      </c>
      <c r="Q64" t="e">
        <v>#N/A</v>
      </c>
      <c r="R64" t="e">
        <v>#N/A</v>
      </c>
      <c r="S64" t="e">
        <v>#N/A</v>
      </c>
      <c r="AA64">
        <v>0.9648226018241548</v>
      </c>
      <c r="AB64">
        <v>9.544060239697076E-4</v>
      </c>
      <c r="AC64" t="e">
        <v>#N/A</v>
      </c>
      <c r="AD64" t="e">
        <v>#N/A</v>
      </c>
      <c r="AE64" t="e">
        <v>#N/A</v>
      </c>
      <c r="AF64" t="e">
        <v>#N/A</v>
      </c>
    </row>
    <row r="65" spans="2:32" x14ac:dyDescent="0.25">
      <c r="B65" s="1" t="s">
        <v>65</v>
      </c>
      <c r="C65" t="s">
        <v>2911</v>
      </c>
      <c r="J65" s="43">
        <f>STDEV(95.7,96.7,95.3)</f>
        <v>0.72111025509280025</v>
      </c>
      <c r="K65" s="107">
        <f>STDEV(23.4,26.7,25.75)</f>
        <v>1.6987740677716194</v>
      </c>
      <c r="L65" s="107">
        <v>0.6</v>
      </c>
      <c r="N65">
        <v>270.85072589155544</v>
      </c>
      <c r="O65">
        <v>13</v>
      </c>
      <c r="P65" t="e">
        <v>#N/A</v>
      </c>
      <c r="Q65" t="e">
        <v>#N/A</v>
      </c>
      <c r="R65" t="e">
        <v>#N/A</v>
      </c>
      <c r="S65" t="e">
        <v>#N/A</v>
      </c>
      <c r="AA65">
        <v>383.98281641003246</v>
      </c>
      <c r="AB65">
        <v>14</v>
      </c>
      <c r="AC65" t="e">
        <v>#N/A</v>
      </c>
      <c r="AD65" t="e">
        <v>#N/A</v>
      </c>
      <c r="AE65" t="e">
        <v>#N/A</v>
      </c>
      <c r="AF65" t="e">
        <v>#N/A</v>
      </c>
    </row>
    <row r="66" spans="2:32" x14ac:dyDescent="0.25">
      <c r="B66" s="1" t="s">
        <v>65</v>
      </c>
      <c r="C66" t="s">
        <v>2910</v>
      </c>
      <c r="J66">
        <v>5.0000000000000001E-3</v>
      </c>
      <c r="K66">
        <v>1.1999999999999999E-3</v>
      </c>
      <c r="L66">
        <v>1.2999999999999999E-3</v>
      </c>
      <c r="N66">
        <v>1.9366310588960492E-4</v>
      </c>
      <c r="O66">
        <v>9.2952321551941554E-6</v>
      </c>
      <c r="P66" t="e">
        <v>#N/A</v>
      </c>
      <c r="Q66" t="e">
        <v>#N/A</v>
      </c>
      <c r="R66" t="e">
        <v>#N/A</v>
      </c>
      <c r="S66" t="e">
        <v>#N/A</v>
      </c>
      <c r="AA66">
        <v>3.4976643732341256E-4</v>
      </c>
      <c r="AB66">
        <v>1.2752472020255325E-5</v>
      </c>
      <c r="AC66" t="e">
        <v>#N/A</v>
      </c>
      <c r="AD66" t="e">
        <v>#N/A</v>
      </c>
      <c r="AE66" t="e">
        <v>#N/A</v>
      </c>
      <c r="AF66" t="e">
        <v>#N/A</v>
      </c>
    </row>
    <row r="67" spans="2:32" x14ac:dyDescent="0.25">
      <c r="B67" s="1" t="s">
        <v>65</v>
      </c>
      <c r="C67" t="s">
        <v>2909</v>
      </c>
      <c r="J67">
        <v>0.69</v>
      </c>
      <c r="K67">
        <v>0.18</v>
      </c>
      <c r="L67">
        <v>1.7999999999999999E-2</v>
      </c>
    </row>
    <row r="68" spans="2:32" x14ac:dyDescent="0.25">
      <c r="B68" s="1" t="s">
        <v>65</v>
      </c>
      <c r="C68" t="s">
        <v>2908</v>
      </c>
      <c r="J68" s="114">
        <f>1536*60/0.67</f>
        <v>137552.23880597015</v>
      </c>
      <c r="K68" s="114">
        <f>1537*60/0.67</f>
        <v>137641.79104477612</v>
      </c>
      <c r="L68" s="114">
        <f>1411*60/0.62</f>
        <v>136548.38709677418</v>
      </c>
      <c r="N68" s="327" t="s">
        <v>2925</v>
      </c>
    </row>
    <row r="69" spans="2:32" x14ac:dyDescent="0.25">
      <c r="B69" s="498" t="s">
        <v>2924</v>
      </c>
      <c r="N69" s="414" t="s">
        <v>2923</v>
      </c>
      <c r="O69" s="415">
        <f>$N$62</f>
        <v>1.942443864412639E-6</v>
      </c>
      <c r="P69" s="416" t="s">
        <v>2774</v>
      </c>
      <c r="Q69" s="415">
        <f>$O$62</f>
        <v>5.9763082405351123E-4</v>
      </c>
    </row>
    <row r="70" spans="2:32" ht="30" x14ac:dyDescent="0.25">
      <c r="B70" s="497" t="s">
        <v>65</v>
      </c>
      <c r="C70" s="496" t="s">
        <v>20</v>
      </c>
      <c r="J70" s="495" t="s">
        <v>2922</v>
      </c>
      <c r="L70" s="495" t="s">
        <v>2921</v>
      </c>
    </row>
    <row r="71" spans="2:32" x14ac:dyDescent="0.25">
      <c r="B71" s="1" t="s">
        <v>65</v>
      </c>
      <c r="C71" t="s">
        <v>2768</v>
      </c>
      <c r="J71">
        <v>1900</v>
      </c>
      <c r="L71">
        <v>37</v>
      </c>
    </row>
    <row r="72" spans="2:32" x14ac:dyDescent="0.25">
      <c r="B72" s="1" t="s">
        <v>65</v>
      </c>
      <c r="C72" t="s">
        <v>2913</v>
      </c>
      <c r="J72">
        <v>2.5</v>
      </c>
      <c r="L72">
        <v>0.03</v>
      </c>
    </row>
    <row r="73" spans="2:32" x14ac:dyDescent="0.25">
      <c r="B73" s="1" t="s">
        <v>65</v>
      </c>
      <c r="C73" t="s">
        <v>2912</v>
      </c>
      <c r="J73">
        <v>109.8</v>
      </c>
      <c r="L73">
        <v>1.34</v>
      </c>
    </row>
    <row r="74" spans="2:32" x14ac:dyDescent="0.25">
      <c r="B74" s="1" t="s">
        <v>65</v>
      </c>
      <c r="C74" t="s">
        <v>2911</v>
      </c>
      <c r="J74" s="107">
        <v>2</v>
      </c>
      <c r="L74" s="107">
        <v>0.2</v>
      </c>
    </row>
    <row r="75" spans="2:32" x14ac:dyDescent="0.25">
      <c r="B75" s="1" t="s">
        <v>65</v>
      </c>
      <c r="C75" t="s">
        <v>2910</v>
      </c>
      <c r="J75">
        <v>5.7000000000000002E-3</v>
      </c>
      <c r="L75">
        <v>6.9999999999999994E-5</v>
      </c>
    </row>
    <row r="76" spans="2:32" x14ac:dyDescent="0.25">
      <c r="B76" s="1" t="s">
        <v>65</v>
      </c>
      <c r="C76" t="s">
        <v>2909</v>
      </c>
      <c r="J76">
        <v>0.79</v>
      </c>
      <c r="L76">
        <v>0.01</v>
      </c>
    </row>
    <row r="77" spans="2:32" x14ac:dyDescent="0.25">
      <c r="B77" s="1" t="s">
        <v>65</v>
      </c>
      <c r="C77" t="s">
        <v>2908</v>
      </c>
      <c r="J77" s="114">
        <f>AVERAGE(1286,1307,1317)*60/AVERAGE(0.56,0.57,0.57)</f>
        <v>138000.00000000003</v>
      </c>
      <c r="L77" s="114">
        <f>AVERAGE(1330,1309,1254)*60/AVERAGE(0.58,0.57,0.55)</f>
        <v>137400</v>
      </c>
    </row>
    <row r="78" spans="2:32" x14ac:dyDescent="0.25">
      <c r="B78" s="498" t="s">
        <v>2919</v>
      </c>
      <c r="T78" s="923" t="s">
        <v>2920</v>
      </c>
      <c r="U78" s="923"/>
      <c r="V78" s="923"/>
      <c r="W78" s="923"/>
      <c r="X78" s="923"/>
      <c r="Y78" s="923"/>
      <c r="Z78" s="923"/>
    </row>
    <row r="79" spans="2:32" ht="30" x14ac:dyDescent="0.25">
      <c r="B79" s="497" t="s">
        <v>65</v>
      </c>
      <c r="C79" s="496" t="s">
        <v>20</v>
      </c>
      <c r="J79" s="495" t="s">
        <v>2918</v>
      </c>
      <c r="K79" s="495" t="s">
        <v>2917</v>
      </c>
      <c r="L79" s="495" t="s">
        <v>2916</v>
      </c>
    </row>
    <row r="80" spans="2:32" x14ac:dyDescent="0.25">
      <c r="B80" s="1" t="s">
        <v>65</v>
      </c>
      <c r="C80" t="s">
        <v>2768</v>
      </c>
      <c r="J80">
        <v>1440</v>
      </c>
      <c r="K80">
        <v>332</v>
      </c>
      <c r="L80">
        <v>11</v>
      </c>
    </row>
    <row r="81" spans="2:12" x14ac:dyDescent="0.25">
      <c r="B81" s="1" t="s">
        <v>65</v>
      </c>
      <c r="C81" t="s">
        <v>2913</v>
      </c>
      <c r="J81">
        <v>1.8</v>
      </c>
      <c r="K81">
        <v>0.499</v>
      </c>
      <c r="L81">
        <v>1.4E-2</v>
      </c>
    </row>
    <row r="82" spans="2:12" x14ac:dyDescent="0.25">
      <c r="B82" s="1" t="s">
        <v>65</v>
      </c>
      <c r="C82" t="s">
        <v>2912</v>
      </c>
      <c r="J82">
        <v>77.900000000000006</v>
      </c>
      <c r="K82">
        <v>22.4</v>
      </c>
      <c r="L82">
        <v>0.85</v>
      </c>
    </row>
    <row r="83" spans="2:12" x14ac:dyDescent="0.25">
      <c r="B83" s="1" t="s">
        <v>65</v>
      </c>
      <c r="C83" t="s">
        <v>2911</v>
      </c>
      <c r="J83" s="107">
        <v>7.9</v>
      </c>
      <c r="K83" s="107">
        <v>0.2</v>
      </c>
      <c r="L83" s="107">
        <v>0.2</v>
      </c>
    </row>
    <row r="84" spans="2:12" x14ac:dyDescent="0.25">
      <c r="B84" s="1" t="s">
        <v>65</v>
      </c>
      <c r="C84" t="s">
        <v>2910</v>
      </c>
      <c r="J84">
        <v>4.1999999999999997E-3</v>
      </c>
      <c r="K84">
        <v>1.6000000000000001E-3</v>
      </c>
      <c r="L84">
        <v>3.0000000000000001E-5</v>
      </c>
    </row>
    <row r="85" spans="2:12" x14ac:dyDescent="0.25">
      <c r="B85" s="1" t="s">
        <v>65</v>
      </c>
      <c r="C85" t="s">
        <v>2909</v>
      </c>
      <c r="J85">
        <v>0.56000000000000005</v>
      </c>
      <c r="K85">
        <v>0.159</v>
      </c>
      <c r="L85">
        <v>6.0000000000000001E-3</v>
      </c>
    </row>
    <row r="86" spans="2:12" x14ac:dyDescent="0.25">
      <c r="B86" s="1" t="s">
        <v>65</v>
      </c>
      <c r="C86" t="s">
        <v>2908</v>
      </c>
      <c r="J86" s="114">
        <f>1114*60/0.48</f>
        <v>139250</v>
      </c>
      <c r="K86" s="114">
        <f>1080*60/0.48</f>
        <v>135000</v>
      </c>
      <c r="L86" s="114">
        <f>1015*60/0.45</f>
        <v>135333.33333333334</v>
      </c>
    </row>
    <row r="87" spans="2:12" x14ac:dyDescent="0.25">
      <c r="B87" s="498" t="s">
        <v>2915</v>
      </c>
    </row>
    <row r="88" spans="2:12" ht="30" x14ac:dyDescent="0.25">
      <c r="B88" s="497" t="s">
        <v>65</v>
      </c>
      <c r="C88" s="496" t="s">
        <v>20</v>
      </c>
      <c r="J88" s="495"/>
      <c r="K88" s="495"/>
      <c r="L88" s="495" t="s">
        <v>2914</v>
      </c>
    </row>
    <row r="89" spans="2:12" x14ac:dyDescent="0.25">
      <c r="B89" s="1" t="s">
        <v>65</v>
      </c>
      <c r="C89" t="s">
        <v>2768</v>
      </c>
      <c r="L89">
        <v>37</v>
      </c>
    </row>
    <row r="90" spans="2:12" x14ac:dyDescent="0.25">
      <c r="B90" s="1" t="s">
        <v>65</v>
      </c>
      <c r="C90" t="s">
        <v>2913</v>
      </c>
      <c r="L90">
        <v>3.9E-2</v>
      </c>
    </row>
    <row r="91" spans="2:12" x14ac:dyDescent="0.25">
      <c r="B91" s="1" t="s">
        <v>65</v>
      </c>
      <c r="C91" t="s">
        <v>2912</v>
      </c>
      <c r="L91">
        <v>1.8</v>
      </c>
    </row>
    <row r="92" spans="2:12" x14ac:dyDescent="0.25">
      <c r="B92" s="1" t="s">
        <v>65</v>
      </c>
      <c r="C92" t="s">
        <v>2911</v>
      </c>
      <c r="J92" s="107"/>
      <c r="K92" s="107"/>
      <c r="L92" s="107">
        <f>STDEV(1.9,1.6,1.8)</f>
        <v>0.15275252316519458</v>
      </c>
    </row>
    <row r="93" spans="2:12" x14ac:dyDescent="0.25">
      <c r="B93" s="1" t="s">
        <v>65</v>
      </c>
      <c r="C93" t="s">
        <v>2910</v>
      </c>
      <c r="L93">
        <v>9.0000000000000006E-5</v>
      </c>
    </row>
    <row r="94" spans="2:12" x14ac:dyDescent="0.25">
      <c r="B94" s="1" t="s">
        <v>65</v>
      </c>
      <c r="C94" t="s">
        <v>2909</v>
      </c>
      <c r="L94">
        <v>1.2999999999999999E-2</v>
      </c>
    </row>
    <row r="95" spans="2:12" x14ac:dyDescent="0.25">
      <c r="B95" s="1" t="s">
        <v>65</v>
      </c>
      <c r="C95" t="s">
        <v>2908</v>
      </c>
      <c r="L95" s="114">
        <f>AVERAGE(1535,1485,1563)*60/AVERAGE(0.67,0.65,0.68)</f>
        <v>137490</v>
      </c>
    </row>
  </sheetData>
  <mergeCells count="14">
    <mergeCell ref="T78:Z78"/>
    <mergeCell ref="N61:S61"/>
    <mergeCell ref="AA61:AF61"/>
    <mergeCell ref="G25:H25"/>
    <mergeCell ref="O16:R16"/>
    <mergeCell ref="T42:Z42"/>
    <mergeCell ref="T60:Z60"/>
    <mergeCell ref="O33:AA33"/>
    <mergeCell ref="O4:S4"/>
    <mergeCell ref="A1:L1"/>
    <mergeCell ref="G5:L5"/>
    <mergeCell ref="C6:D6"/>
    <mergeCell ref="G16:I16"/>
    <mergeCell ref="O5:Q5"/>
  </mergeCell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E462"/>
  <sheetViews>
    <sheetView zoomScale="75" zoomScaleNormal="75" workbookViewId="0">
      <pane ySplit="5" topLeftCell="A6" activePane="bottomLeft" state="frozen"/>
      <selection sqref="A1:E1"/>
      <selection pane="bottomLeft" activeCell="A6" sqref="A6"/>
    </sheetView>
  </sheetViews>
  <sheetFormatPr defaultRowHeight="12.75" x14ac:dyDescent="0.2"/>
  <cols>
    <col min="1" max="10" width="8.85546875" style="754"/>
    <col min="11" max="134" width="9.140625" style="754" customWidth="1"/>
    <col min="135" max="263" width="8.85546875" style="754"/>
    <col min="264" max="264" width="12.5703125" style="754" bestFit="1" customWidth="1"/>
    <col min="265" max="269" width="14.7109375" style="754" customWidth="1"/>
    <col min="270" max="270" width="8.85546875" style="754"/>
    <col min="271" max="271" width="11.7109375" style="754" customWidth="1"/>
    <col min="272" max="276" width="14.7109375" style="754" customWidth="1"/>
    <col min="277" max="277" width="8.85546875" style="754"/>
    <col min="278" max="278" width="11.7109375" style="754" customWidth="1"/>
    <col min="279" max="283" width="14.7109375" style="754" customWidth="1"/>
    <col min="284" max="284" width="8.85546875" style="754"/>
    <col min="285" max="285" width="14.7109375" style="754" customWidth="1"/>
    <col min="286" max="519" width="8.85546875" style="754"/>
    <col min="520" max="520" width="12.5703125" style="754" bestFit="1" customWidth="1"/>
    <col min="521" max="525" width="14.7109375" style="754" customWidth="1"/>
    <col min="526" max="526" width="8.85546875" style="754"/>
    <col min="527" max="527" width="11.7109375" style="754" customWidth="1"/>
    <col min="528" max="532" width="14.7109375" style="754" customWidth="1"/>
    <col min="533" max="533" width="8.85546875" style="754"/>
    <col min="534" max="534" width="11.7109375" style="754" customWidth="1"/>
    <col min="535" max="539" width="14.7109375" style="754" customWidth="1"/>
    <col min="540" max="540" width="8.85546875" style="754"/>
    <col min="541" max="541" width="14.7109375" style="754" customWidth="1"/>
    <col min="542" max="775" width="8.85546875" style="754"/>
    <col min="776" max="776" width="12.5703125" style="754" bestFit="1" customWidth="1"/>
    <col min="777" max="781" width="14.7109375" style="754" customWidth="1"/>
    <col min="782" max="782" width="8.85546875" style="754"/>
    <col min="783" max="783" width="11.7109375" style="754" customWidth="1"/>
    <col min="784" max="788" width="14.7109375" style="754" customWidth="1"/>
    <col min="789" max="789" width="8.85546875" style="754"/>
    <col min="790" max="790" width="11.7109375" style="754" customWidth="1"/>
    <col min="791" max="795" width="14.7109375" style="754" customWidth="1"/>
    <col min="796" max="796" width="8.85546875" style="754"/>
    <col min="797" max="797" width="14.7109375" style="754" customWidth="1"/>
    <col min="798" max="1031" width="8.85546875" style="754"/>
    <col min="1032" max="1032" width="12.5703125" style="754" bestFit="1" customWidth="1"/>
    <col min="1033" max="1037" width="14.7109375" style="754" customWidth="1"/>
    <col min="1038" max="1038" width="8.85546875" style="754"/>
    <col min="1039" max="1039" width="11.7109375" style="754" customWidth="1"/>
    <col min="1040" max="1044" width="14.7109375" style="754" customWidth="1"/>
    <col min="1045" max="1045" width="8.85546875" style="754"/>
    <col min="1046" max="1046" width="11.7109375" style="754" customWidth="1"/>
    <col min="1047" max="1051" width="14.7109375" style="754" customWidth="1"/>
    <col min="1052" max="1052" width="8.85546875" style="754"/>
    <col min="1053" max="1053" width="14.7109375" style="754" customWidth="1"/>
    <col min="1054" max="1287" width="8.85546875" style="754"/>
    <col min="1288" max="1288" width="12.5703125" style="754" bestFit="1" customWidth="1"/>
    <col min="1289" max="1293" width="14.7109375" style="754" customWidth="1"/>
    <col min="1294" max="1294" width="8.85546875" style="754"/>
    <col min="1295" max="1295" width="11.7109375" style="754" customWidth="1"/>
    <col min="1296" max="1300" width="14.7109375" style="754" customWidth="1"/>
    <col min="1301" max="1301" width="8.85546875" style="754"/>
    <col min="1302" max="1302" width="11.7109375" style="754" customWidth="1"/>
    <col min="1303" max="1307" width="14.7109375" style="754" customWidth="1"/>
    <col min="1308" max="1308" width="8.85546875" style="754"/>
    <col min="1309" max="1309" width="14.7109375" style="754" customWidth="1"/>
    <col min="1310" max="1543" width="8.85546875" style="754"/>
    <col min="1544" max="1544" width="12.5703125" style="754" bestFit="1" customWidth="1"/>
    <col min="1545" max="1549" width="14.7109375" style="754" customWidth="1"/>
    <col min="1550" max="1550" width="8.85546875" style="754"/>
    <col min="1551" max="1551" width="11.7109375" style="754" customWidth="1"/>
    <col min="1552" max="1556" width="14.7109375" style="754" customWidth="1"/>
    <col min="1557" max="1557" width="8.85546875" style="754"/>
    <col min="1558" max="1558" width="11.7109375" style="754" customWidth="1"/>
    <col min="1559" max="1563" width="14.7109375" style="754" customWidth="1"/>
    <col min="1564" max="1564" width="8.85546875" style="754"/>
    <col min="1565" max="1565" width="14.7109375" style="754" customWidth="1"/>
    <col min="1566" max="1799" width="8.85546875" style="754"/>
    <col min="1800" max="1800" width="12.5703125" style="754" bestFit="1" customWidth="1"/>
    <col min="1801" max="1805" width="14.7109375" style="754" customWidth="1"/>
    <col min="1806" max="1806" width="8.85546875" style="754"/>
    <col min="1807" max="1807" width="11.7109375" style="754" customWidth="1"/>
    <col min="1808" max="1812" width="14.7109375" style="754" customWidth="1"/>
    <col min="1813" max="1813" width="8.85546875" style="754"/>
    <col min="1814" max="1814" width="11.7109375" style="754" customWidth="1"/>
    <col min="1815" max="1819" width="14.7109375" style="754" customWidth="1"/>
    <col min="1820" max="1820" width="8.85546875" style="754"/>
    <col min="1821" max="1821" width="14.7109375" style="754" customWidth="1"/>
    <col min="1822" max="2055" width="8.85546875" style="754"/>
    <col min="2056" max="2056" width="12.5703125" style="754" bestFit="1" customWidth="1"/>
    <col min="2057" max="2061" width="14.7109375" style="754" customWidth="1"/>
    <col min="2062" max="2062" width="8.85546875" style="754"/>
    <col min="2063" max="2063" width="11.7109375" style="754" customWidth="1"/>
    <col min="2064" max="2068" width="14.7109375" style="754" customWidth="1"/>
    <col min="2069" max="2069" width="8.85546875" style="754"/>
    <col min="2070" max="2070" width="11.7109375" style="754" customWidth="1"/>
    <col min="2071" max="2075" width="14.7109375" style="754" customWidth="1"/>
    <col min="2076" max="2076" width="8.85546875" style="754"/>
    <col min="2077" max="2077" width="14.7109375" style="754" customWidth="1"/>
    <col min="2078" max="2311" width="8.85546875" style="754"/>
    <col min="2312" max="2312" width="12.5703125" style="754" bestFit="1" customWidth="1"/>
    <col min="2313" max="2317" width="14.7109375" style="754" customWidth="1"/>
    <col min="2318" max="2318" width="8.85546875" style="754"/>
    <col min="2319" max="2319" width="11.7109375" style="754" customWidth="1"/>
    <col min="2320" max="2324" width="14.7109375" style="754" customWidth="1"/>
    <col min="2325" max="2325" width="8.85546875" style="754"/>
    <col min="2326" max="2326" width="11.7109375" style="754" customWidth="1"/>
    <col min="2327" max="2331" width="14.7109375" style="754" customWidth="1"/>
    <col min="2332" max="2332" width="8.85546875" style="754"/>
    <col min="2333" max="2333" width="14.7109375" style="754" customWidth="1"/>
    <col min="2334" max="2567" width="8.85546875" style="754"/>
    <col min="2568" max="2568" width="12.5703125" style="754" bestFit="1" customWidth="1"/>
    <col min="2569" max="2573" width="14.7109375" style="754" customWidth="1"/>
    <col min="2574" max="2574" width="8.85546875" style="754"/>
    <col min="2575" max="2575" width="11.7109375" style="754" customWidth="1"/>
    <col min="2576" max="2580" width="14.7109375" style="754" customWidth="1"/>
    <col min="2581" max="2581" width="8.85546875" style="754"/>
    <col min="2582" max="2582" width="11.7109375" style="754" customWidth="1"/>
    <col min="2583" max="2587" width="14.7109375" style="754" customWidth="1"/>
    <col min="2588" max="2588" width="8.85546875" style="754"/>
    <col min="2589" max="2589" width="14.7109375" style="754" customWidth="1"/>
    <col min="2590" max="2823" width="8.85546875" style="754"/>
    <col min="2824" max="2824" width="12.5703125" style="754" bestFit="1" customWidth="1"/>
    <col min="2825" max="2829" width="14.7109375" style="754" customWidth="1"/>
    <col min="2830" max="2830" width="8.85546875" style="754"/>
    <col min="2831" max="2831" width="11.7109375" style="754" customWidth="1"/>
    <col min="2832" max="2836" width="14.7109375" style="754" customWidth="1"/>
    <col min="2837" max="2837" width="8.85546875" style="754"/>
    <col min="2838" max="2838" width="11.7109375" style="754" customWidth="1"/>
    <col min="2839" max="2843" width="14.7109375" style="754" customWidth="1"/>
    <col min="2844" max="2844" width="8.85546875" style="754"/>
    <col min="2845" max="2845" width="14.7109375" style="754" customWidth="1"/>
    <col min="2846" max="3079" width="8.85546875" style="754"/>
    <col min="3080" max="3080" width="12.5703125" style="754" bestFit="1" customWidth="1"/>
    <col min="3081" max="3085" width="14.7109375" style="754" customWidth="1"/>
    <col min="3086" max="3086" width="8.85546875" style="754"/>
    <col min="3087" max="3087" width="11.7109375" style="754" customWidth="1"/>
    <col min="3088" max="3092" width="14.7109375" style="754" customWidth="1"/>
    <col min="3093" max="3093" width="8.85546875" style="754"/>
    <col min="3094" max="3094" width="11.7109375" style="754" customWidth="1"/>
    <col min="3095" max="3099" width="14.7109375" style="754" customWidth="1"/>
    <col min="3100" max="3100" width="8.85546875" style="754"/>
    <col min="3101" max="3101" width="14.7109375" style="754" customWidth="1"/>
    <col min="3102" max="3335" width="8.85546875" style="754"/>
    <col min="3336" max="3336" width="12.5703125" style="754" bestFit="1" customWidth="1"/>
    <col min="3337" max="3341" width="14.7109375" style="754" customWidth="1"/>
    <col min="3342" max="3342" width="8.85546875" style="754"/>
    <col min="3343" max="3343" width="11.7109375" style="754" customWidth="1"/>
    <col min="3344" max="3348" width="14.7109375" style="754" customWidth="1"/>
    <col min="3349" max="3349" width="8.85546875" style="754"/>
    <col min="3350" max="3350" width="11.7109375" style="754" customWidth="1"/>
    <col min="3351" max="3355" width="14.7109375" style="754" customWidth="1"/>
    <col min="3356" max="3356" width="8.85546875" style="754"/>
    <col min="3357" max="3357" width="14.7109375" style="754" customWidth="1"/>
    <col min="3358" max="3591" width="8.85546875" style="754"/>
    <col min="3592" max="3592" width="12.5703125" style="754" bestFit="1" customWidth="1"/>
    <col min="3593" max="3597" width="14.7109375" style="754" customWidth="1"/>
    <col min="3598" max="3598" width="8.85546875" style="754"/>
    <col min="3599" max="3599" width="11.7109375" style="754" customWidth="1"/>
    <col min="3600" max="3604" width="14.7109375" style="754" customWidth="1"/>
    <col min="3605" max="3605" width="8.85546875" style="754"/>
    <col min="3606" max="3606" width="11.7109375" style="754" customWidth="1"/>
    <col min="3607" max="3611" width="14.7109375" style="754" customWidth="1"/>
    <col min="3612" max="3612" width="8.85546875" style="754"/>
    <col min="3613" max="3613" width="14.7109375" style="754" customWidth="1"/>
    <col min="3614" max="3847" width="8.85546875" style="754"/>
    <col min="3848" max="3848" width="12.5703125" style="754" bestFit="1" customWidth="1"/>
    <col min="3849" max="3853" width="14.7109375" style="754" customWidth="1"/>
    <col min="3854" max="3854" width="8.85546875" style="754"/>
    <col min="3855" max="3855" width="11.7109375" style="754" customWidth="1"/>
    <col min="3856" max="3860" width="14.7109375" style="754" customWidth="1"/>
    <col min="3861" max="3861" width="8.85546875" style="754"/>
    <col min="3862" max="3862" width="11.7109375" style="754" customWidth="1"/>
    <col min="3863" max="3867" width="14.7109375" style="754" customWidth="1"/>
    <col min="3868" max="3868" width="8.85546875" style="754"/>
    <col min="3869" max="3869" width="14.7109375" style="754" customWidth="1"/>
    <col min="3870" max="4103" width="8.85546875" style="754"/>
    <col min="4104" max="4104" width="12.5703125" style="754" bestFit="1" customWidth="1"/>
    <col min="4105" max="4109" width="14.7109375" style="754" customWidth="1"/>
    <col min="4110" max="4110" width="8.85546875" style="754"/>
    <col min="4111" max="4111" width="11.7109375" style="754" customWidth="1"/>
    <col min="4112" max="4116" width="14.7109375" style="754" customWidth="1"/>
    <col min="4117" max="4117" width="8.85546875" style="754"/>
    <col min="4118" max="4118" width="11.7109375" style="754" customWidth="1"/>
    <col min="4119" max="4123" width="14.7109375" style="754" customWidth="1"/>
    <col min="4124" max="4124" width="8.85546875" style="754"/>
    <col min="4125" max="4125" width="14.7109375" style="754" customWidth="1"/>
    <col min="4126" max="4359" width="8.85546875" style="754"/>
    <col min="4360" max="4360" width="12.5703125" style="754" bestFit="1" customWidth="1"/>
    <col min="4361" max="4365" width="14.7109375" style="754" customWidth="1"/>
    <col min="4366" max="4366" width="8.85546875" style="754"/>
    <col min="4367" max="4367" width="11.7109375" style="754" customWidth="1"/>
    <col min="4368" max="4372" width="14.7109375" style="754" customWidth="1"/>
    <col min="4373" max="4373" width="8.85546875" style="754"/>
    <col min="4374" max="4374" width="11.7109375" style="754" customWidth="1"/>
    <col min="4375" max="4379" width="14.7109375" style="754" customWidth="1"/>
    <col min="4380" max="4380" width="8.85546875" style="754"/>
    <col min="4381" max="4381" width="14.7109375" style="754" customWidth="1"/>
    <col min="4382" max="4615" width="8.85546875" style="754"/>
    <col min="4616" max="4616" width="12.5703125" style="754" bestFit="1" customWidth="1"/>
    <col min="4617" max="4621" width="14.7109375" style="754" customWidth="1"/>
    <col min="4622" max="4622" width="8.85546875" style="754"/>
    <col min="4623" max="4623" width="11.7109375" style="754" customWidth="1"/>
    <col min="4624" max="4628" width="14.7109375" style="754" customWidth="1"/>
    <col min="4629" max="4629" width="8.85546875" style="754"/>
    <col min="4630" max="4630" width="11.7109375" style="754" customWidth="1"/>
    <col min="4631" max="4635" width="14.7109375" style="754" customWidth="1"/>
    <col min="4636" max="4636" width="8.85546875" style="754"/>
    <col min="4637" max="4637" width="14.7109375" style="754" customWidth="1"/>
    <col min="4638" max="4871" width="8.85546875" style="754"/>
    <col min="4872" max="4872" width="12.5703125" style="754" bestFit="1" customWidth="1"/>
    <col min="4873" max="4877" width="14.7109375" style="754" customWidth="1"/>
    <col min="4878" max="4878" width="8.85546875" style="754"/>
    <col min="4879" max="4879" width="11.7109375" style="754" customWidth="1"/>
    <col min="4880" max="4884" width="14.7109375" style="754" customWidth="1"/>
    <col min="4885" max="4885" width="8.85546875" style="754"/>
    <col min="4886" max="4886" width="11.7109375" style="754" customWidth="1"/>
    <col min="4887" max="4891" width="14.7109375" style="754" customWidth="1"/>
    <col min="4892" max="4892" width="8.85546875" style="754"/>
    <col min="4893" max="4893" width="14.7109375" style="754" customWidth="1"/>
    <col min="4894" max="5127" width="8.85546875" style="754"/>
    <col min="5128" max="5128" width="12.5703125" style="754" bestFit="1" customWidth="1"/>
    <col min="5129" max="5133" width="14.7109375" style="754" customWidth="1"/>
    <col min="5134" max="5134" width="8.85546875" style="754"/>
    <col min="5135" max="5135" width="11.7109375" style="754" customWidth="1"/>
    <col min="5136" max="5140" width="14.7109375" style="754" customWidth="1"/>
    <col min="5141" max="5141" width="8.85546875" style="754"/>
    <col min="5142" max="5142" width="11.7109375" style="754" customWidth="1"/>
    <col min="5143" max="5147" width="14.7109375" style="754" customWidth="1"/>
    <col min="5148" max="5148" width="8.85546875" style="754"/>
    <col min="5149" max="5149" width="14.7109375" style="754" customWidth="1"/>
    <col min="5150" max="5383" width="8.85546875" style="754"/>
    <col min="5384" max="5384" width="12.5703125" style="754" bestFit="1" customWidth="1"/>
    <col min="5385" max="5389" width="14.7109375" style="754" customWidth="1"/>
    <col min="5390" max="5390" width="8.85546875" style="754"/>
    <col min="5391" max="5391" width="11.7109375" style="754" customWidth="1"/>
    <col min="5392" max="5396" width="14.7109375" style="754" customWidth="1"/>
    <col min="5397" max="5397" width="8.85546875" style="754"/>
    <col min="5398" max="5398" width="11.7109375" style="754" customWidth="1"/>
    <col min="5399" max="5403" width="14.7109375" style="754" customWidth="1"/>
    <col min="5404" max="5404" width="8.85546875" style="754"/>
    <col min="5405" max="5405" width="14.7109375" style="754" customWidth="1"/>
    <col min="5406" max="5639" width="8.85546875" style="754"/>
    <col min="5640" max="5640" width="12.5703125" style="754" bestFit="1" customWidth="1"/>
    <col min="5641" max="5645" width="14.7109375" style="754" customWidth="1"/>
    <col min="5646" max="5646" width="8.85546875" style="754"/>
    <col min="5647" max="5647" width="11.7109375" style="754" customWidth="1"/>
    <col min="5648" max="5652" width="14.7109375" style="754" customWidth="1"/>
    <col min="5653" max="5653" width="8.85546875" style="754"/>
    <col min="5654" max="5654" width="11.7109375" style="754" customWidth="1"/>
    <col min="5655" max="5659" width="14.7109375" style="754" customWidth="1"/>
    <col min="5660" max="5660" width="8.85546875" style="754"/>
    <col min="5661" max="5661" width="14.7109375" style="754" customWidth="1"/>
    <col min="5662" max="5895" width="8.85546875" style="754"/>
    <col min="5896" max="5896" width="12.5703125" style="754" bestFit="1" customWidth="1"/>
    <col min="5897" max="5901" width="14.7109375" style="754" customWidth="1"/>
    <col min="5902" max="5902" width="8.85546875" style="754"/>
    <col min="5903" max="5903" width="11.7109375" style="754" customWidth="1"/>
    <col min="5904" max="5908" width="14.7109375" style="754" customWidth="1"/>
    <col min="5909" max="5909" width="8.85546875" style="754"/>
    <col min="5910" max="5910" width="11.7109375" style="754" customWidth="1"/>
    <col min="5911" max="5915" width="14.7109375" style="754" customWidth="1"/>
    <col min="5916" max="5916" width="8.85546875" style="754"/>
    <col min="5917" max="5917" width="14.7109375" style="754" customWidth="1"/>
    <col min="5918" max="6151" width="8.85546875" style="754"/>
    <col min="6152" max="6152" width="12.5703125" style="754" bestFit="1" customWidth="1"/>
    <col min="6153" max="6157" width="14.7109375" style="754" customWidth="1"/>
    <col min="6158" max="6158" width="8.85546875" style="754"/>
    <col min="6159" max="6159" width="11.7109375" style="754" customWidth="1"/>
    <col min="6160" max="6164" width="14.7109375" style="754" customWidth="1"/>
    <col min="6165" max="6165" width="8.85546875" style="754"/>
    <col min="6166" max="6166" width="11.7109375" style="754" customWidth="1"/>
    <col min="6167" max="6171" width="14.7109375" style="754" customWidth="1"/>
    <col min="6172" max="6172" width="8.85546875" style="754"/>
    <col min="6173" max="6173" width="14.7109375" style="754" customWidth="1"/>
    <col min="6174" max="6407" width="8.85546875" style="754"/>
    <col min="6408" max="6408" width="12.5703125" style="754" bestFit="1" customWidth="1"/>
    <col min="6409" max="6413" width="14.7109375" style="754" customWidth="1"/>
    <col min="6414" max="6414" width="8.85546875" style="754"/>
    <col min="6415" max="6415" width="11.7109375" style="754" customWidth="1"/>
    <col min="6416" max="6420" width="14.7109375" style="754" customWidth="1"/>
    <col min="6421" max="6421" width="8.85546875" style="754"/>
    <col min="6422" max="6422" width="11.7109375" style="754" customWidth="1"/>
    <col min="6423" max="6427" width="14.7109375" style="754" customWidth="1"/>
    <col min="6428" max="6428" width="8.85546875" style="754"/>
    <col min="6429" max="6429" width="14.7109375" style="754" customWidth="1"/>
    <col min="6430" max="6663" width="8.85546875" style="754"/>
    <col min="6664" max="6664" width="12.5703125" style="754" bestFit="1" customWidth="1"/>
    <col min="6665" max="6669" width="14.7109375" style="754" customWidth="1"/>
    <col min="6670" max="6670" width="8.85546875" style="754"/>
    <col min="6671" max="6671" width="11.7109375" style="754" customWidth="1"/>
    <col min="6672" max="6676" width="14.7109375" style="754" customWidth="1"/>
    <col min="6677" max="6677" width="8.85546875" style="754"/>
    <col min="6678" max="6678" width="11.7109375" style="754" customWidth="1"/>
    <col min="6679" max="6683" width="14.7109375" style="754" customWidth="1"/>
    <col min="6684" max="6684" width="8.85546875" style="754"/>
    <col min="6685" max="6685" width="14.7109375" style="754" customWidth="1"/>
    <col min="6686" max="6919" width="8.85546875" style="754"/>
    <col min="6920" max="6920" width="12.5703125" style="754" bestFit="1" customWidth="1"/>
    <col min="6921" max="6925" width="14.7109375" style="754" customWidth="1"/>
    <col min="6926" max="6926" width="8.85546875" style="754"/>
    <col min="6927" max="6927" width="11.7109375" style="754" customWidth="1"/>
    <col min="6928" max="6932" width="14.7109375" style="754" customWidth="1"/>
    <col min="6933" max="6933" width="8.85546875" style="754"/>
    <col min="6934" max="6934" width="11.7109375" style="754" customWidth="1"/>
    <col min="6935" max="6939" width="14.7109375" style="754" customWidth="1"/>
    <col min="6940" max="6940" width="8.85546875" style="754"/>
    <col min="6941" max="6941" width="14.7109375" style="754" customWidth="1"/>
    <col min="6942" max="7175" width="8.85546875" style="754"/>
    <col min="7176" max="7176" width="12.5703125" style="754" bestFit="1" customWidth="1"/>
    <col min="7177" max="7181" width="14.7109375" style="754" customWidth="1"/>
    <col min="7182" max="7182" width="8.85546875" style="754"/>
    <col min="7183" max="7183" width="11.7109375" style="754" customWidth="1"/>
    <col min="7184" max="7188" width="14.7109375" style="754" customWidth="1"/>
    <col min="7189" max="7189" width="8.85546875" style="754"/>
    <col min="7190" max="7190" width="11.7109375" style="754" customWidth="1"/>
    <col min="7191" max="7195" width="14.7109375" style="754" customWidth="1"/>
    <col min="7196" max="7196" width="8.85546875" style="754"/>
    <col min="7197" max="7197" width="14.7109375" style="754" customWidth="1"/>
    <col min="7198" max="7431" width="8.85546875" style="754"/>
    <col min="7432" max="7432" width="12.5703125" style="754" bestFit="1" customWidth="1"/>
    <col min="7433" max="7437" width="14.7109375" style="754" customWidth="1"/>
    <col min="7438" max="7438" width="8.85546875" style="754"/>
    <col min="7439" max="7439" width="11.7109375" style="754" customWidth="1"/>
    <col min="7440" max="7444" width="14.7109375" style="754" customWidth="1"/>
    <col min="7445" max="7445" width="8.85546875" style="754"/>
    <col min="7446" max="7446" width="11.7109375" style="754" customWidth="1"/>
    <col min="7447" max="7451" width="14.7109375" style="754" customWidth="1"/>
    <col min="7452" max="7452" width="8.85546875" style="754"/>
    <col min="7453" max="7453" width="14.7109375" style="754" customWidth="1"/>
    <col min="7454" max="7687" width="8.85546875" style="754"/>
    <col min="7688" max="7688" width="12.5703125" style="754" bestFit="1" customWidth="1"/>
    <col min="7689" max="7693" width="14.7109375" style="754" customWidth="1"/>
    <col min="7694" max="7694" width="8.85546875" style="754"/>
    <col min="7695" max="7695" width="11.7109375" style="754" customWidth="1"/>
    <col min="7696" max="7700" width="14.7109375" style="754" customWidth="1"/>
    <col min="7701" max="7701" width="8.85546875" style="754"/>
    <col min="7702" max="7702" width="11.7109375" style="754" customWidth="1"/>
    <col min="7703" max="7707" width="14.7109375" style="754" customWidth="1"/>
    <col min="7708" max="7708" width="8.85546875" style="754"/>
    <col min="7709" max="7709" width="14.7109375" style="754" customWidth="1"/>
    <col min="7710" max="7943" width="8.85546875" style="754"/>
    <col min="7944" max="7944" width="12.5703125" style="754" bestFit="1" customWidth="1"/>
    <col min="7945" max="7949" width="14.7109375" style="754" customWidth="1"/>
    <col min="7950" max="7950" width="8.85546875" style="754"/>
    <col min="7951" max="7951" width="11.7109375" style="754" customWidth="1"/>
    <col min="7952" max="7956" width="14.7109375" style="754" customWidth="1"/>
    <col min="7957" max="7957" width="8.85546875" style="754"/>
    <col min="7958" max="7958" width="11.7109375" style="754" customWidth="1"/>
    <col min="7959" max="7963" width="14.7109375" style="754" customWidth="1"/>
    <col min="7964" max="7964" width="8.85546875" style="754"/>
    <col min="7965" max="7965" width="14.7109375" style="754" customWidth="1"/>
    <col min="7966" max="8199" width="8.85546875" style="754"/>
    <col min="8200" max="8200" width="12.5703125" style="754" bestFit="1" customWidth="1"/>
    <col min="8201" max="8205" width="14.7109375" style="754" customWidth="1"/>
    <col min="8206" max="8206" width="8.85546875" style="754"/>
    <col min="8207" max="8207" width="11.7109375" style="754" customWidth="1"/>
    <col min="8208" max="8212" width="14.7109375" style="754" customWidth="1"/>
    <col min="8213" max="8213" width="8.85546875" style="754"/>
    <col min="8214" max="8214" width="11.7109375" style="754" customWidth="1"/>
    <col min="8215" max="8219" width="14.7109375" style="754" customWidth="1"/>
    <col min="8220" max="8220" width="8.85546875" style="754"/>
    <col min="8221" max="8221" width="14.7109375" style="754" customWidth="1"/>
    <col min="8222" max="8455" width="8.85546875" style="754"/>
    <col min="8456" max="8456" width="12.5703125" style="754" bestFit="1" customWidth="1"/>
    <col min="8457" max="8461" width="14.7109375" style="754" customWidth="1"/>
    <col min="8462" max="8462" width="8.85546875" style="754"/>
    <col min="8463" max="8463" width="11.7109375" style="754" customWidth="1"/>
    <col min="8464" max="8468" width="14.7109375" style="754" customWidth="1"/>
    <col min="8469" max="8469" width="8.85546875" style="754"/>
    <col min="8470" max="8470" width="11.7109375" style="754" customWidth="1"/>
    <col min="8471" max="8475" width="14.7109375" style="754" customWidth="1"/>
    <col min="8476" max="8476" width="8.85546875" style="754"/>
    <col min="8477" max="8477" width="14.7109375" style="754" customWidth="1"/>
    <col min="8478" max="8711" width="8.85546875" style="754"/>
    <col min="8712" max="8712" width="12.5703125" style="754" bestFit="1" customWidth="1"/>
    <col min="8713" max="8717" width="14.7109375" style="754" customWidth="1"/>
    <col min="8718" max="8718" width="8.85546875" style="754"/>
    <col min="8719" max="8719" width="11.7109375" style="754" customWidth="1"/>
    <col min="8720" max="8724" width="14.7109375" style="754" customWidth="1"/>
    <col min="8725" max="8725" width="8.85546875" style="754"/>
    <col min="8726" max="8726" width="11.7109375" style="754" customWidth="1"/>
    <col min="8727" max="8731" width="14.7109375" style="754" customWidth="1"/>
    <col min="8732" max="8732" width="8.85546875" style="754"/>
    <col min="8733" max="8733" width="14.7109375" style="754" customWidth="1"/>
    <col min="8734" max="8967" width="8.85546875" style="754"/>
    <col min="8968" max="8968" width="12.5703125" style="754" bestFit="1" customWidth="1"/>
    <col min="8969" max="8973" width="14.7109375" style="754" customWidth="1"/>
    <col min="8974" max="8974" width="8.85546875" style="754"/>
    <col min="8975" max="8975" width="11.7109375" style="754" customWidth="1"/>
    <col min="8976" max="8980" width="14.7109375" style="754" customWidth="1"/>
    <col min="8981" max="8981" width="8.85546875" style="754"/>
    <col min="8982" max="8982" width="11.7109375" style="754" customWidth="1"/>
    <col min="8983" max="8987" width="14.7109375" style="754" customWidth="1"/>
    <col min="8988" max="8988" width="8.85546875" style="754"/>
    <col min="8989" max="8989" width="14.7109375" style="754" customWidth="1"/>
    <col min="8990" max="9223" width="8.85546875" style="754"/>
    <col min="9224" max="9224" width="12.5703125" style="754" bestFit="1" customWidth="1"/>
    <col min="9225" max="9229" width="14.7109375" style="754" customWidth="1"/>
    <col min="9230" max="9230" width="8.85546875" style="754"/>
    <col min="9231" max="9231" width="11.7109375" style="754" customWidth="1"/>
    <col min="9232" max="9236" width="14.7109375" style="754" customWidth="1"/>
    <col min="9237" max="9237" width="8.85546875" style="754"/>
    <col min="9238" max="9238" width="11.7109375" style="754" customWidth="1"/>
    <col min="9239" max="9243" width="14.7109375" style="754" customWidth="1"/>
    <col min="9244" max="9244" width="8.85546875" style="754"/>
    <col min="9245" max="9245" width="14.7109375" style="754" customWidth="1"/>
    <col min="9246" max="9479" width="8.85546875" style="754"/>
    <col min="9480" max="9480" width="12.5703125" style="754" bestFit="1" customWidth="1"/>
    <col min="9481" max="9485" width="14.7109375" style="754" customWidth="1"/>
    <col min="9486" max="9486" width="8.85546875" style="754"/>
    <col min="9487" max="9487" width="11.7109375" style="754" customWidth="1"/>
    <col min="9488" max="9492" width="14.7109375" style="754" customWidth="1"/>
    <col min="9493" max="9493" width="8.85546875" style="754"/>
    <col min="9494" max="9494" width="11.7109375" style="754" customWidth="1"/>
    <col min="9495" max="9499" width="14.7109375" style="754" customWidth="1"/>
    <col min="9500" max="9500" width="8.85546875" style="754"/>
    <col min="9501" max="9501" width="14.7109375" style="754" customWidth="1"/>
    <col min="9502" max="9735" width="8.85546875" style="754"/>
    <col min="9736" max="9736" width="12.5703125" style="754" bestFit="1" customWidth="1"/>
    <col min="9737" max="9741" width="14.7109375" style="754" customWidth="1"/>
    <col min="9742" max="9742" width="8.85546875" style="754"/>
    <col min="9743" max="9743" width="11.7109375" style="754" customWidth="1"/>
    <col min="9744" max="9748" width="14.7109375" style="754" customWidth="1"/>
    <col min="9749" max="9749" width="8.85546875" style="754"/>
    <col min="9750" max="9750" width="11.7109375" style="754" customWidth="1"/>
    <col min="9751" max="9755" width="14.7109375" style="754" customWidth="1"/>
    <col min="9756" max="9756" width="8.85546875" style="754"/>
    <col min="9757" max="9757" width="14.7109375" style="754" customWidth="1"/>
    <col min="9758" max="9991" width="8.85546875" style="754"/>
    <col min="9992" max="9992" width="12.5703125" style="754" bestFit="1" customWidth="1"/>
    <col min="9993" max="9997" width="14.7109375" style="754" customWidth="1"/>
    <col min="9998" max="9998" width="8.85546875" style="754"/>
    <col min="9999" max="9999" width="11.7109375" style="754" customWidth="1"/>
    <col min="10000" max="10004" width="14.7109375" style="754" customWidth="1"/>
    <col min="10005" max="10005" width="8.85546875" style="754"/>
    <col min="10006" max="10006" width="11.7109375" style="754" customWidth="1"/>
    <col min="10007" max="10011" width="14.7109375" style="754" customWidth="1"/>
    <col min="10012" max="10012" width="8.85546875" style="754"/>
    <col min="10013" max="10013" width="14.7109375" style="754" customWidth="1"/>
    <col min="10014" max="10247" width="8.85546875" style="754"/>
    <col min="10248" max="10248" width="12.5703125" style="754" bestFit="1" customWidth="1"/>
    <col min="10249" max="10253" width="14.7109375" style="754" customWidth="1"/>
    <col min="10254" max="10254" width="8.85546875" style="754"/>
    <col min="10255" max="10255" width="11.7109375" style="754" customWidth="1"/>
    <col min="10256" max="10260" width="14.7109375" style="754" customWidth="1"/>
    <col min="10261" max="10261" width="8.85546875" style="754"/>
    <col min="10262" max="10262" width="11.7109375" style="754" customWidth="1"/>
    <col min="10263" max="10267" width="14.7109375" style="754" customWidth="1"/>
    <col min="10268" max="10268" width="8.85546875" style="754"/>
    <col min="10269" max="10269" width="14.7109375" style="754" customWidth="1"/>
    <col min="10270" max="10503" width="8.85546875" style="754"/>
    <col min="10504" max="10504" width="12.5703125" style="754" bestFit="1" customWidth="1"/>
    <col min="10505" max="10509" width="14.7109375" style="754" customWidth="1"/>
    <col min="10510" max="10510" width="8.85546875" style="754"/>
    <col min="10511" max="10511" width="11.7109375" style="754" customWidth="1"/>
    <col min="10512" max="10516" width="14.7109375" style="754" customWidth="1"/>
    <col min="10517" max="10517" width="8.85546875" style="754"/>
    <col min="10518" max="10518" width="11.7109375" style="754" customWidth="1"/>
    <col min="10519" max="10523" width="14.7109375" style="754" customWidth="1"/>
    <col min="10524" max="10524" width="8.85546875" style="754"/>
    <col min="10525" max="10525" width="14.7109375" style="754" customWidth="1"/>
    <col min="10526" max="10759" width="8.85546875" style="754"/>
    <col min="10760" max="10760" width="12.5703125" style="754" bestFit="1" customWidth="1"/>
    <col min="10761" max="10765" width="14.7109375" style="754" customWidth="1"/>
    <col min="10766" max="10766" width="8.85546875" style="754"/>
    <col min="10767" max="10767" width="11.7109375" style="754" customWidth="1"/>
    <col min="10768" max="10772" width="14.7109375" style="754" customWidth="1"/>
    <col min="10773" max="10773" width="8.85546875" style="754"/>
    <col min="10774" max="10774" width="11.7109375" style="754" customWidth="1"/>
    <col min="10775" max="10779" width="14.7109375" style="754" customWidth="1"/>
    <col min="10780" max="10780" width="8.85546875" style="754"/>
    <col min="10781" max="10781" width="14.7109375" style="754" customWidth="1"/>
    <col min="10782" max="11015" width="8.85546875" style="754"/>
    <col min="11016" max="11016" width="12.5703125" style="754" bestFit="1" customWidth="1"/>
    <col min="11017" max="11021" width="14.7109375" style="754" customWidth="1"/>
    <col min="11022" max="11022" width="8.85546875" style="754"/>
    <col min="11023" max="11023" width="11.7109375" style="754" customWidth="1"/>
    <col min="11024" max="11028" width="14.7109375" style="754" customWidth="1"/>
    <col min="11029" max="11029" width="8.85546875" style="754"/>
    <col min="11030" max="11030" width="11.7109375" style="754" customWidth="1"/>
    <col min="11031" max="11035" width="14.7109375" style="754" customWidth="1"/>
    <col min="11036" max="11036" width="8.85546875" style="754"/>
    <col min="11037" max="11037" width="14.7109375" style="754" customWidth="1"/>
    <col min="11038" max="11271" width="8.85546875" style="754"/>
    <col min="11272" max="11272" width="12.5703125" style="754" bestFit="1" customWidth="1"/>
    <col min="11273" max="11277" width="14.7109375" style="754" customWidth="1"/>
    <col min="11278" max="11278" width="8.85546875" style="754"/>
    <col min="11279" max="11279" width="11.7109375" style="754" customWidth="1"/>
    <col min="11280" max="11284" width="14.7109375" style="754" customWidth="1"/>
    <col min="11285" max="11285" width="8.85546875" style="754"/>
    <col min="11286" max="11286" width="11.7109375" style="754" customWidth="1"/>
    <col min="11287" max="11291" width="14.7109375" style="754" customWidth="1"/>
    <col min="11292" max="11292" width="8.85546875" style="754"/>
    <col min="11293" max="11293" width="14.7109375" style="754" customWidth="1"/>
    <col min="11294" max="11527" width="8.85546875" style="754"/>
    <col min="11528" max="11528" width="12.5703125" style="754" bestFit="1" customWidth="1"/>
    <col min="11529" max="11533" width="14.7109375" style="754" customWidth="1"/>
    <col min="11534" max="11534" width="8.85546875" style="754"/>
    <col min="11535" max="11535" width="11.7109375" style="754" customWidth="1"/>
    <col min="11536" max="11540" width="14.7109375" style="754" customWidth="1"/>
    <col min="11541" max="11541" width="8.85546875" style="754"/>
    <col min="11542" max="11542" width="11.7109375" style="754" customWidth="1"/>
    <col min="11543" max="11547" width="14.7109375" style="754" customWidth="1"/>
    <col min="11548" max="11548" width="8.85546875" style="754"/>
    <col min="11549" max="11549" width="14.7109375" style="754" customWidth="1"/>
    <col min="11550" max="11783" width="8.85546875" style="754"/>
    <col min="11784" max="11784" width="12.5703125" style="754" bestFit="1" customWidth="1"/>
    <col min="11785" max="11789" width="14.7109375" style="754" customWidth="1"/>
    <col min="11790" max="11790" width="8.85546875" style="754"/>
    <col min="11791" max="11791" width="11.7109375" style="754" customWidth="1"/>
    <col min="11792" max="11796" width="14.7109375" style="754" customWidth="1"/>
    <col min="11797" max="11797" width="8.85546875" style="754"/>
    <col min="11798" max="11798" width="11.7109375" style="754" customWidth="1"/>
    <col min="11799" max="11803" width="14.7109375" style="754" customWidth="1"/>
    <col min="11804" max="11804" width="8.85546875" style="754"/>
    <col min="11805" max="11805" width="14.7109375" style="754" customWidth="1"/>
    <col min="11806" max="12039" width="8.85546875" style="754"/>
    <col min="12040" max="12040" width="12.5703125" style="754" bestFit="1" customWidth="1"/>
    <col min="12041" max="12045" width="14.7109375" style="754" customWidth="1"/>
    <col min="12046" max="12046" width="8.85546875" style="754"/>
    <col min="12047" max="12047" width="11.7109375" style="754" customWidth="1"/>
    <col min="12048" max="12052" width="14.7109375" style="754" customWidth="1"/>
    <col min="12053" max="12053" width="8.85546875" style="754"/>
    <col min="12054" max="12054" width="11.7109375" style="754" customWidth="1"/>
    <col min="12055" max="12059" width="14.7109375" style="754" customWidth="1"/>
    <col min="12060" max="12060" width="8.85546875" style="754"/>
    <col min="12061" max="12061" width="14.7109375" style="754" customWidth="1"/>
    <col min="12062" max="12295" width="8.85546875" style="754"/>
    <col min="12296" max="12296" width="12.5703125" style="754" bestFit="1" customWidth="1"/>
    <col min="12297" max="12301" width="14.7109375" style="754" customWidth="1"/>
    <col min="12302" max="12302" width="8.85546875" style="754"/>
    <col min="12303" max="12303" width="11.7109375" style="754" customWidth="1"/>
    <col min="12304" max="12308" width="14.7109375" style="754" customWidth="1"/>
    <col min="12309" max="12309" width="8.85546875" style="754"/>
    <col min="12310" max="12310" width="11.7109375" style="754" customWidth="1"/>
    <col min="12311" max="12315" width="14.7109375" style="754" customWidth="1"/>
    <col min="12316" max="12316" width="8.85546875" style="754"/>
    <col min="12317" max="12317" width="14.7109375" style="754" customWidth="1"/>
    <col min="12318" max="12551" width="8.85546875" style="754"/>
    <col min="12552" max="12552" width="12.5703125" style="754" bestFit="1" customWidth="1"/>
    <col min="12553" max="12557" width="14.7109375" style="754" customWidth="1"/>
    <col min="12558" max="12558" width="8.85546875" style="754"/>
    <col min="12559" max="12559" width="11.7109375" style="754" customWidth="1"/>
    <col min="12560" max="12564" width="14.7109375" style="754" customWidth="1"/>
    <col min="12565" max="12565" width="8.85546875" style="754"/>
    <col min="12566" max="12566" width="11.7109375" style="754" customWidth="1"/>
    <col min="12567" max="12571" width="14.7109375" style="754" customWidth="1"/>
    <col min="12572" max="12572" width="8.85546875" style="754"/>
    <col min="12573" max="12573" width="14.7109375" style="754" customWidth="1"/>
    <col min="12574" max="12807" width="8.85546875" style="754"/>
    <col min="12808" max="12808" width="12.5703125" style="754" bestFit="1" customWidth="1"/>
    <col min="12809" max="12813" width="14.7109375" style="754" customWidth="1"/>
    <col min="12814" max="12814" width="8.85546875" style="754"/>
    <col min="12815" max="12815" width="11.7109375" style="754" customWidth="1"/>
    <col min="12816" max="12820" width="14.7109375" style="754" customWidth="1"/>
    <col min="12821" max="12821" width="8.85546875" style="754"/>
    <col min="12822" max="12822" width="11.7109375" style="754" customWidth="1"/>
    <col min="12823" max="12827" width="14.7109375" style="754" customWidth="1"/>
    <col min="12828" max="12828" width="8.85546875" style="754"/>
    <col min="12829" max="12829" width="14.7109375" style="754" customWidth="1"/>
    <col min="12830" max="13063" width="8.85546875" style="754"/>
    <col min="13064" max="13064" width="12.5703125" style="754" bestFit="1" customWidth="1"/>
    <col min="13065" max="13069" width="14.7109375" style="754" customWidth="1"/>
    <col min="13070" max="13070" width="8.85546875" style="754"/>
    <col min="13071" max="13071" width="11.7109375" style="754" customWidth="1"/>
    <col min="13072" max="13076" width="14.7109375" style="754" customWidth="1"/>
    <col min="13077" max="13077" width="8.85546875" style="754"/>
    <col min="13078" max="13078" width="11.7109375" style="754" customWidth="1"/>
    <col min="13079" max="13083" width="14.7109375" style="754" customWidth="1"/>
    <col min="13084" max="13084" width="8.85546875" style="754"/>
    <col min="13085" max="13085" width="14.7109375" style="754" customWidth="1"/>
    <col min="13086" max="13319" width="8.85546875" style="754"/>
    <col min="13320" max="13320" width="12.5703125" style="754" bestFit="1" customWidth="1"/>
    <col min="13321" max="13325" width="14.7109375" style="754" customWidth="1"/>
    <col min="13326" max="13326" width="8.85546875" style="754"/>
    <col min="13327" max="13327" width="11.7109375" style="754" customWidth="1"/>
    <col min="13328" max="13332" width="14.7109375" style="754" customWidth="1"/>
    <col min="13333" max="13333" width="8.85546875" style="754"/>
    <col min="13334" max="13334" width="11.7109375" style="754" customWidth="1"/>
    <col min="13335" max="13339" width="14.7109375" style="754" customWidth="1"/>
    <col min="13340" max="13340" width="8.85546875" style="754"/>
    <col min="13341" max="13341" width="14.7109375" style="754" customWidth="1"/>
    <col min="13342" max="13575" width="8.85546875" style="754"/>
    <col min="13576" max="13576" width="12.5703125" style="754" bestFit="1" customWidth="1"/>
    <col min="13577" max="13581" width="14.7109375" style="754" customWidth="1"/>
    <col min="13582" max="13582" width="8.85546875" style="754"/>
    <col min="13583" max="13583" width="11.7109375" style="754" customWidth="1"/>
    <col min="13584" max="13588" width="14.7109375" style="754" customWidth="1"/>
    <col min="13589" max="13589" width="8.85546875" style="754"/>
    <col min="13590" max="13590" width="11.7109375" style="754" customWidth="1"/>
    <col min="13591" max="13595" width="14.7109375" style="754" customWidth="1"/>
    <col min="13596" max="13596" width="8.85546875" style="754"/>
    <col min="13597" max="13597" width="14.7109375" style="754" customWidth="1"/>
    <col min="13598" max="13831" width="8.85546875" style="754"/>
    <col min="13832" max="13832" width="12.5703125" style="754" bestFit="1" customWidth="1"/>
    <col min="13833" max="13837" width="14.7109375" style="754" customWidth="1"/>
    <col min="13838" max="13838" width="8.85546875" style="754"/>
    <col min="13839" max="13839" width="11.7109375" style="754" customWidth="1"/>
    <col min="13840" max="13844" width="14.7109375" style="754" customWidth="1"/>
    <col min="13845" max="13845" width="8.85546875" style="754"/>
    <col min="13846" max="13846" width="11.7109375" style="754" customWidth="1"/>
    <col min="13847" max="13851" width="14.7109375" style="754" customWidth="1"/>
    <col min="13852" max="13852" width="8.85546875" style="754"/>
    <col min="13853" max="13853" width="14.7109375" style="754" customWidth="1"/>
    <col min="13854" max="14087" width="8.85546875" style="754"/>
    <col min="14088" max="14088" width="12.5703125" style="754" bestFit="1" customWidth="1"/>
    <col min="14089" max="14093" width="14.7109375" style="754" customWidth="1"/>
    <col min="14094" max="14094" width="8.85546875" style="754"/>
    <col min="14095" max="14095" width="11.7109375" style="754" customWidth="1"/>
    <col min="14096" max="14100" width="14.7109375" style="754" customWidth="1"/>
    <col min="14101" max="14101" width="8.85546875" style="754"/>
    <col min="14102" max="14102" width="11.7109375" style="754" customWidth="1"/>
    <col min="14103" max="14107" width="14.7109375" style="754" customWidth="1"/>
    <col min="14108" max="14108" width="8.85546875" style="754"/>
    <col min="14109" max="14109" width="14.7109375" style="754" customWidth="1"/>
    <col min="14110" max="14343" width="8.85546875" style="754"/>
    <col min="14344" max="14344" width="12.5703125" style="754" bestFit="1" customWidth="1"/>
    <col min="14345" max="14349" width="14.7109375" style="754" customWidth="1"/>
    <col min="14350" max="14350" width="8.85546875" style="754"/>
    <col min="14351" max="14351" width="11.7109375" style="754" customWidth="1"/>
    <col min="14352" max="14356" width="14.7109375" style="754" customWidth="1"/>
    <col min="14357" max="14357" width="8.85546875" style="754"/>
    <col min="14358" max="14358" width="11.7109375" style="754" customWidth="1"/>
    <col min="14359" max="14363" width="14.7109375" style="754" customWidth="1"/>
    <col min="14364" max="14364" width="8.85546875" style="754"/>
    <col min="14365" max="14365" width="14.7109375" style="754" customWidth="1"/>
    <col min="14366" max="14599" width="8.85546875" style="754"/>
    <col min="14600" max="14600" width="12.5703125" style="754" bestFit="1" customWidth="1"/>
    <col min="14601" max="14605" width="14.7109375" style="754" customWidth="1"/>
    <col min="14606" max="14606" width="8.85546875" style="754"/>
    <col min="14607" max="14607" width="11.7109375" style="754" customWidth="1"/>
    <col min="14608" max="14612" width="14.7109375" style="754" customWidth="1"/>
    <col min="14613" max="14613" width="8.85546875" style="754"/>
    <col min="14614" max="14614" width="11.7109375" style="754" customWidth="1"/>
    <col min="14615" max="14619" width="14.7109375" style="754" customWidth="1"/>
    <col min="14620" max="14620" width="8.85546875" style="754"/>
    <col min="14621" max="14621" width="14.7109375" style="754" customWidth="1"/>
    <col min="14622" max="14855" width="8.85546875" style="754"/>
    <col min="14856" max="14856" width="12.5703125" style="754" bestFit="1" customWidth="1"/>
    <col min="14857" max="14861" width="14.7109375" style="754" customWidth="1"/>
    <col min="14862" max="14862" width="8.85546875" style="754"/>
    <col min="14863" max="14863" width="11.7109375" style="754" customWidth="1"/>
    <col min="14864" max="14868" width="14.7109375" style="754" customWidth="1"/>
    <col min="14869" max="14869" width="8.85546875" style="754"/>
    <col min="14870" max="14870" width="11.7109375" style="754" customWidth="1"/>
    <col min="14871" max="14875" width="14.7109375" style="754" customWidth="1"/>
    <col min="14876" max="14876" width="8.85546875" style="754"/>
    <col min="14877" max="14877" width="14.7109375" style="754" customWidth="1"/>
    <col min="14878" max="15111" width="8.85546875" style="754"/>
    <col min="15112" max="15112" width="12.5703125" style="754" bestFit="1" customWidth="1"/>
    <col min="15113" max="15117" width="14.7109375" style="754" customWidth="1"/>
    <col min="15118" max="15118" width="8.85546875" style="754"/>
    <col min="15119" max="15119" width="11.7109375" style="754" customWidth="1"/>
    <col min="15120" max="15124" width="14.7109375" style="754" customWidth="1"/>
    <col min="15125" max="15125" width="8.85546875" style="754"/>
    <col min="15126" max="15126" width="11.7109375" style="754" customWidth="1"/>
    <col min="15127" max="15131" width="14.7109375" style="754" customWidth="1"/>
    <col min="15132" max="15132" width="8.85546875" style="754"/>
    <col min="15133" max="15133" width="14.7109375" style="754" customWidth="1"/>
    <col min="15134" max="15367" width="8.85546875" style="754"/>
    <col min="15368" max="15368" width="12.5703125" style="754" bestFit="1" customWidth="1"/>
    <col min="15369" max="15373" width="14.7109375" style="754" customWidth="1"/>
    <col min="15374" max="15374" width="8.85546875" style="754"/>
    <col min="15375" max="15375" width="11.7109375" style="754" customWidth="1"/>
    <col min="15376" max="15380" width="14.7109375" style="754" customWidth="1"/>
    <col min="15381" max="15381" width="8.85546875" style="754"/>
    <col min="15382" max="15382" width="11.7109375" style="754" customWidth="1"/>
    <col min="15383" max="15387" width="14.7109375" style="754" customWidth="1"/>
    <col min="15388" max="15388" width="8.85546875" style="754"/>
    <col min="15389" max="15389" width="14.7109375" style="754" customWidth="1"/>
    <col min="15390" max="15623" width="8.85546875" style="754"/>
    <col min="15624" max="15624" width="12.5703125" style="754" bestFit="1" customWidth="1"/>
    <col min="15625" max="15629" width="14.7109375" style="754" customWidth="1"/>
    <col min="15630" max="15630" width="8.85546875" style="754"/>
    <col min="15631" max="15631" width="11.7109375" style="754" customWidth="1"/>
    <col min="15632" max="15636" width="14.7109375" style="754" customWidth="1"/>
    <col min="15637" max="15637" width="8.85546875" style="754"/>
    <col min="15638" max="15638" width="11.7109375" style="754" customWidth="1"/>
    <col min="15639" max="15643" width="14.7109375" style="754" customWidth="1"/>
    <col min="15644" max="15644" width="8.85546875" style="754"/>
    <col min="15645" max="15645" width="14.7109375" style="754" customWidth="1"/>
    <col min="15646" max="15879" width="8.85546875" style="754"/>
    <col min="15880" max="15880" width="12.5703125" style="754" bestFit="1" customWidth="1"/>
    <col min="15881" max="15885" width="14.7109375" style="754" customWidth="1"/>
    <col min="15886" max="15886" width="8.85546875" style="754"/>
    <col min="15887" max="15887" width="11.7109375" style="754" customWidth="1"/>
    <col min="15888" max="15892" width="14.7109375" style="754" customWidth="1"/>
    <col min="15893" max="15893" width="8.85546875" style="754"/>
    <col min="15894" max="15894" width="11.7109375" style="754" customWidth="1"/>
    <col min="15895" max="15899" width="14.7109375" style="754" customWidth="1"/>
    <col min="15900" max="15900" width="8.85546875" style="754"/>
    <col min="15901" max="15901" width="14.7109375" style="754" customWidth="1"/>
    <col min="15902" max="16135" width="8.85546875" style="754"/>
    <col min="16136" max="16136" width="12.5703125" style="754" bestFit="1" customWidth="1"/>
    <col min="16137" max="16141" width="14.7109375" style="754" customWidth="1"/>
    <col min="16142" max="16142" width="8.85546875" style="754"/>
    <col min="16143" max="16143" width="11.7109375" style="754" customWidth="1"/>
    <col min="16144" max="16148" width="14.7109375" style="754" customWidth="1"/>
    <col min="16149" max="16149" width="8.85546875" style="754"/>
    <col min="16150" max="16150" width="11.7109375" style="754" customWidth="1"/>
    <col min="16151" max="16155" width="14.7109375" style="754" customWidth="1"/>
    <col min="16156" max="16156" width="8.85546875" style="754"/>
    <col min="16157" max="16157" width="14.7109375" style="754" customWidth="1"/>
    <col min="16158" max="16384" width="8.85546875" style="754"/>
  </cols>
  <sheetData>
    <row r="1" spans="1:134" ht="15" x14ac:dyDescent="0.25">
      <c r="A1" s="923" t="s">
        <v>3549</v>
      </c>
      <c r="B1" s="923"/>
      <c r="C1" s="923"/>
      <c r="D1" s="923"/>
      <c r="E1" s="923"/>
      <c r="F1" s="923"/>
      <c r="G1" s="923"/>
      <c r="H1" s="923"/>
      <c r="I1" s="923"/>
      <c r="J1" s="923"/>
      <c r="K1" s="923"/>
      <c r="L1" s="923"/>
      <c r="M1" s="923"/>
      <c r="N1" s="923"/>
      <c r="O1" s="923"/>
      <c r="P1" s="923"/>
      <c r="Q1" s="923"/>
      <c r="R1" s="923"/>
      <c r="S1" s="923"/>
      <c r="T1" s="923"/>
      <c r="U1" s="923"/>
      <c r="V1" s="923"/>
      <c r="W1" s="923"/>
      <c r="X1" s="923"/>
      <c r="AI1" s="944" t="s">
        <v>3550</v>
      </c>
      <c r="AJ1" s="944"/>
      <c r="AK1" s="944"/>
      <c r="AL1" s="944"/>
      <c r="AM1" s="944"/>
      <c r="AN1" s="944"/>
      <c r="AO1" s="944"/>
      <c r="AP1" s="944"/>
      <c r="AQ1" s="944"/>
      <c r="AR1" s="944"/>
      <c r="AS1" s="944" t="s">
        <v>3551</v>
      </c>
      <c r="AT1" s="944"/>
      <c r="AU1" s="944"/>
      <c r="AV1" s="944"/>
      <c r="AW1" s="944"/>
      <c r="AX1" s="944"/>
      <c r="AY1" s="944"/>
      <c r="AZ1" s="944"/>
      <c r="BA1" s="944"/>
      <c r="BB1" s="944"/>
      <c r="BC1" s="944"/>
      <c r="BD1" s="944"/>
      <c r="BE1" s="944"/>
      <c r="BF1" s="944"/>
      <c r="BG1" s="944"/>
      <c r="BH1" s="944" t="s">
        <v>3552</v>
      </c>
      <c r="BI1" s="944"/>
      <c r="BJ1" s="944"/>
      <c r="BK1" s="944"/>
      <c r="BL1" s="944"/>
      <c r="BM1" s="944"/>
      <c r="BN1" s="944"/>
      <c r="BO1" s="944"/>
      <c r="BP1" s="944"/>
      <c r="BQ1" s="944"/>
      <c r="BR1" s="944"/>
      <c r="BS1" s="944"/>
      <c r="BT1" s="944"/>
      <c r="BU1" s="944"/>
      <c r="BV1" s="944"/>
      <c r="BW1" s="944"/>
      <c r="BX1" s="944"/>
      <c r="BY1" s="944"/>
      <c r="BZ1" s="944"/>
      <c r="CA1" s="944"/>
      <c r="CB1" s="944"/>
      <c r="CC1" s="944"/>
      <c r="CD1" s="944"/>
      <c r="CE1" s="944"/>
      <c r="CF1" s="944"/>
      <c r="CG1" s="944"/>
      <c r="CH1" s="944"/>
      <c r="CI1" s="944"/>
      <c r="CJ1" s="944"/>
      <c r="CK1" s="944"/>
      <c r="CL1" s="944"/>
      <c r="CM1" s="944"/>
      <c r="CN1" s="944"/>
      <c r="CO1" s="944"/>
      <c r="CP1" s="944"/>
      <c r="CQ1" s="944"/>
      <c r="CR1" s="944"/>
      <c r="CS1" s="944"/>
      <c r="CT1" s="944"/>
      <c r="CU1" s="944"/>
      <c r="CV1" s="944"/>
      <c r="CW1" s="944"/>
      <c r="CX1" s="944"/>
      <c r="CY1" s="944"/>
      <c r="CZ1" s="944"/>
      <c r="DA1" s="755"/>
      <c r="DB1" s="755"/>
      <c r="DC1" s="755"/>
      <c r="DD1" s="755"/>
      <c r="DE1" s="755"/>
      <c r="DF1" s="755"/>
      <c r="DG1" s="755"/>
      <c r="DH1" s="755"/>
      <c r="DI1" s="755"/>
      <c r="DJ1" s="755"/>
      <c r="DK1" s="755"/>
      <c r="DL1" s="755"/>
      <c r="DM1" s="755"/>
      <c r="DN1" s="755"/>
      <c r="DO1" s="755"/>
      <c r="DP1" s="755"/>
      <c r="DQ1" s="755"/>
      <c r="DR1" s="755"/>
      <c r="DS1" s="755"/>
      <c r="DT1" s="755"/>
      <c r="DU1" s="755"/>
      <c r="DV1" s="755"/>
      <c r="DW1" s="755"/>
      <c r="DX1" s="755"/>
      <c r="DY1" s="755"/>
      <c r="DZ1" s="755"/>
      <c r="EA1" s="755"/>
      <c r="EB1" s="755"/>
      <c r="EC1" s="755"/>
      <c r="ED1" s="755"/>
    </row>
    <row r="2" spans="1:134" ht="15" x14ac:dyDescent="0.25">
      <c r="A2"/>
      <c r="B2"/>
      <c r="C2"/>
      <c r="D2"/>
      <c r="E2"/>
      <c r="F2"/>
      <c r="G2"/>
      <c r="H2"/>
      <c r="I2"/>
      <c r="J2"/>
      <c r="K2"/>
      <c r="L2"/>
      <c r="M2"/>
      <c r="N2"/>
      <c r="O2"/>
      <c r="P2"/>
      <c r="Q2"/>
      <c r="R2" s="114">
        <v>0</v>
      </c>
      <c r="S2" s="114">
        <v>834.49503068156923</v>
      </c>
      <c r="T2" s="114">
        <v>834.49503068156923</v>
      </c>
      <c r="U2" s="114">
        <v>1408.3846153846155</v>
      </c>
      <c r="V2" s="114">
        <v>0</v>
      </c>
      <c r="W2" s="114">
        <v>0</v>
      </c>
      <c r="X2" s="114">
        <v>1365.173957061457</v>
      </c>
      <c r="BH2" s="756">
        <v>2011</v>
      </c>
      <c r="BI2" s="756">
        <v>2012</v>
      </c>
      <c r="BJ2" s="756">
        <v>2013</v>
      </c>
      <c r="BK2" s="757">
        <v>2014</v>
      </c>
      <c r="BL2" s="757">
        <v>2015</v>
      </c>
      <c r="BM2" s="757">
        <v>2016</v>
      </c>
      <c r="BN2" s="757">
        <v>2017</v>
      </c>
      <c r="BO2" s="757">
        <v>2018</v>
      </c>
      <c r="BP2" s="757">
        <v>2019</v>
      </c>
      <c r="BQ2" s="757">
        <v>2020</v>
      </c>
      <c r="BR2" s="757">
        <v>2021</v>
      </c>
      <c r="BS2" s="757">
        <v>2022</v>
      </c>
      <c r="BT2" s="757">
        <v>2023</v>
      </c>
      <c r="BU2" s="757">
        <v>2024</v>
      </c>
      <c r="BV2" s="757">
        <v>2025</v>
      </c>
      <c r="BW2" s="756">
        <v>2011</v>
      </c>
      <c r="BX2" s="756">
        <v>2012</v>
      </c>
      <c r="BY2" s="756">
        <v>2013</v>
      </c>
      <c r="BZ2" s="757">
        <v>2014</v>
      </c>
      <c r="CA2" s="757">
        <v>2015</v>
      </c>
      <c r="CB2" s="757">
        <v>2016</v>
      </c>
      <c r="CC2" s="757">
        <v>2017</v>
      </c>
      <c r="CD2" s="757">
        <v>2018</v>
      </c>
      <c r="CE2" s="757">
        <v>2019</v>
      </c>
      <c r="CF2" s="757">
        <v>2020</v>
      </c>
      <c r="CG2" s="757">
        <v>2021</v>
      </c>
      <c r="CH2" s="757">
        <v>2022</v>
      </c>
      <c r="CI2" s="757">
        <v>2023</v>
      </c>
      <c r="CJ2" s="757">
        <v>2024</v>
      </c>
      <c r="CK2" s="757">
        <v>2025</v>
      </c>
      <c r="CL2" s="756">
        <v>2011</v>
      </c>
      <c r="CM2" s="756">
        <v>2012</v>
      </c>
      <c r="CN2" s="756">
        <v>2013</v>
      </c>
      <c r="CO2" s="757">
        <v>2014</v>
      </c>
      <c r="CP2" s="757">
        <v>2015</v>
      </c>
      <c r="CQ2" s="757">
        <v>2016</v>
      </c>
      <c r="CR2" s="757">
        <v>2017</v>
      </c>
      <c r="CS2" s="757">
        <v>2018</v>
      </c>
      <c r="CT2" s="757">
        <v>2019</v>
      </c>
      <c r="CU2" s="757">
        <v>2020</v>
      </c>
      <c r="CV2" s="757">
        <v>2021</v>
      </c>
      <c r="CW2" s="757">
        <v>2022</v>
      </c>
      <c r="CX2" s="757">
        <v>2023</v>
      </c>
      <c r="CY2" s="757">
        <v>2024</v>
      </c>
      <c r="CZ2" s="757">
        <v>2025</v>
      </c>
      <c r="DA2" s="756">
        <v>2011</v>
      </c>
      <c r="DB2" s="756">
        <v>2012</v>
      </c>
      <c r="DC2" s="756">
        <v>2013</v>
      </c>
      <c r="DD2" s="757">
        <v>2014</v>
      </c>
      <c r="DE2" s="757">
        <v>2015</v>
      </c>
      <c r="DF2" s="757">
        <v>2016</v>
      </c>
      <c r="DG2" s="757">
        <v>2017</v>
      </c>
      <c r="DH2" s="757">
        <v>2018</v>
      </c>
      <c r="DI2" s="757">
        <v>2019</v>
      </c>
      <c r="DJ2" s="757">
        <v>2020</v>
      </c>
      <c r="DK2" s="757">
        <v>2021</v>
      </c>
      <c r="DL2" s="757">
        <v>2022</v>
      </c>
      <c r="DM2" s="757">
        <v>2023</v>
      </c>
      <c r="DN2" s="757">
        <v>2024</v>
      </c>
      <c r="DO2" s="757">
        <v>2025</v>
      </c>
      <c r="DP2" s="756">
        <v>2011</v>
      </c>
      <c r="DQ2" s="756">
        <v>2012</v>
      </c>
      <c r="DR2" s="756">
        <v>2013</v>
      </c>
      <c r="DS2" s="757">
        <v>2014</v>
      </c>
      <c r="DT2" s="757">
        <v>2015</v>
      </c>
      <c r="DU2" s="757">
        <v>2016</v>
      </c>
      <c r="DV2" s="757">
        <v>2017</v>
      </c>
      <c r="DW2" s="757">
        <v>2018</v>
      </c>
      <c r="DX2" s="757">
        <v>2019</v>
      </c>
      <c r="DY2" s="757">
        <v>2020</v>
      </c>
      <c r="DZ2" s="757">
        <v>2021</v>
      </c>
      <c r="EA2" s="757">
        <v>2022</v>
      </c>
      <c r="EB2" s="757">
        <v>2023</v>
      </c>
      <c r="EC2" s="757">
        <v>2024</v>
      </c>
      <c r="ED2" s="757">
        <v>2025</v>
      </c>
    </row>
    <row r="3" spans="1:134" ht="15" x14ac:dyDescent="0.25">
      <c r="A3"/>
      <c r="B3"/>
      <c r="C3"/>
      <c r="D3"/>
      <c r="E3"/>
      <c r="F3"/>
      <c r="G3" s="758">
        <v>97581</v>
      </c>
      <c r="H3" s="758">
        <v>41783</v>
      </c>
      <c r="I3" s="758">
        <v>36441</v>
      </c>
      <c r="J3" s="758">
        <v>5342</v>
      </c>
      <c r="K3"/>
      <c r="L3"/>
      <c r="M3"/>
      <c r="N3"/>
      <c r="O3"/>
      <c r="P3" s="405" t="s">
        <v>3553</v>
      </c>
      <c r="Q3" s="758">
        <v>23088</v>
      </c>
      <c r="R3" s="114">
        <v>0</v>
      </c>
      <c r="S3" s="114">
        <v>834.49503068156957</v>
      </c>
      <c r="T3" s="114">
        <v>834.49503068156957</v>
      </c>
      <c r="U3" s="114">
        <v>1408.3846153846162</v>
      </c>
      <c r="V3" s="114">
        <v>0</v>
      </c>
      <c r="W3" s="114">
        <v>0</v>
      </c>
      <c r="X3" s="114">
        <v>1402.0705504955504</v>
      </c>
      <c r="AF3" s="405" t="s">
        <v>3554</v>
      </c>
      <c r="AG3" s="758">
        <v>36440.999999999993</v>
      </c>
      <c r="AK3" s="758">
        <v>39758.66834964521</v>
      </c>
      <c r="AO3" s="758">
        <v>34836.64848739851</v>
      </c>
      <c r="AR3" s="758">
        <v>1661.7750696698047</v>
      </c>
      <c r="AS3" s="758">
        <v>37787.114195794493</v>
      </c>
      <c r="AT3" s="758">
        <v>38704.569597861955</v>
      </c>
      <c r="AU3" s="758">
        <v>39658.742678033064</v>
      </c>
      <c r="AV3" s="758">
        <v>40650.774187393195</v>
      </c>
      <c r="AW3" s="758">
        <v>41681.867191585196</v>
      </c>
      <c r="AX3" s="758">
        <v>33274.729572709875</v>
      </c>
      <c r="AY3" s="758">
        <v>33997.809701671242</v>
      </c>
      <c r="AZ3" s="758">
        <v>34751.86864442948</v>
      </c>
      <c r="BA3" s="758">
        <v>35537.520282353558</v>
      </c>
      <c r="BB3" s="758">
        <v>36355.442584140248</v>
      </c>
      <c r="BC3" s="758">
        <v>1568.4694983924705</v>
      </c>
      <c r="BD3" s="758">
        <v>1592.4401435542591</v>
      </c>
      <c r="BE3" s="758">
        <v>1617.0074941395769</v>
      </c>
      <c r="BF3" s="758">
        <v>1642.1883466948743</v>
      </c>
      <c r="BG3" s="758">
        <v>1668</v>
      </c>
      <c r="BH3" s="758">
        <v>42184.122437038641</v>
      </c>
      <c r="BI3" s="758">
        <v>42693.961884089709</v>
      </c>
      <c r="BJ3" s="758">
        <v>43211.520118765708</v>
      </c>
      <c r="BK3" s="759">
        <v>43492.345704192732</v>
      </c>
      <c r="BL3" s="759">
        <v>43773.504408190929</v>
      </c>
      <c r="BM3" s="759">
        <v>44159.597672946467</v>
      </c>
      <c r="BN3" s="759">
        <v>44546.082902874114</v>
      </c>
      <c r="BO3" s="759">
        <v>44993.443877491911</v>
      </c>
      <c r="BP3" s="759">
        <v>45441.202465212598</v>
      </c>
      <c r="BQ3" s="759">
        <v>46584.052600311741</v>
      </c>
      <c r="BR3" s="759">
        <v>47922.989982291612</v>
      </c>
      <c r="BS3" s="759">
        <v>48535.96006654713</v>
      </c>
      <c r="BT3" s="759">
        <v>48892.88790105837</v>
      </c>
      <c r="BU3" s="759">
        <v>49261.178770593287</v>
      </c>
      <c r="BV3" s="759">
        <v>49637.500534491941</v>
      </c>
      <c r="BW3" s="758">
        <v>36799.021318671854</v>
      </c>
      <c r="BX3" s="758">
        <v>37249.374060835311</v>
      </c>
      <c r="BY3" s="758">
        <v>37706.621947830106</v>
      </c>
      <c r="BZ3" s="759">
        <v>37965.816543091001</v>
      </c>
      <c r="CA3" s="759">
        <v>38225.260139804341</v>
      </c>
      <c r="CB3" s="759">
        <v>38563.140846596994</v>
      </c>
      <c r="CC3" s="759">
        <v>38901.314541849613</v>
      </c>
      <c r="CD3" s="759">
        <v>39293.983461666619</v>
      </c>
      <c r="CE3" s="759">
        <v>39686.94959169237</v>
      </c>
      <c r="CF3" s="759">
        <v>40702.763153235588</v>
      </c>
      <c r="CG3" s="759">
        <v>41896.074779974522</v>
      </c>
      <c r="CH3" s="759">
        <v>42438.773177208932</v>
      </c>
      <c r="CI3" s="759">
        <v>42751.981926971814</v>
      </c>
      <c r="CJ3" s="759">
        <v>43075.336327126483</v>
      </c>
      <c r="CK3" s="759">
        <v>43405.850066937506</v>
      </c>
      <c r="CL3" s="758">
        <v>1692.4690545722417</v>
      </c>
      <c r="CM3" s="758">
        <v>1717.3556270726835</v>
      </c>
      <c r="CN3" s="758">
        <v>1742.6675394014253</v>
      </c>
      <c r="CO3" s="759">
        <v>1777.5515002930695</v>
      </c>
      <c r="CP3" s="759">
        <v>1812.4395742072984</v>
      </c>
      <c r="CQ3" s="759">
        <v>1848.6232775335832</v>
      </c>
      <c r="CR3" s="759">
        <v>1884.811820462779</v>
      </c>
      <c r="CS3" s="759">
        <v>1927.4940447495592</v>
      </c>
      <c r="CT3" s="759">
        <v>1970.181178374379</v>
      </c>
      <c r="CU3" s="759">
        <v>2087.3064149296451</v>
      </c>
      <c r="CV3" s="759">
        <v>2226.5729593863289</v>
      </c>
      <c r="CW3" s="759">
        <v>2288.0316851931607</v>
      </c>
      <c r="CX3" s="759">
        <v>2322.0329058786269</v>
      </c>
      <c r="CY3" s="759">
        <v>2357.2278135108163</v>
      </c>
      <c r="CZ3" s="759">
        <v>2393.2592498847657</v>
      </c>
      <c r="DA3" s="758">
        <v>102.43246808374707</v>
      </c>
      <c r="DB3" s="758">
        <v>103.74927950089808</v>
      </c>
      <c r="DC3" s="758">
        <v>105.08347126371459</v>
      </c>
      <c r="DD3" s="759">
        <v>105.85634389860192</v>
      </c>
      <c r="DE3" s="759">
        <v>106.62940022828539</v>
      </c>
      <c r="DF3" s="759">
        <v>107.46032163789667</v>
      </c>
      <c r="DG3" s="759">
        <v>108.29145919265447</v>
      </c>
      <c r="DH3" s="759">
        <v>109.26891026941541</v>
      </c>
      <c r="DI3" s="759">
        <v>110.24658060581602</v>
      </c>
      <c r="DJ3" s="759">
        <v>112.90266581827041</v>
      </c>
      <c r="DK3" s="759">
        <v>116.05469719975815</v>
      </c>
      <c r="DL3" s="759">
        <v>117.45251618581557</v>
      </c>
      <c r="DM3" s="759">
        <v>118.23133759751533</v>
      </c>
      <c r="DN3" s="759">
        <v>119.037140853209</v>
      </c>
      <c r="DO3" s="759">
        <v>119.86187373363805</v>
      </c>
      <c r="DP3" s="758">
        <v>45.541755641191791</v>
      </c>
      <c r="DQ3" s="758">
        <v>46.090498420310297</v>
      </c>
      <c r="DR3" s="758">
        <v>46.646320809758933</v>
      </c>
      <c r="DS3" s="759">
        <v>47.002444682383391</v>
      </c>
      <c r="DT3" s="759">
        <v>47.358568555007864</v>
      </c>
      <c r="DU3" s="759">
        <v>47.714692427632336</v>
      </c>
      <c r="DV3" s="759">
        <v>48.070816300256794</v>
      </c>
      <c r="DW3" s="759">
        <v>48.491909422126056</v>
      </c>
      <c r="DX3" s="759">
        <v>48.913002543995326</v>
      </c>
      <c r="DY3" s="759">
        <v>50.080393562373601</v>
      </c>
      <c r="DZ3" s="759">
        <v>51.471260056191007</v>
      </c>
      <c r="EA3" s="759">
        <v>52.081962150217983</v>
      </c>
      <c r="EB3" s="759">
        <v>52.417332919649354</v>
      </c>
      <c r="EC3" s="759">
        <v>52.764640994836633</v>
      </c>
      <c r="ED3" s="759">
        <v>53.120305184053088</v>
      </c>
    </row>
    <row r="4" spans="1:134" ht="15" x14ac:dyDescent="0.25">
      <c r="A4"/>
      <c r="B4"/>
      <c r="C4"/>
      <c r="D4"/>
      <c r="E4"/>
      <c r="F4"/>
      <c r="G4" s="923" t="s">
        <v>3555</v>
      </c>
      <c r="H4" s="923"/>
      <c r="I4" s="923"/>
      <c r="J4" s="923"/>
      <c r="K4" s="923" t="s">
        <v>3556</v>
      </c>
      <c r="L4" s="923"/>
      <c r="M4" s="923"/>
      <c r="N4" s="923"/>
      <c r="O4" s="923"/>
      <c r="P4" s="923"/>
      <c r="Q4" s="923"/>
      <c r="R4" s="923" t="s">
        <v>3557</v>
      </c>
      <c r="S4" s="923"/>
      <c r="T4" s="923"/>
      <c r="U4" s="923"/>
      <c r="V4" s="923"/>
      <c r="W4" s="923"/>
      <c r="X4" s="923"/>
      <c r="Y4" s="923" t="s">
        <v>3558</v>
      </c>
      <c r="Z4" s="923"/>
      <c r="AA4" s="923"/>
      <c r="AB4" s="923"/>
      <c r="AC4" s="923"/>
      <c r="AD4" s="923"/>
      <c r="AE4" s="944" t="s">
        <v>3559</v>
      </c>
      <c r="AF4" s="944"/>
      <c r="AG4" s="944"/>
      <c r="AH4" s="944"/>
      <c r="AI4" s="944" t="s">
        <v>3560</v>
      </c>
      <c r="AJ4" s="944"/>
      <c r="AK4" s="944"/>
      <c r="AL4" s="944"/>
      <c r="AM4" s="944" t="s">
        <v>3561</v>
      </c>
      <c r="AN4" s="944"/>
      <c r="AO4" s="944"/>
      <c r="AP4" s="944"/>
      <c r="AQ4" s="944" t="s">
        <v>3562</v>
      </c>
      <c r="AR4" s="944"/>
      <c r="AS4" s="945" t="s">
        <v>3563</v>
      </c>
      <c r="AT4" s="945"/>
      <c r="AU4" s="945"/>
      <c r="AV4" s="945"/>
      <c r="AW4" s="945"/>
      <c r="AX4" s="945" t="s">
        <v>3564</v>
      </c>
      <c r="AY4" s="945"/>
      <c r="AZ4" s="945"/>
      <c r="BA4" s="945"/>
      <c r="BB4" s="945"/>
      <c r="BC4" s="945" t="s">
        <v>3565</v>
      </c>
      <c r="BD4" s="945"/>
      <c r="BE4" s="945"/>
      <c r="BF4" s="945"/>
      <c r="BG4" s="945"/>
      <c r="BH4" s="945" t="s">
        <v>3563</v>
      </c>
      <c r="BI4" s="945"/>
      <c r="BJ4" s="945"/>
      <c r="BK4" s="945"/>
      <c r="BL4" s="945"/>
      <c r="BM4" s="945"/>
      <c r="BN4" s="945"/>
      <c r="BO4" s="945"/>
      <c r="BP4" s="945"/>
      <c r="BQ4" s="945"/>
      <c r="BR4" s="945"/>
      <c r="BS4" s="945"/>
      <c r="BT4" s="945"/>
      <c r="BU4" s="945"/>
      <c r="BV4" s="945"/>
      <c r="BW4" s="945" t="s">
        <v>3564</v>
      </c>
      <c r="BX4" s="945"/>
      <c r="BY4" s="945"/>
      <c r="BZ4" s="945"/>
      <c r="CA4" s="945"/>
      <c r="CB4" s="945"/>
      <c r="CC4" s="945"/>
      <c r="CD4" s="945"/>
      <c r="CE4" s="945"/>
      <c r="CF4" s="945"/>
      <c r="CG4" s="945"/>
      <c r="CH4" s="945"/>
      <c r="CI4" s="945"/>
      <c r="CJ4" s="945"/>
      <c r="CK4" s="945"/>
      <c r="CL4" s="945" t="s">
        <v>3565</v>
      </c>
      <c r="CM4" s="945"/>
      <c r="CN4" s="945"/>
      <c r="CO4" s="945"/>
      <c r="CP4" s="945"/>
      <c r="CQ4" s="945"/>
      <c r="CR4" s="945"/>
      <c r="CS4" s="945"/>
      <c r="CT4" s="945"/>
      <c r="CU4" s="945"/>
      <c r="CV4" s="945"/>
      <c r="CW4" s="945"/>
      <c r="CX4" s="945"/>
      <c r="CY4" s="945"/>
      <c r="CZ4" s="945"/>
      <c r="DA4" s="945" t="s">
        <v>3566</v>
      </c>
      <c r="DB4" s="945"/>
      <c r="DC4" s="945"/>
      <c r="DD4" s="945"/>
      <c r="DE4" s="945"/>
      <c r="DF4" s="945"/>
      <c r="DG4" s="945"/>
      <c r="DH4" s="945"/>
      <c r="DI4" s="945"/>
      <c r="DJ4" s="945"/>
      <c r="DK4" s="945"/>
      <c r="DL4" s="945"/>
      <c r="DM4" s="945"/>
      <c r="DN4" s="945"/>
      <c r="DO4" s="945"/>
      <c r="DP4" s="945" t="s">
        <v>3567</v>
      </c>
      <c r="DQ4" s="945"/>
      <c r="DR4" s="945"/>
      <c r="DS4" s="945"/>
      <c r="DT4" s="945"/>
      <c r="DU4" s="945"/>
      <c r="DV4" s="945"/>
      <c r="DW4" s="945"/>
      <c r="DX4" s="945"/>
      <c r="DY4" s="945"/>
      <c r="DZ4" s="945"/>
      <c r="EA4" s="945"/>
      <c r="EB4" s="945"/>
      <c r="EC4" s="945"/>
      <c r="ED4" s="945"/>
    </row>
    <row r="5" spans="1:134" ht="15.75" thickBot="1" x14ac:dyDescent="0.3">
      <c r="A5" s="15" t="s">
        <v>3568</v>
      </c>
      <c r="B5" s="15" t="s">
        <v>3569</v>
      </c>
      <c r="C5" s="15" t="s">
        <v>3570</v>
      </c>
      <c r="D5" s="15" t="s">
        <v>3571</v>
      </c>
      <c r="E5" s="15" t="s">
        <v>3572</v>
      </c>
      <c r="F5" s="760" t="s">
        <v>3573</v>
      </c>
      <c r="G5" s="15" t="s">
        <v>3574</v>
      </c>
      <c r="H5" s="15" t="s">
        <v>3575</v>
      </c>
      <c r="I5" s="15" t="s">
        <v>3576</v>
      </c>
      <c r="J5" s="15" t="s">
        <v>3577</v>
      </c>
      <c r="K5" s="15" t="s">
        <v>3578</v>
      </c>
      <c r="L5" s="15" t="s">
        <v>3579</v>
      </c>
      <c r="M5" s="15" t="s">
        <v>3580</v>
      </c>
      <c r="N5" s="15" t="s">
        <v>3581</v>
      </c>
      <c r="O5" s="15" t="s">
        <v>3582</v>
      </c>
      <c r="P5" s="15" t="s">
        <v>3583</v>
      </c>
      <c r="Q5" s="15" t="s">
        <v>2462</v>
      </c>
      <c r="R5" s="15" t="s">
        <v>3578</v>
      </c>
      <c r="S5" s="15" t="s">
        <v>3579</v>
      </c>
      <c r="T5" s="15" t="s">
        <v>3580</v>
      </c>
      <c r="U5" s="15" t="s">
        <v>3581</v>
      </c>
      <c r="V5" s="15" t="s">
        <v>3582</v>
      </c>
      <c r="W5" s="15" t="s">
        <v>3583</v>
      </c>
      <c r="X5" s="15" t="s">
        <v>2462</v>
      </c>
      <c r="Y5" s="15" t="s">
        <v>3578</v>
      </c>
      <c r="Z5" s="15" t="s">
        <v>3579</v>
      </c>
      <c r="AA5" s="15" t="s">
        <v>3582</v>
      </c>
      <c r="AB5" s="761" t="s">
        <v>3581</v>
      </c>
      <c r="AC5" s="761" t="s">
        <v>3583</v>
      </c>
      <c r="AD5" s="762" t="s">
        <v>2462</v>
      </c>
      <c r="AE5" s="15" t="s">
        <v>3578</v>
      </c>
      <c r="AF5" s="15" t="s">
        <v>3579</v>
      </c>
      <c r="AG5" s="763" t="s">
        <v>3584</v>
      </c>
      <c r="AH5" s="15" t="s">
        <v>3582</v>
      </c>
      <c r="AI5" s="15" t="s">
        <v>3578</v>
      </c>
      <c r="AJ5" s="15" t="s">
        <v>3579</v>
      </c>
      <c r="AK5" s="15" t="s">
        <v>3584</v>
      </c>
      <c r="AL5" s="15" t="s">
        <v>3582</v>
      </c>
      <c r="AM5" s="15" t="s">
        <v>3578</v>
      </c>
      <c r="AN5" s="15" t="s">
        <v>3579</v>
      </c>
      <c r="AO5" s="15" t="s">
        <v>3584</v>
      </c>
      <c r="AP5" s="15" t="s">
        <v>3582</v>
      </c>
      <c r="AQ5" s="15" t="s">
        <v>3581</v>
      </c>
      <c r="AR5" s="15" t="s">
        <v>3583</v>
      </c>
      <c r="AS5" s="764" t="s">
        <v>3585</v>
      </c>
      <c r="AT5" s="764" t="s">
        <v>3586</v>
      </c>
      <c r="AU5" s="764" t="s">
        <v>3587</v>
      </c>
      <c r="AV5" s="764" t="s">
        <v>3588</v>
      </c>
      <c r="AW5" s="764" t="s">
        <v>3589</v>
      </c>
      <c r="AX5" s="764" t="s">
        <v>3590</v>
      </c>
      <c r="AY5" s="764" t="s">
        <v>3591</v>
      </c>
      <c r="AZ5" s="764" t="s">
        <v>3592</v>
      </c>
      <c r="BA5" s="764" t="s">
        <v>3593</v>
      </c>
      <c r="BB5" s="764" t="s">
        <v>3594</v>
      </c>
      <c r="BC5" s="764" t="s">
        <v>3595</v>
      </c>
      <c r="BD5" s="764" t="s">
        <v>3596</v>
      </c>
      <c r="BE5" s="764" t="s">
        <v>3597</v>
      </c>
      <c r="BF5" s="764" t="s">
        <v>3598</v>
      </c>
      <c r="BG5" s="764" t="s">
        <v>3599</v>
      </c>
      <c r="BH5" s="764" t="s">
        <v>3600</v>
      </c>
      <c r="BI5" s="764" t="s">
        <v>3601</v>
      </c>
      <c r="BJ5" s="764" t="s">
        <v>3602</v>
      </c>
      <c r="BK5" s="765" t="s">
        <v>3603</v>
      </c>
      <c r="BL5" s="765" t="s">
        <v>3604</v>
      </c>
      <c r="BM5" s="765" t="s">
        <v>3605</v>
      </c>
      <c r="BN5" s="765" t="s">
        <v>3606</v>
      </c>
      <c r="BO5" s="765" t="s">
        <v>3607</v>
      </c>
      <c r="BP5" s="765" t="s">
        <v>3608</v>
      </c>
      <c r="BQ5" s="765" t="s">
        <v>3609</v>
      </c>
      <c r="BR5" s="765" t="s">
        <v>3610</v>
      </c>
      <c r="BS5" s="765" t="s">
        <v>3611</v>
      </c>
      <c r="BT5" s="765" t="s">
        <v>3612</v>
      </c>
      <c r="BU5" s="765" t="s">
        <v>3613</v>
      </c>
      <c r="BV5" s="765" t="s">
        <v>3614</v>
      </c>
      <c r="BW5" s="764" t="s">
        <v>3615</v>
      </c>
      <c r="BX5" s="764" t="s">
        <v>3616</v>
      </c>
      <c r="BY5" s="764" t="s">
        <v>3617</v>
      </c>
      <c r="BZ5" s="765" t="s">
        <v>3618</v>
      </c>
      <c r="CA5" s="765" t="s">
        <v>3619</v>
      </c>
      <c r="CB5" s="765" t="s">
        <v>3620</v>
      </c>
      <c r="CC5" s="765" t="s">
        <v>3621</v>
      </c>
      <c r="CD5" s="765" t="s">
        <v>3622</v>
      </c>
      <c r="CE5" s="765" t="s">
        <v>3623</v>
      </c>
      <c r="CF5" s="765" t="s">
        <v>3624</v>
      </c>
      <c r="CG5" s="765" t="s">
        <v>3625</v>
      </c>
      <c r="CH5" s="765" t="s">
        <v>3626</v>
      </c>
      <c r="CI5" s="765" t="s">
        <v>3627</v>
      </c>
      <c r="CJ5" s="765" t="s">
        <v>3628</v>
      </c>
      <c r="CK5" s="765" t="s">
        <v>3629</v>
      </c>
      <c r="CL5" s="764" t="s">
        <v>3630</v>
      </c>
      <c r="CM5" s="764" t="s">
        <v>3631</v>
      </c>
      <c r="CN5" s="764" t="s">
        <v>3632</v>
      </c>
      <c r="CO5" s="765" t="s">
        <v>3633</v>
      </c>
      <c r="CP5" s="765" t="s">
        <v>3634</v>
      </c>
      <c r="CQ5" s="765" t="s">
        <v>3635</v>
      </c>
      <c r="CR5" s="765" t="s">
        <v>3636</v>
      </c>
      <c r="CS5" s="765" t="s">
        <v>3637</v>
      </c>
      <c r="CT5" s="765" t="s">
        <v>3638</v>
      </c>
      <c r="CU5" s="765" t="s">
        <v>3639</v>
      </c>
      <c r="CV5" s="765" t="s">
        <v>3640</v>
      </c>
      <c r="CW5" s="765" t="s">
        <v>3641</v>
      </c>
      <c r="CX5" s="765" t="s">
        <v>3642</v>
      </c>
      <c r="CY5" s="765" t="s">
        <v>3643</v>
      </c>
      <c r="CZ5" s="765" t="s">
        <v>3644</v>
      </c>
      <c r="DA5" s="764" t="s">
        <v>3645</v>
      </c>
      <c r="DB5" s="764" t="s">
        <v>3646</v>
      </c>
      <c r="DC5" s="764" t="s">
        <v>3647</v>
      </c>
      <c r="DD5" s="765" t="s">
        <v>3648</v>
      </c>
      <c r="DE5" s="765" t="s">
        <v>3649</v>
      </c>
      <c r="DF5" s="765" t="s">
        <v>3650</v>
      </c>
      <c r="DG5" s="765" t="s">
        <v>3651</v>
      </c>
      <c r="DH5" s="765" t="s">
        <v>3652</v>
      </c>
      <c r="DI5" s="765" t="s">
        <v>3653</v>
      </c>
      <c r="DJ5" s="765" t="s">
        <v>3654</v>
      </c>
      <c r="DK5" s="765" t="s">
        <v>3655</v>
      </c>
      <c r="DL5" s="765" t="s">
        <v>3656</v>
      </c>
      <c r="DM5" s="765" t="s">
        <v>3657</v>
      </c>
      <c r="DN5" s="765" t="s">
        <v>3658</v>
      </c>
      <c r="DO5" s="765" t="s">
        <v>3659</v>
      </c>
      <c r="DP5" s="764" t="s">
        <v>3660</v>
      </c>
      <c r="DQ5" s="764" t="s">
        <v>3661</v>
      </c>
      <c r="DR5" s="764" t="s">
        <v>3662</v>
      </c>
      <c r="DS5" s="765" t="s">
        <v>3663</v>
      </c>
      <c r="DT5" s="765" t="s">
        <v>3664</v>
      </c>
      <c r="DU5" s="765" t="s">
        <v>3665</v>
      </c>
      <c r="DV5" s="765" t="s">
        <v>3666</v>
      </c>
      <c r="DW5" s="765" t="s">
        <v>3667</v>
      </c>
      <c r="DX5" s="765" t="s">
        <v>3668</v>
      </c>
      <c r="DY5" s="765" t="s">
        <v>3669</v>
      </c>
      <c r="DZ5" s="765" t="s">
        <v>3670</v>
      </c>
      <c r="EA5" s="765" t="s">
        <v>3671</v>
      </c>
      <c r="EB5" s="765" t="s">
        <v>3672</v>
      </c>
      <c r="EC5" s="765" t="s">
        <v>3673</v>
      </c>
      <c r="ED5" s="765" t="s">
        <v>3674</v>
      </c>
    </row>
    <row r="6" spans="1:134" ht="15.75" thickTop="1" x14ac:dyDescent="0.25">
      <c r="A6" s="766">
        <v>108</v>
      </c>
      <c r="B6" s="766">
        <v>49</v>
      </c>
      <c r="C6" s="766" t="s">
        <v>3675</v>
      </c>
      <c r="D6" s="2">
        <v>99760</v>
      </c>
      <c r="E6" s="2">
        <v>99743</v>
      </c>
      <c r="F6" s="767" t="s">
        <v>3676</v>
      </c>
      <c r="G6" s="114">
        <v>0</v>
      </c>
      <c r="H6" s="114">
        <v>9</v>
      </c>
      <c r="I6" s="114">
        <v>0</v>
      </c>
      <c r="J6" s="114">
        <v>9</v>
      </c>
      <c r="K6" s="114">
        <v>0</v>
      </c>
      <c r="L6" s="114">
        <v>0</v>
      </c>
      <c r="M6" s="114">
        <v>0</v>
      </c>
      <c r="N6" s="114">
        <v>0</v>
      </c>
      <c r="O6" s="114">
        <v>0</v>
      </c>
      <c r="P6" s="114">
        <v>0</v>
      </c>
      <c r="Q6" s="114">
        <v>0</v>
      </c>
      <c r="R6" s="114">
        <v>0</v>
      </c>
      <c r="S6" s="114">
        <v>834.49503068156923</v>
      </c>
      <c r="T6" s="114">
        <v>834.49503068156923</v>
      </c>
      <c r="U6" s="114">
        <v>1408.3846153846155</v>
      </c>
      <c r="V6" s="114">
        <v>0</v>
      </c>
      <c r="W6" s="114">
        <v>0</v>
      </c>
      <c r="X6" s="114">
        <v>1365.173957061457</v>
      </c>
      <c r="Y6" s="114">
        <v>0.20621101871101871</v>
      </c>
      <c r="Z6" s="114">
        <v>8.7820945945945947</v>
      </c>
      <c r="AA6" s="114">
        <v>1.1694386694386695E-2</v>
      </c>
      <c r="AB6" s="657">
        <v>0</v>
      </c>
      <c r="AC6" s="657">
        <v>0</v>
      </c>
      <c r="AD6" s="768">
        <v>9</v>
      </c>
      <c r="AE6" s="769">
        <v>0</v>
      </c>
      <c r="AF6" s="769">
        <v>0</v>
      </c>
      <c r="AG6" s="770">
        <v>0</v>
      </c>
      <c r="AH6" s="769">
        <v>0</v>
      </c>
      <c r="AI6" s="769">
        <v>0.19045831633298477</v>
      </c>
      <c r="AJ6" s="769">
        <v>8.1112200541886832</v>
      </c>
      <c r="AK6" s="769">
        <v>8.3016783705216675</v>
      </c>
      <c r="AL6" s="769">
        <v>1.0801038733439589E-2</v>
      </c>
      <c r="AM6" s="769">
        <v>0</v>
      </c>
      <c r="AN6" s="769">
        <v>0</v>
      </c>
      <c r="AO6" s="769">
        <v>0</v>
      </c>
      <c r="AP6" s="769">
        <v>0</v>
      </c>
      <c r="AQ6" s="769">
        <v>0</v>
      </c>
      <c r="AR6" s="769">
        <v>0</v>
      </c>
      <c r="AS6" s="769">
        <v>7.6675033908022057</v>
      </c>
      <c r="AT6" s="769">
        <v>7.9782922392780415</v>
      </c>
      <c r="AU6" s="769">
        <v>8.3016783705216675</v>
      </c>
      <c r="AV6" s="769">
        <v>8.6381723933722068</v>
      </c>
      <c r="AW6" s="769">
        <v>8.988305613305613</v>
      </c>
      <c r="AX6" s="769">
        <v>0</v>
      </c>
      <c r="AY6" s="769">
        <v>0</v>
      </c>
      <c r="AZ6" s="769">
        <v>0</v>
      </c>
      <c r="BA6" s="769">
        <v>0</v>
      </c>
      <c r="BB6" s="769">
        <v>0</v>
      </c>
      <c r="BC6" s="769">
        <v>0</v>
      </c>
      <c r="BD6" s="769">
        <v>0</v>
      </c>
      <c r="BE6" s="769">
        <v>0</v>
      </c>
      <c r="BF6" s="769">
        <v>0</v>
      </c>
      <c r="BG6" s="769">
        <v>0</v>
      </c>
      <c r="BH6" s="771">
        <v>9.0256535918069574</v>
      </c>
      <c r="BI6" s="771">
        <v>9.0631567576771044</v>
      </c>
      <c r="BJ6" s="771">
        <v>9.1008157557466589</v>
      </c>
      <c r="BK6" s="772">
        <v>9.0409818850916821</v>
      </c>
      <c r="BL6" s="772">
        <v>8.9815413958844399</v>
      </c>
      <c r="BM6" s="772">
        <v>9.0460186735236743</v>
      </c>
      <c r="BN6" s="772">
        <v>9.1109588248667102</v>
      </c>
      <c r="BO6" s="772">
        <v>9.1763651728216118</v>
      </c>
      <c r="BP6" s="772">
        <v>9.2422410641511483</v>
      </c>
      <c r="BQ6" s="772">
        <v>9.3085898696440523</v>
      </c>
      <c r="BR6" s="772">
        <v>9.3608448026518669</v>
      </c>
      <c r="BS6" s="772">
        <v>9.4133930752591155</v>
      </c>
      <c r="BT6" s="772">
        <v>9.4662363341643143</v>
      </c>
      <c r="BU6" s="772">
        <v>9.5193762353099256</v>
      </c>
      <c r="BV6" s="772">
        <v>9.5728144439342486</v>
      </c>
      <c r="BW6" s="771">
        <v>0</v>
      </c>
      <c r="BX6" s="771">
        <v>0</v>
      </c>
      <c r="BY6" s="771">
        <v>0</v>
      </c>
      <c r="BZ6" s="772">
        <v>0</v>
      </c>
      <c r="CA6" s="772">
        <v>0</v>
      </c>
      <c r="CB6" s="772">
        <v>0</v>
      </c>
      <c r="CC6" s="772">
        <v>0</v>
      </c>
      <c r="CD6" s="772">
        <v>0</v>
      </c>
      <c r="CE6" s="772">
        <v>0</v>
      </c>
      <c r="CF6" s="772">
        <v>0</v>
      </c>
      <c r="CG6" s="772">
        <v>0</v>
      </c>
      <c r="CH6" s="772">
        <v>0</v>
      </c>
      <c r="CI6" s="772">
        <v>0</v>
      </c>
      <c r="CJ6" s="772">
        <v>0</v>
      </c>
      <c r="CK6" s="772">
        <v>0</v>
      </c>
      <c r="CL6" s="771">
        <v>0</v>
      </c>
      <c r="CM6" s="771">
        <v>0</v>
      </c>
      <c r="CN6" s="771">
        <v>0</v>
      </c>
      <c r="CO6" s="772">
        <v>0</v>
      </c>
      <c r="CP6" s="772">
        <v>0</v>
      </c>
      <c r="CQ6" s="772">
        <v>0</v>
      </c>
      <c r="CR6" s="772">
        <v>0</v>
      </c>
      <c r="CS6" s="772">
        <v>0</v>
      </c>
      <c r="CT6" s="772">
        <v>0</v>
      </c>
      <c r="CU6" s="772">
        <v>0</v>
      </c>
      <c r="CV6" s="772">
        <v>0</v>
      </c>
      <c r="CW6" s="772">
        <v>0</v>
      </c>
      <c r="CX6" s="772">
        <v>0</v>
      </c>
      <c r="CY6" s="772">
        <v>0</v>
      </c>
      <c r="CZ6" s="772">
        <v>0</v>
      </c>
      <c r="DA6" s="773">
        <v>1.1742978912056931E-2</v>
      </c>
      <c r="DB6" s="773">
        <v>1.1791773038872112E-2</v>
      </c>
      <c r="DC6" s="773">
        <v>1.1840769913799972E-2</v>
      </c>
      <c r="DD6" s="774">
        <v>1.176292204669748E-2</v>
      </c>
      <c r="DE6" s="774">
        <v>1.1685585995165807E-2</v>
      </c>
      <c r="DF6" s="774">
        <v>1.1769475245281907E-2</v>
      </c>
      <c r="DG6" s="774">
        <v>1.1853966725041257E-2</v>
      </c>
      <c r="DH6" s="774">
        <v>1.1939064757769466E-2</v>
      </c>
      <c r="DI6" s="774">
        <v>1.2024773697828712E-2</v>
      </c>
      <c r="DJ6" s="774">
        <v>1.2111097930840557E-2</v>
      </c>
      <c r="DK6" s="774">
        <v>1.2179085093223871E-2</v>
      </c>
      <c r="DL6" s="774">
        <v>1.2247453910043086E-2</v>
      </c>
      <c r="DM6" s="774">
        <v>1.2316206523763095E-2</v>
      </c>
      <c r="DN6" s="774">
        <v>1.2385345088875781E-2</v>
      </c>
      <c r="DO6" s="774">
        <v>1.2454871771967538E-2</v>
      </c>
      <c r="DP6" s="773">
        <v>0</v>
      </c>
      <c r="DQ6" s="773">
        <v>0</v>
      </c>
      <c r="DR6" s="773">
        <v>0</v>
      </c>
      <c r="DS6" s="774">
        <v>0</v>
      </c>
      <c r="DT6" s="774">
        <v>0</v>
      </c>
      <c r="DU6" s="774">
        <v>0</v>
      </c>
      <c r="DV6" s="774">
        <v>0</v>
      </c>
      <c r="DW6" s="774">
        <v>0</v>
      </c>
      <c r="DX6" s="774">
        <v>0</v>
      </c>
      <c r="DY6" s="774">
        <v>0</v>
      </c>
      <c r="DZ6" s="774">
        <v>0</v>
      </c>
      <c r="EA6" s="774">
        <v>0</v>
      </c>
      <c r="EB6" s="774">
        <v>0</v>
      </c>
      <c r="EC6" s="774">
        <v>0</v>
      </c>
      <c r="ED6" s="774">
        <v>0</v>
      </c>
    </row>
    <row r="7" spans="1:134" ht="15" x14ac:dyDescent="0.25">
      <c r="A7" s="766">
        <v>133</v>
      </c>
      <c r="B7" s="766">
        <v>49</v>
      </c>
      <c r="C7" s="766" t="s">
        <v>3677</v>
      </c>
      <c r="D7" s="2">
        <v>99714</v>
      </c>
      <c r="E7" s="2">
        <v>99714</v>
      </c>
      <c r="F7" s="767" t="s">
        <v>3676</v>
      </c>
      <c r="G7" s="114">
        <v>0</v>
      </c>
      <c r="H7" s="114">
        <v>1</v>
      </c>
      <c r="I7" s="114">
        <v>0</v>
      </c>
      <c r="J7" s="114">
        <v>1</v>
      </c>
      <c r="K7" s="114">
        <v>0</v>
      </c>
      <c r="L7" s="114">
        <v>0</v>
      </c>
      <c r="M7" s="114">
        <v>0</v>
      </c>
      <c r="N7" s="114">
        <v>0</v>
      </c>
      <c r="O7" s="114">
        <v>0</v>
      </c>
      <c r="P7" s="114">
        <v>0</v>
      </c>
      <c r="Q7" s="114">
        <v>0</v>
      </c>
      <c r="R7" s="114">
        <v>0</v>
      </c>
      <c r="S7" s="114">
        <v>834.49503068156923</v>
      </c>
      <c r="T7" s="114">
        <v>834.49503068156923</v>
      </c>
      <c r="U7" s="114">
        <v>1408.3846153846155</v>
      </c>
      <c r="V7" s="114">
        <v>0</v>
      </c>
      <c r="W7" s="114">
        <v>0</v>
      </c>
      <c r="X7" s="114">
        <v>1365.173957061457</v>
      </c>
      <c r="Y7" s="114">
        <v>2.2912335412335411E-2</v>
      </c>
      <c r="Z7" s="114">
        <v>0.97578828828828834</v>
      </c>
      <c r="AA7" s="114">
        <v>1.2993762993762994E-3</v>
      </c>
      <c r="AB7" s="657">
        <v>0</v>
      </c>
      <c r="AC7" s="657">
        <v>0</v>
      </c>
      <c r="AD7" s="768">
        <v>1</v>
      </c>
      <c r="AE7" s="769">
        <v>0</v>
      </c>
      <c r="AF7" s="769">
        <v>0</v>
      </c>
      <c r="AG7" s="770">
        <v>0</v>
      </c>
      <c r="AH7" s="769">
        <v>0</v>
      </c>
      <c r="AI7" s="769">
        <v>2.1494750212074962E-2</v>
      </c>
      <c r="AJ7" s="769">
        <v>0.91541630912634575</v>
      </c>
      <c r="AK7" s="769">
        <v>0.93691105933842067</v>
      </c>
      <c r="AL7" s="769">
        <v>1.2189839439740056E-3</v>
      </c>
      <c r="AM7" s="769">
        <v>0</v>
      </c>
      <c r="AN7" s="769">
        <v>0</v>
      </c>
      <c r="AO7" s="769">
        <v>0</v>
      </c>
      <c r="AP7" s="769">
        <v>0</v>
      </c>
      <c r="AQ7" s="769">
        <v>0</v>
      </c>
      <c r="AR7" s="769">
        <v>0</v>
      </c>
      <c r="AS7" s="769">
        <v>0.87894441264890677</v>
      </c>
      <c r="AT7" s="769">
        <v>0.9074650080055281</v>
      </c>
      <c r="AU7" s="769">
        <v>0.93691105933842067</v>
      </c>
      <c r="AV7" s="769">
        <v>0.96731259648228129</v>
      </c>
      <c r="AW7" s="769">
        <v>0.99870062370062374</v>
      </c>
      <c r="AX7" s="769">
        <v>0</v>
      </c>
      <c r="AY7" s="769">
        <v>0</v>
      </c>
      <c r="AZ7" s="769">
        <v>0</v>
      </c>
      <c r="BA7" s="769">
        <v>0</v>
      </c>
      <c r="BB7" s="769">
        <v>0</v>
      </c>
      <c r="BC7" s="769">
        <v>0</v>
      </c>
      <c r="BD7" s="769">
        <v>0</v>
      </c>
      <c r="BE7" s="769">
        <v>0</v>
      </c>
      <c r="BF7" s="769">
        <v>0</v>
      </c>
      <c r="BG7" s="769">
        <v>0</v>
      </c>
      <c r="BH7" s="771">
        <v>1.002850399089662</v>
      </c>
      <c r="BI7" s="771">
        <v>1.0070174175196784</v>
      </c>
      <c r="BJ7" s="771">
        <v>1.0112017506385176</v>
      </c>
      <c r="BK7" s="772">
        <v>1.0045535427879646</v>
      </c>
      <c r="BL7" s="772">
        <v>0.99794904398715989</v>
      </c>
      <c r="BM7" s="772">
        <v>1.0051131859470748</v>
      </c>
      <c r="BN7" s="772">
        <v>1.0123287583185232</v>
      </c>
      <c r="BO7" s="772">
        <v>1.0195961303135124</v>
      </c>
      <c r="BP7" s="772">
        <v>1.0269156737945719</v>
      </c>
      <c r="BQ7" s="772">
        <v>1.0342877632937835</v>
      </c>
      <c r="BR7" s="772">
        <v>1.0400938669613184</v>
      </c>
      <c r="BS7" s="772">
        <v>1.0459325639176795</v>
      </c>
      <c r="BT7" s="772">
        <v>1.0518040371293682</v>
      </c>
      <c r="BU7" s="772">
        <v>1.0577084705899917</v>
      </c>
      <c r="BV7" s="772">
        <v>1.0636460493260276</v>
      </c>
      <c r="BW7" s="771">
        <v>0</v>
      </c>
      <c r="BX7" s="771">
        <v>0</v>
      </c>
      <c r="BY7" s="771">
        <v>0</v>
      </c>
      <c r="BZ7" s="772">
        <v>0</v>
      </c>
      <c r="CA7" s="772">
        <v>0</v>
      </c>
      <c r="CB7" s="772">
        <v>0</v>
      </c>
      <c r="CC7" s="772">
        <v>0</v>
      </c>
      <c r="CD7" s="772">
        <v>0</v>
      </c>
      <c r="CE7" s="772">
        <v>0</v>
      </c>
      <c r="CF7" s="772">
        <v>0</v>
      </c>
      <c r="CG7" s="772">
        <v>0</v>
      </c>
      <c r="CH7" s="772">
        <v>0</v>
      </c>
      <c r="CI7" s="772">
        <v>0</v>
      </c>
      <c r="CJ7" s="772">
        <v>0</v>
      </c>
      <c r="CK7" s="772">
        <v>0</v>
      </c>
      <c r="CL7" s="771">
        <v>0</v>
      </c>
      <c r="CM7" s="771">
        <v>0</v>
      </c>
      <c r="CN7" s="771">
        <v>0</v>
      </c>
      <c r="CO7" s="772">
        <v>0</v>
      </c>
      <c r="CP7" s="772">
        <v>0</v>
      </c>
      <c r="CQ7" s="772">
        <v>0</v>
      </c>
      <c r="CR7" s="772">
        <v>0</v>
      </c>
      <c r="CS7" s="772">
        <v>0</v>
      </c>
      <c r="CT7" s="772">
        <v>0</v>
      </c>
      <c r="CU7" s="772">
        <v>0</v>
      </c>
      <c r="CV7" s="772">
        <v>0</v>
      </c>
      <c r="CW7" s="772">
        <v>0</v>
      </c>
      <c r="CX7" s="772">
        <v>0</v>
      </c>
      <c r="CY7" s="772">
        <v>0</v>
      </c>
      <c r="CZ7" s="772">
        <v>0</v>
      </c>
      <c r="DA7" s="773">
        <v>1.3047754346729925E-3</v>
      </c>
      <c r="DB7" s="773">
        <v>1.3101970043191235E-3</v>
      </c>
      <c r="DC7" s="773">
        <v>1.3156411015333303E-3</v>
      </c>
      <c r="DD7" s="774">
        <v>1.3069913385219422E-3</v>
      </c>
      <c r="DE7" s="774">
        <v>1.298398443907312E-3</v>
      </c>
      <c r="DF7" s="774">
        <v>1.3077194716979896E-3</v>
      </c>
      <c r="DG7" s="774">
        <v>1.317107413893473E-3</v>
      </c>
      <c r="DH7" s="774">
        <v>1.326562750863274E-3</v>
      </c>
      <c r="DI7" s="774">
        <v>1.3360859664254127E-3</v>
      </c>
      <c r="DJ7" s="774">
        <v>1.3456775478711731E-3</v>
      </c>
      <c r="DK7" s="774">
        <v>1.3532316770248746E-3</v>
      </c>
      <c r="DL7" s="774">
        <v>1.3608282122270095E-3</v>
      </c>
      <c r="DM7" s="774">
        <v>1.3684673915292328E-3</v>
      </c>
      <c r="DN7" s="774">
        <v>1.3761494543195313E-3</v>
      </c>
      <c r="DO7" s="774">
        <v>1.3838746413297265E-3</v>
      </c>
      <c r="DP7" s="773">
        <v>0</v>
      </c>
      <c r="DQ7" s="773">
        <v>0</v>
      </c>
      <c r="DR7" s="773">
        <v>0</v>
      </c>
      <c r="DS7" s="774">
        <v>0</v>
      </c>
      <c r="DT7" s="774">
        <v>0</v>
      </c>
      <c r="DU7" s="774">
        <v>0</v>
      </c>
      <c r="DV7" s="774">
        <v>0</v>
      </c>
      <c r="DW7" s="774">
        <v>0</v>
      </c>
      <c r="DX7" s="774">
        <v>0</v>
      </c>
      <c r="DY7" s="774">
        <v>0</v>
      </c>
      <c r="DZ7" s="774">
        <v>0</v>
      </c>
      <c r="EA7" s="774">
        <v>0</v>
      </c>
      <c r="EB7" s="774">
        <v>0</v>
      </c>
      <c r="EC7" s="774">
        <v>0</v>
      </c>
      <c r="ED7" s="774">
        <v>0</v>
      </c>
    </row>
    <row r="8" spans="1:134" ht="15" x14ac:dyDescent="0.25">
      <c r="A8" s="766">
        <v>156</v>
      </c>
      <c r="B8" s="766">
        <v>49</v>
      </c>
      <c r="C8" s="766" t="s">
        <v>3678</v>
      </c>
      <c r="D8" s="2">
        <v>99714</v>
      </c>
      <c r="E8" s="2">
        <v>99714</v>
      </c>
      <c r="F8" s="767" t="s">
        <v>3676</v>
      </c>
      <c r="G8" s="114">
        <v>0</v>
      </c>
      <c r="H8" s="114">
        <v>2</v>
      </c>
      <c r="I8" s="114">
        <v>0</v>
      </c>
      <c r="J8" s="114">
        <v>2</v>
      </c>
      <c r="K8" s="114">
        <v>0</v>
      </c>
      <c r="L8" s="114">
        <v>0</v>
      </c>
      <c r="M8" s="114">
        <v>0</v>
      </c>
      <c r="N8" s="114">
        <v>0</v>
      </c>
      <c r="O8" s="114">
        <v>0</v>
      </c>
      <c r="P8" s="114">
        <v>0</v>
      </c>
      <c r="Q8" s="114">
        <v>0</v>
      </c>
      <c r="R8" s="114">
        <v>0</v>
      </c>
      <c r="S8" s="114">
        <v>834.49503068156923</v>
      </c>
      <c r="T8" s="114">
        <v>834.49503068156923</v>
      </c>
      <c r="U8" s="114">
        <v>1408.3846153846155</v>
      </c>
      <c r="V8" s="114">
        <v>0</v>
      </c>
      <c r="W8" s="114">
        <v>0</v>
      </c>
      <c r="X8" s="114">
        <v>1365.173957061457</v>
      </c>
      <c r="Y8" s="114">
        <v>4.5824670824670823E-2</v>
      </c>
      <c r="Z8" s="114">
        <v>1.9515765765765767</v>
      </c>
      <c r="AA8" s="114">
        <v>2.5987525987525989E-3</v>
      </c>
      <c r="AB8" s="657">
        <v>0</v>
      </c>
      <c r="AC8" s="657">
        <v>0</v>
      </c>
      <c r="AD8" s="768">
        <v>2</v>
      </c>
      <c r="AE8" s="769">
        <v>0</v>
      </c>
      <c r="AF8" s="769">
        <v>0</v>
      </c>
      <c r="AG8" s="770">
        <v>0</v>
      </c>
      <c r="AH8" s="769">
        <v>0</v>
      </c>
      <c r="AI8" s="769">
        <v>4.2989500424149923E-2</v>
      </c>
      <c r="AJ8" s="769">
        <v>1.8308326182526915</v>
      </c>
      <c r="AK8" s="769">
        <v>1.8738221186768413</v>
      </c>
      <c r="AL8" s="769">
        <v>2.4379678879480112E-3</v>
      </c>
      <c r="AM8" s="769">
        <v>0</v>
      </c>
      <c r="AN8" s="769">
        <v>0</v>
      </c>
      <c r="AO8" s="769">
        <v>0</v>
      </c>
      <c r="AP8" s="769">
        <v>0</v>
      </c>
      <c r="AQ8" s="769">
        <v>0</v>
      </c>
      <c r="AR8" s="769">
        <v>0</v>
      </c>
      <c r="AS8" s="769">
        <v>1.7578888252978135</v>
      </c>
      <c r="AT8" s="769">
        <v>1.8149300160110562</v>
      </c>
      <c r="AU8" s="769">
        <v>1.8738221186768413</v>
      </c>
      <c r="AV8" s="769">
        <v>1.9346251929645626</v>
      </c>
      <c r="AW8" s="769">
        <v>1.9974012474012475</v>
      </c>
      <c r="AX8" s="769">
        <v>0</v>
      </c>
      <c r="AY8" s="769">
        <v>0</v>
      </c>
      <c r="AZ8" s="769">
        <v>0</v>
      </c>
      <c r="BA8" s="769">
        <v>0</v>
      </c>
      <c r="BB8" s="769">
        <v>0</v>
      </c>
      <c r="BC8" s="769">
        <v>0</v>
      </c>
      <c r="BD8" s="769">
        <v>0</v>
      </c>
      <c r="BE8" s="769">
        <v>0</v>
      </c>
      <c r="BF8" s="769">
        <v>0</v>
      </c>
      <c r="BG8" s="769">
        <v>0</v>
      </c>
      <c r="BH8" s="771">
        <v>2.0138143303043763</v>
      </c>
      <c r="BI8" s="771">
        <v>2.0303622830994388</v>
      </c>
      <c r="BJ8" s="771">
        <v>2.0470462140418344</v>
      </c>
      <c r="BK8" s="772">
        <v>2.0335877833161713</v>
      </c>
      <c r="BL8" s="772">
        <v>2.0202178358677081</v>
      </c>
      <c r="BM8" s="772">
        <v>2.0347207079865921</v>
      </c>
      <c r="BN8" s="772">
        <v>2.0493276942737415</v>
      </c>
      <c r="BO8" s="772">
        <v>2.0640395421507676</v>
      </c>
      <c r="BP8" s="772">
        <v>2.0788570044049184</v>
      </c>
      <c r="BQ8" s="772">
        <v>2.0937808392276027</v>
      </c>
      <c r="BR8" s="772">
        <v>2.1055345397363854</v>
      </c>
      <c r="BS8" s="772">
        <v>2.1173542211124405</v>
      </c>
      <c r="BT8" s="772">
        <v>2.1292402537476156</v>
      </c>
      <c r="BU8" s="772">
        <v>2.1411930101129988</v>
      </c>
      <c r="BV8" s="772">
        <v>2.1532128647705906</v>
      </c>
      <c r="BW8" s="771">
        <v>0</v>
      </c>
      <c r="BX8" s="771">
        <v>0</v>
      </c>
      <c r="BY8" s="771">
        <v>0</v>
      </c>
      <c r="BZ8" s="772">
        <v>0</v>
      </c>
      <c r="CA8" s="772">
        <v>0</v>
      </c>
      <c r="CB8" s="772">
        <v>0</v>
      </c>
      <c r="CC8" s="772">
        <v>0</v>
      </c>
      <c r="CD8" s="772">
        <v>0</v>
      </c>
      <c r="CE8" s="772">
        <v>0</v>
      </c>
      <c r="CF8" s="772">
        <v>0</v>
      </c>
      <c r="CG8" s="772">
        <v>0</v>
      </c>
      <c r="CH8" s="772">
        <v>0</v>
      </c>
      <c r="CI8" s="772">
        <v>0</v>
      </c>
      <c r="CJ8" s="772">
        <v>0</v>
      </c>
      <c r="CK8" s="772">
        <v>0</v>
      </c>
      <c r="CL8" s="771">
        <v>0</v>
      </c>
      <c r="CM8" s="771">
        <v>0</v>
      </c>
      <c r="CN8" s="771">
        <v>0</v>
      </c>
      <c r="CO8" s="772">
        <v>0</v>
      </c>
      <c r="CP8" s="772">
        <v>0</v>
      </c>
      <c r="CQ8" s="772">
        <v>0</v>
      </c>
      <c r="CR8" s="772">
        <v>0</v>
      </c>
      <c r="CS8" s="772">
        <v>0</v>
      </c>
      <c r="CT8" s="772">
        <v>0</v>
      </c>
      <c r="CU8" s="772">
        <v>0</v>
      </c>
      <c r="CV8" s="772">
        <v>0</v>
      </c>
      <c r="CW8" s="772">
        <v>0</v>
      </c>
      <c r="CX8" s="772">
        <v>0</v>
      </c>
      <c r="CY8" s="772">
        <v>0</v>
      </c>
      <c r="CZ8" s="772">
        <v>0</v>
      </c>
      <c r="DA8" s="773">
        <v>2.6201071172318193E-3</v>
      </c>
      <c r="DB8" s="773">
        <v>2.6416371104598475E-3</v>
      </c>
      <c r="DC8" s="773">
        <v>2.6633440203510726E-3</v>
      </c>
      <c r="DD8" s="774">
        <v>2.6458337019466191E-3</v>
      </c>
      <c r="DE8" s="774">
        <v>2.6284385062031066E-3</v>
      </c>
      <c r="DF8" s="774">
        <v>2.6473077127069891E-3</v>
      </c>
      <c r="DG8" s="774">
        <v>2.6663123787064032E-3</v>
      </c>
      <c r="DH8" s="774">
        <v>2.6854534766468478E-3</v>
      </c>
      <c r="DI8" s="774">
        <v>2.7047319859548769E-3</v>
      </c>
      <c r="DJ8" s="774">
        <v>2.7241488930882162E-3</v>
      </c>
      <c r="DK8" s="774">
        <v>2.7394412434769522E-3</v>
      </c>
      <c r="DL8" s="774">
        <v>2.7548194393864694E-3</v>
      </c>
      <c r="DM8" s="774">
        <v>2.7702839627213316E-3</v>
      </c>
      <c r="DN8" s="774">
        <v>2.7858352980913333E-3</v>
      </c>
      <c r="DO8" s="774">
        <v>2.8014739328266858E-3</v>
      </c>
      <c r="DP8" s="773">
        <v>0</v>
      </c>
      <c r="DQ8" s="773">
        <v>0</v>
      </c>
      <c r="DR8" s="773">
        <v>0</v>
      </c>
      <c r="DS8" s="774">
        <v>0</v>
      </c>
      <c r="DT8" s="774">
        <v>0</v>
      </c>
      <c r="DU8" s="774">
        <v>0</v>
      </c>
      <c r="DV8" s="774">
        <v>0</v>
      </c>
      <c r="DW8" s="774">
        <v>0</v>
      </c>
      <c r="DX8" s="774">
        <v>0</v>
      </c>
      <c r="DY8" s="774">
        <v>0</v>
      </c>
      <c r="DZ8" s="774">
        <v>0</v>
      </c>
      <c r="EA8" s="774">
        <v>0</v>
      </c>
      <c r="EB8" s="774">
        <v>0</v>
      </c>
      <c r="EC8" s="774">
        <v>0</v>
      </c>
      <c r="ED8" s="774">
        <v>0</v>
      </c>
    </row>
    <row r="9" spans="1:134" ht="15" x14ac:dyDescent="0.25">
      <c r="A9" s="766">
        <v>158</v>
      </c>
      <c r="B9" s="766">
        <v>49</v>
      </c>
      <c r="C9" s="766" t="s">
        <v>3679</v>
      </c>
      <c r="D9" s="2">
        <v>99714</v>
      </c>
      <c r="E9" s="2">
        <v>99714</v>
      </c>
      <c r="F9" s="767" t="s">
        <v>3676</v>
      </c>
      <c r="G9" s="114">
        <v>0</v>
      </c>
      <c r="H9" s="114">
        <v>2</v>
      </c>
      <c r="I9" s="114">
        <v>0</v>
      </c>
      <c r="J9" s="114">
        <v>2</v>
      </c>
      <c r="K9" s="114">
        <v>0</v>
      </c>
      <c r="L9" s="114">
        <v>2</v>
      </c>
      <c r="M9" s="114">
        <v>2</v>
      </c>
      <c r="N9" s="114">
        <v>0</v>
      </c>
      <c r="O9" s="114">
        <v>0</v>
      </c>
      <c r="P9" s="114">
        <v>0</v>
      </c>
      <c r="Q9" s="114">
        <v>2</v>
      </c>
      <c r="R9" s="114">
        <v>0</v>
      </c>
      <c r="S9" s="114">
        <v>1003</v>
      </c>
      <c r="T9" s="114">
        <v>1003</v>
      </c>
      <c r="U9" s="114">
        <v>0</v>
      </c>
      <c r="V9" s="114">
        <v>0</v>
      </c>
      <c r="W9" s="114">
        <v>0</v>
      </c>
      <c r="X9" s="114">
        <v>1003</v>
      </c>
      <c r="Y9" s="114">
        <v>0</v>
      </c>
      <c r="Z9" s="114">
        <v>2</v>
      </c>
      <c r="AA9" s="114">
        <v>0</v>
      </c>
      <c r="AB9" s="657">
        <v>0</v>
      </c>
      <c r="AC9" s="657">
        <v>0</v>
      </c>
      <c r="AD9" s="768">
        <v>2</v>
      </c>
      <c r="AE9" s="769">
        <v>0</v>
      </c>
      <c r="AF9" s="769">
        <v>0</v>
      </c>
      <c r="AG9" s="770">
        <v>0</v>
      </c>
      <c r="AH9" s="769">
        <v>0</v>
      </c>
      <c r="AI9" s="769">
        <v>0</v>
      </c>
      <c r="AJ9" s="769">
        <v>1.8762600865647894</v>
      </c>
      <c r="AK9" s="769">
        <v>1.8762600865647894</v>
      </c>
      <c r="AL9" s="769">
        <v>0</v>
      </c>
      <c r="AM9" s="769">
        <v>0</v>
      </c>
      <c r="AN9" s="769">
        <v>0</v>
      </c>
      <c r="AO9" s="769">
        <v>0</v>
      </c>
      <c r="AP9" s="769">
        <v>0</v>
      </c>
      <c r="AQ9" s="769">
        <v>0</v>
      </c>
      <c r="AR9" s="769">
        <v>0</v>
      </c>
      <c r="AS9" s="769">
        <v>1.7601759562180552</v>
      </c>
      <c r="AT9" s="769">
        <v>1.8172913613350361</v>
      </c>
      <c r="AU9" s="769">
        <v>1.8762600865647894</v>
      </c>
      <c r="AV9" s="769">
        <v>1.9371422697183545</v>
      </c>
      <c r="AW9" s="769">
        <v>2</v>
      </c>
      <c r="AX9" s="769">
        <v>0</v>
      </c>
      <c r="AY9" s="769">
        <v>0</v>
      </c>
      <c r="AZ9" s="769">
        <v>0</v>
      </c>
      <c r="BA9" s="769">
        <v>0</v>
      </c>
      <c r="BB9" s="769">
        <v>0</v>
      </c>
      <c r="BC9" s="769">
        <v>0</v>
      </c>
      <c r="BD9" s="769">
        <v>0</v>
      </c>
      <c r="BE9" s="769">
        <v>0</v>
      </c>
      <c r="BF9" s="769">
        <v>0</v>
      </c>
      <c r="BG9" s="769">
        <v>0</v>
      </c>
      <c r="BH9" s="771">
        <v>2.0164344374216081</v>
      </c>
      <c r="BI9" s="771">
        <v>2.0330039202098984</v>
      </c>
      <c r="BJ9" s="771">
        <v>2.0497095580621854</v>
      </c>
      <c r="BK9" s="772">
        <v>2.0362336170181181</v>
      </c>
      <c r="BL9" s="772">
        <v>2.0228462743739111</v>
      </c>
      <c r="BM9" s="772">
        <v>2.037368015699299</v>
      </c>
      <c r="BN9" s="772">
        <v>2.051994006652448</v>
      </c>
      <c r="BO9" s="772">
        <v>2.0667249956274141</v>
      </c>
      <c r="BP9" s="772">
        <v>2.0815617363908734</v>
      </c>
      <c r="BQ9" s="772">
        <v>2.096504988120691</v>
      </c>
      <c r="BR9" s="772">
        <v>2.1082739809798623</v>
      </c>
      <c r="BS9" s="772">
        <v>2.120109040551827</v>
      </c>
      <c r="BT9" s="772">
        <v>2.1320105377103369</v>
      </c>
      <c r="BU9" s="772">
        <v>2.1439788454110897</v>
      </c>
      <c r="BV9" s="772">
        <v>2.1560143387034172</v>
      </c>
      <c r="BW9" s="771">
        <v>0</v>
      </c>
      <c r="BX9" s="771">
        <v>0</v>
      </c>
      <c r="BY9" s="771">
        <v>0</v>
      </c>
      <c r="BZ9" s="772">
        <v>0</v>
      </c>
      <c r="CA9" s="772">
        <v>0</v>
      </c>
      <c r="CB9" s="772">
        <v>0</v>
      </c>
      <c r="CC9" s="772">
        <v>0</v>
      </c>
      <c r="CD9" s="772">
        <v>0</v>
      </c>
      <c r="CE9" s="772">
        <v>0</v>
      </c>
      <c r="CF9" s="772">
        <v>0</v>
      </c>
      <c r="CG9" s="772">
        <v>0</v>
      </c>
      <c r="CH9" s="772">
        <v>0</v>
      </c>
      <c r="CI9" s="772">
        <v>0</v>
      </c>
      <c r="CJ9" s="772">
        <v>0</v>
      </c>
      <c r="CK9" s="772">
        <v>0</v>
      </c>
      <c r="CL9" s="771">
        <v>0</v>
      </c>
      <c r="CM9" s="771">
        <v>0</v>
      </c>
      <c r="CN9" s="771">
        <v>0</v>
      </c>
      <c r="CO9" s="772">
        <v>0</v>
      </c>
      <c r="CP9" s="772">
        <v>0</v>
      </c>
      <c r="CQ9" s="772">
        <v>0</v>
      </c>
      <c r="CR9" s="772">
        <v>0</v>
      </c>
      <c r="CS9" s="772">
        <v>0</v>
      </c>
      <c r="CT9" s="772">
        <v>0</v>
      </c>
      <c r="CU9" s="772">
        <v>0</v>
      </c>
      <c r="CV9" s="772">
        <v>0</v>
      </c>
      <c r="CW9" s="772">
        <v>0</v>
      </c>
      <c r="CX9" s="772">
        <v>0</v>
      </c>
      <c r="CY9" s="772">
        <v>0</v>
      </c>
      <c r="CZ9" s="772">
        <v>0</v>
      </c>
      <c r="DA9" s="773">
        <v>0</v>
      </c>
      <c r="DB9" s="773">
        <v>0</v>
      </c>
      <c r="DC9" s="773">
        <v>0</v>
      </c>
      <c r="DD9" s="774">
        <v>0</v>
      </c>
      <c r="DE9" s="774">
        <v>0</v>
      </c>
      <c r="DF9" s="774">
        <v>0</v>
      </c>
      <c r="DG9" s="774">
        <v>0</v>
      </c>
      <c r="DH9" s="774">
        <v>0</v>
      </c>
      <c r="DI9" s="774">
        <v>0</v>
      </c>
      <c r="DJ9" s="774">
        <v>0</v>
      </c>
      <c r="DK9" s="774">
        <v>0</v>
      </c>
      <c r="DL9" s="774">
        <v>0</v>
      </c>
      <c r="DM9" s="774">
        <v>0</v>
      </c>
      <c r="DN9" s="774">
        <v>0</v>
      </c>
      <c r="DO9" s="774">
        <v>0</v>
      </c>
      <c r="DP9" s="773">
        <v>0</v>
      </c>
      <c r="DQ9" s="773">
        <v>0</v>
      </c>
      <c r="DR9" s="773">
        <v>0</v>
      </c>
      <c r="DS9" s="774">
        <v>0</v>
      </c>
      <c r="DT9" s="774">
        <v>0</v>
      </c>
      <c r="DU9" s="774">
        <v>0</v>
      </c>
      <c r="DV9" s="774">
        <v>0</v>
      </c>
      <c r="DW9" s="774">
        <v>0</v>
      </c>
      <c r="DX9" s="774">
        <v>0</v>
      </c>
      <c r="DY9" s="774">
        <v>0</v>
      </c>
      <c r="DZ9" s="774">
        <v>0</v>
      </c>
      <c r="EA9" s="774">
        <v>0</v>
      </c>
      <c r="EB9" s="774">
        <v>0</v>
      </c>
      <c r="EC9" s="774">
        <v>0</v>
      </c>
      <c r="ED9" s="774">
        <v>0</v>
      </c>
    </row>
    <row r="10" spans="1:134" ht="15" x14ac:dyDescent="0.25">
      <c r="A10" s="766">
        <v>148</v>
      </c>
      <c r="B10" s="766">
        <v>50</v>
      </c>
      <c r="C10" s="766" t="s">
        <v>3680</v>
      </c>
      <c r="D10" s="2">
        <v>99714</v>
      </c>
      <c r="E10" s="2">
        <v>99714</v>
      </c>
      <c r="F10" s="767" t="s">
        <v>3676</v>
      </c>
      <c r="G10" s="114">
        <v>12</v>
      </c>
      <c r="H10" s="114">
        <v>46</v>
      </c>
      <c r="I10" s="114">
        <v>8</v>
      </c>
      <c r="J10" s="114">
        <v>38</v>
      </c>
      <c r="K10" s="114">
        <v>0</v>
      </c>
      <c r="L10" s="114">
        <v>1</v>
      </c>
      <c r="M10" s="114">
        <v>1</v>
      </c>
      <c r="N10" s="114">
        <v>0</v>
      </c>
      <c r="O10" s="114">
        <v>0</v>
      </c>
      <c r="P10" s="114">
        <v>0</v>
      </c>
      <c r="Q10" s="114">
        <v>1</v>
      </c>
      <c r="R10" s="114">
        <v>0</v>
      </c>
      <c r="S10" s="114">
        <v>448</v>
      </c>
      <c r="T10" s="114">
        <v>448</v>
      </c>
      <c r="U10" s="114">
        <v>0</v>
      </c>
      <c r="V10" s="114">
        <v>0</v>
      </c>
      <c r="W10" s="114">
        <v>0</v>
      </c>
      <c r="X10" s="114">
        <v>448</v>
      </c>
      <c r="Y10" s="114">
        <v>0</v>
      </c>
      <c r="Z10" s="114">
        <v>46</v>
      </c>
      <c r="AA10" s="114">
        <v>0</v>
      </c>
      <c r="AB10" s="657">
        <v>0</v>
      </c>
      <c r="AC10" s="657">
        <v>0</v>
      </c>
      <c r="AD10" s="768">
        <v>46</v>
      </c>
      <c r="AE10" s="769">
        <v>0</v>
      </c>
      <c r="AF10" s="769">
        <v>8</v>
      </c>
      <c r="AG10" s="770">
        <v>8</v>
      </c>
      <c r="AH10" s="769">
        <v>0</v>
      </c>
      <c r="AI10" s="769">
        <v>0</v>
      </c>
      <c r="AJ10" s="769">
        <v>43.153981990990154</v>
      </c>
      <c r="AK10" s="769">
        <v>43.153981990990154</v>
      </c>
      <c r="AL10" s="769">
        <v>0</v>
      </c>
      <c r="AM10" s="769">
        <v>0</v>
      </c>
      <c r="AN10" s="769">
        <v>7.6511135818042781</v>
      </c>
      <c r="AO10" s="769">
        <v>7.6511135818042781</v>
      </c>
      <c r="AP10" s="769">
        <v>0</v>
      </c>
      <c r="AQ10" s="769">
        <v>0</v>
      </c>
      <c r="AR10" s="769">
        <v>0</v>
      </c>
      <c r="AS10" s="769">
        <v>40.484046993015269</v>
      </c>
      <c r="AT10" s="769">
        <v>41.797701310705833</v>
      </c>
      <c r="AU10" s="769">
        <v>43.153981990990154</v>
      </c>
      <c r="AV10" s="769">
        <v>44.554272203522153</v>
      </c>
      <c r="AW10" s="769">
        <v>46</v>
      </c>
      <c r="AX10" s="769">
        <v>7.3174423802087363</v>
      </c>
      <c r="AY10" s="769">
        <v>7.4824182440762614</v>
      </c>
      <c r="AZ10" s="769">
        <v>7.6511135818042781</v>
      </c>
      <c r="BA10" s="769">
        <v>7.8236122510279245</v>
      </c>
      <c r="BB10" s="769">
        <v>8</v>
      </c>
      <c r="BC10" s="769">
        <v>0</v>
      </c>
      <c r="BD10" s="769">
        <v>0</v>
      </c>
      <c r="BE10" s="769">
        <v>0</v>
      </c>
      <c r="BF10" s="769">
        <v>0</v>
      </c>
      <c r="BG10" s="769">
        <v>0</v>
      </c>
      <c r="BH10" s="771">
        <v>46.37799206069699</v>
      </c>
      <c r="BI10" s="771">
        <v>46.759090164827661</v>
      </c>
      <c r="BJ10" s="771">
        <v>47.143319835430262</v>
      </c>
      <c r="BK10" s="772">
        <v>46.833373191416712</v>
      </c>
      <c r="BL10" s="772">
        <v>46.525464310599951</v>
      </c>
      <c r="BM10" s="772">
        <v>46.859464361083873</v>
      </c>
      <c r="BN10" s="772">
        <v>47.195862153006303</v>
      </c>
      <c r="BO10" s="772">
        <v>47.53467489943052</v>
      </c>
      <c r="BP10" s="772">
        <v>47.87591993699008</v>
      </c>
      <c r="BQ10" s="772">
        <v>48.219614726775887</v>
      </c>
      <c r="BR10" s="772">
        <v>48.490301562536835</v>
      </c>
      <c r="BS10" s="772">
        <v>48.762507932692017</v>
      </c>
      <c r="BT10" s="772">
        <v>49.036242367337742</v>
      </c>
      <c r="BU10" s="772">
        <v>49.311513444455066</v>
      </c>
      <c r="BV10" s="772">
        <v>49.588329790178598</v>
      </c>
      <c r="BW10" s="771">
        <v>8.0657377496864324</v>
      </c>
      <c r="BX10" s="771">
        <v>8.1320156808395936</v>
      </c>
      <c r="BY10" s="771">
        <v>8.1988382322487414</v>
      </c>
      <c r="BZ10" s="772">
        <v>8.1449344680724725</v>
      </c>
      <c r="CA10" s="772">
        <v>8.0913850974956443</v>
      </c>
      <c r="CB10" s="772">
        <v>8.1494720627971962</v>
      </c>
      <c r="CC10" s="772">
        <v>8.2079760266097921</v>
      </c>
      <c r="CD10" s="772">
        <v>8.2668999825096563</v>
      </c>
      <c r="CE10" s="772">
        <v>8.3262469455634935</v>
      </c>
      <c r="CF10" s="772">
        <v>8.3860199524827639</v>
      </c>
      <c r="CG10" s="772">
        <v>8.4330959239194492</v>
      </c>
      <c r="CH10" s="772">
        <v>8.4804361622073081</v>
      </c>
      <c r="CI10" s="772">
        <v>8.5280421508413475</v>
      </c>
      <c r="CJ10" s="772">
        <v>8.575915381644359</v>
      </c>
      <c r="CK10" s="772">
        <v>8.6240573548136688</v>
      </c>
      <c r="CL10" s="771">
        <v>0</v>
      </c>
      <c r="CM10" s="771">
        <v>0</v>
      </c>
      <c r="CN10" s="771">
        <v>0</v>
      </c>
      <c r="CO10" s="772">
        <v>0</v>
      </c>
      <c r="CP10" s="772">
        <v>0</v>
      </c>
      <c r="CQ10" s="772">
        <v>0</v>
      </c>
      <c r="CR10" s="772">
        <v>0</v>
      </c>
      <c r="CS10" s="772">
        <v>0</v>
      </c>
      <c r="CT10" s="772">
        <v>0</v>
      </c>
      <c r="CU10" s="772">
        <v>0</v>
      </c>
      <c r="CV10" s="772">
        <v>0</v>
      </c>
      <c r="CW10" s="772">
        <v>0</v>
      </c>
      <c r="CX10" s="772">
        <v>0</v>
      </c>
      <c r="CY10" s="772">
        <v>0</v>
      </c>
      <c r="CZ10" s="772">
        <v>0</v>
      </c>
      <c r="DA10" s="773">
        <v>0</v>
      </c>
      <c r="DB10" s="773">
        <v>0</v>
      </c>
      <c r="DC10" s="773">
        <v>0</v>
      </c>
      <c r="DD10" s="774">
        <v>0</v>
      </c>
      <c r="DE10" s="774">
        <v>0</v>
      </c>
      <c r="DF10" s="774">
        <v>0</v>
      </c>
      <c r="DG10" s="774">
        <v>0</v>
      </c>
      <c r="DH10" s="774">
        <v>0</v>
      </c>
      <c r="DI10" s="774">
        <v>0</v>
      </c>
      <c r="DJ10" s="774">
        <v>0</v>
      </c>
      <c r="DK10" s="774">
        <v>0</v>
      </c>
      <c r="DL10" s="774">
        <v>0</v>
      </c>
      <c r="DM10" s="774">
        <v>0</v>
      </c>
      <c r="DN10" s="774">
        <v>0</v>
      </c>
      <c r="DO10" s="774">
        <v>0</v>
      </c>
      <c r="DP10" s="773">
        <v>0</v>
      </c>
      <c r="DQ10" s="773">
        <v>0</v>
      </c>
      <c r="DR10" s="773">
        <v>0</v>
      </c>
      <c r="DS10" s="774">
        <v>0</v>
      </c>
      <c r="DT10" s="774">
        <v>0</v>
      </c>
      <c r="DU10" s="774">
        <v>0</v>
      </c>
      <c r="DV10" s="774">
        <v>0</v>
      </c>
      <c r="DW10" s="774">
        <v>0</v>
      </c>
      <c r="DX10" s="774">
        <v>0</v>
      </c>
      <c r="DY10" s="774">
        <v>0</v>
      </c>
      <c r="DZ10" s="774">
        <v>0</v>
      </c>
      <c r="EA10" s="774">
        <v>0</v>
      </c>
      <c r="EB10" s="774">
        <v>0</v>
      </c>
      <c r="EC10" s="774">
        <v>0</v>
      </c>
      <c r="ED10" s="774">
        <v>0</v>
      </c>
    </row>
    <row r="11" spans="1:134" ht="15" x14ac:dyDescent="0.25">
      <c r="A11" s="766">
        <v>143</v>
      </c>
      <c r="B11" s="766">
        <v>52</v>
      </c>
      <c r="C11" s="766" t="s">
        <v>3681</v>
      </c>
      <c r="D11" s="2">
        <v>99714</v>
      </c>
      <c r="E11" s="2">
        <v>99714</v>
      </c>
      <c r="F11" s="767" t="s">
        <v>3676</v>
      </c>
      <c r="G11" s="114">
        <v>1</v>
      </c>
      <c r="H11" s="114">
        <v>1</v>
      </c>
      <c r="I11" s="114">
        <v>1</v>
      </c>
      <c r="J11" s="114">
        <v>0</v>
      </c>
      <c r="K11" s="114">
        <v>0</v>
      </c>
      <c r="L11" s="114">
        <v>5</v>
      </c>
      <c r="M11" s="114">
        <v>5</v>
      </c>
      <c r="N11" s="114">
        <v>0</v>
      </c>
      <c r="O11" s="114">
        <v>0</v>
      </c>
      <c r="P11" s="114">
        <v>0</v>
      </c>
      <c r="Q11" s="114">
        <v>5</v>
      </c>
      <c r="R11" s="114">
        <v>0</v>
      </c>
      <c r="S11" s="114">
        <v>1572.4</v>
      </c>
      <c r="T11" s="114">
        <v>1572.4</v>
      </c>
      <c r="U11" s="114">
        <v>0</v>
      </c>
      <c r="V11" s="114">
        <v>0</v>
      </c>
      <c r="W11" s="114">
        <v>0</v>
      </c>
      <c r="X11" s="114">
        <v>1572.4</v>
      </c>
      <c r="Y11" s="114">
        <v>0</v>
      </c>
      <c r="Z11" s="114">
        <v>1</v>
      </c>
      <c r="AA11" s="114">
        <v>0</v>
      </c>
      <c r="AB11" s="657">
        <v>0</v>
      </c>
      <c r="AC11" s="657">
        <v>0</v>
      </c>
      <c r="AD11" s="768">
        <v>1</v>
      </c>
      <c r="AE11" s="769">
        <v>0</v>
      </c>
      <c r="AF11" s="769">
        <v>1</v>
      </c>
      <c r="AG11" s="770">
        <v>1</v>
      </c>
      <c r="AH11" s="769">
        <v>0</v>
      </c>
      <c r="AI11" s="769">
        <v>0</v>
      </c>
      <c r="AJ11" s="769">
        <v>0.93813004328239469</v>
      </c>
      <c r="AK11" s="769">
        <v>0.93813004328239469</v>
      </c>
      <c r="AL11" s="769">
        <v>0</v>
      </c>
      <c r="AM11" s="769">
        <v>0</v>
      </c>
      <c r="AN11" s="769">
        <v>0.95638919772553477</v>
      </c>
      <c r="AO11" s="769">
        <v>0.95638919772553477</v>
      </c>
      <c r="AP11" s="769">
        <v>0</v>
      </c>
      <c r="AQ11" s="769">
        <v>0</v>
      </c>
      <c r="AR11" s="769">
        <v>0</v>
      </c>
      <c r="AS11" s="769">
        <v>0.88008797810902761</v>
      </c>
      <c r="AT11" s="769">
        <v>0.90864568066751805</v>
      </c>
      <c r="AU11" s="769">
        <v>0.93813004328239469</v>
      </c>
      <c r="AV11" s="769">
        <v>0.96857113485917723</v>
      </c>
      <c r="AW11" s="769">
        <v>1</v>
      </c>
      <c r="AX11" s="769">
        <v>0.91468029752609203</v>
      </c>
      <c r="AY11" s="769">
        <v>0.93530228050953268</v>
      </c>
      <c r="AZ11" s="769">
        <v>0.95638919772553477</v>
      </c>
      <c r="BA11" s="769">
        <v>0.97795153137849056</v>
      </c>
      <c r="BB11" s="769">
        <v>1</v>
      </c>
      <c r="BC11" s="769">
        <v>0</v>
      </c>
      <c r="BD11" s="769">
        <v>0</v>
      </c>
      <c r="BE11" s="769">
        <v>0</v>
      </c>
      <c r="BF11" s="769">
        <v>0</v>
      </c>
      <c r="BG11" s="769">
        <v>0</v>
      </c>
      <c r="BH11" s="771">
        <v>1.0082172187108041</v>
      </c>
      <c r="BI11" s="771">
        <v>1.0165019601049492</v>
      </c>
      <c r="BJ11" s="771">
        <v>1.0248547790310927</v>
      </c>
      <c r="BK11" s="772">
        <v>1.0181168085090591</v>
      </c>
      <c r="BL11" s="772">
        <v>1.0114231371869555</v>
      </c>
      <c r="BM11" s="772">
        <v>1.0186840078496495</v>
      </c>
      <c r="BN11" s="772">
        <v>1.025997003326224</v>
      </c>
      <c r="BO11" s="772">
        <v>1.033362497813707</v>
      </c>
      <c r="BP11" s="772">
        <v>1.0407808681954367</v>
      </c>
      <c r="BQ11" s="772">
        <v>1.0482524940603455</v>
      </c>
      <c r="BR11" s="772">
        <v>1.0541369904899311</v>
      </c>
      <c r="BS11" s="772">
        <v>1.0600545202759135</v>
      </c>
      <c r="BT11" s="772">
        <v>1.0660052688551684</v>
      </c>
      <c r="BU11" s="772">
        <v>1.0719894227055449</v>
      </c>
      <c r="BV11" s="772">
        <v>1.0780071693517086</v>
      </c>
      <c r="BW11" s="771">
        <v>1.0082172187108041</v>
      </c>
      <c r="BX11" s="771">
        <v>1.0165019601049492</v>
      </c>
      <c r="BY11" s="771">
        <v>1.0248547790310927</v>
      </c>
      <c r="BZ11" s="772">
        <v>1.0181168085090591</v>
      </c>
      <c r="CA11" s="772">
        <v>1.0114231371869555</v>
      </c>
      <c r="CB11" s="772">
        <v>1.0186840078496495</v>
      </c>
      <c r="CC11" s="772">
        <v>1.025997003326224</v>
      </c>
      <c r="CD11" s="772">
        <v>1.033362497813707</v>
      </c>
      <c r="CE11" s="772">
        <v>1.0407808681954367</v>
      </c>
      <c r="CF11" s="772">
        <v>1.0482524940603455</v>
      </c>
      <c r="CG11" s="772">
        <v>1.0541369904899311</v>
      </c>
      <c r="CH11" s="772">
        <v>1.0600545202759135</v>
      </c>
      <c r="CI11" s="772">
        <v>1.0660052688551684</v>
      </c>
      <c r="CJ11" s="772">
        <v>1.0719894227055449</v>
      </c>
      <c r="CK11" s="772">
        <v>1.0780071693517086</v>
      </c>
      <c r="CL11" s="771">
        <v>0</v>
      </c>
      <c r="CM11" s="771">
        <v>0</v>
      </c>
      <c r="CN11" s="771">
        <v>0</v>
      </c>
      <c r="CO11" s="772">
        <v>0</v>
      </c>
      <c r="CP11" s="772">
        <v>0</v>
      </c>
      <c r="CQ11" s="772">
        <v>0</v>
      </c>
      <c r="CR11" s="772">
        <v>0</v>
      </c>
      <c r="CS11" s="772">
        <v>0</v>
      </c>
      <c r="CT11" s="772">
        <v>0</v>
      </c>
      <c r="CU11" s="772">
        <v>0</v>
      </c>
      <c r="CV11" s="772">
        <v>0</v>
      </c>
      <c r="CW11" s="772">
        <v>0</v>
      </c>
      <c r="CX11" s="772">
        <v>0</v>
      </c>
      <c r="CY11" s="772">
        <v>0</v>
      </c>
      <c r="CZ11" s="772">
        <v>0</v>
      </c>
      <c r="DA11" s="773">
        <v>0</v>
      </c>
      <c r="DB11" s="773">
        <v>0</v>
      </c>
      <c r="DC11" s="773">
        <v>0</v>
      </c>
      <c r="DD11" s="774">
        <v>0</v>
      </c>
      <c r="DE11" s="774">
        <v>0</v>
      </c>
      <c r="DF11" s="774">
        <v>0</v>
      </c>
      <c r="DG11" s="774">
        <v>0</v>
      </c>
      <c r="DH11" s="774">
        <v>0</v>
      </c>
      <c r="DI11" s="774">
        <v>0</v>
      </c>
      <c r="DJ11" s="774">
        <v>0</v>
      </c>
      <c r="DK11" s="774">
        <v>0</v>
      </c>
      <c r="DL11" s="774">
        <v>0</v>
      </c>
      <c r="DM11" s="774">
        <v>0</v>
      </c>
      <c r="DN11" s="774">
        <v>0</v>
      </c>
      <c r="DO11" s="774">
        <v>0</v>
      </c>
      <c r="DP11" s="773">
        <v>0</v>
      </c>
      <c r="DQ11" s="773">
        <v>0</v>
      </c>
      <c r="DR11" s="773">
        <v>0</v>
      </c>
      <c r="DS11" s="774">
        <v>0</v>
      </c>
      <c r="DT11" s="774">
        <v>0</v>
      </c>
      <c r="DU11" s="774">
        <v>0</v>
      </c>
      <c r="DV11" s="774">
        <v>0</v>
      </c>
      <c r="DW11" s="774">
        <v>0</v>
      </c>
      <c r="DX11" s="774">
        <v>0</v>
      </c>
      <c r="DY11" s="774">
        <v>0</v>
      </c>
      <c r="DZ11" s="774">
        <v>0</v>
      </c>
      <c r="EA11" s="774">
        <v>0</v>
      </c>
      <c r="EB11" s="774">
        <v>0</v>
      </c>
      <c r="EC11" s="774">
        <v>0</v>
      </c>
      <c r="ED11" s="774">
        <v>0</v>
      </c>
    </row>
    <row r="12" spans="1:134" ht="15" x14ac:dyDescent="0.25">
      <c r="A12" s="766">
        <v>138</v>
      </c>
      <c r="B12" s="766">
        <v>54</v>
      </c>
      <c r="C12" s="766" t="s">
        <v>3682</v>
      </c>
      <c r="D12" s="2">
        <v>99714</v>
      </c>
      <c r="E12" s="2">
        <v>99714</v>
      </c>
      <c r="F12" s="767" t="s">
        <v>3676</v>
      </c>
      <c r="G12" s="114">
        <v>0</v>
      </c>
      <c r="H12" s="114">
        <v>3</v>
      </c>
      <c r="I12" s="114">
        <v>0</v>
      </c>
      <c r="J12" s="114">
        <v>3</v>
      </c>
      <c r="K12" s="114">
        <v>0</v>
      </c>
      <c r="L12" s="114">
        <v>0</v>
      </c>
      <c r="M12" s="114">
        <v>0</v>
      </c>
      <c r="N12" s="114">
        <v>0</v>
      </c>
      <c r="O12" s="114">
        <v>0</v>
      </c>
      <c r="P12" s="114">
        <v>0</v>
      </c>
      <c r="Q12" s="114">
        <v>0</v>
      </c>
      <c r="R12" s="114">
        <v>0</v>
      </c>
      <c r="S12" s="114">
        <v>834.49503068156923</v>
      </c>
      <c r="T12" s="114">
        <v>834.49503068156923</v>
      </c>
      <c r="U12" s="114">
        <v>1408.3846153846155</v>
      </c>
      <c r="V12" s="114">
        <v>0</v>
      </c>
      <c r="W12" s="114">
        <v>0</v>
      </c>
      <c r="X12" s="114">
        <v>1365.173957061457</v>
      </c>
      <c r="Y12" s="114">
        <v>6.8737006237006237E-2</v>
      </c>
      <c r="Z12" s="114">
        <v>2.9273648648648649</v>
      </c>
      <c r="AA12" s="114">
        <v>3.8981288981288983E-3</v>
      </c>
      <c r="AB12" s="657">
        <v>0</v>
      </c>
      <c r="AC12" s="657">
        <v>0</v>
      </c>
      <c r="AD12" s="768">
        <v>3</v>
      </c>
      <c r="AE12" s="769">
        <v>0</v>
      </c>
      <c r="AF12" s="769">
        <v>0</v>
      </c>
      <c r="AG12" s="770">
        <v>0</v>
      </c>
      <c r="AH12" s="769">
        <v>0</v>
      </c>
      <c r="AI12" s="769">
        <v>6.4484250636224899E-2</v>
      </c>
      <c r="AJ12" s="769">
        <v>2.7462489273790371</v>
      </c>
      <c r="AK12" s="769">
        <v>2.810733178015262</v>
      </c>
      <c r="AL12" s="769">
        <v>3.6569518319220168E-3</v>
      </c>
      <c r="AM12" s="769">
        <v>0</v>
      </c>
      <c r="AN12" s="769">
        <v>0</v>
      </c>
      <c r="AO12" s="769">
        <v>0</v>
      </c>
      <c r="AP12" s="769">
        <v>0</v>
      </c>
      <c r="AQ12" s="769">
        <v>0</v>
      </c>
      <c r="AR12" s="769">
        <v>0</v>
      </c>
      <c r="AS12" s="769">
        <v>2.6368332379467199</v>
      </c>
      <c r="AT12" s="769">
        <v>2.722395024016584</v>
      </c>
      <c r="AU12" s="769">
        <v>2.810733178015262</v>
      </c>
      <c r="AV12" s="769">
        <v>2.9019377894468437</v>
      </c>
      <c r="AW12" s="769">
        <v>2.996101871101871</v>
      </c>
      <c r="AX12" s="769">
        <v>0</v>
      </c>
      <c r="AY12" s="769">
        <v>0</v>
      </c>
      <c r="AZ12" s="769">
        <v>0</v>
      </c>
      <c r="BA12" s="769">
        <v>0</v>
      </c>
      <c r="BB12" s="769">
        <v>0</v>
      </c>
      <c r="BC12" s="769">
        <v>0</v>
      </c>
      <c r="BD12" s="769">
        <v>0</v>
      </c>
      <c r="BE12" s="769">
        <v>0</v>
      </c>
      <c r="BF12" s="769">
        <v>0</v>
      </c>
      <c r="BG12" s="769">
        <v>0</v>
      </c>
      <c r="BH12" s="771">
        <v>3.0085511972689858</v>
      </c>
      <c r="BI12" s="771">
        <v>3.0210522525590346</v>
      </c>
      <c r="BJ12" s="771">
        <v>3.033605251915553</v>
      </c>
      <c r="BK12" s="772">
        <v>3.013660628363894</v>
      </c>
      <c r="BL12" s="772">
        <v>2.9938471319614797</v>
      </c>
      <c r="BM12" s="772">
        <v>3.0153395578412248</v>
      </c>
      <c r="BN12" s="772">
        <v>3.0369862749555701</v>
      </c>
      <c r="BO12" s="772">
        <v>3.0587883909405371</v>
      </c>
      <c r="BP12" s="772">
        <v>3.0807470213837163</v>
      </c>
      <c r="BQ12" s="772">
        <v>3.1028632898813506</v>
      </c>
      <c r="BR12" s="772">
        <v>3.1202816008839558</v>
      </c>
      <c r="BS12" s="772">
        <v>3.1377976917530388</v>
      </c>
      <c r="BT12" s="772">
        <v>3.1554121113881046</v>
      </c>
      <c r="BU12" s="772">
        <v>3.1731254117699752</v>
      </c>
      <c r="BV12" s="772">
        <v>3.1909381479780832</v>
      </c>
      <c r="BW12" s="771">
        <v>0</v>
      </c>
      <c r="BX12" s="771">
        <v>0</v>
      </c>
      <c r="BY12" s="771">
        <v>0</v>
      </c>
      <c r="BZ12" s="772">
        <v>0</v>
      </c>
      <c r="CA12" s="772">
        <v>0</v>
      </c>
      <c r="CB12" s="772">
        <v>0</v>
      </c>
      <c r="CC12" s="772">
        <v>0</v>
      </c>
      <c r="CD12" s="772">
        <v>0</v>
      </c>
      <c r="CE12" s="772">
        <v>0</v>
      </c>
      <c r="CF12" s="772">
        <v>0</v>
      </c>
      <c r="CG12" s="772">
        <v>0</v>
      </c>
      <c r="CH12" s="772">
        <v>0</v>
      </c>
      <c r="CI12" s="772">
        <v>0</v>
      </c>
      <c r="CJ12" s="772">
        <v>0</v>
      </c>
      <c r="CK12" s="772">
        <v>0</v>
      </c>
      <c r="CL12" s="771">
        <v>0</v>
      </c>
      <c r="CM12" s="771">
        <v>0</v>
      </c>
      <c r="CN12" s="771">
        <v>0</v>
      </c>
      <c r="CO12" s="772">
        <v>0</v>
      </c>
      <c r="CP12" s="772">
        <v>0</v>
      </c>
      <c r="CQ12" s="772">
        <v>0</v>
      </c>
      <c r="CR12" s="772">
        <v>0</v>
      </c>
      <c r="CS12" s="772">
        <v>0</v>
      </c>
      <c r="CT12" s="772">
        <v>0</v>
      </c>
      <c r="CU12" s="772">
        <v>0</v>
      </c>
      <c r="CV12" s="772">
        <v>0</v>
      </c>
      <c r="CW12" s="772">
        <v>0</v>
      </c>
      <c r="CX12" s="772">
        <v>0</v>
      </c>
      <c r="CY12" s="772">
        <v>0</v>
      </c>
      <c r="CZ12" s="772">
        <v>0</v>
      </c>
      <c r="DA12" s="773">
        <v>3.9143263040189776E-3</v>
      </c>
      <c r="DB12" s="773">
        <v>3.9305910129573711E-3</v>
      </c>
      <c r="DC12" s="773">
        <v>3.9469233045999908E-3</v>
      </c>
      <c r="DD12" s="774">
        <v>3.9209740155658262E-3</v>
      </c>
      <c r="DE12" s="774">
        <v>3.8951953317219357E-3</v>
      </c>
      <c r="DF12" s="774">
        <v>3.9231584150939691E-3</v>
      </c>
      <c r="DG12" s="774">
        <v>3.9513222416804189E-3</v>
      </c>
      <c r="DH12" s="774">
        <v>3.9796882525898218E-3</v>
      </c>
      <c r="DI12" s="774">
        <v>4.0082578992762371E-3</v>
      </c>
      <c r="DJ12" s="774">
        <v>4.0370326436135187E-3</v>
      </c>
      <c r="DK12" s="774">
        <v>4.0596950310746232E-3</v>
      </c>
      <c r="DL12" s="774">
        <v>4.082484636681029E-3</v>
      </c>
      <c r="DM12" s="774">
        <v>4.1054021745876978E-3</v>
      </c>
      <c r="DN12" s="774">
        <v>4.1284483629585936E-3</v>
      </c>
      <c r="DO12" s="774">
        <v>4.1516239239891787E-3</v>
      </c>
      <c r="DP12" s="773">
        <v>0</v>
      </c>
      <c r="DQ12" s="773">
        <v>0</v>
      </c>
      <c r="DR12" s="773">
        <v>0</v>
      </c>
      <c r="DS12" s="774">
        <v>0</v>
      </c>
      <c r="DT12" s="774">
        <v>0</v>
      </c>
      <c r="DU12" s="774">
        <v>0</v>
      </c>
      <c r="DV12" s="774">
        <v>0</v>
      </c>
      <c r="DW12" s="774">
        <v>0</v>
      </c>
      <c r="DX12" s="774">
        <v>0</v>
      </c>
      <c r="DY12" s="774">
        <v>0</v>
      </c>
      <c r="DZ12" s="774">
        <v>0</v>
      </c>
      <c r="EA12" s="774">
        <v>0</v>
      </c>
      <c r="EB12" s="774">
        <v>0</v>
      </c>
      <c r="EC12" s="774">
        <v>0</v>
      </c>
      <c r="ED12" s="774">
        <v>0</v>
      </c>
    </row>
    <row r="13" spans="1:134" ht="15" x14ac:dyDescent="0.25">
      <c r="A13" s="766">
        <v>139</v>
      </c>
      <c r="B13" s="766">
        <v>56</v>
      </c>
      <c r="C13" s="766" t="s">
        <v>3683</v>
      </c>
      <c r="D13" s="2">
        <v>99714</v>
      </c>
      <c r="E13" s="2">
        <v>99714</v>
      </c>
      <c r="F13" s="767" t="s">
        <v>3676</v>
      </c>
      <c r="G13" s="114">
        <v>7</v>
      </c>
      <c r="H13" s="114">
        <v>2</v>
      </c>
      <c r="I13" s="114">
        <v>1</v>
      </c>
      <c r="J13" s="114">
        <v>1</v>
      </c>
      <c r="K13" s="114">
        <v>0</v>
      </c>
      <c r="L13" s="114">
        <v>2</v>
      </c>
      <c r="M13" s="114">
        <v>2</v>
      </c>
      <c r="N13" s="114">
        <v>0</v>
      </c>
      <c r="O13" s="114">
        <v>0</v>
      </c>
      <c r="P13" s="114">
        <v>0</v>
      </c>
      <c r="Q13" s="114">
        <v>2</v>
      </c>
      <c r="R13" s="114">
        <v>0</v>
      </c>
      <c r="S13" s="114">
        <v>964</v>
      </c>
      <c r="T13" s="114">
        <v>964</v>
      </c>
      <c r="U13" s="114">
        <v>0</v>
      </c>
      <c r="V13" s="114">
        <v>0</v>
      </c>
      <c r="W13" s="114">
        <v>0</v>
      </c>
      <c r="X13" s="114">
        <v>964</v>
      </c>
      <c r="Y13" s="114">
        <v>0</v>
      </c>
      <c r="Z13" s="114">
        <v>2</v>
      </c>
      <c r="AA13" s="114">
        <v>0</v>
      </c>
      <c r="AB13" s="657">
        <v>0</v>
      </c>
      <c r="AC13" s="657">
        <v>0</v>
      </c>
      <c r="AD13" s="768">
        <v>2</v>
      </c>
      <c r="AE13" s="769">
        <v>0</v>
      </c>
      <c r="AF13" s="769">
        <v>1</v>
      </c>
      <c r="AG13" s="770">
        <v>1</v>
      </c>
      <c r="AH13" s="769">
        <v>0</v>
      </c>
      <c r="AI13" s="769">
        <v>0</v>
      </c>
      <c r="AJ13" s="769">
        <v>1.8762600865647894</v>
      </c>
      <c r="AK13" s="769">
        <v>1.8762600865647894</v>
      </c>
      <c r="AL13" s="769">
        <v>0</v>
      </c>
      <c r="AM13" s="769">
        <v>0</v>
      </c>
      <c r="AN13" s="769">
        <v>0.95638919772553477</v>
      </c>
      <c r="AO13" s="769">
        <v>0.95638919772553477</v>
      </c>
      <c r="AP13" s="769">
        <v>0</v>
      </c>
      <c r="AQ13" s="769">
        <v>0</v>
      </c>
      <c r="AR13" s="769">
        <v>0</v>
      </c>
      <c r="AS13" s="769">
        <v>1.7601759562180552</v>
      </c>
      <c r="AT13" s="769">
        <v>1.8172913613350361</v>
      </c>
      <c r="AU13" s="769">
        <v>1.8762600865647894</v>
      </c>
      <c r="AV13" s="769">
        <v>1.9371422697183545</v>
      </c>
      <c r="AW13" s="769">
        <v>2</v>
      </c>
      <c r="AX13" s="769">
        <v>0.91468029752609203</v>
      </c>
      <c r="AY13" s="769">
        <v>0.93530228050953268</v>
      </c>
      <c r="AZ13" s="769">
        <v>0.95638919772553477</v>
      </c>
      <c r="BA13" s="769">
        <v>0.97795153137849056</v>
      </c>
      <c r="BB13" s="769">
        <v>1</v>
      </c>
      <c r="BC13" s="769">
        <v>0</v>
      </c>
      <c r="BD13" s="769">
        <v>0</v>
      </c>
      <c r="BE13" s="769">
        <v>0</v>
      </c>
      <c r="BF13" s="769">
        <v>0</v>
      </c>
      <c r="BG13" s="769">
        <v>0</v>
      </c>
      <c r="BH13" s="771">
        <v>2.0164344374216081</v>
      </c>
      <c r="BI13" s="771">
        <v>2.0330039202098984</v>
      </c>
      <c r="BJ13" s="771">
        <v>2.0497095580621854</v>
      </c>
      <c r="BK13" s="772">
        <v>2.0362336170181181</v>
      </c>
      <c r="BL13" s="772">
        <v>2.0228462743739111</v>
      </c>
      <c r="BM13" s="772">
        <v>2.037368015699299</v>
      </c>
      <c r="BN13" s="772">
        <v>2.051994006652448</v>
      </c>
      <c r="BO13" s="772">
        <v>2.0667249956274141</v>
      </c>
      <c r="BP13" s="772">
        <v>2.0815617363908734</v>
      </c>
      <c r="BQ13" s="772">
        <v>2.096504988120691</v>
      </c>
      <c r="BR13" s="772">
        <v>2.1082739809798623</v>
      </c>
      <c r="BS13" s="772">
        <v>2.120109040551827</v>
      </c>
      <c r="BT13" s="772">
        <v>2.1320105377103369</v>
      </c>
      <c r="BU13" s="772">
        <v>2.1439788454110897</v>
      </c>
      <c r="BV13" s="772">
        <v>2.1560143387034172</v>
      </c>
      <c r="BW13" s="771">
        <v>1.0082172187108041</v>
      </c>
      <c r="BX13" s="771">
        <v>1.0165019601049492</v>
      </c>
      <c r="BY13" s="771">
        <v>1.0248547790310927</v>
      </c>
      <c r="BZ13" s="772">
        <v>1.0181168085090591</v>
      </c>
      <c r="CA13" s="772">
        <v>1.0114231371869555</v>
      </c>
      <c r="CB13" s="772">
        <v>1.0186840078496495</v>
      </c>
      <c r="CC13" s="772">
        <v>1.025997003326224</v>
      </c>
      <c r="CD13" s="772">
        <v>1.033362497813707</v>
      </c>
      <c r="CE13" s="772">
        <v>1.0407808681954367</v>
      </c>
      <c r="CF13" s="772">
        <v>1.0482524940603455</v>
      </c>
      <c r="CG13" s="772">
        <v>1.0541369904899311</v>
      </c>
      <c r="CH13" s="772">
        <v>1.0600545202759135</v>
      </c>
      <c r="CI13" s="772">
        <v>1.0660052688551684</v>
      </c>
      <c r="CJ13" s="772">
        <v>1.0719894227055449</v>
      </c>
      <c r="CK13" s="772">
        <v>1.0780071693517086</v>
      </c>
      <c r="CL13" s="771">
        <v>0</v>
      </c>
      <c r="CM13" s="771">
        <v>0</v>
      </c>
      <c r="CN13" s="771">
        <v>0</v>
      </c>
      <c r="CO13" s="772">
        <v>0</v>
      </c>
      <c r="CP13" s="772">
        <v>0</v>
      </c>
      <c r="CQ13" s="772">
        <v>0</v>
      </c>
      <c r="CR13" s="772">
        <v>0</v>
      </c>
      <c r="CS13" s="772">
        <v>0</v>
      </c>
      <c r="CT13" s="772">
        <v>0</v>
      </c>
      <c r="CU13" s="772">
        <v>0</v>
      </c>
      <c r="CV13" s="772">
        <v>0</v>
      </c>
      <c r="CW13" s="772">
        <v>0</v>
      </c>
      <c r="CX13" s="772">
        <v>0</v>
      </c>
      <c r="CY13" s="772">
        <v>0</v>
      </c>
      <c r="CZ13" s="772">
        <v>0</v>
      </c>
      <c r="DA13" s="773">
        <v>0</v>
      </c>
      <c r="DB13" s="773">
        <v>0</v>
      </c>
      <c r="DC13" s="773">
        <v>0</v>
      </c>
      <c r="DD13" s="774">
        <v>0</v>
      </c>
      <c r="DE13" s="774">
        <v>0</v>
      </c>
      <c r="DF13" s="774">
        <v>0</v>
      </c>
      <c r="DG13" s="774">
        <v>0</v>
      </c>
      <c r="DH13" s="774">
        <v>0</v>
      </c>
      <c r="DI13" s="774">
        <v>0</v>
      </c>
      <c r="DJ13" s="774">
        <v>0</v>
      </c>
      <c r="DK13" s="774">
        <v>0</v>
      </c>
      <c r="DL13" s="774">
        <v>0</v>
      </c>
      <c r="DM13" s="774">
        <v>0</v>
      </c>
      <c r="DN13" s="774">
        <v>0</v>
      </c>
      <c r="DO13" s="774">
        <v>0</v>
      </c>
      <c r="DP13" s="773">
        <v>0</v>
      </c>
      <c r="DQ13" s="773">
        <v>0</v>
      </c>
      <c r="DR13" s="773">
        <v>0</v>
      </c>
      <c r="DS13" s="774">
        <v>0</v>
      </c>
      <c r="DT13" s="774">
        <v>0</v>
      </c>
      <c r="DU13" s="774">
        <v>0</v>
      </c>
      <c r="DV13" s="774">
        <v>0</v>
      </c>
      <c r="DW13" s="774">
        <v>0</v>
      </c>
      <c r="DX13" s="774">
        <v>0</v>
      </c>
      <c r="DY13" s="774">
        <v>0</v>
      </c>
      <c r="DZ13" s="774">
        <v>0</v>
      </c>
      <c r="EA13" s="774">
        <v>0</v>
      </c>
      <c r="EB13" s="774">
        <v>0</v>
      </c>
      <c r="EC13" s="774">
        <v>0</v>
      </c>
      <c r="ED13" s="774">
        <v>0</v>
      </c>
    </row>
    <row r="14" spans="1:134" ht="15" x14ac:dyDescent="0.25">
      <c r="A14" s="766">
        <v>137</v>
      </c>
      <c r="B14" s="766">
        <v>57</v>
      </c>
      <c r="C14" s="766" t="s">
        <v>3684</v>
      </c>
      <c r="D14" s="2">
        <v>99714</v>
      </c>
      <c r="E14" s="2">
        <v>99714</v>
      </c>
      <c r="F14" s="767" t="s">
        <v>3676</v>
      </c>
      <c r="G14" s="114">
        <v>0</v>
      </c>
      <c r="H14" s="114">
        <v>2</v>
      </c>
      <c r="I14" s="114">
        <v>0</v>
      </c>
      <c r="J14" s="114">
        <v>2</v>
      </c>
      <c r="K14" s="114">
        <v>0</v>
      </c>
      <c r="L14" s="114">
        <v>0</v>
      </c>
      <c r="M14" s="114">
        <v>0</v>
      </c>
      <c r="N14" s="114">
        <v>0</v>
      </c>
      <c r="O14" s="114">
        <v>0</v>
      </c>
      <c r="P14" s="114">
        <v>0</v>
      </c>
      <c r="Q14" s="114">
        <v>0</v>
      </c>
      <c r="R14" s="114">
        <v>0</v>
      </c>
      <c r="S14" s="114">
        <v>834.49503068156923</v>
      </c>
      <c r="T14" s="114">
        <v>834.49503068156923</v>
      </c>
      <c r="U14" s="114">
        <v>1408.3846153846155</v>
      </c>
      <c r="V14" s="114">
        <v>0</v>
      </c>
      <c r="W14" s="114">
        <v>0</v>
      </c>
      <c r="X14" s="114">
        <v>1365.173957061457</v>
      </c>
      <c r="Y14" s="114">
        <v>4.5824670824670823E-2</v>
      </c>
      <c r="Z14" s="114">
        <v>1.9515765765765767</v>
      </c>
      <c r="AA14" s="114">
        <v>2.5987525987525989E-3</v>
      </c>
      <c r="AB14" s="657">
        <v>0</v>
      </c>
      <c r="AC14" s="657">
        <v>0</v>
      </c>
      <c r="AD14" s="768">
        <v>2</v>
      </c>
      <c r="AE14" s="769">
        <v>0</v>
      </c>
      <c r="AF14" s="769">
        <v>0</v>
      </c>
      <c r="AG14" s="770">
        <v>0</v>
      </c>
      <c r="AH14" s="769">
        <v>0</v>
      </c>
      <c r="AI14" s="769">
        <v>4.2989500424149923E-2</v>
      </c>
      <c r="AJ14" s="769">
        <v>1.8308326182526915</v>
      </c>
      <c r="AK14" s="769">
        <v>1.8738221186768413</v>
      </c>
      <c r="AL14" s="769">
        <v>2.4379678879480112E-3</v>
      </c>
      <c r="AM14" s="769">
        <v>0</v>
      </c>
      <c r="AN14" s="769">
        <v>0</v>
      </c>
      <c r="AO14" s="769">
        <v>0</v>
      </c>
      <c r="AP14" s="769">
        <v>0</v>
      </c>
      <c r="AQ14" s="769">
        <v>0</v>
      </c>
      <c r="AR14" s="769">
        <v>0</v>
      </c>
      <c r="AS14" s="769">
        <v>1.7578888252978135</v>
      </c>
      <c r="AT14" s="769">
        <v>1.8149300160110562</v>
      </c>
      <c r="AU14" s="769">
        <v>1.8738221186768413</v>
      </c>
      <c r="AV14" s="769">
        <v>1.9346251929645626</v>
      </c>
      <c r="AW14" s="769">
        <v>1.9974012474012475</v>
      </c>
      <c r="AX14" s="769">
        <v>0</v>
      </c>
      <c r="AY14" s="769">
        <v>0</v>
      </c>
      <c r="AZ14" s="769">
        <v>0</v>
      </c>
      <c r="BA14" s="769">
        <v>0</v>
      </c>
      <c r="BB14" s="769">
        <v>0</v>
      </c>
      <c r="BC14" s="769">
        <v>0</v>
      </c>
      <c r="BD14" s="769">
        <v>0</v>
      </c>
      <c r="BE14" s="769">
        <v>0</v>
      </c>
      <c r="BF14" s="769">
        <v>0</v>
      </c>
      <c r="BG14" s="769">
        <v>0</v>
      </c>
      <c r="BH14" s="771">
        <v>2.0138143303043763</v>
      </c>
      <c r="BI14" s="771">
        <v>2.0303622830994388</v>
      </c>
      <c r="BJ14" s="771">
        <v>2.0470462140418344</v>
      </c>
      <c r="BK14" s="772">
        <v>2.0335877833161713</v>
      </c>
      <c r="BL14" s="772">
        <v>2.0202178358677081</v>
      </c>
      <c r="BM14" s="772">
        <v>2.0347207079865921</v>
      </c>
      <c r="BN14" s="772">
        <v>2.0493276942737415</v>
      </c>
      <c r="BO14" s="772">
        <v>2.0640395421507676</v>
      </c>
      <c r="BP14" s="772">
        <v>2.0788570044049184</v>
      </c>
      <c r="BQ14" s="772">
        <v>2.0937808392276027</v>
      </c>
      <c r="BR14" s="772">
        <v>2.1055345397363854</v>
      </c>
      <c r="BS14" s="772">
        <v>2.1173542211124405</v>
      </c>
      <c r="BT14" s="772">
        <v>2.1292402537476156</v>
      </c>
      <c r="BU14" s="772">
        <v>2.1411930101129988</v>
      </c>
      <c r="BV14" s="772">
        <v>2.1532128647705906</v>
      </c>
      <c r="BW14" s="771">
        <v>0</v>
      </c>
      <c r="BX14" s="771">
        <v>0</v>
      </c>
      <c r="BY14" s="771">
        <v>0</v>
      </c>
      <c r="BZ14" s="772">
        <v>0</v>
      </c>
      <c r="CA14" s="772">
        <v>0</v>
      </c>
      <c r="CB14" s="772">
        <v>0</v>
      </c>
      <c r="CC14" s="772">
        <v>0</v>
      </c>
      <c r="CD14" s="772">
        <v>0</v>
      </c>
      <c r="CE14" s="772">
        <v>0</v>
      </c>
      <c r="CF14" s="772">
        <v>0</v>
      </c>
      <c r="CG14" s="772">
        <v>0</v>
      </c>
      <c r="CH14" s="772">
        <v>0</v>
      </c>
      <c r="CI14" s="772">
        <v>0</v>
      </c>
      <c r="CJ14" s="772">
        <v>0</v>
      </c>
      <c r="CK14" s="772">
        <v>0</v>
      </c>
      <c r="CL14" s="771">
        <v>0</v>
      </c>
      <c r="CM14" s="771">
        <v>0</v>
      </c>
      <c r="CN14" s="771">
        <v>0</v>
      </c>
      <c r="CO14" s="772">
        <v>0</v>
      </c>
      <c r="CP14" s="772">
        <v>0</v>
      </c>
      <c r="CQ14" s="772">
        <v>0</v>
      </c>
      <c r="CR14" s="772">
        <v>0</v>
      </c>
      <c r="CS14" s="772">
        <v>0</v>
      </c>
      <c r="CT14" s="772">
        <v>0</v>
      </c>
      <c r="CU14" s="772">
        <v>0</v>
      </c>
      <c r="CV14" s="772">
        <v>0</v>
      </c>
      <c r="CW14" s="772">
        <v>0</v>
      </c>
      <c r="CX14" s="772">
        <v>0</v>
      </c>
      <c r="CY14" s="772">
        <v>0</v>
      </c>
      <c r="CZ14" s="772">
        <v>0</v>
      </c>
      <c r="DA14" s="773">
        <v>2.6201071172318193E-3</v>
      </c>
      <c r="DB14" s="773">
        <v>2.6416371104598475E-3</v>
      </c>
      <c r="DC14" s="773">
        <v>2.6633440203510726E-3</v>
      </c>
      <c r="DD14" s="774">
        <v>2.6458337019466191E-3</v>
      </c>
      <c r="DE14" s="774">
        <v>2.6284385062031066E-3</v>
      </c>
      <c r="DF14" s="774">
        <v>2.6473077127069891E-3</v>
      </c>
      <c r="DG14" s="774">
        <v>2.6663123787064032E-3</v>
      </c>
      <c r="DH14" s="774">
        <v>2.6854534766468478E-3</v>
      </c>
      <c r="DI14" s="774">
        <v>2.7047319859548769E-3</v>
      </c>
      <c r="DJ14" s="774">
        <v>2.7241488930882162E-3</v>
      </c>
      <c r="DK14" s="774">
        <v>2.7394412434769522E-3</v>
      </c>
      <c r="DL14" s="774">
        <v>2.7548194393864694E-3</v>
      </c>
      <c r="DM14" s="774">
        <v>2.7702839627213316E-3</v>
      </c>
      <c r="DN14" s="774">
        <v>2.7858352980913333E-3</v>
      </c>
      <c r="DO14" s="774">
        <v>2.8014739328266858E-3</v>
      </c>
      <c r="DP14" s="773">
        <v>0</v>
      </c>
      <c r="DQ14" s="773">
        <v>0</v>
      </c>
      <c r="DR14" s="773">
        <v>0</v>
      </c>
      <c r="DS14" s="774">
        <v>0</v>
      </c>
      <c r="DT14" s="774">
        <v>0</v>
      </c>
      <c r="DU14" s="774">
        <v>0</v>
      </c>
      <c r="DV14" s="774">
        <v>0</v>
      </c>
      <c r="DW14" s="774">
        <v>0</v>
      </c>
      <c r="DX14" s="774">
        <v>0</v>
      </c>
      <c r="DY14" s="774">
        <v>0</v>
      </c>
      <c r="DZ14" s="774">
        <v>0</v>
      </c>
      <c r="EA14" s="774">
        <v>0</v>
      </c>
      <c r="EB14" s="774">
        <v>0</v>
      </c>
      <c r="EC14" s="774">
        <v>0</v>
      </c>
      <c r="ED14" s="774">
        <v>0</v>
      </c>
    </row>
    <row r="15" spans="1:134" ht="15" x14ac:dyDescent="0.25">
      <c r="A15" s="766">
        <v>151</v>
      </c>
      <c r="B15" s="766">
        <v>57</v>
      </c>
      <c r="C15" s="766" t="s">
        <v>3685</v>
      </c>
      <c r="D15" s="2">
        <v>99714</v>
      </c>
      <c r="E15" s="2">
        <v>99714</v>
      </c>
      <c r="F15" s="767" t="s">
        <v>3676</v>
      </c>
      <c r="G15" s="114">
        <v>148</v>
      </c>
      <c r="H15" s="114">
        <v>459</v>
      </c>
      <c r="I15" s="114">
        <v>63</v>
      </c>
      <c r="J15" s="114">
        <v>396</v>
      </c>
      <c r="K15" s="114">
        <v>0</v>
      </c>
      <c r="L15" s="114">
        <v>0</v>
      </c>
      <c r="M15" s="114">
        <v>0</v>
      </c>
      <c r="N15" s="114">
        <v>0</v>
      </c>
      <c r="O15" s="114">
        <v>0</v>
      </c>
      <c r="P15" s="114">
        <v>0</v>
      </c>
      <c r="Q15" s="114">
        <v>0</v>
      </c>
      <c r="R15" s="114">
        <v>0</v>
      </c>
      <c r="S15" s="114">
        <v>834.49503068156923</v>
      </c>
      <c r="T15" s="114">
        <v>834.49503068156923</v>
      </c>
      <c r="U15" s="114">
        <v>1408.3846153846155</v>
      </c>
      <c r="V15" s="114">
        <v>0</v>
      </c>
      <c r="W15" s="114">
        <v>0</v>
      </c>
      <c r="X15" s="114">
        <v>1365.173957061457</v>
      </c>
      <c r="Y15" s="114">
        <v>10.516761954261954</v>
      </c>
      <c r="Z15" s="114">
        <v>447.88682432432432</v>
      </c>
      <c r="AA15" s="114">
        <v>0.5964137214137214</v>
      </c>
      <c r="AB15" s="657">
        <v>0</v>
      </c>
      <c r="AC15" s="657">
        <v>0</v>
      </c>
      <c r="AD15" s="768">
        <v>459</v>
      </c>
      <c r="AE15" s="769">
        <v>1.443477130977131</v>
      </c>
      <c r="AF15" s="769">
        <v>61.474662162162161</v>
      </c>
      <c r="AG15" s="770">
        <v>62.918139293139291</v>
      </c>
      <c r="AH15" s="769">
        <v>8.1860706860706872E-2</v>
      </c>
      <c r="AI15" s="769">
        <v>9.8660903473424089</v>
      </c>
      <c r="AJ15" s="769">
        <v>420.17608588899265</v>
      </c>
      <c r="AK15" s="769">
        <v>430.04217623633508</v>
      </c>
      <c r="AL15" s="769">
        <v>0.55951363028406853</v>
      </c>
      <c r="AM15" s="769">
        <v>1.3805259352303749</v>
      </c>
      <c r="AN15" s="769">
        <v>58.793702825718555</v>
      </c>
      <c r="AO15" s="769">
        <v>60.174228760948928</v>
      </c>
      <c r="AP15" s="769">
        <v>7.8290695759756626E-2</v>
      </c>
      <c r="AQ15" s="769">
        <v>0</v>
      </c>
      <c r="AR15" s="769">
        <v>0</v>
      </c>
      <c r="AS15" s="769">
        <v>403.43548540584817</v>
      </c>
      <c r="AT15" s="769">
        <v>416.52643867453736</v>
      </c>
      <c r="AU15" s="769">
        <v>430.04217623633508</v>
      </c>
      <c r="AV15" s="769">
        <v>443.99648178536705</v>
      </c>
      <c r="AW15" s="769">
        <v>458.40358627858626</v>
      </c>
      <c r="AX15" s="769">
        <v>57.549982368436751</v>
      </c>
      <c r="AY15" s="769">
        <v>58.847479166289617</v>
      </c>
      <c r="AZ15" s="769">
        <v>60.174228760948928</v>
      </c>
      <c r="BA15" s="769">
        <v>61.530890673210749</v>
      </c>
      <c r="BB15" s="769">
        <v>62.918139293139291</v>
      </c>
      <c r="BC15" s="769">
        <v>0</v>
      </c>
      <c r="BD15" s="769">
        <v>0</v>
      </c>
      <c r="BE15" s="769">
        <v>0</v>
      </c>
      <c r="BF15" s="769">
        <v>0</v>
      </c>
      <c r="BG15" s="769">
        <v>0</v>
      </c>
      <c r="BH15" s="771">
        <v>462.17038880485433</v>
      </c>
      <c r="BI15" s="771">
        <v>465.96814397132113</v>
      </c>
      <c r="BJ15" s="771">
        <v>469.79710612260095</v>
      </c>
      <c r="BK15" s="772">
        <v>466.7083962710613</v>
      </c>
      <c r="BL15" s="772">
        <v>463.63999333163895</v>
      </c>
      <c r="BM15" s="772">
        <v>466.96840248292284</v>
      </c>
      <c r="BN15" s="772">
        <v>470.32070583582367</v>
      </c>
      <c r="BO15" s="772">
        <v>473.69707492360106</v>
      </c>
      <c r="BP15" s="772">
        <v>477.09768251092873</v>
      </c>
      <c r="BQ15" s="772">
        <v>480.5227026027348</v>
      </c>
      <c r="BR15" s="772">
        <v>483.22017686950045</v>
      </c>
      <c r="BS15" s="772">
        <v>485.93279374530505</v>
      </c>
      <c r="BT15" s="772">
        <v>488.66063823507773</v>
      </c>
      <c r="BU15" s="772">
        <v>491.40379582093317</v>
      </c>
      <c r="BV15" s="772">
        <v>494.16235246485053</v>
      </c>
      <c r="BW15" s="771">
        <v>63.435151404587849</v>
      </c>
      <c r="BX15" s="771">
        <v>63.956411917632309</v>
      </c>
      <c r="BY15" s="771">
        <v>64.48195574231778</v>
      </c>
      <c r="BZ15" s="772">
        <v>64.058015174459399</v>
      </c>
      <c r="CA15" s="772">
        <v>63.636861829832796</v>
      </c>
      <c r="CB15" s="772">
        <v>64.09370230157765</v>
      </c>
      <c r="CC15" s="772">
        <v>64.55382236962285</v>
      </c>
      <c r="CD15" s="772">
        <v>65.017245577749165</v>
      </c>
      <c r="CE15" s="772">
        <v>65.483995638754934</v>
      </c>
      <c r="CF15" s="772">
        <v>65.954096435669484</v>
      </c>
      <c r="CG15" s="772">
        <v>66.324338001696134</v>
      </c>
      <c r="CH15" s="772">
        <v>66.696657965041879</v>
      </c>
      <c r="CI15" s="772">
        <v>67.07106799304988</v>
      </c>
      <c r="CJ15" s="772">
        <v>67.447579818559461</v>
      </c>
      <c r="CK15" s="772">
        <v>67.826205240273609</v>
      </c>
      <c r="CL15" s="771">
        <v>0</v>
      </c>
      <c r="CM15" s="771">
        <v>0</v>
      </c>
      <c r="CN15" s="771">
        <v>0</v>
      </c>
      <c r="CO15" s="772">
        <v>0</v>
      </c>
      <c r="CP15" s="772">
        <v>0</v>
      </c>
      <c r="CQ15" s="772">
        <v>0</v>
      </c>
      <c r="CR15" s="772">
        <v>0</v>
      </c>
      <c r="CS15" s="772">
        <v>0</v>
      </c>
      <c r="CT15" s="772">
        <v>0</v>
      </c>
      <c r="CU15" s="772">
        <v>0</v>
      </c>
      <c r="CV15" s="772">
        <v>0</v>
      </c>
      <c r="CW15" s="772">
        <v>0</v>
      </c>
      <c r="CX15" s="772">
        <v>0</v>
      </c>
      <c r="CY15" s="772">
        <v>0</v>
      </c>
      <c r="CZ15" s="772">
        <v>0</v>
      </c>
      <c r="DA15" s="773">
        <v>0.60131458340470245</v>
      </c>
      <c r="DB15" s="773">
        <v>0.60625571685053492</v>
      </c>
      <c r="DC15" s="773">
        <v>0.61123745267057106</v>
      </c>
      <c r="DD15" s="774">
        <v>0.60721883459674897</v>
      </c>
      <c r="DE15" s="774">
        <v>0.60322663717361291</v>
      </c>
      <c r="DF15" s="774">
        <v>0.60755712006625395</v>
      </c>
      <c r="DG15" s="774">
        <v>0.61191869091311946</v>
      </c>
      <c r="DH15" s="774">
        <v>0.61631157289045146</v>
      </c>
      <c r="DI15" s="774">
        <v>0.62073599077664421</v>
      </c>
      <c r="DJ15" s="774">
        <v>0.62519217096374546</v>
      </c>
      <c r="DK15" s="774">
        <v>0.62870176537796041</v>
      </c>
      <c r="DL15" s="774">
        <v>0.63223106133919471</v>
      </c>
      <c r="DM15" s="774">
        <v>0.63578016944454552</v>
      </c>
      <c r="DN15" s="774">
        <v>0.6393492009119609</v>
      </c>
      <c r="DO15" s="774">
        <v>0.6429382675837243</v>
      </c>
      <c r="DP15" s="773">
        <v>0</v>
      </c>
      <c r="DQ15" s="773">
        <v>0</v>
      </c>
      <c r="DR15" s="773">
        <v>0</v>
      </c>
      <c r="DS15" s="774">
        <v>0</v>
      </c>
      <c r="DT15" s="774">
        <v>0</v>
      </c>
      <c r="DU15" s="774">
        <v>0</v>
      </c>
      <c r="DV15" s="774">
        <v>0</v>
      </c>
      <c r="DW15" s="774">
        <v>0</v>
      </c>
      <c r="DX15" s="774">
        <v>0</v>
      </c>
      <c r="DY15" s="774">
        <v>0</v>
      </c>
      <c r="DZ15" s="774">
        <v>0</v>
      </c>
      <c r="EA15" s="774">
        <v>0</v>
      </c>
      <c r="EB15" s="774">
        <v>0</v>
      </c>
      <c r="EC15" s="774">
        <v>0</v>
      </c>
      <c r="ED15" s="774">
        <v>0</v>
      </c>
    </row>
    <row r="16" spans="1:134" ht="15" x14ac:dyDescent="0.25">
      <c r="A16" s="766">
        <v>139</v>
      </c>
      <c r="B16" s="766">
        <v>58</v>
      </c>
      <c r="C16" s="766" t="s">
        <v>3686</v>
      </c>
      <c r="D16" s="2">
        <v>99714</v>
      </c>
      <c r="E16" s="2">
        <v>99714</v>
      </c>
      <c r="F16" s="767" t="s">
        <v>3676</v>
      </c>
      <c r="G16" s="114">
        <v>6</v>
      </c>
      <c r="H16" s="114">
        <v>21</v>
      </c>
      <c r="I16" s="114">
        <v>5</v>
      </c>
      <c r="J16" s="114">
        <v>16</v>
      </c>
      <c r="K16" s="114">
        <v>0</v>
      </c>
      <c r="L16" s="114">
        <v>2</v>
      </c>
      <c r="M16" s="114">
        <v>2</v>
      </c>
      <c r="N16" s="114">
        <v>0</v>
      </c>
      <c r="O16" s="114">
        <v>0</v>
      </c>
      <c r="P16" s="114">
        <v>0</v>
      </c>
      <c r="Q16" s="114">
        <v>2</v>
      </c>
      <c r="R16" s="114">
        <v>0</v>
      </c>
      <c r="S16" s="114">
        <v>715</v>
      </c>
      <c r="T16" s="114">
        <v>715</v>
      </c>
      <c r="U16" s="114">
        <v>0</v>
      </c>
      <c r="V16" s="114">
        <v>0</v>
      </c>
      <c r="W16" s="114">
        <v>0</v>
      </c>
      <c r="X16" s="114">
        <v>715</v>
      </c>
      <c r="Y16" s="114">
        <v>0</v>
      </c>
      <c r="Z16" s="114">
        <v>21</v>
      </c>
      <c r="AA16" s="114">
        <v>0</v>
      </c>
      <c r="AB16" s="657">
        <v>0</v>
      </c>
      <c r="AC16" s="657">
        <v>0</v>
      </c>
      <c r="AD16" s="768">
        <v>21</v>
      </c>
      <c r="AE16" s="769">
        <v>0</v>
      </c>
      <c r="AF16" s="769">
        <v>5</v>
      </c>
      <c r="AG16" s="770">
        <v>5</v>
      </c>
      <c r="AH16" s="769">
        <v>0</v>
      </c>
      <c r="AI16" s="769">
        <v>0</v>
      </c>
      <c r="AJ16" s="769">
        <v>19.700730908930289</v>
      </c>
      <c r="AK16" s="769">
        <v>19.700730908930289</v>
      </c>
      <c r="AL16" s="769">
        <v>0</v>
      </c>
      <c r="AM16" s="769">
        <v>0</v>
      </c>
      <c r="AN16" s="769">
        <v>4.7819459886276734</v>
      </c>
      <c r="AO16" s="769">
        <v>4.7819459886276734</v>
      </c>
      <c r="AP16" s="769">
        <v>0</v>
      </c>
      <c r="AQ16" s="769">
        <v>0</v>
      </c>
      <c r="AR16" s="769">
        <v>0</v>
      </c>
      <c r="AS16" s="769">
        <v>18.481847540289579</v>
      </c>
      <c r="AT16" s="769">
        <v>19.081559294017879</v>
      </c>
      <c r="AU16" s="769">
        <v>19.700730908930289</v>
      </c>
      <c r="AV16" s="769">
        <v>20.339993832042722</v>
      </c>
      <c r="AW16" s="769">
        <v>21</v>
      </c>
      <c r="AX16" s="769">
        <v>4.5734014876304601</v>
      </c>
      <c r="AY16" s="769">
        <v>4.6765114025476633</v>
      </c>
      <c r="AZ16" s="769">
        <v>4.7819459886276734</v>
      </c>
      <c r="BA16" s="769">
        <v>4.8897576568924528</v>
      </c>
      <c r="BB16" s="769">
        <v>5</v>
      </c>
      <c r="BC16" s="769">
        <v>0</v>
      </c>
      <c r="BD16" s="769">
        <v>0</v>
      </c>
      <c r="BE16" s="769">
        <v>0</v>
      </c>
      <c r="BF16" s="769">
        <v>0</v>
      </c>
      <c r="BG16" s="769">
        <v>0</v>
      </c>
      <c r="BH16" s="771">
        <v>21.172561592926886</v>
      </c>
      <c r="BI16" s="771">
        <v>21.346541162203934</v>
      </c>
      <c r="BJ16" s="771">
        <v>21.521950359652948</v>
      </c>
      <c r="BK16" s="772">
        <v>21.38045297869024</v>
      </c>
      <c r="BL16" s="772">
        <v>21.239885880926067</v>
      </c>
      <c r="BM16" s="772">
        <v>21.39236416484264</v>
      </c>
      <c r="BN16" s="772">
        <v>21.545937069850705</v>
      </c>
      <c r="BO16" s="772">
        <v>21.70061245408785</v>
      </c>
      <c r="BP16" s="772">
        <v>21.856398232104169</v>
      </c>
      <c r="BQ16" s="772">
        <v>22.013302375267255</v>
      </c>
      <c r="BR16" s="772">
        <v>22.136876800288558</v>
      </c>
      <c r="BS16" s="772">
        <v>22.261144925794184</v>
      </c>
      <c r="BT16" s="772">
        <v>22.386110645958539</v>
      </c>
      <c r="BU16" s="772">
        <v>22.511777876816446</v>
      </c>
      <c r="BV16" s="772">
        <v>22.638150556385884</v>
      </c>
      <c r="BW16" s="771">
        <v>5.0410860935540205</v>
      </c>
      <c r="BX16" s="771">
        <v>5.082509800524746</v>
      </c>
      <c r="BY16" s="771">
        <v>5.1242738951554632</v>
      </c>
      <c r="BZ16" s="772">
        <v>5.0905840425452942</v>
      </c>
      <c r="CA16" s="772">
        <v>5.057115685934777</v>
      </c>
      <c r="CB16" s="772">
        <v>5.0934200392482474</v>
      </c>
      <c r="CC16" s="772">
        <v>5.1299850166311192</v>
      </c>
      <c r="CD16" s="772">
        <v>5.1668124890685352</v>
      </c>
      <c r="CE16" s="772">
        <v>5.203904340977183</v>
      </c>
      <c r="CF16" s="772">
        <v>5.2412624703017272</v>
      </c>
      <c r="CG16" s="772">
        <v>5.2706849524496553</v>
      </c>
      <c r="CH16" s="772">
        <v>5.3002726013795671</v>
      </c>
      <c r="CI16" s="772">
        <v>5.3300263442758418</v>
      </c>
      <c r="CJ16" s="772">
        <v>5.359947113527725</v>
      </c>
      <c r="CK16" s="772">
        <v>5.3900358467585434</v>
      </c>
      <c r="CL16" s="771">
        <v>0</v>
      </c>
      <c r="CM16" s="771">
        <v>0</v>
      </c>
      <c r="CN16" s="771">
        <v>0</v>
      </c>
      <c r="CO16" s="772">
        <v>0</v>
      </c>
      <c r="CP16" s="772">
        <v>0</v>
      </c>
      <c r="CQ16" s="772">
        <v>0</v>
      </c>
      <c r="CR16" s="772">
        <v>0</v>
      </c>
      <c r="CS16" s="772">
        <v>0</v>
      </c>
      <c r="CT16" s="772">
        <v>0</v>
      </c>
      <c r="CU16" s="772">
        <v>0</v>
      </c>
      <c r="CV16" s="772">
        <v>0</v>
      </c>
      <c r="CW16" s="772">
        <v>0</v>
      </c>
      <c r="CX16" s="772">
        <v>0</v>
      </c>
      <c r="CY16" s="772">
        <v>0</v>
      </c>
      <c r="CZ16" s="772">
        <v>0</v>
      </c>
      <c r="DA16" s="773">
        <v>0</v>
      </c>
      <c r="DB16" s="773">
        <v>0</v>
      </c>
      <c r="DC16" s="773">
        <v>0</v>
      </c>
      <c r="DD16" s="774">
        <v>0</v>
      </c>
      <c r="DE16" s="774">
        <v>0</v>
      </c>
      <c r="DF16" s="774">
        <v>0</v>
      </c>
      <c r="DG16" s="774">
        <v>0</v>
      </c>
      <c r="DH16" s="774">
        <v>0</v>
      </c>
      <c r="DI16" s="774">
        <v>0</v>
      </c>
      <c r="DJ16" s="774">
        <v>0</v>
      </c>
      <c r="DK16" s="774">
        <v>0</v>
      </c>
      <c r="DL16" s="774">
        <v>0</v>
      </c>
      <c r="DM16" s="774">
        <v>0</v>
      </c>
      <c r="DN16" s="774">
        <v>0</v>
      </c>
      <c r="DO16" s="774">
        <v>0</v>
      </c>
      <c r="DP16" s="773">
        <v>0</v>
      </c>
      <c r="DQ16" s="773">
        <v>0</v>
      </c>
      <c r="DR16" s="773">
        <v>0</v>
      </c>
      <c r="DS16" s="774">
        <v>0</v>
      </c>
      <c r="DT16" s="774">
        <v>0</v>
      </c>
      <c r="DU16" s="774">
        <v>0</v>
      </c>
      <c r="DV16" s="774">
        <v>0</v>
      </c>
      <c r="DW16" s="774">
        <v>0</v>
      </c>
      <c r="DX16" s="774">
        <v>0</v>
      </c>
      <c r="DY16" s="774">
        <v>0</v>
      </c>
      <c r="DZ16" s="774">
        <v>0</v>
      </c>
      <c r="EA16" s="774">
        <v>0</v>
      </c>
      <c r="EB16" s="774">
        <v>0</v>
      </c>
      <c r="EC16" s="774">
        <v>0</v>
      </c>
      <c r="ED16" s="774">
        <v>0</v>
      </c>
    </row>
    <row r="17" spans="1:134" ht="15" x14ac:dyDescent="0.25">
      <c r="A17" s="766">
        <v>141</v>
      </c>
      <c r="B17" s="766">
        <v>58</v>
      </c>
      <c r="C17" s="766" t="s">
        <v>3687</v>
      </c>
      <c r="D17" s="2">
        <v>99714</v>
      </c>
      <c r="E17" s="2">
        <v>99714</v>
      </c>
      <c r="F17" s="767" t="s">
        <v>3676</v>
      </c>
      <c r="G17" s="114">
        <v>0</v>
      </c>
      <c r="H17" s="114">
        <v>7</v>
      </c>
      <c r="I17" s="114">
        <v>0</v>
      </c>
      <c r="J17" s="114">
        <v>7</v>
      </c>
      <c r="K17" s="114">
        <v>0</v>
      </c>
      <c r="L17" s="114">
        <v>0</v>
      </c>
      <c r="M17" s="114">
        <v>0</v>
      </c>
      <c r="N17" s="114">
        <v>0</v>
      </c>
      <c r="O17" s="114">
        <v>0</v>
      </c>
      <c r="P17" s="114">
        <v>0</v>
      </c>
      <c r="Q17" s="114">
        <v>0</v>
      </c>
      <c r="R17" s="114">
        <v>0</v>
      </c>
      <c r="S17" s="114">
        <v>834.49503068156923</v>
      </c>
      <c r="T17" s="114">
        <v>834.49503068156923</v>
      </c>
      <c r="U17" s="114">
        <v>1408.3846153846155</v>
      </c>
      <c r="V17" s="114">
        <v>0</v>
      </c>
      <c r="W17" s="114">
        <v>0</v>
      </c>
      <c r="X17" s="114">
        <v>1365.173957061457</v>
      </c>
      <c r="Y17" s="114">
        <v>0.1603863478863479</v>
      </c>
      <c r="Z17" s="114">
        <v>6.8305180180180178</v>
      </c>
      <c r="AA17" s="114">
        <v>9.0956340956340961E-3</v>
      </c>
      <c r="AB17" s="657">
        <v>0</v>
      </c>
      <c r="AC17" s="657">
        <v>0</v>
      </c>
      <c r="AD17" s="768">
        <v>7</v>
      </c>
      <c r="AE17" s="769">
        <v>0</v>
      </c>
      <c r="AF17" s="769">
        <v>0</v>
      </c>
      <c r="AG17" s="770">
        <v>0</v>
      </c>
      <c r="AH17" s="769">
        <v>0</v>
      </c>
      <c r="AI17" s="769">
        <v>0.15046325148452475</v>
      </c>
      <c r="AJ17" s="769">
        <v>6.4079141638844197</v>
      </c>
      <c r="AK17" s="769">
        <v>6.5583774153689447</v>
      </c>
      <c r="AL17" s="769">
        <v>8.5328876078180384E-3</v>
      </c>
      <c r="AM17" s="769">
        <v>0</v>
      </c>
      <c r="AN17" s="769">
        <v>0</v>
      </c>
      <c r="AO17" s="769">
        <v>0</v>
      </c>
      <c r="AP17" s="769">
        <v>0</v>
      </c>
      <c r="AQ17" s="769">
        <v>0</v>
      </c>
      <c r="AR17" s="769">
        <v>0</v>
      </c>
      <c r="AS17" s="769">
        <v>6.1526108885423474</v>
      </c>
      <c r="AT17" s="769">
        <v>6.3522550560386968</v>
      </c>
      <c r="AU17" s="769">
        <v>6.5583774153689447</v>
      </c>
      <c r="AV17" s="769">
        <v>6.7711881753759684</v>
      </c>
      <c r="AW17" s="769">
        <v>6.9909043659043659</v>
      </c>
      <c r="AX17" s="769">
        <v>0</v>
      </c>
      <c r="AY17" s="769">
        <v>0</v>
      </c>
      <c r="AZ17" s="769">
        <v>0</v>
      </c>
      <c r="BA17" s="769">
        <v>0</v>
      </c>
      <c r="BB17" s="769">
        <v>0</v>
      </c>
      <c r="BC17" s="769">
        <v>0</v>
      </c>
      <c r="BD17" s="769">
        <v>0</v>
      </c>
      <c r="BE17" s="769">
        <v>0</v>
      </c>
      <c r="BF17" s="769">
        <v>0</v>
      </c>
      <c r="BG17" s="769">
        <v>0</v>
      </c>
      <c r="BH17" s="771">
        <v>7.0483501560653172</v>
      </c>
      <c r="BI17" s="771">
        <v>7.1062679908480346</v>
      </c>
      <c r="BJ17" s="771">
        <v>7.1646617491464202</v>
      </c>
      <c r="BK17" s="772">
        <v>7.1175572416065993</v>
      </c>
      <c r="BL17" s="772">
        <v>7.0707624255369774</v>
      </c>
      <c r="BM17" s="772">
        <v>7.1215224779530715</v>
      </c>
      <c r="BN17" s="772">
        <v>7.1726469299580957</v>
      </c>
      <c r="BO17" s="772">
        <v>7.2241383975276854</v>
      </c>
      <c r="BP17" s="772">
        <v>7.2759995154172143</v>
      </c>
      <c r="BQ17" s="772">
        <v>7.32823293729661</v>
      </c>
      <c r="BR17" s="772">
        <v>7.3693708890773495</v>
      </c>
      <c r="BS17" s="772">
        <v>7.4107397738935417</v>
      </c>
      <c r="BT17" s="772">
        <v>7.4523408881166544</v>
      </c>
      <c r="BU17" s="772">
        <v>7.4941755353954953</v>
      </c>
      <c r="BV17" s="772">
        <v>7.5362450266970678</v>
      </c>
      <c r="BW17" s="771">
        <v>0</v>
      </c>
      <c r="BX17" s="771">
        <v>0</v>
      </c>
      <c r="BY17" s="771">
        <v>0</v>
      </c>
      <c r="BZ17" s="772">
        <v>0</v>
      </c>
      <c r="CA17" s="772">
        <v>0</v>
      </c>
      <c r="CB17" s="772">
        <v>0</v>
      </c>
      <c r="CC17" s="772">
        <v>0</v>
      </c>
      <c r="CD17" s="772">
        <v>0</v>
      </c>
      <c r="CE17" s="772">
        <v>0</v>
      </c>
      <c r="CF17" s="772">
        <v>0</v>
      </c>
      <c r="CG17" s="772">
        <v>0</v>
      </c>
      <c r="CH17" s="772">
        <v>0</v>
      </c>
      <c r="CI17" s="772">
        <v>0</v>
      </c>
      <c r="CJ17" s="772">
        <v>0</v>
      </c>
      <c r="CK17" s="772">
        <v>0</v>
      </c>
      <c r="CL17" s="771">
        <v>0</v>
      </c>
      <c r="CM17" s="771">
        <v>0</v>
      </c>
      <c r="CN17" s="771">
        <v>0</v>
      </c>
      <c r="CO17" s="772">
        <v>0</v>
      </c>
      <c r="CP17" s="772">
        <v>0</v>
      </c>
      <c r="CQ17" s="772">
        <v>0</v>
      </c>
      <c r="CR17" s="772">
        <v>0</v>
      </c>
      <c r="CS17" s="772">
        <v>0</v>
      </c>
      <c r="CT17" s="772">
        <v>0</v>
      </c>
      <c r="CU17" s="772">
        <v>0</v>
      </c>
      <c r="CV17" s="772">
        <v>0</v>
      </c>
      <c r="CW17" s="772">
        <v>0</v>
      </c>
      <c r="CX17" s="772">
        <v>0</v>
      </c>
      <c r="CY17" s="772">
        <v>0</v>
      </c>
      <c r="CZ17" s="772">
        <v>0</v>
      </c>
      <c r="DA17" s="773">
        <v>9.1703749103113682E-3</v>
      </c>
      <c r="DB17" s="773">
        <v>9.2457298866094658E-3</v>
      </c>
      <c r="DC17" s="773">
        <v>9.3217040712287539E-3</v>
      </c>
      <c r="DD17" s="774">
        <v>9.2604179568131668E-3</v>
      </c>
      <c r="DE17" s="774">
        <v>9.1995347717108746E-3</v>
      </c>
      <c r="DF17" s="774">
        <v>9.2655769944744622E-3</v>
      </c>
      <c r="DG17" s="774">
        <v>9.3320933254724108E-3</v>
      </c>
      <c r="DH17" s="774">
        <v>9.3990871682639674E-3</v>
      </c>
      <c r="DI17" s="774">
        <v>9.4665619508420701E-3</v>
      </c>
      <c r="DJ17" s="774">
        <v>9.5345211258087564E-3</v>
      </c>
      <c r="DK17" s="774">
        <v>9.5880443521693323E-3</v>
      </c>
      <c r="DL17" s="774">
        <v>9.6418680378526442E-3</v>
      </c>
      <c r="DM17" s="774">
        <v>9.6959938695246606E-3</v>
      </c>
      <c r="DN17" s="774">
        <v>9.7504235433196664E-3</v>
      </c>
      <c r="DO17" s="774">
        <v>9.8051587648933999E-3</v>
      </c>
      <c r="DP17" s="773">
        <v>0</v>
      </c>
      <c r="DQ17" s="773">
        <v>0</v>
      </c>
      <c r="DR17" s="773">
        <v>0</v>
      </c>
      <c r="DS17" s="774">
        <v>0</v>
      </c>
      <c r="DT17" s="774">
        <v>0</v>
      </c>
      <c r="DU17" s="774">
        <v>0</v>
      </c>
      <c r="DV17" s="774">
        <v>0</v>
      </c>
      <c r="DW17" s="774">
        <v>0</v>
      </c>
      <c r="DX17" s="774">
        <v>0</v>
      </c>
      <c r="DY17" s="774">
        <v>0</v>
      </c>
      <c r="DZ17" s="774">
        <v>0</v>
      </c>
      <c r="EA17" s="774">
        <v>0</v>
      </c>
      <c r="EB17" s="774">
        <v>0</v>
      </c>
      <c r="EC17" s="774">
        <v>0</v>
      </c>
      <c r="ED17" s="774">
        <v>0</v>
      </c>
    </row>
    <row r="18" spans="1:134" ht="15" x14ac:dyDescent="0.25">
      <c r="A18" s="766">
        <v>137</v>
      </c>
      <c r="B18" s="766">
        <v>59</v>
      </c>
      <c r="C18" s="766" t="s">
        <v>3688</v>
      </c>
      <c r="D18" s="2">
        <v>99714</v>
      </c>
      <c r="E18" s="2">
        <v>99714</v>
      </c>
      <c r="F18" s="767" t="s">
        <v>3676</v>
      </c>
      <c r="G18" s="114">
        <v>119</v>
      </c>
      <c r="H18" s="114">
        <v>78</v>
      </c>
      <c r="I18" s="114">
        <v>47</v>
      </c>
      <c r="J18" s="114">
        <v>31</v>
      </c>
      <c r="K18" s="114">
        <v>0</v>
      </c>
      <c r="L18" s="114">
        <v>8</v>
      </c>
      <c r="M18" s="114">
        <v>8</v>
      </c>
      <c r="N18" s="114">
        <v>2</v>
      </c>
      <c r="O18" s="114">
        <v>0</v>
      </c>
      <c r="P18" s="114">
        <v>0</v>
      </c>
      <c r="Q18" s="114">
        <v>10</v>
      </c>
      <c r="R18" s="114">
        <v>0</v>
      </c>
      <c r="S18" s="114">
        <v>1873.5</v>
      </c>
      <c r="T18" s="114">
        <v>1873.5</v>
      </c>
      <c r="U18" s="114">
        <v>825</v>
      </c>
      <c r="V18" s="114">
        <v>0</v>
      </c>
      <c r="W18" s="114">
        <v>0</v>
      </c>
      <c r="X18" s="114">
        <v>1663.8</v>
      </c>
      <c r="Y18" s="114">
        <v>0</v>
      </c>
      <c r="Z18" s="114">
        <v>78</v>
      </c>
      <c r="AA18" s="114">
        <v>0</v>
      </c>
      <c r="AB18" s="657">
        <v>2</v>
      </c>
      <c r="AC18" s="657">
        <v>0</v>
      </c>
      <c r="AD18" s="768">
        <v>80</v>
      </c>
      <c r="AE18" s="769">
        <v>0</v>
      </c>
      <c r="AF18" s="769">
        <v>47</v>
      </c>
      <c r="AG18" s="770">
        <v>47</v>
      </c>
      <c r="AH18" s="769">
        <v>0</v>
      </c>
      <c r="AI18" s="769">
        <v>0</v>
      </c>
      <c r="AJ18" s="769">
        <v>73.174143376026777</v>
      </c>
      <c r="AK18" s="769">
        <v>73.174143376026777</v>
      </c>
      <c r="AL18" s="769">
        <v>0</v>
      </c>
      <c r="AM18" s="769">
        <v>0</v>
      </c>
      <c r="AN18" s="769">
        <v>44.950292293100134</v>
      </c>
      <c r="AO18" s="769">
        <v>44.950292293100134</v>
      </c>
      <c r="AP18" s="769">
        <v>0</v>
      </c>
      <c r="AQ18" s="769">
        <v>1.9327684259768214</v>
      </c>
      <c r="AR18" s="769">
        <v>0</v>
      </c>
      <c r="AS18" s="769">
        <v>68.646862292504153</v>
      </c>
      <c r="AT18" s="769">
        <v>70.874363092066403</v>
      </c>
      <c r="AU18" s="769">
        <v>73.174143376026777</v>
      </c>
      <c r="AV18" s="769">
        <v>75.548548519015824</v>
      </c>
      <c r="AW18" s="769">
        <v>78</v>
      </c>
      <c r="AX18" s="769">
        <v>42.98997398372633</v>
      </c>
      <c r="AY18" s="769">
        <v>43.959207183948038</v>
      </c>
      <c r="AZ18" s="769">
        <v>44.950292293100134</v>
      </c>
      <c r="BA18" s="769">
        <v>45.963721974789053</v>
      </c>
      <c r="BB18" s="769">
        <v>47</v>
      </c>
      <c r="BC18" s="769">
        <v>1.8677968942264598</v>
      </c>
      <c r="BD18" s="769">
        <v>1.9000049640194285</v>
      </c>
      <c r="BE18" s="769">
        <v>1.9327684259768214</v>
      </c>
      <c r="BF18" s="769">
        <v>1.9660968572157482</v>
      </c>
      <c r="BG18" s="769">
        <v>2</v>
      </c>
      <c r="BH18" s="771">
        <v>78.640943059442719</v>
      </c>
      <c r="BI18" s="771">
        <v>79.287152888186043</v>
      </c>
      <c r="BJ18" s="771">
        <v>79.938672764425235</v>
      </c>
      <c r="BK18" s="772">
        <v>79.413111063706609</v>
      </c>
      <c r="BL18" s="772">
        <v>78.891004700582528</v>
      </c>
      <c r="BM18" s="772">
        <v>79.457352612272658</v>
      </c>
      <c r="BN18" s="772">
        <v>80.027766259445471</v>
      </c>
      <c r="BO18" s="772">
        <v>80.602274829469152</v>
      </c>
      <c r="BP18" s="772">
        <v>81.180907719244061</v>
      </c>
      <c r="BQ18" s="772">
        <v>81.76369453670695</v>
      </c>
      <c r="BR18" s="772">
        <v>82.222685258214639</v>
      </c>
      <c r="BS18" s="772">
        <v>82.68425258152125</v>
      </c>
      <c r="BT18" s="772">
        <v>83.148410970703139</v>
      </c>
      <c r="BU18" s="772">
        <v>83.615174971032516</v>
      </c>
      <c r="BV18" s="772">
        <v>84.08455920943328</v>
      </c>
      <c r="BW18" s="771">
        <v>47.386209279407794</v>
      </c>
      <c r="BX18" s="771">
        <v>47.775592124932615</v>
      </c>
      <c r="BY18" s="771">
        <v>48.168174614461357</v>
      </c>
      <c r="BZ18" s="772">
        <v>47.851489999925775</v>
      </c>
      <c r="CA18" s="772">
        <v>47.53688744778691</v>
      </c>
      <c r="CB18" s="772">
        <v>47.878148368933523</v>
      </c>
      <c r="CC18" s="772">
        <v>48.221859156332528</v>
      </c>
      <c r="CD18" s="772">
        <v>48.568037397244233</v>
      </c>
      <c r="CE18" s="772">
        <v>48.916700805185521</v>
      </c>
      <c r="CF18" s="772">
        <v>49.267867220836237</v>
      </c>
      <c r="CG18" s="772">
        <v>49.544438553026765</v>
      </c>
      <c r="CH18" s="772">
        <v>49.822562452967937</v>
      </c>
      <c r="CI18" s="772">
        <v>50.102247636192914</v>
      </c>
      <c r="CJ18" s="772">
        <v>50.383502867160615</v>
      </c>
      <c r="CK18" s="772">
        <v>50.666336959530312</v>
      </c>
      <c r="CL18" s="771">
        <v>2.0164344374216081</v>
      </c>
      <c r="CM18" s="771">
        <v>2.0330039202098984</v>
      </c>
      <c r="CN18" s="771">
        <v>2.0497095580621854</v>
      </c>
      <c r="CO18" s="772">
        <v>2.0362336170181181</v>
      </c>
      <c r="CP18" s="772">
        <v>2.0228462743739111</v>
      </c>
      <c r="CQ18" s="772">
        <v>2.037368015699299</v>
      </c>
      <c r="CR18" s="772">
        <v>2.051994006652448</v>
      </c>
      <c r="CS18" s="772">
        <v>2.0667249956274141</v>
      </c>
      <c r="CT18" s="772">
        <v>2.0815617363908734</v>
      </c>
      <c r="CU18" s="772">
        <v>2.096504988120691</v>
      </c>
      <c r="CV18" s="772">
        <v>2.1082739809798623</v>
      </c>
      <c r="CW18" s="772">
        <v>2.120109040551827</v>
      </c>
      <c r="CX18" s="772">
        <v>2.1320105377103369</v>
      </c>
      <c r="CY18" s="772">
        <v>2.1439788454110897</v>
      </c>
      <c r="CZ18" s="772">
        <v>2.1560143387034172</v>
      </c>
      <c r="DA18" s="773">
        <v>0</v>
      </c>
      <c r="DB18" s="773">
        <v>0</v>
      </c>
      <c r="DC18" s="773">
        <v>0</v>
      </c>
      <c r="DD18" s="774">
        <v>0</v>
      </c>
      <c r="DE18" s="774">
        <v>0</v>
      </c>
      <c r="DF18" s="774">
        <v>0</v>
      </c>
      <c r="DG18" s="774">
        <v>0</v>
      </c>
      <c r="DH18" s="774">
        <v>0</v>
      </c>
      <c r="DI18" s="774">
        <v>0</v>
      </c>
      <c r="DJ18" s="774">
        <v>0</v>
      </c>
      <c r="DK18" s="774">
        <v>0</v>
      </c>
      <c r="DL18" s="774">
        <v>0</v>
      </c>
      <c r="DM18" s="774">
        <v>0</v>
      </c>
      <c r="DN18" s="774">
        <v>0</v>
      </c>
      <c r="DO18" s="774">
        <v>0</v>
      </c>
      <c r="DP18" s="773">
        <v>0</v>
      </c>
      <c r="DQ18" s="773">
        <v>0</v>
      </c>
      <c r="DR18" s="773">
        <v>0</v>
      </c>
      <c r="DS18" s="774">
        <v>0</v>
      </c>
      <c r="DT18" s="774">
        <v>0</v>
      </c>
      <c r="DU18" s="774">
        <v>0</v>
      </c>
      <c r="DV18" s="774">
        <v>0</v>
      </c>
      <c r="DW18" s="774">
        <v>0</v>
      </c>
      <c r="DX18" s="774">
        <v>0</v>
      </c>
      <c r="DY18" s="774">
        <v>0</v>
      </c>
      <c r="DZ18" s="774">
        <v>0</v>
      </c>
      <c r="EA18" s="774">
        <v>0</v>
      </c>
      <c r="EB18" s="774">
        <v>0</v>
      </c>
      <c r="EC18" s="774">
        <v>0</v>
      </c>
      <c r="ED18" s="774">
        <v>0</v>
      </c>
    </row>
    <row r="19" spans="1:134" ht="15" x14ac:dyDescent="0.25">
      <c r="A19" s="766">
        <v>139</v>
      </c>
      <c r="B19" s="766">
        <v>59</v>
      </c>
      <c r="C19" s="766" t="s">
        <v>3689</v>
      </c>
      <c r="D19" s="2">
        <v>99714</v>
      </c>
      <c r="E19" s="2">
        <v>99714</v>
      </c>
      <c r="F19" s="767" t="s">
        <v>3676</v>
      </c>
      <c r="G19" s="114">
        <v>1</v>
      </c>
      <c r="H19" s="114">
        <v>5</v>
      </c>
      <c r="I19" s="114">
        <v>1</v>
      </c>
      <c r="J19" s="114">
        <v>4</v>
      </c>
      <c r="K19" s="114">
        <v>0</v>
      </c>
      <c r="L19" s="114">
        <v>64</v>
      </c>
      <c r="M19" s="114">
        <v>64</v>
      </c>
      <c r="N19" s="114">
        <v>0</v>
      </c>
      <c r="O19" s="114">
        <v>0</v>
      </c>
      <c r="P19" s="114">
        <v>0</v>
      </c>
      <c r="Q19" s="114">
        <v>64</v>
      </c>
      <c r="R19" s="114">
        <v>0</v>
      </c>
      <c r="S19" s="114">
        <v>1384.65625</v>
      </c>
      <c r="T19" s="114">
        <v>1384.65625</v>
      </c>
      <c r="U19" s="114">
        <v>0</v>
      </c>
      <c r="V19" s="114">
        <v>0</v>
      </c>
      <c r="W19" s="114">
        <v>0</v>
      </c>
      <c r="X19" s="114">
        <v>1384.65625</v>
      </c>
      <c r="Y19" s="114">
        <v>0</v>
      </c>
      <c r="Z19" s="114">
        <v>5</v>
      </c>
      <c r="AA19" s="114">
        <v>0</v>
      </c>
      <c r="AB19" s="657">
        <v>0</v>
      </c>
      <c r="AC19" s="657">
        <v>0</v>
      </c>
      <c r="AD19" s="768">
        <v>5</v>
      </c>
      <c r="AE19" s="769">
        <v>0</v>
      </c>
      <c r="AF19" s="769">
        <v>1</v>
      </c>
      <c r="AG19" s="770">
        <v>1</v>
      </c>
      <c r="AH19" s="769">
        <v>0</v>
      </c>
      <c r="AI19" s="769">
        <v>0</v>
      </c>
      <c r="AJ19" s="769">
        <v>4.6906502164119734</v>
      </c>
      <c r="AK19" s="769">
        <v>4.6906502164119734</v>
      </c>
      <c r="AL19" s="769">
        <v>0</v>
      </c>
      <c r="AM19" s="769">
        <v>0</v>
      </c>
      <c r="AN19" s="769">
        <v>0.95638919772553477</v>
      </c>
      <c r="AO19" s="769">
        <v>0.95638919772553477</v>
      </c>
      <c r="AP19" s="769">
        <v>0</v>
      </c>
      <c r="AQ19" s="769">
        <v>0</v>
      </c>
      <c r="AR19" s="769">
        <v>0</v>
      </c>
      <c r="AS19" s="769">
        <v>4.4004398905451376</v>
      </c>
      <c r="AT19" s="769">
        <v>4.54322840333759</v>
      </c>
      <c r="AU19" s="769">
        <v>4.6906502164119734</v>
      </c>
      <c r="AV19" s="769">
        <v>4.8428556742958868</v>
      </c>
      <c r="AW19" s="769">
        <v>5</v>
      </c>
      <c r="AX19" s="769">
        <v>0.91468029752609203</v>
      </c>
      <c r="AY19" s="769">
        <v>0.93530228050953268</v>
      </c>
      <c r="AZ19" s="769">
        <v>0.95638919772553477</v>
      </c>
      <c r="BA19" s="769">
        <v>0.97795153137849056</v>
      </c>
      <c r="BB19" s="769">
        <v>1</v>
      </c>
      <c r="BC19" s="769">
        <v>0</v>
      </c>
      <c r="BD19" s="769">
        <v>0</v>
      </c>
      <c r="BE19" s="769">
        <v>0</v>
      </c>
      <c r="BF19" s="769">
        <v>0</v>
      </c>
      <c r="BG19" s="769">
        <v>0</v>
      </c>
      <c r="BH19" s="771">
        <v>5.0410860935540205</v>
      </c>
      <c r="BI19" s="771">
        <v>5.082509800524746</v>
      </c>
      <c r="BJ19" s="771">
        <v>5.1242738951554632</v>
      </c>
      <c r="BK19" s="772">
        <v>5.0905840425452942</v>
      </c>
      <c r="BL19" s="772">
        <v>5.057115685934777</v>
      </c>
      <c r="BM19" s="772">
        <v>5.0934200392482474</v>
      </c>
      <c r="BN19" s="772">
        <v>5.1299850166311192</v>
      </c>
      <c r="BO19" s="772">
        <v>5.1668124890685352</v>
      </c>
      <c r="BP19" s="772">
        <v>5.203904340977183</v>
      </c>
      <c r="BQ19" s="772">
        <v>5.2412624703017272</v>
      </c>
      <c r="BR19" s="772">
        <v>5.2706849524496553</v>
      </c>
      <c r="BS19" s="772">
        <v>5.3002726013795671</v>
      </c>
      <c r="BT19" s="772">
        <v>5.3300263442758418</v>
      </c>
      <c r="BU19" s="772">
        <v>5.359947113527725</v>
      </c>
      <c r="BV19" s="772">
        <v>5.3900358467585434</v>
      </c>
      <c r="BW19" s="771">
        <v>1.0082172187108041</v>
      </c>
      <c r="BX19" s="771">
        <v>1.0165019601049492</v>
      </c>
      <c r="BY19" s="771">
        <v>1.0248547790310927</v>
      </c>
      <c r="BZ19" s="772">
        <v>1.0181168085090591</v>
      </c>
      <c r="CA19" s="772">
        <v>1.0114231371869555</v>
      </c>
      <c r="CB19" s="772">
        <v>1.0186840078496495</v>
      </c>
      <c r="CC19" s="772">
        <v>1.025997003326224</v>
      </c>
      <c r="CD19" s="772">
        <v>1.033362497813707</v>
      </c>
      <c r="CE19" s="772">
        <v>1.0407808681954367</v>
      </c>
      <c r="CF19" s="772">
        <v>1.0482524940603455</v>
      </c>
      <c r="CG19" s="772">
        <v>1.0541369904899311</v>
      </c>
      <c r="CH19" s="772">
        <v>1.0600545202759135</v>
      </c>
      <c r="CI19" s="772">
        <v>1.0660052688551684</v>
      </c>
      <c r="CJ19" s="772">
        <v>1.0719894227055449</v>
      </c>
      <c r="CK19" s="772">
        <v>1.0780071693517086</v>
      </c>
      <c r="CL19" s="771">
        <v>0</v>
      </c>
      <c r="CM19" s="771">
        <v>0</v>
      </c>
      <c r="CN19" s="771">
        <v>0</v>
      </c>
      <c r="CO19" s="772">
        <v>0</v>
      </c>
      <c r="CP19" s="772">
        <v>0</v>
      </c>
      <c r="CQ19" s="772">
        <v>0</v>
      </c>
      <c r="CR19" s="772">
        <v>0</v>
      </c>
      <c r="CS19" s="772">
        <v>0</v>
      </c>
      <c r="CT19" s="772">
        <v>0</v>
      </c>
      <c r="CU19" s="772">
        <v>0</v>
      </c>
      <c r="CV19" s="772">
        <v>0</v>
      </c>
      <c r="CW19" s="772">
        <v>0</v>
      </c>
      <c r="CX19" s="772">
        <v>0</v>
      </c>
      <c r="CY19" s="772">
        <v>0</v>
      </c>
      <c r="CZ19" s="772">
        <v>0</v>
      </c>
      <c r="DA19" s="773">
        <v>0</v>
      </c>
      <c r="DB19" s="773">
        <v>0</v>
      </c>
      <c r="DC19" s="773">
        <v>0</v>
      </c>
      <c r="DD19" s="774">
        <v>0</v>
      </c>
      <c r="DE19" s="774">
        <v>0</v>
      </c>
      <c r="DF19" s="774">
        <v>0</v>
      </c>
      <c r="DG19" s="774">
        <v>0</v>
      </c>
      <c r="DH19" s="774">
        <v>0</v>
      </c>
      <c r="DI19" s="774">
        <v>0</v>
      </c>
      <c r="DJ19" s="774">
        <v>0</v>
      </c>
      <c r="DK19" s="774">
        <v>0</v>
      </c>
      <c r="DL19" s="774">
        <v>0</v>
      </c>
      <c r="DM19" s="774">
        <v>0</v>
      </c>
      <c r="DN19" s="774">
        <v>0</v>
      </c>
      <c r="DO19" s="774">
        <v>0</v>
      </c>
      <c r="DP19" s="773">
        <v>0</v>
      </c>
      <c r="DQ19" s="773">
        <v>0</v>
      </c>
      <c r="DR19" s="773">
        <v>0</v>
      </c>
      <c r="DS19" s="774">
        <v>0</v>
      </c>
      <c r="DT19" s="774">
        <v>0</v>
      </c>
      <c r="DU19" s="774">
        <v>0</v>
      </c>
      <c r="DV19" s="774">
        <v>0</v>
      </c>
      <c r="DW19" s="774">
        <v>0</v>
      </c>
      <c r="DX19" s="774">
        <v>0</v>
      </c>
      <c r="DY19" s="774">
        <v>0</v>
      </c>
      <c r="DZ19" s="774">
        <v>0</v>
      </c>
      <c r="EA19" s="774">
        <v>0</v>
      </c>
      <c r="EB19" s="774">
        <v>0</v>
      </c>
      <c r="EC19" s="774">
        <v>0</v>
      </c>
      <c r="ED19" s="774">
        <v>0</v>
      </c>
    </row>
    <row r="20" spans="1:134" ht="15" x14ac:dyDescent="0.25">
      <c r="A20" s="766">
        <v>141</v>
      </c>
      <c r="B20" s="766">
        <v>59</v>
      </c>
      <c r="C20" s="766" t="s">
        <v>3690</v>
      </c>
      <c r="D20" s="2">
        <v>99714</v>
      </c>
      <c r="E20" s="2">
        <v>99714</v>
      </c>
      <c r="F20" s="767" t="s">
        <v>3676</v>
      </c>
      <c r="G20" s="114">
        <v>0</v>
      </c>
      <c r="H20" s="114">
        <v>20</v>
      </c>
      <c r="I20" s="114">
        <v>0</v>
      </c>
      <c r="J20" s="114">
        <v>20</v>
      </c>
      <c r="K20" s="114">
        <v>0</v>
      </c>
      <c r="L20" s="114">
        <v>40</v>
      </c>
      <c r="M20" s="114">
        <v>40</v>
      </c>
      <c r="N20" s="114">
        <v>0</v>
      </c>
      <c r="O20" s="114">
        <v>0</v>
      </c>
      <c r="P20" s="114">
        <v>0</v>
      </c>
      <c r="Q20" s="114">
        <v>40</v>
      </c>
      <c r="R20" s="114">
        <v>0</v>
      </c>
      <c r="S20" s="114">
        <v>1013.675</v>
      </c>
      <c r="T20" s="114">
        <v>1013.675</v>
      </c>
      <c r="U20" s="114">
        <v>0</v>
      </c>
      <c r="V20" s="114">
        <v>0</v>
      </c>
      <c r="W20" s="114">
        <v>0</v>
      </c>
      <c r="X20" s="114">
        <v>1013.675</v>
      </c>
      <c r="Y20" s="114">
        <v>0</v>
      </c>
      <c r="Z20" s="114">
        <v>20</v>
      </c>
      <c r="AA20" s="114">
        <v>0</v>
      </c>
      <c r="AB20" s="657">
        <v>0</v>
      </c>
      <c r="AC20" s="657">
        <v>0</v>
      </c>
      <c r="AD20" s="768">
        <v>20</v>
      </c>
      <c r="AE20" s="769">
        <v>0</v>
      </c>
      <c r="AF20" s="769">
        <v>0</v>
      </c>
      <c r="AG20" s="770">
        <v>0</v>
      </c>
      <c r="AH20" s="769">
        <v>0</v>
      </c>
      <c r="AI20" s="769">
        <v>0</v>
      </c>
      <c r="AJ20" s="769">
        <v>18.762600865647894</v>
      </c>
      <c r="AK20" s="769">
        <v>18.762600865647894</v>
      </c>
      <c r="AL20" s="769">
        <v>0</v>
      </c>
      <c r="AM20" s="769">
        <v>0</v>
      </c>
      <c r="AN20" s="769">
        <v>0</v>
      </c>
      <c r="AO20" s="769">
        <v>0</v>
      </c>
      <c r="AP20" s="769">
        <v>0</v>
      </c>
      <c r="AQ20" s="769">
        <v>0</v>
      </c>
      <c r="AR20" s="769">
        <v>0</v>
      </c>
      <c r="AS20" s="769">
        <v>17.60175956218055</v>
      </c>
      <c r="AT20" s="769">
        <v>18.17291361335036</v>
      </c>
      <c r="AU20" s="769">
        <v>18.762600865647894</v>
      </c>
      <c r="AV20" s="769">
        <v>19.371422697183547</v>
      </c>
      <c r="AW20" s="769">
        <v>20</v>
      </c>
      <c r="AX20" s="769">
        <v>0</v>
      </c>
      <c r="AY20" s="769">
        <v>0</v>
      </c>
      <c r="AZ20" s="769">
        <v>0</v>
      </c>
      <c r="BA20" s="769">
        <v>0</v>
      </c>
      <c r="BB20" s="769">
        <v>0</v>
      </c>
      <c r="BC20" s="769">
        <v>0</v>
      </c>
      <c r="BD20" s="769">
        <v>0</v>
      </c>
      <c r="BE20" s="769">
        <v>0</v>
      </c>
      <c r="BF20" s="769">
        <v>0</v>
      </c>
      <c r="BG20" s="769">
        <v>0</v>
      </c>
      <c r="BH20" s="771">
        <v>20.164344374216082</v>
      </c>
      <c r="BI20" s="771">
        <v>20.330039202098984</v>
      </c>
      <c r="BJ20" s="771">
        <v>20.497095580621853</v>
      </c>
      <c r="BK20" s="772">
        <v>20.362336170181177</v>
      </c>
      <c r="BL20" s="772">
        <v>20.228462743739108</v>
      </c>
      <c r="BM20" s="772">
        <v>20.37368015699299</v>
      </c>
      <c r="BN20" s="772">
        <v>20.519940066524477</v>
      </c>
      <c r="BO20" s="772">
        <v>20.667249956274141</v>
      </c>
      <c r="BP20" s="772">
        <v>20.815617363908732</v>
      </c>
      <c r="BQ20" s="772">
        <v>20.965049881206909</v>
      </c>
      <c r="BR20" s="772">
        <v>21.082739809798621</v>
      </c>
      <c r="BS20" s="772">
        <v>21.201090405518269</v>
      </c>
      <c r="BT20" s="772">
        <v>21.320105377103367</v>
      </c>
      <c r="BU20" s="772">
        <v>21.4397884541109</v>
      </c>
      <c r="BV20" s="772">
        <v>21.560143387034174</v>
      </c>
      <c r="BW20" s="771">
        <v>0</v>
      </c>
      <c r="BX20" s="771">
        <v>0</v>
      </c>
      <c r="BY20" s="771">
        <v>0</v>
      </c>
      <c r="BZ20" s="772">
        <v>0</v>
      </c>
      <c r="CA20" s="772">
        <v>0</v>
      </c>
      <c r="CB20" s="772">
        <v>0</v>
      </c>
      <c r="CC20" s="772">
        <v>0</v>
      </c>
      <c r="CD20" s="772">
        <v>0</v>
      </c>
      <c r="CE20" s="772">
        <v>0</v>
      </c>
      <c r="CF20" s="772">
        <v>0</v>
      </c>
      <c r="CG20" s="772">
        <v>0</v>
      </c>
      <c r="CH20" s="772">
        <v>0</v>
      </c>
      <c r="CI20" s="772">
        <v>0</v>
      </c>
      <c r="CJ20" s="772">
        <v>0</v>
      </c>
      <c r="CK20" s="772">
        <v>0</v>
      </c>
      <c r="CL20" s="771">
        <v>0</v>
      </c>
      <c r="CM20" s="771">
        <v>0</v>
      </c>
      <c r="CN20" s="771">
        <v>0</v>
      </c>
      <c r="CO20" s="772">
        <v>0</v>
      </c>
      <c r="CP20" s="772">
        <v>0</v>
      </c>
      <c r="CQ20" s="772">
        <v>0</v>
      </c>
      <c r="CR20" s="772">
        <v>0</v>
      </c>
      <c r="CS20" s="772">
        <v>0</v>
      </c>
      <c r="CT20" s="772">
        <v>0</v>
      </c>
      <c r="CU20" s="772">
        <v>0</v>
      </c>
      <c r="CV20" s="772">
        <v>0</v>
      </c>
      <c r="CW20" s="772">
        <v>0</v>
      </c>
      <c r="CX20" s="772">
        <v>0</v>
      </c>
      <c r="CY20" s="772">
        <v>0</v>
      </c>
      <c r="CZ20" s="772">
        <v>0</v>
      </c>
      <c r="DA20" s="773">
        <v>0</v>
      </c>
      <c r="DB20" s="773">
        <v>0</v>
      </c>
      <c r="DC20" s="773">
        <v>0</v>
      </c>
      <c r="DD20" s="774">
        <v>0</v>
      </c>
      <c r="DE20" s="774">
        <v>0</v>
      </c>
      <c r="DF20" s="774">
        <v>0</v>
      </c>
      <c r="DG20" s="774">
        <v>0</v>
      </c>
      <c r="DH20" s="774">
        <v>0</v>
      </c>
      <c r="DI20" s="774">
        <v>0</v>
      </c>
      <c r="DJ20" s="774">
        <v>0</v>
      </c>
      <c r="DK20" s="774">
        <v>0</v>
      </c>
      <c r="DL20" s="774">
        <v>0</v>
      </c>
      <c r="DM20" s="774">
        <v>0</v>
      </c>
      <c r="DN20" s="774">
        <v>0</v>
      </c>
      <c r="DO20" s="774">
        <v>0</v>
      </c>
      <c r="DP20" s="773">
        <v>0</v>
      </c>
      <c r="DQ20" s="773">
        <v>0</v>
      </c>
      <c r="DR20" s="773">
        <v>0</v>
      </c>
      <c r="DS20" s="774">
        <v>0</v>
      </c>
      <c r="DT20" s="774">
        <v>0</v>
      </c>
      <c r="DU20" s="774">
        <v>0</v>
      </c>
      <c r="DV20" s="774">
        <v>0</v>
      </c>
      <c r="DW20" s="774">
        <v>0</v>
      </c>
      <c r="DX20" s="774">
        <v>0</v>
      </c>
      <c r="DY20" s="774">
        <v>0</v>
      </c>
      <c r="DZ20" s="774">
        <v>0</v>
      </c>
      <c r="EA20" s="774">
        <v>0</v>
      </c>
      <c r="EB20" s="774">
        <v>0</v>
      </c>
      <c r="EC20" s="774">
        <v>0</v>
      </c>
      <c r="ED20" s="774">
        <v>0</v>
      </c>
    </row>
    <row r="21" spans="1:134" ht="15" x14ac:dyDescent="0.25">
      <c r="A21" s="766">
        <v>142</v>
      </c>
      <c r="B21" s="766">
        <v>59</v>
      </c>
      <c r="C21" s="766" t="s">
        <v>3691</v>
      </c>
      <c r="D21" s="2">
        <v>99714</v>
      </c>
      <c r="E21" s="2">
        <v>99714</v>
      </c>
      <c r="F21" s="767" t="s">
        <v>3676</v>
      </c>
      <c r="G21" s="114">
        <v>0</v>
      </c>
      <c r="H21" s="114">
        <v>8</v>
      </c>
      <c r="I21" s="114">
        <v>0</v>
      </c>
      <c r="J21" s="114">
        <v>8</v>
      </c>
      <c r="K21" s="114">
        <v>0</v>
      </c>
      <c r="L21" s="114">
        <v>27</v>
      </c>
      <c r="M21" s="114">
        <v>27</v>
      </c>
      <c r="N21" s="114">
        <v>0</v>
      </c>
      <c r="O21" s="114">
        <v>0</v>
      </c>
      <c r="P21" s="114">
        <v>0</v>
      </c>
      <c r="Q21" s="114">
        <v>27</v>
      </c>
      <c r="R21" s="114">
        <v>0</v>
      </c>
      <c r="S21" s="114">
        <v>745.51851851851848</v>
      </c>
      <c r="T21" s="114">
        <v>745.51851851851848</v>
      </c>
      <c r="U21" s="114">
        <v>0</v>
      </c>
      <c r="V21" s="114">
        <v>0</v>
      </c>
      <c r="W21" s="114">
        <v>0</v>
      </c>
      <c r="X21" s="114">
        <v>745.51851851851848</v>
      </c>
      <c r="Y21" s="114">
        <v>0</v>
      </c>
      <c r="Z21" s="114">
        <v>8</v>
      </c>
      <c r="AA21" s="114">
        <v>0</v>
      </c>
      <c r="AB21" s="657">
        <v>0</v>
      </c>
      <c r="AC21" s="657">
        <v>0</v>
      </c>
      <c r="AD21" s="768">
        <v>8</v>
      </c>
      <c r="AE21" s="769">
        <v>0</v>
      </c>
      <c r="AF21" s="769">
        <v>0</v>
      </c>
      <c r="AG21" s="770">
        <v>0</v>
      </c>
      <c r="AH21" s="769">
        <v>0</v>
      </c>
      <c r="AI21" s="769">
        <v>0</v>
      </c>
      <c r="AJ21" s="769">
        <v>7.5050403462591575</v>
      </c>
      <c r="AK21" s="769">
        <v>7.5050403462591575</v>
      </c>
      <c r="AL21" s="769">
        <v>0</v>
      </c>
      <c r="AM21" s="769">
        <v>0</v>
      </c>
      <c r="AN21" s="769">
        <v>0</v>
      </c>
      <c r="AO21" s="769">
        <v>0</v>
      </c>
      <c r="AP21" s="769">
        <v>0</v>
      </c>
      <c r="AQ21" s="769">
        <v>0</v>
      </c>
      <c r="AR21" s="769">
        <v>0</v>
      </c>
      <c r="AS21" s="769">
        <v>7.0407038248722209</v>
      </c>
      <c r="AT21" s="769">
        <v>7.2691654453401444</v>
      </c>
      <c r="AU21" s="769">
        <v>7.5050403462591575</v>
      </c>
      <c r="AV21" s="769">
        <v>7.7485690788734178</v>
      </c>
      <c r="AW21" s="769">
        <v>8</v>
      </c>
      <c r="AX21" s="769">
        <v>0</v>
      </c>
      <c r="AY21" s="769">
        <v>0</v>
      </c>
      <c r="AZ21" s="769">
        <v>0</v>
      </c>
      <c r="BA21" s="769">
        <v>0</v>
      </c>
      <c r="BB21" s="769">
        <v>0</v>
      </c>
      <c r="BC21" s="769">
        <v>0</v>
      </c>
      <c r="BD21" s="769">
        <v>0</v>
      </c>
      <c r="BE21" s="769">
        <v>0</v>
      </c>
      <c r="BF21" s="769">
        <v>0</v>
      </c>
      <c r="BG21" s="769">
        <v>0</v>
      </c>
      <c r="BH21" s="771">
        <v>8.0657377496864324</v>
      </c>
      <c r="BI21" s="771">
        <v>8.1320156808395936</v>
      </c>
      <c r="BJ21" s="771">
        <v>8.1988382322487414</v>
      </c>
      <c r="BK21" s="772">
        <v>8.1449344680724725</v>
      </c>
      <c r="BL21" s="772">
        <v>8.0913850974956443</v>
      </c>
      <c r="BM21" s="772">
        <v>8.1494720627971962</v>
      </c>
      <c r="BN21" s="772">
        <v>8.2079760266097921</v>
      </c>
      <c r="BO21" s="772">
        <v>8.2668999825096563</v>
      </c>
      <c r="BP21" s="772">
        <v>8.3262469455634935</v>
      </c>
      <c r="BQ21" s="772">
        <v>8.3860199524827639</v>
      </c>
      <c r="BR21" s="772">
        <v>8.4330959239194492</v>
      </c>
      <c r="BS21" s="772">
        <v>8.4804361622073081</v>
      </c>
      <c r="BT21" s="772">
        <v>8.5280421508413475</v>
      </c>
      <c r="BU21" s="772">
        <v>8.575915381644359</v>
      </c>
      <c r="BV21" s="772">
        <v>8.6240573548136688</v>
      </c>
      <c r="BW21" s="771">
        <v>0</v>
      </c>
      <c r="BX21" s="771">
        <v>0</v>
      </c>
      <c r="BY21" s="771">
        <v>0</v>
      </c>
      <c r="BZ21" s="772">
        <v>0</v>
      </c>
      <c r="CA21" s="772">
        <v>0</v>
      </c>
      <c r="CB21" s="772">
        <v>0</v>
      </c>
      <c r="CC21" s="772">
        <v>0</v>
      </c>
      <c r="CD21" s="772">
        <v>0</v>
      </c>
      <c r="CE21" s="772">
        <v>0</v>
      </c>
      <c r="CF21" s="772">
        <v>0</v>
      </c>
      <c r="CG21" s="772">
        <v>0</v>
      </c>
      <c r="CH21" s="772">
        <v>0</v>
      </c>
      <c r="CI21" s="772">
        <v>0</v>
      </c>
      <c r="CJ21" s="772">
        <v>0</v>
      </c>
      <c r="CK21" s="772">
        <v>0</v>
      </c>
      <c r="CL21" s="771">
        <v>0</v>
      </c>
      <c r="CM21" s="771">
        <v>0</v>
      </c>
      <c r="CN21" s="771">
        <v>0</v>
      </c>
      <c r="CO21" s="772">
        <v>0</v>
      </c>
      <c r="CP21" s="772">
        <v>0</v>
      </c>
      <c r="CQ21" s="772">
        <v>0</v>
      </c>
      <c r="CR21" s="772">
        <v>0</v>
      </c>
      <c r="CS21" s="772">
        <v>0</v>
      </c>
      <c r="CT21" s="772">
        <v>0</v>
      </c>
      <c r="CU21" s="772">
        <v>0</v>
      </c>
      <c r="CV21" s="772">
        <v>0</v>
      </c>
      <c r="CW21" s="772">
        <v>0</v>
      </c>
      <c r="CX21" s="772">
        <v>0</v>
      </c>
      <c r="CY21" s="772">
        <v>0</v>
      </c>
      <c r="CZ21" s="772">
        <v>0</v>
      </c>
      <c r="DA21" s="773">
        <v>0</v>
      </c>
      <c r="DB21" s="773">
        <v>0</v>
      </c>
      <c r="DC21" s="773">
        <v>0</v>
      </c>
      <c r="DD21" s="774">
        <v>0</v>
      </c>
      <c r="DE21" s="774">
        <v>0</v>
      </c>
      <c r="DF21" s="774">
        <v>0</v>
      </c>
      <c r="DG21" s="774">
        <v>0</v>
      </c>
      <c r="DH21" s="774">
        <v>0</v>
      </c>
      <c r="DI21" s="774">
        <v>0</v>
      </c>
      <c r="DJ21" s="774">
        <v>0</v>
      </c>
      <c r="DK21" s="774">
        <v>0</v>
      </c>
      <c r="DL21" s="774">
        <v>0</v>
      </c>
      <c r="DM21" s="774">
        <v>0</v>
      </c>
      <c r="DN21" s="774">
        <v>0</v>
      </c>
      <c r="DO21" s="774">
        <v>0</v>
      </c>
      <c r="DP21" s="773">
        <v>0</v>
      </c>
      <c r="DQ21" s="773">
        <v>0</v>
      </c>
      <c r="DR21" s="773">
        <v>0</v>
      </c>
      <c r="DS21" s="774">
        <v>0</v>
      </c>
      <c r="DT21" s="774">
        <v>0</v>
      </c>
      <c r="DU21" s="774">
        <v>0</v>
      </c>
      <c r="DV21" s="774">
        <v>0</v>
      </c>
      <c r="DW21" s="774">
        <v>0</v>
      </c>
      <c r="DX21" s="774">
        <v>0</v>
      </c>
      <c r="DY21" s="774">
        <v>0</v>
      </c>
      <c r="DZ21" s="774">
        <v>0</v>
      </c>
      <c r="EA21" s="774">
        <v>0</v>
      </c>
      <c r="EB21" s="774">
        <v>0</v>
      </c>
      <c r="EC21" s="774">
        <v>0</v>
      </c>
      <c r="ED21" s="774">
        <v>0</v>
      </c>
    </row>
    <row r="22" spans="1:134" ht="15" x14ac:dyDescent="0.25">
      <c r="A22" s="766">
        <v>136</v>
      </c>
      <c r="B22" s="766">
        <v>61</v>
      </c>
      <c r="C22" s="766" t="s">
        <v>3692</v>
      </c>
      <c r="D22" s="2">
        <v>99714</v>
      </c>
      <c r="E22" s="2">
        <v>99714</v>
      </c>
      <c r="F22" s="767" t="s">
        <v>3676</v>
      </c>
      <c r="G22" s="114">
        <v>2</v>
      </c>
      <c r="H22" s="114">
        <v>2</v>
      </c>
      <c r="I22" s="114">
        <v>1</v>
      </c>
      <c r="J22" s="114">
        <v>1</v>
      </c>
      <c r="K22" s="114">
        <v>0</v>
      </c>
      <c r="L22" s="114">
        <v>0</v>
      </c>
      <c r="M22" s="114">
        <v>0</v>
      </c>
      <c r="N22" s="114">
        <v>0</v>
      </c>
      <c r="O22" s="114">
        <v>0</v>
      </c>
      <c r="P22" s="114">
        <v>0</v>
      </c>
      <c r="Q22" s="114">
        <v>0</v>
      </c>
      <c r="R22" s="114">
        <v>0</v>
      </c>
      <c r="S22" s="114">
        <v>834.49503068156923</v>
      </c>
      <c r="T22" s="114">
        <v>834.49503068156923</v>
      </c>
      <c r="U22" s="114">
        <v>1408.3846153846155</v>
      </c>
      <c r="V22" s="114">
        <v>0</v>
      </c>
      <c r="W22" s="114">
        <v>0</v>
      </c>
      <c r="X22" s="114">
        <v>1365.173957061457</v>
      </c>
      <c r="Y22" s="114">
        <v>4.5824670824670823E-2</v>
      </c>
      <c r="Z22" s="114">
        <v>1.9515765765765767</v>
      </c>
      <c r="AA22" s="114">
        <v>2.5987525987525989E-3</v>
      </c>
      <c r="AB22" s="657">
        <v>0</v>
      </c>
      <c r="AC22" s="657">
        <v>0</v>
      </c>
      <c r="AD22" s="768">
        <v>2</v>
      </c>
      <c r="AE22" s="769">
        <v>2.2912335412335411E-2</v>
      </c>
      <c r="AF22" s="769">
        <v>0.97578828828828834</v>
      </c>
      <c r="AG22" s="770">
        <v>0.99870062370062374</v>
      </c>
      <c r="AH22" s="769">
        <v>1.2993762993762994E-3</v>
      </c>
      <c r="AI22" s="769">
        <v>4.2989500424149923E-2</v>
      </c>
      <c r="AJ22" s="769">
        <v>1.8308326182526915</v>
      </c>
      <c r="AK22" s="769">
        <v>1.8738221186768413</v>
      </c>
      <c r="AL22" s="769">
        <v>2.4379678879480112E-3</v>
      </c>
      <c r="AM22" s="769">
        <v>2.1913110083021825E-2</v>
      </c>
      <c r="AN22" s="769">
        <v>0.93323337818600893</v>
      </c>
      <c r="AO22" s="769">
        <v>0.95514648826903081</v>
      </c>
      <c r="AP22" s="769">
        <v>1.2427094565040733E-3</v>
      </c>
      <c r="AQ22" s="769">
        <v>0</v>
      </c>
      <c r="AR22" s="769">
        <v>0</v>
      </c>
      <c r="AS22" s="769">
        <v>1.7578888252978135</v>
      </c>
      <c r="AT22" s="769">
        <v>1.8149300160110562</v>
      </c>
      <c r="AU22" s="769">
        <v>1.8738221186768413</v>
      </c>
      <c r="AV22" s="769">
        <v>1.9346251929645626</v>
      </c>
      <c r="AW22" s="769">
        <v>1.9974012474012475</v>
      </c>
      <c r="AX22" s="769">
        <v>0.91349178362598027</v>
      </c>
      <c r="AY22" s="769">
        <v>0.93408697089348602</v>
      </c>
      <c r="AZ22" s="769">
        <v>0.9551464882690307</v>
      </c>
      <c r="BA22" s="769">
        <v>0.97668080433667859</v>
      </c>
      <c r="BB22" s="769">
        <v>0.99870062370062374</v>
      </c>
      <c r="BC22" s="769">
        <v>0</v>
      </c>
      <c r="BD22" s="769">
        <v>0</v>
      </c>
      <c r="BE22" s="769">
        <v>0</v>
      </c>
      <c r="BF22" s="769">
        <v>0</v>
      </c>
      <c r="BG22" s="769">
        <v>0</v>
      </c>
      <c r="BH22" s="771">
        <v>2.0138143303043763</v>
      </c>
      <c r="BI22" s="771">
        <v>2.0303622830994388</v>
      </c>
      <c r="BJ22" s="771">
        <v>2.0470462140418344</v>
      </c>
      <c r="BK22" s="772">
        <v>2.0335877833161713</v>
      </c>
      <c r="BL22" s="772">
        <v>2.0202178358677081</v>
      </c>
      <c r="BM22" s="772">
        <v>2.0347207079865921</v>
      </c>
      <c r="BN22" s="772">
        <v>2.0493276942737415</v>
      </c>
      <c r="BO22" s="772">
        <v>2.0640395421507676</v>
      </c>
      <c r="BP22" s="772">
        <v>2.0788570044049184</v>
      </c>
      <c r="BQ22" s="772">
        <v>2.0937808392276027</v>
      </c>
      <c r="BR22" s="772">
        <v>2.1055345397363854</v>
      </c>
      <c r="BS22" s="772">
        <v>2.1173542211124405</v>
      </c>
      <c r="BT22" s="772">
        <v>2.1292402537476156</v>
      </c>
      <c r="BU22" s="772">
        <v>2.1411930101129988</v>
      </c>
      <c r="BV22" s="772">
        <v>2.1532128647705906</v>
      </c>
      <c r="BW22" s="771">
        <v>1.0069071651521881</v>
      </c>
      <c r="BX22" s="771">
        <v>1.0151811415497194</v>
      </c>
      <c r="BY22" s="771">
        <v>1.0235231070209172</v>
      </c>
      <c r="BZ22" s="772">
        <v>1.0167938916580856</v>
      </c>
      <c r="CA22" s="772">
        <v>1.010108917933854</v>
      </c>
      <c r="CB22" s="772">
        <v>1.0173603539932961</v>
      </c>
      <c r="CC22" s="772">
        <v>1.0246638471368708</v>
      </c>
      <c r="CD22" s="772">
        <v>1.0320197710753838</v>
      </c>
      <c r="CE22" s="772">
        <v>1.0394285022024592</v>
      </c>
      <c r="CF22" s="772">
        <v>1.0468904196138014</v>
      </c>
      <c r="CG22" s="772">
        <v>1.0527672698681927</v>
      </c>
      <c r="CH22" s="772">
        <v>1.0586771105562203</v>
      </c>
      <c r="CI22" s="772">
        <v>1.0646201268738078</v>
      </c>
      <c r="CJ22" s="772">
        <v>1.0705965050564994</v>
      </c>
      <c r="CK22" s="772">
        <v>1.0766064323852953</v>
      </c>
      <c r="CL22" s="771">
        <v>0</v>
      </c>
      <c r="CM22" s="771">
        <v>0</v>
      </c>
      <c r="CN22" s="771">
        <v>0</v>
      </c>
      <c r="CO22" s="772">
        <v>0</v>
      </c>
      <c r="CP22" s="772">
        <v>0</v>
      </c>
      <c r="CQ22" s="772">
        <v>0</v>
      </c>
      <c r="CR22" s="772">
        <v>0</v>
      </c>
      <c r="CS22" s="772">
        <v>0</v>
      </c>
      <c r="CT22" s="772">
        <v>0</v>
      </c>
      <c r="CU22" s="772">
        <v>0</v>
      </c>
      <c r="CV22" s="772">
        <v>0</v>
      </c>
      <c r="CW22" s="772">
        <v>0</v>
      </c>
      <c r="CX22" s="772">
        <v>0</v>
      </c>
      <c r="CY22" s="772">
        <v>0</v>
      </c>
      <c r="CZ22" s="772">
        <v>0</v>
      </c>
      <c r="DA22" s="773">
        <v>2.6201071172318193E-3</v>
      </c>
      <c r="DB22" s="773">
        <v>2.6416371104598475E-3</v>
      </c>
      <c r="DC22" s="773">
        <v>2.6633440203510726E-3</v>
      </c>
      <c r="DD22" s="774">
        <v>2.6458337019466191E-3</v>
      </c>
      <c r="DE22" s="774">
        <v>2.6284385062031066E-3</v>
      </c>
      <c r="DF22" s="774">
        <v>2.6473077127069891E-3</v>
      </c>
      <c r="DG22" s="774">
        <v>2.6663123787064032E-3</v>
      </c>
      <c r="DH22" s="774">
        <v>2.6854534766468478E-3</v>
      </c>
      <c r="DI22" s="774">
        <v>2.7047319859548769E-3</v>
      </c>
      <c r="DJ22" s="774">
        <v>2.7241488930882162E-3</v>
      </c>
      <c r="DK22" s="774">
        <v>2.7394412434769522E-3</v>
      </c>
      <c r="DL22" s="774">
        <v>2.7548194393864694E-3</v>
      </c>
      <c r="DM22" s="774">
        <v>2.7702839627213316E-3</v>
      </c>
      <c r="DN22" s="774">
        <v>2.7858352980913333E-3</v>
      </c>
      <c r="DO22" s="774">
        <v>2.8014739328266858E-3</v>
      </c>
      <c r="DP22" s="773">
        <v>0</v>
      </c>
      <c r="DQ22" s="773">
        <v>0</v>
      </c>
      <c r="DR22" s="773">
        <v>0</v>
      </c>
      <c r="DS22" s="774">
        <v>0</v>
      </c>
      <c r="DT22" s="774">
        <v>0</v>
      </c>
      <c r="DU22" s="774">
        <v>0</v>
      </c>
      <c r="DV22" s="774">
        <v>0</v>
      </c>
      <c r="DW22" s="774">
        <v>0</v>
      </c>
      <c r="DX22" s="774">
        <v>0</v>
      </c>
      <c r="DY22" s="774">
        <v>0</v>
      </c>
      <c r="DZ22" s="774">
        <v>0</v>
      </c>
      <c r="EA22" s="774">
        <v>0</v>
      </c>
      <c r="EB22" s="774">
        <v>0</v>
      </c>
      <c r="EC22" s="774">
        <v>0</v>
      </c>
      <c r="ED22" s="774">
        <v>0</v>
      </c>
    </row>
    <row r="23" spans="1:134" ht="15" x14ac:dyDescent="0.25">
      <c r="A23" s="766">
        <v>135</v>
      </c>
      <c r="B23" s="766">
        <v>62</v>
      </c>
      <c r="C23" s="766" t="s">
        <v>3693</v>
      </c>
      <c r="D23" s="2">
        <v>99714</v>
      </c>
      <c r="E23" s="2">
        <v>99714</v>
      </c>
      <c r="F23" s="767" t="s">
        <v>3676</v>
      </c>
      <c r="G23" s="114">
        <v>0</v>
      </c>
      <c r="H23" s="114">
        <v>2</v>
      </c>
      <c r="I23" s="114">
        <v>0</v>
      </c>
      <c r="J23" s="114">
        <v>2</v>
      </c>
      <c r="K23" s="114">
        <v>0</v>
      </c>
      <c r="L23" s="114">
        <v>0</v>
      </c>
      <c r="M23" s="114">
        <v>0</v>
      </c>
      <c r="N23" s="114">
        <v>0</v>
      </c>
      <c r="O23" s="114">
        <v>0</v>
      </c>
      <c r="P23" s="114">
        <v>0</v>
      </c>
      <c r="Q23" s="114">
        <v>0</v>
      </c>
      <c r="R23" s="114">
        <v>0</v>
      </c>
      <c r="S23" s="114">
        <v>834.49503068156923</v>
      </c>
      <c r="T23" s="114">
        <v>834.49503068156923</v>
      </c>
      <c r="U23" s="114">
        <v>1408.3846153846155</v>
      </c>
      <c r="V23" s="114">
        <v>0</v>
      </c>
      <c r="W23" s="114">
        <v>0</v>
      </c>
      <c r="X23" s="114">
        <v>1365.173957061457</v>
      </c>
      <c r="Y23" s="114">
        <v>4.5824670824670823E-2</v>
      </c>
      <c r="Z23" s="114">
        <v>1.9515765765765767</v>
      </c>
      <c r="AA23" s="114">
        <v>2.5987525987525989E-3</v>
      </c>
      <c r="AB23" s="657">
        <v>0</v>
      </c>
      <c r="AC23" s="657">
        <v>0</v>
      </c>
      <c r="AD23" s="768">
        <v>2</v>
      </c>
      <c r="AE23" s="769">
        <v>0</v>
      </c>
      <c r="AF23" s="769">
        <v>0</v>
      </c>
      <c r="AG23" s="770">
        <v>0</v>
      </c>
      <c r="AH23" s="769">
        <v>0</v>
      </c>
      <c r="AI23" s="769">
        <v>4.2989500424149923E-2</v>
      </c>
      <c r="AJ23" s="769">
        <v>1.8308326182526915</v>
      </c>
      <c r="AK23" s="769">
        <v>1.8738221186768413</v>
      </c>
      <c r="AL23" s="769">
        <v>2.4379678879480112E-3</v>
      </c>
      <c r="AM23" s="769">
        <v>0</v>
      </c>
      <c r="AN23" s="769">
        <v>0</v>
      </c>
      <c r="AO23" s="769">
        <v>0</v>
      </c>
      <c r="AP23" s="769">
        <v>0</v>
      </c>
      <c r="AQ23" s="769">
        <v>0</v>
      </c>
      <c r="AR23" s="769">
        <v>0</v>
      </c>
      <c r="AS23" s="769">
        <v>1.7578888252978135</v>
      </c>
      <c r="AT23" s="769">
        <v>1.8149300160110562</v>
      </c>
      <c r="AU23" s="769">
        <v>1.8738221186768413</v>
      </c>
      <c r="AV23" s="769">
        <v>1.9346251929645626</v>
      </c>
      <c r="AW23" s="769">
        <v>1.9974012474012475</v>
      </c>
      <c r="AX23" s="769">
        <v>0</v>
      </c>
      <c r="AY23" s="769">
        <v>0</v>
      </c>
      <c r="AZ23" s="769">
        <v>0</v>
      </c>
      <c r="BA23" s="769">
        <v>0</v>
      </c>
      <c r="BB23" s="769">
        <v>0</v>
      </c>
      <c r="BC23" s="769">
        <v>0</v>
      </c>
      <c r="BD23" s="769">
        <v>0</v>
      </c>
      <c r="BE23" s="769">
        <v>0</v>
      </c>
      <c r="BF23" s="769">
        <v>0</v>
      </c>
      <c r="BG23" s="769">
        <v>0</v>
      </c>
      <c r="BH23" s="771">
        <v>2.0138143303043763</v>
      </c>
      <c r="BI23" s="771">
        <v>2.0303622830994388</v>
      </c>
      <c r="BJ23" s="771">
        <v>2.0470462140418344</v>
      </c>
      <c r="BK23" s="772">
        <v>2.0335877833161713</v>
      </c>
      <c r="BL23" s="772">
        <v>2.0202178358677081</v>
      </c>
      <c r="BM23" s="772">
        <v>2.0347207079865921</v>
      </c>
      <c r="BN23" s="772">
        <v>2.0493276942737415</v>
      </c>
      <c r="BO23" s="772">
        <v>2.0640395421507676</v>
      </c>
      <c r="BP23" s="772">
        <v>2.0788570044049184</v>
      </c>
      <c r="BQ23" s="772">
        <v>2.0937808392276027</v>
      </c>
      <c r="BR23" s="772">
        <v>2.1055345397363854</v>
      </c>
      <c r="BS23" s="772">
        <v>2.1173542211124405</v>
      </c>
      <c r="BT23" s="772">
        <v>2.1292402537476156</v>
      </c>
      <c r="BU23" s="772">
        <v>2.1411930101129988</v>
      </c>
      <c r="BV23" s="772">
        <v>2.1532128647705906</v>
      </c>
      <c r="BW23" s="771">
        <v>0</v>
      </c>
      <c r="BX23" s="771">
        <v>0</v>
      </c>
      <c r="BY23" s="771">
        <v>0</v>
      </c>
      <c r="BZ23" s="772">
        <v>0</v>
      </c>
      <c r="CA23" s="772">
        <v>0</v>
      </c>
      <c r="CB23" s="772">
        <v>0</v>
      </c>
      <c r="CC23" s="772">
        <v>0</v>
      </c>
      <c r="CD23" s="772">
        <v>0</v>
      </c>
      <c r="CE23" s="772">
        <v>0</v>
      </c>
      <c r="CF23" s="772">
        <v>0</v>
      </c>
      <c r="CG23" s="772">
        <v>0</v>
      </c>
      <c r="CH23" s="772">
        <v>0</v>
      </c>
      <c r="CI23" s="772">
        <v>0</v>
      </c>
      <c r="CJ23" s="772">
        <v>0</v>
      </c>
      <c r="CK23" s="772">
        <v>0</v>
      </c>
      <c r="CL23" s="771">
        <v>0</v>
      </c>
      <c r="CM23" s="771">
        <v>0</v>
      </c>
      <c r="CN23" s="771">
        <v>0</v>
      </c>
      <c r="CO23" s="772">
        <v>0</v>
      </c>
      <c r="CP23" s="772">
        <v>0</v>
      </c>
      <c r="CQ23" s="772">
        <v>0</v>
      </c>
      <c r="CR23" s="772">
        <v>0</v>
      </c>
      <c r="CS23" s="772">
        <v>0</v>
      </c>
      <c r="CT23" s="772">
        <v>0</v>
      </c>
      <c r="CU23" s="772">
        <v>0</v>
      </c>
      <c r="CV23" s="772">
        <v>0</v>
      </c>
      <c r="CW23" s="772">
        <v>0</v>
      </c>
      <c r="CX23" s="772">
        <v>0</v>
      </c>
      <c r="CY23" s="772">
        <v>0</v>
      </c>
      <c r="CZ23" s="772">
        <v>0</v>
      </c>
      <c r="DA23" s="773">
        <v>2.6201071172318193E-3</v>
      </c>
      <c r="DB23" s="773">
        <v>2.6416371104598475E-3</v>
      </c>
      <c r="DC23" s="773">
        <v>2.6633440203510726E-3</v>
      </c>
      <c r="DD23" s="774">
        <v>2.6458337019466191E-3</v>
      </c>
      <c r="DE23" s="774">
        <v>2.6284385062031066E-3</v>
      </c>
      <c r="DF23" s="774">
        <v>2.6473077127069891E-3</v>
      </c>
      <c r="DG23" s="774">
        <v>2.6663123787064032E-3</v>
      </c>
      <c r="DH23" s="774">
        <v>2.6854534766468478E-3</v>
      </c>
      <c r="DI23" s="774">
        <v>2.7047319859548769E-3</v>
      </c>
      <c r="DJ23" s="774">
        <v>2.7241488930882162E-3</v>
      </c>
      <c r="DK23" s="774">
        <v>2.7394412434769522E-3</v>
      </c>
      <c r="DL23" s="774">
        <v>2.7548194393864694E-3</v>
      </c>
      <c r="DM23" s="774">
        <v>2.7702839627213316E-3</v>
      </c>
      <c r="DN23" s="774">
        <v>2.7858352980913333E-3</v>
      </c>
      <c r="DO23" s="774">
        <v>2.8014739328266858E-3</v>
      </c>
      <c r="DP23" s="773">
        <v>0</v>
      </c>
      <c r="DQ23" s="773">
        <v>0</v>
      </c>
      <c r="DR23" s="773">
        <v>0</v>
      </c>
      <c r="DS23" s="774">
        <v>0</v>
      </c>
      <c r="DT23" s="774">
        <v>0</v>
      </c>
      <c r="DU23" s="774">
        <v>0</v>
      </c>
      <c r="DV23" s="774">
        <v>0</v>
      </c>
      <c r="DW23" s="774">
        <v>0</v>
      </c>
      <c r="DX23" s="774">
        <v>0</v>
      </c>
      <c r="DY23" s="774">
        <v>0</v>
      </c>
      <c r="DZ23" s="774">
        <v>0</v>
      </c>
      <c r="EA23" s="774">
        <v>0</v>
      </c>
      <c r="EB23" s="774">
        <v>0</v>
      </c>
      <c r="EC23" s="774">
        <v>0</v>
      </c>
      <c r="ED23" s="774">
        <v>0</v>
      </c>
    </row>
    <row r="24" spans="1:134" ht="15" x14ac:dyDescent="0.25">
      <c r="A24" s="766">
        <v>137</v>
      </c>
      <c r="B24" s="766">
        <v>62</v>
      </c>
      <c r="C24" s="766" t="s">
        <v>3694</v>
      </c>
      <c r="D24" s="2">
        <v>99714</v>
      </c>
      <c r="E24" s="2">
        <v>99714</v>
      </c>
      <c r="F24" s="767" t="s">
        <v>3676</v>
      </c>
      <c r="G24" s="114">
        <v>41</v>
      </c>
      <c r="H24" s="114">
        <v>32</v>
      </c>
      <c r="I24" s="114">
        <v>20</v>
      </c>
      <c r="J24" s="114">
        <v>12</v>
      </c>
      <c r="K24" s="114">
        <v>0</v>
      </c>
      <c r="L24" s="114">
        <v>7</v>
      </c>
      <c r="M24" s="114">
        <v>7</v>
      </c>
      <c r="N24" s="114">
        <v>0</v>
      </c>
      <c r="O24" s="114">
        <v>0</v>
      </c>
      <c r="P24" s="114">
        <v>0</v>
      </c>
      <c r="Q24" s="114">
        <v>7</v>
      </c>
      <c r="R24" s="114">
        <v>0</v>
      </c>
      <c r="S24" s="114">
        <v>1724.1428571428571</v>
      </c>
      <c r="T24" s="114">
        <v>1724.1428571428571</v>
      </c>
      <c r="U24" s="114">
        <v>0</v>
      </c>
      <c r="V24" s="114">
        <v>0</v>
      </c>
      <c r="W24" s="114">
        <v>0</v>
      </c>
      <c r="X24" s="114">
        <v>1724.1428571428571</v>
      </c>
      <c r="Y24" s="114">
        <v>0</v>
      </c>
      <c r="Z24" s="114">
        <v>32</v>
      </c>
      <c r="AA24" s="114">
        <v>0</v>
      </c>
      <c r="AB24" s="657">
        <v>0</v>
      </c>
      <c r="AC24" s="657">
        <v>0</v>
      </c>
      <c r="AD24" s="768">
        <v>32</v>
      </c>
      <c r="AE24" s="769">
        <v>0</v>
      </c>
      <c r="AF24" s="769">
        <v>20</v>
      </c>
      <c r="AG24" s="770">
        <v>20</v>
      </c>
      <c r="AH24" s="769">
        <v>0</v>
      </c>
      <c r="AI24" s="769">
        <v>0</v>
      </c>
      <c r="AJ24" s="769">
        <v>30.02016138503663</v>
      </c>
      <c r="AK24" s="769">
        <v>30.02016138503663</v>
      </c>
      <c r="AL24" s="769">
        <v>0</v>
      </c>
      <c r="AM24" s="769">
        <v>0</v>
      </c>
      <c r="AN24" s="769">
        <v>19.127783954510694</v>
      </c>
      <c r="AO24" s="769">
        <v>19.127783954510694</v>
      </c>
      <c r="AP24" s="769">
        <v>0</v>
      </c>
      <c r="AQ24" s="769">
        <v>0</v>
      </c>
      <c r="AR24" s="769">
        <v>0</v>
      </c>
      <c r="AS24" s="769">
        <v>28.162815299488884</v>
      </c>
      <c r="AT24" s="769">
        <v>29.076661781360578</v>
      </c>
      <c r="AU24" s="769">
        <v>30.02016138503663</v>
      </c>
      <c r="AV24" s="769">
        <v>30.994276315493671</v>
      </c>
      <c r="AW24" s="769">
        <v>32</v>
      </c>
      <c r="AX24" s="769">
        <v>18.29360595052184</v>
      </c>
      <c r="AY24" s="769">
        <v>18.706045610190653</v>
      </c>
      <c r="AZ24" s="769">
        <v>19.127783954510694</v>
      </c>
      <c r="BA24" s="769">
        <v>19.559030627569811</v>
      </c>
      <c r="BB24" s="769">
        <v>20</v>
      </c>
      <c r="BC24" s="769">
        <v>0</v>
      </c>
      <c r="BD24" s="769">
        <v>0</v>
      </c>
      <c r="BE24" s="769">
        <v>0</v>
      </c>
      <c r="BF24" s="769">
        <v>0</v>
      </c>
      <c r="BG24" s="769">
        <v>0</v>
      </c>
      <c r="BH24" s="771">
        <v>32.26295099874573</v>
      </c>
      <c r="BI24" s="771">
        <v>32.528062723358374</v>
      </c>
      <c r="BJ24" s="771">
        <v>32.795352928994966</v>
      </c>
      <c r="BK24" s="772">
        <v>32.57973787228989</v>
      </c>
      <c r="BL24" s="772">
        <v>32.365540389982577</v>
      </c>
      <c r="BM24" s="772">
        <v>32.597888251188785</v>
      </c>
      <c r="BN24" s="772">
        <v>32.831904106439168</v>
      </c>
      <c r="BO24" s="772">
        <v>33.067599930038625</v>
      </c>
      <c r="BP24" s="772">
        <v>33.304987782253974</v>
      </c>
      <c r="BQ24" s="772">
        <v>33.544079809931056</v>
      </c>
      <c r="BR24" s="772">
        <v>33.732383695677797</v>
      </c>
      <c r="BS24" s="772">
        <v>33.921744648829232</v>
      </c>
      <c r="BT24" s="772">
        <v>34.11216860336539</v>
      </c>
      <c r="BU24" s="772">
        <v>34.303661526577436</v>
      </c>
      <c r="BV24" s="772">
        <v>34.496229419254675</v>
      </c>
      <c r="BW24" s="771">
        <v>20.164344374216082</v>
      </c>
      <c r="BX24" s="771">
        <v>20.330039202098984</v>
      </c>
      <c r="BY24" s="771">
        <v>20.497095580621853</v>
      </c>
      <c r="BZ24" s="772">
        <v>20.362336170181177</v>
      </c>
      <c r="CA24" s="772">
        <v>20.228462743739108</v>
      </c>
      <c r="CB24" s="772">
        <v>20.37368015699299</v>
      </c>
      <c r="CC24" s="772">
        <v>20.519940066524477</v>
      </c>
      <c r="CD24" s="772">
        <v>20.667249956274141</v>
      </c>
      <c r="CE24" s="772">
        <v>20.815617363908732</v>
      </c>
      <c r="CF24" s="772">
        <v>20.965049881206909</v>
      </c>
      <c r="CG24" s="772">
        <v>21.082739809798621</v>
      </c>
      <c r="CH24" s="772">
        <v>21.201090405518269</v>
      </c>
      <c r="CI24" s="772">
        <v>21.320105377103367</v>
      </c>
      <c r="CJ24" s="772">
        <v>21.4397884541109</v>
      </c>
      <c r="CK24" s="772">
        <v>21.560143387034174</v>
      </c>
      <c r="CL24" s="771">
        <v>0</v>
      </c>
      <c r="CM24" s="771">
        <v>0</v>
      </c>
      <c r="CN24" s="771">
        <v>0</v>
      </c>
      <c r="CO24" s="772">
        <v>0</v>
      </c>
      <c r="CP24" s="772">
        <v>0</v>
      </c>
      <c r="CQ24" s="772">
        <v>0</v>
      </c>
      <c r="CR24" s="772">
        <v>0</v>
      </c>
      <c r="CS24" s="772">
        <v>0</v>
      </c>
      <c r="CT24" s="772">
        <v>0</v>
      </c>
      <c r="CU24" s="772">
        <v>0</v>
      </c>
      <c r="CV24" s="772">
        <v>0</v>
      </c>
      <c r="CW24" s="772">
        <v>0</v>
      </c>
      <c r="CX24" s="772">
        <v>0</v>
      </c>
      <c r="CY24" s="772">
        <v>0</v>
      </c>
      <c r="CZ24" s="772">
        <v>0</v>
      </c>
      <c r="DA24" s="773">
        <v>0</v>
      </c>
      <c r="DB24" s="773">
        <v>0</v>
      </c>
      <c r="DC24" s="773">
        <v>0</v>
      </c>
      <c r="DD24" s="774">
        <v>0</v>
      </c>
      <c r="DE24" s="774">
        <v>0</v>
      </c>
      <c r="DF24" s="774">
        <v>0</v>
      </c>
      <c r="DG24" s="774">
        <v>0</v>
      </c>
      <c r="DH24" s="774">
        <v>0</v>
      </c>
      <c r="DI24" s="774">
        <v>0</v>
      </c>
      <c r="DJ24" s="774">
        <v>0</v>
      </c>
      <c r="DK24" s="774">
        <v>0</v>
      </c>
      <c r="DL24" s="774">
        <v>0</v>
      </c>
      <c r="DM24" s="774">
        <v>0</v>
      </c>
      <c r="DN24" s="774">
        <v>0</v>
      </c>
      <c r="DO24" s="774">
        <v>0</v>
      </c>
      <c r="DP24" s="773">
        <v>0</v>
      </c>
      <c r="DQ24" s="773">
        <v>0</v>
      </c>
      <c r="DR24" s="773">
        <v>0</v>
      </c>
      <c r="DS24" s="774">
        <v>0</v>
      </c>
      <c r="DT24" s="774">
        <v>0</v>
      </c>
      <c r="DU24" s="774">
        <v>0</v>
      </c>
      <c r="DV24" s="774">
        <v>0</v>
      </c>
      <c r="DW24" s="774">
        <v>0</v>
      </c>
      <c r="DX24" s="774">
        <v>0</v>
      </c>
      <c r="DY24" s="774">
        <v>0</v>
      </c>
      <c r="DZ24" s="774">
        <v>0</v>
      </c>
      <c r="EA24" s="774">
        <v>0</v>
      </c>
      <c r="EB24" s="774">
        <v>0</v>
      </c>
      <c r="EC24" s="774">
        <v>0</v>
      </c>
      <c r="ED24" s="774">
        <v>0</v>
      </c>
    </row>
    <row r="25" spans="1:134" ht="15" x14ac:dyDescent="0.25">
      <c r="A25" s="766">
        <v>138</v>
      </c>
      <c r="B25" s="766">
        <v>62</v>
      </c>
      <c r="C25" s="766" t="s">
        <v>3695</v>
      </c>
      <c r="D25" s="2">
        <v>99714</v>
      </c>
      <c r="E25" s="2">
        <v>99714</v>
      </c>
      <c r="F25" s="767" t="s">
        <v>3676</v>
      </c>
      <c r="G25" s="114">
        <v>30</v>
      </c>
      <c r="H25" s="114">
        <v>12</v>
      </c>
      <c r="I25" s="114">
        <v>12</v>
      </c>
      <c r="J25" s="114">
        <v>0</v>
      </c>
      <c r="K25" s="114">
        <v>0</v>
      </c>
      <c r="L25" s="114">
        <v>21</v>
      </c>
      <c r="M25" s="114">
        <v>21</v>
      </c>
      <c r="N25" s="114">
        <v>1</v>
      </c>
      <c r="O25" s="114">
        <v>0</v>
      </c>
      <c r="P25" s="114">
        <v>0</v>
      </c>
      <c r="Q25" s="114">
        <v>22</v>
      </c>
      <c r="R25" s="114">
        <v>0</v>
      </c>
      <c r="S25" s="114">
        <v>1653.047619047619</v>
      </c>
      <c r="T25" s="114">
        <v>1653.047619047619</v>
      </c>
      <c r="U25" s="114">
        <v>7420</v>
      </c>
      <c r="V25" s="114">
        <v>0</v>
      </c>
      <c r="W25" s="114">
        <v>0</v>
      </c>
      <c r="X25" s="114">
        <v>1915.1818181818182</v>
      </c>
      <c r="Y25" s="114">
        <v>0</v>
      </c>
      <c r="Z25" s="114">
        <v>12</v>
      </c>
      <c r="AA25" s="114">
        <v>0</v>
      </c>
      <c r="AB25" s="657">
        <v>1</v>
      </c>
      <c r="AC25" s="657">
        <v>0</v>
      </c>
      <c r="AD25" s="768">
        <v>13</v>
      </c>
      <c r="AE25" s="769">
        <v>0</v>
      </c>
      <c r="AF25" s="769">
        <v>12</v>
      </c>
      <c r="AG25" s="770">
        <v>12</v>
      </c>
      <c r="AH25" s="769">
        <v>0</v>
      </c>
      <c r="AI25" s="769">
        <v>0</v>
      </c>
      <c r="AJ25" s="769">
        <v>11.257560519388736</v>
      </c>
      <c r="AK25" s="769">
        <v>11.257560519388736</v>
      </c>
      <c r="AL25" s="769">
        <v>0</v>
      </c>
      <c r="AM25" s="769">
        <v>0</v>
      </c>
      <c r="AN25" s="769">
        <v>11.476670372706417</v>
      </c>
      <c r="AO25" s="769">
        <v>11.476670372706417</v>
      </c>
      <c r="AP25" s="769">
        <v>0</v>
      </c>
      <c r="AQ25" s="769">
        <v>0.96638421298841071</v>
      </c>
      <c r="AR25" s="769">
        <v>0</v>
      </c>
      <c r="AS25" s="769">
        <v>10.561055737308331</v>
      </c>
      <c r="AT25" s="769">
        <v>10.903748168010218</v>
      </c>
      <c r="AU25" s="769">
        <v>11.257560519388736</v>
      </c>
      <c r="AV25" s="769">
        <v>11.622853618310128</v>
      </c>
      <c r="AW25" s="769">
        <v>12</v>
      </c>
      <c r="AX25" s="769">
        <v>10.976163570313105</v>
      </c>
      <c r="AY25" s="769">
        <v>11.223627366114393</v>
      </c>
      <c r="AZ25" s="769">
        <v>11.476670372706417</v>
      </c>
      <c r="BA25" s="769">
        <v>11.735418376541887</v>
      </c>
      <c r="BB25" s="769">
        <v>12</v>
      </c>
      <c r="BC25" s="769">
        <v>0.93389844711322989</v>
      </c>
      <c r="BD25" s="769">
        <v>0.95000248200971427</v>
      </c>
      <c r="BE25" s="769">
        <v>0.96638421298841071</v>
      </c>
      <c r="BF25" s="769">
        <v>0.98304842860787411</v>
      </c>
      <c r="BG25" s="769">
        <v>1</v>
      </c>
      <c r="BH25" s="771">
        <v>12.136323512223782</v>
      </c>
      <c r="BI25" s="771">
        <v>12.274195699446317</v>
      </c>
      <c r="BJ25" s="771">
        <v>12.413634155068863</v>
      </c>
      <c r="BK25" s="772">
        <v>12.332019956921451</v>
      </c>
      <c r="BL25" s="772">
        <v>12.250942336319023</v>
      </c>
      <c r="BM25" s="772">
        <v>12.338890203566292</v>
      </c>
      <c r="BN25" s="772">
        <v>12.4274694367233</v>
      </c>
      <c r="BO25" s="772">
        <v>12.516684568280995</v>
      </c>
      <c r="BP25" s="772">
        <v>12.606540163268463</v>
      </c>
      <c r="BQ25" s="772">
        <v>12.697040819486523</v>
      </c>
      <c r="BR25" s="772">
        <v>12.768317245530755</v>
      </c>
      <c r="BS25" s="772">
        <v>12.839993790703675</v>
      </c>
      <c r="BT25" s="772">
        <v>12.912072701124041</v>
      </c>
      <c r="BU25" s="772">
        <v>12.984556235519472</v>
      </c>
      <c r="BV25" s="772">
        <v>13.057446665297235</v>
      </c>
      <c r="BW25" s="771">
        <v>12.136323512223782</v>
      </c>
      <c r="BX25" s="771">
        <v>12.274195699446317</v>
      </c>
      <c r="BY25" s="771">
        <v>12.413634155068863</v>
      </c>
      <c r="BZ25" s="772">
        <v>12.332019956921451</v>
      </c>
      <c r="CA25" s="772">
        <v>12.250942336319023</v>
      </c>
      <c r="CB25" s="772">
        <v>12.338890203566292</v>
      </c>
      <c r="CC25" s="772">
        <v>12.4274694367233</v>
      </c>
      <c r="CD25" s="772">
        <v>12.516684568280995</v>
      </c>
      <c r="CE25" s="772">
        <v>12.606540163268463</v>
      </c>
      <c r="CF25" s="772">
        <v>12.697040819486523</v>
      </c>
      <c r="CG25" s="772">
        <v>12.768317245530755</v>
      </c>
      <c r="CH25" s="772">
        <v>12.839993790703675</v>
      </c>
      <c r="CI25" s="772">
        <v>12.912072701124041</v>
      </c>
      <c r="CJ25" s="772">
        <v>12.984556235519472</v>
      </c>
      <c r="CK25" s="772">
        <v>13.057446665297235</v>
      </c>
      <c r="CL25" s="771">
        <v>1.0113602926853151</v>
      </c>
      <c r="CM25" s="771">
        <v>1.0228496416205264</v>
      </c>
      <c r="CN25" s="771">
        <v>1.0344695129224053</v>
      </c>
      <c r="CO25" s="772">
        <v>1.0276683297434543</v>
      </c>
      <c r="CP25" s="772">
        <v>1.0209118613599186</v>
      </c>
      <c r="CQ25" s="772">
        <v>1.0282408502971909</v>
      </c>
      <c r="CR25" s="772">
        <v>1.0356224530602751</v>
      </c>
      <c r="CS25" s="772">
        <v>1.0430570473567498</v>
      </c>
      <c r="CT25" s="772">
        <v>1.0505450136057053</v>
      </c>
      <c r="CU25" s="772">
        <v>1.0580867349572103</v>
      </c>
      <c r="CV25" s="772">
        <v>1.064026437127563</v>
      </c>
      <c r="CW25" s="772">
        <v>1.0699994825586396</v>
      </c>
      <c r="CX25" s="772">
        <v>1.0760060584270035</v>
      </c>
      <c r="CY25" s="772">
        <v>1.0820463529599562</v>
      </c>
      <c r="CZ25" s="772">
        <v>1.0881205554414362</v>
      </c>
      <c r="DA25" s="773">
        <v>0</v>
      </c>
      <c r="DB25" s="773">
        <v>0</v>
      </c>
      <c r="DC25" s="773">
        <v>0</v>
      </c>
      <c r="DD25" s="774">
        <v>0</v>
      </c>
      <c r="DE25" s="774">
        <v>0</v>
      </c>
      <c r="DF25" s="774">
        <v>0</v>
      </c>
      <c r="DG25" s="774">
        <v>0</v>
      </c>
      <c r="DH25" s="774">
        <v>0</v>
      </c>
      <c r="DI25" s="774">
        <v>0</v>
      </c>
      <c r="DJ25" s="774">
        <v>0</v>
      </c>
      <c r="DK25" s="774">
        <v>0</v>
      </c>
      <c r="DL25" s="774">
        <v>0</v>
      </c>
      <c r="DM25" s="774">
        <v>0</v>
      </c>
      <c r="DN25" s="774">
        <v>0</v>
      </c>
      <c r="DO25" s="774">
        <v>0</v>
      </c>
      <c r="DP25" s="773">
        <v>0</v>
      </c>
      <c r="DQ25" s="773">
        <v>0</v>
      </c>
      <c r="DR25" s="773">
        <v>0</v>
      </c>
      <c r="DS25" s="774">
        <v>0</v>
      </c>
      <c r="DT25" s="774">
        <v>0</v>
      </c>
      <c r="DU25" s="774">
        <v>0</v>
      </c>
      <c r="DV25" s="774">
        <v>0</v>
      </c>
      <c r="DW25" s="774">
        <v>0</v>
      </c>
      <c r="DX25" s="774">
        <v>0</v>
      </c>
      <c r="DY25" s="774">
        <v>0</v>
      </c>
      <c r="DZ25" s="774">
        <v>0</v>
      </c>
      <c r="EA25" s="774">
        <v>0</v>
      </c>
      <c r="EB25" s="774">
        <v>0</v>
      </c>
      <c r="EC25" s="774">
        <v>0</v>
      </c>
      <c r="ED25" s="774">
        <v>0</v>
      </c>
    </row>
    <row r="26" spans="1:134" ht="15" x14ac:dyDescent="0.25">
      <c r="A26" s="766">
        <v>137</v>
      </c>
      <c r="B26" s="766">
        <v>63</v>
      </c>
      <c r="C26" s="766" t="s">
        <v>3696</v>
      </c>
      <c r="D26" s="2">
        <v>99714</v>
      </c>
      <c r="E26" s="2">
        <v>99714</v>
      </c>
      <c r="F26" s="767" t="s">
        <v>3676</v>
      </c>
      <c r="G26" s="114">
        <v>3</v>
      </c>
      <c r="H26" s="114">
        <v>10</v>
      </c>
      <c r="I26" s="114">
        <v>1</v>
      </c>
      <c r="J26" s="114">
        <v>9</v>
      </c>
      <c r="K26" s="114">
        <v>0</v>
      </c>
      <c r="L26" s="114">
        <v>24</v>
      </c>
      <c r="M26" s="114">
        <v>24</v>
      </c>
      <c r="N26" s="114">
        <v>0</v>
      </c>
      <c r="O26" s="114">
        <v>0</v>
      </c>
      <c r="P26" s="114">
        <v>0</v>
      </c>
      <c r="Q26" s="114">
        <v>24</v>
      </c>
      <c r="R26" s="114">
        <v>0</v>
      </c>
      <c r="S26" s="114">
        <v>1057.625</v>
      </c>
      <c r="T26" s="114">
        <v>1057.625</v>
      </c>
      <c r="U26" s="114">
        <v>0</v>
      </c>
      <c r="V26" s="114">
        <v>0</v>
      </c>
      <c r="W26" s="114">
        <v>0</v>
      </c>
      <c r="X26" s="114">
        <v>1057.625</v>
      </c>
      <c r="Y26" s="114">
        <v>0</v>
      </c>
      <c r="Z26" s="114">
        <v>10</v>
      </c>
      <c r="AA26" s="114">
        <v>0</v>
      </c>
      <c r="AB26" s="657">
        <v>0</v>
      </c>
      <c r="AC26" s="657">
        <v>0</v>
      </c>
      <c r="AD26" s="768">
        <v>10</v>
      </c>
      <c r="AE26" s="769">
        <v>0</v>
      </c>
      <c r="AF26" s="769">
        <v>1</v>
      </c>
      <c r="AG26" s="770">
        <v>1</v>
      </c>
      <c r="AH26" s="769">
        <v>0</v>
      </c>
      <c r="AI26" s="769">
        <v>0</v>
      </c>
      <c r="AJ26" s="769">
        <v>9.3813004328239469</v>
      </c>
      <c r="AK26" s="769">
        <v>9.3813004328239469</v>
      </c>
      <c r="AL26" s="769">
        <v>0</v>
      </c>
      <c r="AM26" s="769">
        <v>0</v>
      </c>
      <c r="AN26" s="769">
        <v>0.95638919772553477</v>
      </c>
      <c r="AO26" s="769">
        <v>0.95638919772553477</v>
      </c>
      <c r="AP26" s="769">
        <v>0</v>
      </c>
      <c r="AQ26" s="769">
        <v>0</v>
      </c>
      <c r="AR26" s="769">
        <v>0</v>
      </c>
      <c r="AS26" s="769">
        <v>8.8008797810902752</v>
      </c>
      <c r="AT26" s="769">
        <v>9.0864568066751801</v>
      </c>
      <c r="AU26" s="769">
        <v>9.3813004328239469</v>
      </c>
      <c r="AV26" s="769">
        <v>9.6857113485917736</v>
      </c>
      <c r="AW26" s="769">
        <v>10</v>
      </c>
      <c r="AX26" s="769">
        <v>0.91468029752609203</v>
      </c>
      <c r="AY26" s="769">
        <v>0.93530228050953268</v>
      </c>
      <c r="AZ26" s="769">
        <v>0.95638919772553477</v>
      </c>
      <c r="BA26" s="769">
        <v>0.97795153137849056</v>
      </c>
      <c r="BB26" s="769">
        <v>1</v>
      </c>
      <c r="BC26" s="769">
        <v>0</v>
      </c>
      <c r="BD26" s="769">
        <v>0</v>
      </c>
      <c r="BE26" s="769">
        <v>0</v>
      </c>
      <c r="BF26" s="769">
        <v>0</v>
      </c>
      <c r="BG26" s="769">
        <v>0</v>
      </c>
      <c r="BH26" s="771">
        <v>10.113602926853151</v>
      </c>
      <c r="BI26" s="771">
        <v>10.228496416205264</v>
      </c>
      <c r="BJ26" s="771">
        <v>10.344695129224053</v>
      </c>
      <c r="BK26" s="772">
        <v>10.276683297434545</v>
      </c>
      <c r="BL26" s="772">
        <v>10.209118613599186</v>
      </c>
      <c r="BM26" s="772">
        <v>10.282408502971911</v>
      </c>
      <c r="BN26" s="772">
        <v>10.35622453060275</v>
      </c>
      <c r="BO26" s="772">
        <v>10.430570473567498</v>
      </c>
      <c r="BP26" s="772">
        <v>10.505450136057053</v>
      </c>
      <c r="BQ26" s="772">
        <v>10.580867349572104</v>
      </c>
      <c r="BR26" s="772">
        <v>10.640264371275629</v>
      </c>
      <c r="BS26" s="772">
        <v>10.699994825586398</v>
      </c>
      <c r="BT26" s="772">
        <v>10.760060584270036</v>
      </c>
      <c r="BU26" s="772">
        <v>10.820463529599563</v>
      </c>
      <c r="BV26" s="772">
        <v>10.881205554414363</v>
      </c>
      <c r="BW26" s="771">
        <v>1.0113602926853151</v>
      </c>
      <c r="BX26" s="771">
        <v>1.0228496416205264</v>
      </c>
      <c r="BY26" s="771">
        <v>1.0344695129224053</v>
      </c>
      <c r="BZ26" s="772">
        <v>1.0276683297434543</v>
      </c>
      <c r="CA26" s="772">
        <v>1.0209118613599186</v>
      </c>
      <c r="CB26" s="772">
        <v>1.0282408502971909</v>
      </c>
      <c r="CC26" s="772">
        <v>1.0356224530602751</v>
      </c>
      <c r="CD26" s="772">
        <v>1.0430570473567498</v>
      </c>
      <c r="CE26" s="772">
        <v>1.0505450136057053</v>
      </c>
      <c r="CF26" s="772">
        <v>1.0580867349572103</v>
      </c>
      <c r="CG26" s="772">
        <v>1.064026437127563</v>
      </c>
      <c r="CH26" s="772">
        <v>1.0699994825586396</v>
      </c>
      <c r="CI26" s="772">
        <v>1.0760060584270035</v>
      </c>
      <c r="CJ26" s="772">
        <v>1.0820463529599562</v>
      </c>
      <c r="CK26" s="772">
        <v>1.0881205554414362</v>
      </c>
      <c r="CL26" s="771">
        <v>0</v>
      </c>
      <c r="CM26" s="771">
        <v>0</v>
      </c>
      <c r="CN26" s="771">
        <v>0</v>
      </c>
      <c r="CO26" s="772">
        <v>0</v>
      </c>
      <c r="CP26" s="772">
        <v>0</v>
      </c>
      <c r="CQ26" s="772">
        <v>0</v>
      </c>
      <c r="CR26" s="772">
        <v>0</v>
      </c>
      <c r="CS26" s="772">
        <v>0</v>
      </c>
      <c r="CT26" s="772">
        <v>0</v>
      </c>
      <c r="CU26" s="772">
        <v>0</v>
      </c>
      <c r="CV26" s="772">
        <v>0</v>
      </c>
      <c r="CW26" s="772">
        <v>0</v>
      </c>
      <c r="CX26" s="772">
        <v>0</v>
      </c>
      <c r="CY26" s="772">
        <v>0</v>
      </c>
      <c r="CZ26" s="772">
        <v>0</v>
      </c>
      <c r="DA26" s="773">
        <v>0</v>
      </c>
      <c r="DB26" s="773">
        <v>0</v>
      </c>
      <c r="DC26" s="773">
        <v>0</v>
      </c>
      <c r="DD26" s="774">
        <v>0</v>
      </c>
      <c r="DE26" s="774">
        <v>0</v>
      </c>
      <c r="DF26" s="774">
        <v>0</v>
      </c>
      <c r="DG26" s="774">
        <v>0</v>
      </c>
      <c r="DH26" s="774">
        <v>0</v>
      </c>
      <c r="DI26" s="774">
        <v>0</v>
      </c>
      <c r="DJ26" s="774">
        <v>0</v>
      </c>
      <c r="DK26" s="774">
        <v>0</v>
      </c>
      <c r="DL26" s="774">
        <v>0</v>
      </c>
      <c r="DM26" s="774">
        <v>0</v>
      </c>
      <c r="DN26" s="774">
        <v>0</v>
      </c>
      <c r="DO26" s="774">
        <v>0</v>
      </c>
      <c r="DP26" s="773">
        <v>0</v>
      </c>
      <c r="DQ26" s="773">
        <v>0</v>
      </c>
      <c r="DR26" s="773">
        <v>0</v>
      </c>
      <c r="DS26" s="774">
        <v>0</v>
      </c>
      <c r="DT26" s="774">
        <v>0</v>
      </c>
      <c r="DU26" s="774">
        <v>0</v>
      </c>
      <c r="DV26" s="774">
        <v>0</v>
      </c>
      <c r="DW26" s="774">
        <v>0</v>
      </c>
      <c r="DX26" s="774">
        <v>0</v>
      </c>
      <c r="DY26" s="774">
        <v>0</v>
      </c>
      <c r="DZ26" s="774">
        <v>0</v>
      </c>
      <c r="EA26" s="774">
        <v>0</v>
      </c>
      <c r="EB26" s="774">
        <v>0</v>
      </c>
      <c r="EC26" s="774">
        <v>0</v>
      </c>
      <c r="ED26" s="774">
        <v>0</v>
      </c>
    </row>
    <row r="27" spans="1:134" ht="15" x14ac:dyDescent="0.25">
      <c r="A27" s="766">
        <v>138</v>
      </c>
      <c r="B27" s="766">
        <v>63</v>
      </c>
      <c r="C27" s="766" t="s">
        <v>3697</v>
      </c>
      <c r="D27" s="2">
        <v>99714</v>
      </c>
      <c r="E27" s="2">
        <v>99714</v>
      </c>
      <c r="F27" s="767" t="s">
        <v>3676</v>
      </c>
      <c r="G27" s="114">
        <v>7</v>
      </c>
      <c r="H27" s="114">
        <v>7</v>
      </c>
      <c r="I27" s="114">
        <v>6</v>
      </c>
      <c r="J27" s="114">
        <v>1</v>
      </c>
      <c r="K27" s="114">
        <v>0</v>
      </c>
      <c r="L27" s="114">
        <v>11</v>
      </c>
      <c r="M27" s="114">
        <v>11</v>
      </c>
      <c r="N27" s="114">
        <v>2</v>
      </c>
      <c r="O27" s="114">
        <v>0</v>
      </c>
      <c r="P27" s="114">
        <v>0</v>
      </c>
      <c r="Q27" s="114">
        <v>13</v>
      </c>
      <c r="R27" s="114">
        <v>0</v>
      </c>
      <c r="S27" s="114">
        <v>1943.2727272727273</v>
      </c>
      <c r="T27" s="114">
        <v>1943.2727272727273</v>
      </c>
      <c r="U27" s="114">
        <v>4367</v>
      </c>
      <c r="V27" s="114">
        <v>0</v>
      </c>
      <c r="W27" s="114">
        <v>0</v>
      </c>
      <c r="X27" s="114">
        <v>2316.1538461538462</v>
      </c>
      <c r="Y27" s="114">
        <v>0</v>
      </c>
      <c r="Z27" s="114">
        <v>7</v>
      </c>
      <c r="AA27" s="114">
        <v>0</v>
      </c>
      <c r="AB27" s="657">
        <v>2</v>
      </c>
      <c r="AC27" s="657">
        <v>0</v>
      </c>
      <c r="AD27" s="768">
        <v>9</v>
      </c>
      <c r="AE27" s="769">
        <v>0</v>
      </c>
      <c r="AF27" s="769">
        <v>6</v>
      </c>
      <c r="AG27" s="770">
        <v>6</v>
      </c>
      <c r="AH27" s="769">
        <v>0</v>
      </c>
      <c r="AI27" s="769">
        <v>0</v>
      </c>
      <c r="AJ27" s="769">
        <v>6.5669103029767628</v>
      </c>
      <c r="AK27" s="769">
        <v>6.5669103029767628</v>
      </c>
      <c r="AL27" s="769">
        <v>0</v>
      </c>
      <c r="AM27" s="769">
        <v>0</v>
      </c>
      <c r="AN27" s="769">
        <v>5.7383351863532086</v>
      </c>
      <c r="AO27" s="769">
        <v>5.7383351863532086</v>
      </c>
      <c r="AP27" s="769">
        <v>0</v>
      </c>
      <c r="AQ27" s="769">
        <v>1.9327684259768214</v>
      </c>
      <c r="AR27" s="769">
        <v>0</v>
      </c>
      <c r="AS27" s="769">
        <v>6.1606158467631928</v>
      </c>
      <c r="AT27" s="769">
        <v>6.3605197646726266</v>
      </c>
      <c r="AU27" s="769">
        <v>6.5669103029767628</v>
      </c>
      <c r="AV27" s="769">
        <v>6.7799979440142408</v>
      </c>
      <c r="AW27" s="769">
        <v>7</v>
      </c>
      <c r="AX27" s="769">
        <v>5.4880817851565524</v>
      </c>
      <c r="AY27" s="769">
        <v>5.6118136830571963</v>
      </c>
      <c r="AZ27" s="769">
        <v>5.7383351863532086</v>
      </c>
      <c r="BA27" s="769">
        <v>5.8677091882709433</v>
      </c>
      <c r="BB27" s="769">
        <v>6</v>
      </c>
      <c r="BC27" s="769">
        <v>1.8677968942264598</v>
      </c>
      <c r="BD27" s="769">
        <v>1.9000049640194285</v>
      </c>
      <c r="BE27" s="769">
        <v>1.9327684259768214</v>
      </c>
      <c r="BF27" s="769">
        <v>1.9660968572157482</v>
      </c>
      <c r="BG27" s="769">
        <v>2</v>
      </c>
      <c r="BH27" s="771">
        <v>7.0795220487972061</v>
      </c>
      <c r="BI27" s="771">
        <v>7.1599474913436847</v>
      </c>
      <c r="BJ27" s="771">
        <v>7.2412865904568369</v>
      </c>
      <c r="BK27" s="772">
        <v>7.1936783082041806</v>
      </c>
      <c r="BL27" s="772">
        <v>7.1463830295194297</v>
      </c>
      <c r="BM27" s="772">
        <v>7.1976859520803371</v>
      </c>
      <c r="BN27" s="772">
        <v>7.2493571714219254</v>
      </c>
      <c r="BO27" s="772">
        <v>7.3013993314972474</v>
      </c>
      <c r="BP27" s="772">
        <v>7.3538150952399368</v>
      </c>
      <c r="BQ27" s="772">
        <v>7.4066071447004722</v>
      </c>
      <c r="BR27" s="772">
        <v>7.44818505989294</v>
      </c>
      <c r="BS27" s="772">
        <v>7.4899963779104777</v>
      </c>
      <c r="BT27" s="772">
        <v>7.5320424089890246</v>
      </c>
      <c r="BU27" s="772">
        <v>7.5743244707196924</v>
      </c>
      <c r="BV27" s="772">
        <v>7.6168438880900533</v>
      </c>
      <c r="BW27" s="771">
        <v>6.0681617561118912</v>
      </c>
      <c r="BX27" s="771">
        <v>6.1370978497231583</v>
      </c>
      <c r="BY27" s="771">
        <v>6.2068170775344313</v>
      </c>
      <c r="BZ27" s="772">
        <v>6.1660099784607256</v>
      </c>
      <c r="CA27" s="772">
        <v>6.1254711681595113</v>
      </c>
      <c r="CB27" s="772">
        <v>6.169445101783146</v>
      </c>
      <c r="CC27" s="772">
        <v>6.2137347183616498</v>
      </c>
      <c r="CD27" s="772">
        <v>6.2583422841404976</v>
      </c>
      <c r="CE27" s="772">
        <v>6.3032700816342313</v>
      </c>
      <c r="CF27" s="772">
        <v>6.3485204097432613</v>
      </c>
      <c r="CG27" s="772">
        <v>6.3841586227653773</v>
      </c>
      <c r="CH27" s="772">
        <v>6.4199968953518374</v>
      </c>
      <c r="CI27" s="772">
        <v>6.4560363505620204</v>
      </c>
      <c r="CJ27" s="772">
        <v>6.492278117759736</v>
      </c>
      <c r="CK27" s="772">
        <v>6.5287233326486174</v>
      </c>
      <c r="CL27" s="771">
        <v>2.0227205853706303</v>
      </c>
      <c r="CM27" s="771">
        <v>2.0456992832410528</v>
      </c>
      <c r="CN27" s="771">
        <v>2.0689390258448106</v>
      </c>
      <c r="CO27" s="772">
        <v>2.0553366594869087</v>
      </c>
      <c r="CP27" s="772">
        <v>2.0418237227198373</v>
      </c>
      <c r="CQ27" s="772">
        <v>2.0564817005943818</v>
      </c>
      <c r="CR27" s="772">
        <v>2.0712449061205502</v>
      </c>
      <c r="CS27" s="772">
        <v>2.0861140947134995</v>
      </c>
      <c r="CT27" s="772">
        <v>2.1010900272114106</v>
      </c>
      <c r="CU27" s="772">
        <v>2.1161734699144206</v>
      </c>
      <c r="CV27" s="772">
        <v>2.1280528742551259</v>
      </c>
      <c r="CW27" s="772">
        <v>2.1399989651172793</v>
      </c>
      <c r="CX27" s="772">
        <v>2.152012116854007</v>
      </c>
      <c r="CY27" s="772">
        <v>2.1640927059199124</v>
      </c>
      <c r="CZ27" s="772">
        <v>2.1762411108828723</v>
      </c>
      <c r="DA27" s="773">
        <v>0</v>
      </c>
      <c r="DB27" s="773">
        <v>0</v>
      </c>
      <c r="DC27" s="773">
        <v>0</v>
      </c>
      <c r="DD27" s="774">
        <v>0</v>
      </c>
      <c r="DE27" s="774">
        <v>0</v>
      </c>
      <c r="DF27" s="774">
        <v>0</v>
      </c>
      <c r="DG27" s="774">
        <v>0</v>
      </c>
      <c r="DH27" s="774">
        <v>0</v>
      </c>
      <c r="DI27" s="774">
        <v>0</v>
      </c>
      <c r="DJ27" s="774">
        <v>0</v>
      </c>
      <c r="DK27" s="774">
        <v>0</v>
      </c>
      <c r="DL27" s="774">
        <v>0</v>
      </c>
      <c r="DM27" s="774">
        <v>0</v>
      </c>
      <c r="DN27" s="774">
        <v>0</v>
      </c>
      <c r="DO27" s="774">
        <v>0</v>
      </c>
      <c r="DP27" s="773">
        <v>0</v>
      </c>
      <c r="DQ27" s="773">
        <v>0</v>
      </c>
      <c r="DR27" s="773">
        <v>0</v>
      </c>
      <c r="DS27" s="774">
        <v>0</v>
      </c>
      <c r="DT27" s="774">
        <v>0</v>
      </c>
      <c r="DU27" s="774">
        <v>0</v>
      </c>
      <c r="DV27" s="774">
        <v>0</v>
      </c>
      <c r="DW27" s="774">
        <v>0</v>
      </c>
      <c r="DX27" s="774">
        <v>0</v>
      </c>
      <c r="DY27" s="774">
        <v>0</v>
      </c>
      <c r="DZ27" s="774">
        <v>0</v>
      </c>
      <c r="EA27" s="774">
        <v>0</v>
      </c>
      <c r="EB27" s="774">
        <v>0</v>
      </c>
      <c r="EC27" s="774">
        <v>0</v>
      </c>
      <c r="ED27" s="774">
        <v>0</v>
      </c>
    </row>
    <row r="28" spans="1:134" ht="15" x14ac:dyDescent="0.25">
      <c r="A28" s="766">
        <v>136</v>
      </c>
      <c r="B28" s="766">
        <v>64</v>
      </c>
      <c r="C28" s="766" t="s">
        <v>3698</v>
      </c>
      <c r="D28" s="2">
        <v>99714</v>
      </c>
      <c r="E28" s="2">
        <v>99714</v>
      </c>
      <c r="F28" s="767" t="s">
        <v>3676</v>
      </c>
      <c r="G28" s="114">
        <v>2</v>
      </c>
      <c r="H28" s="114">
        <v>1</v>
      </c>
      <c r="I28" s="114">
        <v>1</v>
      </c>
      <c r="J28" s="114">
        <v>0</v>
      </c>
      <c r="K28" s="114">
        <v>0</v>
      </c>
      <c r="L28" s="114">
        <v>3</v>
      </c>
      <c r="M28" s="114">
        <v>3</v>
      </c>
      <c r="N28" s="114">
        <v>0</v>
      </c>
      <c r="O28" s="114">
        <v>0</v>
      </c>
      <c r="P28" s="114">
        <v>0</v>
      </c>
      <c r="Q28" s="114">
        <v>3</v>
      </c>
      <c r="R28" s="114">
        <v>0</v>
      </c>
      <c r="S28" s="114">
        <v>2031.3333333333333</v>
      </c>
      <c r="T28" s="114">
        <v>2031.3333333333333</v>
      </c>
      <c r="U28" s="114">
        <v>0</v>
      </c>
      <c r="V28" s="114">
        <v>0</v>
      </c>
      <c r="W28" s="114">
        <v>0</v>
      </c>
      <c r="X28" s="114">
        <v>2031.3333333333333</v>
      </c>
      <c r="Y28" s="114">
        <v>0</v>
      </c>
      <c r="Z28" s="114">
        <v>1</v>
      </c>
      <c r="AA28" s="114">
        <v>0</v>
      </c>
      <c r="AB28" s="657">
        <v>0</v>
      </c>
      <c r="AC28" s="657">
        <v>0</v>
      </c>
      <c r="AD28" s="768">
        <v>1</v>
      </c>
      <c r="AE28" s="769">
        <v>0</v>
      </c>
      <c r="AF28" s="769">
        <v>1</v>
      </c>
      <c r="AG28" s="770">
        <v>1</v>
      </c>
      <c r="AH28" s="769">
        <v>0</v>
      </c>
      <c r="AI28" s="769">
        <v>0</v>
      </c>
      <c r="AJ28" s="769">
        <v>0.93813004328239469</v>
      </c>
      <c r="AK28" s="769">
        <v>0.93813004328239469</v>
      </c>
      <c r="AL28" s="769">
        <v>0</v>
      </c>
      <c r="AM28" s="769">
        <v>0</v>
      </c>
      <c r="AN28" s="769">
        <v>0.95638919772553477</v>
      </c>
      <c r="AO28" s="769">
        <v>0.95638919772553477</v>
      </c>
      <c r="AP28" s="769">
        <v>0</v>
      </c>
      <c r="AQ28" s="769">
        <v>0</v>
      </c>
      <c r="AR28" s="769">
        <v>0</v>
      </c>
      <c r="AS28" s="769">
        <v>0.88008797810902761</v>
      </c>
      <c r="AT28" s="769">
        <v>0.90864568066751805</v>
      </c>
      <c r="AU28" s="769">
        <v>0.93813004328239469</v>
      </c>
      <c r="AV28" s="769">
        <v>0.96857113485917723</v>
      </c>
      <c r="AW28" s="769">
        <v>1</v>
      </c>
      <c r="AX28" s="769">
        <v>0.91468029752609203</v>
      </c>
      <c r="AY28" s="769">
        <v>0.93530228050953268</v>
      </c>
      <c r="AZ28" s="769">
        <v>0.95638919772553477</v>
      </c>
      <c r="BA28" s="769">
        <v>0.97795153137849056</v>
      </c>
      <c r="BB28" s="769">
        <v>1</v>
      </c>
      <c r="BC28" s="769">
        <v>0</v>
      </c>
      <c r="BD28" s="769">
        <v>0</v>
      </c>
      <c r="BE28" s="769">
        <v>0</v>
      </c>
      <c r="BF28" s="769">
        <v>0</v>
      </c>
      <c r="BG28" s="769">
        <v>0</v>
      </c>
      <c r="BH28" s="771">
        <v>1.0113602926853151</v>
      </c>
      <c r="BI28" s="771">
        <v>1.0228496416205264</v>
      </c>
      <c r="BJ28" s="771">
        <v>1.0344695129224053</v>
      </c>
      <c r="BK28" s="772">
        <v>1.0276683297434543</v>
      </c>
      <c r="BL28" s="772">
        <v>1.0209118613599186</v>
      </c>
      <c r="BM28" s="772">
        <v>1.0282408502971909</v>
      </c>
      <c r="BN28" s="772">
        <v>1.0356224530602751</v>
      </c>
      <c r="BO28" s="772">
        <v>1.0430570473567498</v>
      </c>
      <c r="BP28" s="772">
        <v>1.0505450136057053</v>
      </c>
      <c r="BQ28" s="772">
        <v>1.0580867349572103</v>
      </c>
      <c r="BR28" s="772">
        <v>1.064026437127563</v>
      </c>
      <c r="BS28" s="772">
        <v>1.0699994825586396</v>
      </c>
      <c r="BT28" s="772">
        <v>1.0760060584270035</v>
      </c>
      <c r="BU28" s="772">
        <v>1.0820463529599562</v>
      </c>
      <c r="BV28" s="772">
        <v>1.0881205554414362</v>
      </c>
      <c r="BW28" s="771">
        <v>1.0113602926853151</v>
      </c>
      <c r="BX28" s="771">
        <v>1.0228496416205264</v>
      </c>
      <c r="BY28" s="771">
        <v>1.0344695129224053</v>
      </c>
      <c r="BZ28" s="772">
        <v>1.0276683297434543</v>
      </c>
      <c r="CA28" s="772">
        <v>1.0209118613599186</v>
      </c>
      <c r="CB28" s="772">
        <v>1.0282408502971909</v>
      </c>
      <c r="CC28" s="772">
        <v>1.0356224530602751</v>
      </c>
      <c r="CD28" s="772">
        <v>1.0430570473567498</v>
      </c>
      <c r="CE28" s="772">
        <v>1.0505450136057053</v>
      </c>
      <c r="CF28" s="772">
        <v>1.0580867349572103</v>
      </c>
      <c r="CG28" s="772">
        <v>1.064026437127563</v>
      </c>
      <c r="CH28" s="772">
        <v>1.0699994825586396</v>
      </c>
      <c r="CI28" s="772">
        <v>1.0760060584270035</v>
      </c>
      <c r="CJ28" s="772">
        <v>1.0820463529599562</v>
      </c>
      <c r="CK28" s="772">
        <v>1.0881205554414362</v>
      </c>
      <c r="CL28" s="771">
        <v>0</v>
      </c>
      <c r="CM28" s="771">
        <v>0</v>
      </c>
      <c r="CN28" s="771">
        <v>0</v>
      </c>
      <c r="CO28" s="772">
        <v>0</v>
      </c>
      <c r="CP28" s="772">
        <v>0</v>
      </c>
      <c r="CQ28" s="772">
        <v>0</v>
      </c>
      <c r="CR28" s="772">
        <v>0</v>
      </c>
      <c r="CS28" s="772">
        <v>0</v>
      </c>
      <c r="CT28" s="772">
        <v>0</v>
      </c>
      <c r="CU28" s="772">
        <v>0</v>
      </c>
      <c r="CV28" s="772">
        <v>0</v>
      </c>
      <c r="CW28" s="772">
        <v>0</v>
      </c>
      <c r="CX28" s="772">
        <v>0</v>
      </c>
      <c r="CY28" s="772">
        <v>0</v>
      </c>
      <c r="CZ28" s="772">
        <v>0</v>
      </c>
      <c r="DA28" s="773">
        <v>0</v>
      </c>
      <c r="DB28" s="773">
        <v>0</v>
      </c>
      <c r="DC28" s="773">
        <v>0</v>
      </c>
      <c r="DD28" s="774">
        <v>0</v>
      </c>
      <c r="DE28" s="774">
        <v>0</v>
      </c>
      <c r="DF28" s="774">
        <v>0</v>
      </c>
      <c r="DG28" s="774">
        <v>0</v>
      </c>
      <c r="DH28" s="774">
        <v>0</v>
      </c>
      <c r="DI28" s="774">
        <v>0</v>
      </c>
      <c r="DJ28" s="774">
        <v>0</v>
      </c>
      <c r="DK28" s="774">
        <v>0</v>
      </c>
      <c r="DL28" s="774">
        <v>0</v>
      </c>
      <c r="DM28" s="774">
        <v>0</v>
      </c>
      <c r="DN28" s="774">
        <v>0</v>
      </c>
      <c r="DO28" s="774">
        <v>0</v>
      </c>
      <c r="DP28" s="773">
        <v>0</v>
      </c>
      <c r="DQ28" s="773">
        <v>0</v>
      </c>
      <c r="DR28" s="773">
        <v>0</v>
      </c>
      <c r="DS28" s="774">
        <v>0</v>
      </c>
      <c r="DT28" s="774">
        <v>0</v>
      </c>
      <c r="DU28" s="774">
        <v>0</v>
      </c>
      <c r="DV28" s="774">
        <v>0</v>
      </c>
      <c r="DW28" s="774">
        <v>0</v>
      </c>
      <c r="DX28" s="774">
        <v>0</v>
      </c>
      <c r="DY28" s="774">
        <v>0</v>
      </c>
      <c r="DZ28" s="774">
        <v>0</v>
      </c>
      <c r="EA28" s="774">
        <v>0</v>
      </c>
      <c r="EB28" s="774">
        <v>0</v>
      </c>
      <c r="EC28" s="774">
        <v>0</v>
      </c>
      <c r="ED28" s="774">
        <v>0</v>
      </c>
    </row>
    <row r="29" spans="1:134" ht="15" x14ac:dyDescent="0.25">
      <c r="A29" s="766">
        <v>137</v>
      </c>
      <c r="B29" s="766">
        <v>64</v>
      </c>
      <c r="C29" s="766" t="s">
        <v>3699</v>
      </c>
      <c r="D29" s="2">
        <v>99714</v>
      </c>
      <c r="E29" s="2">
        <v>99714</v>
      </c>
      <c r="F29" s="767" t="s">
        <v>3676</v>
      </c>
      <c r="G29" s="114">
        <v>2</v>
      </c>
      <c r="H29" s="114">
        <v>5</v>
      </c>
      <c r="I29" s="114">
        <v>2</v>
      </c>
      <c r="J29" s="114">
        <v>3</v>
      </c>
      <c r="K29" s="114">
        <v>1</v>
      </c>
      <c r="L29" s="114">
        <v>10</v>
      </c>
      <c r="M29" s="114">
        <v>11</v>
      </c>
      <c r="N29" s="114">
        <v>1</v>
      </c>
      <c r="O29" s="114">
        <v>0</v>
      </c>
      <c r="P29" s="114">
        <v>0</v>
      </c>
      <c r="Q29" s="114">
        <v>12</v>
      </c>
      <c r="R29" s="114">
        <v>2784</v>
      </c>
      <c r="S29" s="114">
        <v>1988.7</v>
      </c>
      <c r="T29" s="114">
        <v>2061</v>
      </c>
      <c r="U29" s="114">
        <v>2418</v>
      </c>
      <c r="V29" s="114">
        <v>0</v>
      </c>
      <c r="W29" s="114">
        <v>0</v>
      </c>
      <c r="X29" s="114">
        <v>2090.75</v>
      </c>
      <c r="Y29" s="114">
        <v>0.45454545454545453</v>
      </c>
      <c r="Z29" s="114">
        <v>4.5454545454545459</v>
      </c>
      <c r="AA29" s="114">
        <v>0</v>
      </c>
      <c r="AB29" s="657">
        <v>1</v>
      </c>
      <c r="AC29" s="657">
        <v>0</v>
      </c>
      <c r="AD29" s="768">
        <v>6</v>
      </c>
      <c r="AE29" s="769">
        <v>0.18181818181818182</v>
      </c>
      <c r="AF29" s="769">
        <v>1.8181818181818183</v>
      </c>
      <c r="AG29" s="770">
        <v>2</v>
      </c>
      <c r="AH29" s="769">
        <v>0</v>
      </c>
      <c r="AI29" s="769">
        <v>0.42642274694654303</v>
      </c>
      <c r="AJ29" s="769">
        <v>4.264227469465431</v>
      </c>
      <c r="AK29" s="769">
        <v>4.6906502164119743</v>
      </c>
      <c r="AL29" s="769">
        <v>0</v>
      </c>
      <c r="AM29" s="769">
        <v>0.17388894504100633</v>
      </c>
      <c r="AN29" s="769">
        <v>1.7388894504100634</v>
      </c>
      <c r="AO29" s="769">
        <v>1.9127783954510698</v>
      </c>
      <c r="AP29" s="769">
        <v>0</v>
      </c>
      <c r="AQ29" s="769">
        <v>0.96638421298841071</v>
      </c>
      <c r="AR29" s="769">
        <v>0</v>
      </c>
      <c r="AS29" s="769">
        <v>4.4004398905451376</v>
      </c>
      <c r="AT29" s="769">
        <v>4.54322840333759</v>
      </c>
      <c r="AU29" s="769">
        <v>4.6906502164119734</v>
      </c>
      <c r="AV29" s="769">
        <v>4.8428556742958868</v>
      </c>
      <c r="AW29" s="769">
        <v>5</v>
      </c>
      <c r="AX29" s="769">
        <v>1.8293605950521841</v>
      </c>
      <c r="AY29" s="769">
        <v>1.8706045610190654</v>
      </c>
      <c r="AZ29" s="769">
        <v>1.9127783954510695</v>
      </c>
      <c r="BA29" s="769">
        <v>1.9559030627569811</v>
      </c>
      <c r="BB29" s="769">
        <v>2</v>
      </c>
      <c r="BC29" s="769">
        <v>0.93389844711322989</v>
      </c>
      <c r="BD29" s="769">
        <v>0.95000248200971427</v>
      </c>
      <c r="BE29" s="769">
        <v>0.96638421298841071</v>
      </c>
      <c r="BF29" s="769">
        <v>0.98304842860787411</v>
      </c>
      <c r="BG29" s="769">
        <v>1</v>
      </c>
      <c r="BH29" s="771">
        <v>5.0568014634265754</v>
      </c>
      <c r="BI29" s="771">
        <v>5.1142482081026319</v>
      </c>
      <c r="BJ29" s="771">
        <v>5.1723475646120267</v>
      </c>
      <c r="BK29" s="772">
        <v>5.1383416487172724</v>
      </c>
      <c r="BL29" s="772">
        <v>5.1045593067995929</v>
      </c>
      <c r="BM29" s="772">
        <v>5.1412042514859557</v>
      </c>
      <c r="BN29" s="772">
        <v>5.1781122653013751</v>
      </c>
      <c r="BO29" s="772">
        <v>5.2152852367837488</v>
      </c>
      <c r="BP29" s="772">
        <v>5.2527250680285267</v>
      </c>
      <c r="BQ29" s="772">
        <v>5.2904336747860521</v>
      </c>
      <c r="BR29" s="772">
        <v>5.3201321856378145</v>
      </c>
      <c r="BS29" s="772">
        <v>5.3499974127931988</v>
      </c>
      <c r="BT29" s="772">
        <v>5.380030292135018</v>
      </c>
      <c r="BU29" s="772">
        <v>5.4102317647997813</v>
      </c>
      <c r="BV29" s="772">
        <v>5.4406027772071814</v>
      </c>
      <c r="BW29" s="771">
        <v>2.0227205853706303</v>
      </c>
      <c r="BX29" s="771">
        <v>2.0456992832410528</v>
      </c>
      <c r="BY29" s="771">
        <v>2.0689390258448106</v>
      </c>
      <c r="BZ29" s="772">
        <v>2.0553366594869087</v>
      </c>
      <c r="CA29" s="772">
        <v>2.0418237227198373</v>
      </c>
      <c r="CB29" s="772">
        <v>2.0564817005943818</v>
      </c>
      <c r="CC29" s="772">
        <v>2.0712449061205502</v>
      </c>
      <c r="CD29" s="772">
        <v>2.0861140947134995</v>
      </c>
      <c r="CE29" s="772">
        <v>2.1010900272114106</v>
      </c>
      <c r="CF29" s="772">
        <v>2.1161734699144206</v>
      </c>
      <c r="CG29" s="772">
        <v>2.1280528742551259</v>
      </c>
      <c r="CH29" s="772">
        <v>2.1399989651172793</v>
      </c>
      <c r="CI29" s="772">
        <v>2.152012116854007</v>
      </c>
      <c r="CJ29" s="772">
        <v>2.1640927059199124</v>
      </c>
      <c r="CK29" s="772">
        <v>2.1762411108828723</v>
      </c>
      <c r="CL29" s="771">
        <v>1.0113602926853151</v>
      </c>
      <c r="CM29" s="771">
        <v>1.0228496416205264</v>
      </c>
      <c r="CN29" s="771">
        <v>1.0344695129224053</v>
      </c>
      <c r="CO29" s="772">
        <v>1.0276683297434543</v>
      </c>
      <c r="CP29" s="772">
        <v>1.0209118613599186</v>
      </c>
      <c r="CQ29" s="772">
        <v>1.0282408502971909</v>
      </c>
      <c r="CR29" s="772">
        <v>1.0356224530602751</v>
      </c>
      <c r="CS29" s="772">
        <v>1.0430570473567498</v>
      </c>
      <c r="CT29" s="772">
        <v>1.0505450136057053</v>
      </c>
      <c r="CU29" s="772">
        <v>1.0580867349572103</v>
      </c>
      <c r="CV29" s="772">
        <v>1.064026437127563</v>
      </c>
      <c r="CW29" s="772">
        <v>1.0699994825586396</v>
      </c>
      <c r="CX29" s="772">
        <v>1.0760060584270035</v>
      </c>
      <c r="CY29" s="772">
        <v>1.0820463529599562</v>
      </c>
      <c r="CZ29" s="772">
        <v>1.0881205554414362</v>
      </c>
      <c r="DA29" s="773">
        <v>0</v>
      </c>
      <c r="DB29" s="773">
        <v>0</v>
      </c>
      <c r="DC29" s="773">
        <v>0</v>
      </c>
      <c r="DD29" s="774">
        <v>0</v>
      </c>
      <c r="DE29" s="774">
        <v>0</v>
      </c>
      <c r="DF29" s="774">
        <v>0</v>
      </c>
      <c r="DG29" s="774">
        <v>0</v>
      </c>
      <c r="DH29" s="774">
        <v>0</v>
      </c>
      <c r="DI29" s="774">
        <v>0</v>
      </c>
      <c r="DJ29" s="774">
        <v>0</v>
      </c>
      <c r="DK29" s="774">
        <v>0</v>
      </c>
      <c r="DL29" s="774">
        <v>0</v>
      </c>
      <c r="DM29" s="774">
        <v>0</v>
      </c>
      <c r="DN29" s="774">
        <v>0</v>
      </c>
      <c r="DO29" s="774">
        <v>0</v>
      </c>
      <c r="DP29" s="773">
        <v>0</v>
      </c>
      <c r="DQ29" s="773">
        <v>0</v>
      </c>
      <c r="DR29" s="773">
        <v>0</v>
      </c>
      <c r="DS29" s="774">
        <v>0</v>
      </c>
      <c r="DT29" s="774">
        <v>0</v>
      </c>
      <c r="DU29" s="774">
        <v>0</v>
      </c>
      <c r="DV29" s="774">
        <v>0</v>
      </c>
      <c r="DW29" s="774">
        <v>0</v>
      </c>
      <c r="DX29" s="774">
        <v>0</v>
      </c>
      <c r="DY29" s="774">
        <v>0</v>
      </c>
      <c r="DZ29" s="774">
        <v>0</v>
      </c>
      <c r="EA29" s="774">
        <v>0</v>
      </c>
      <c r="EB29" s="774">
        <v>0</v>
      </c>
      <c r="EC29" s="774">
        <v>0</v>
      </c>
      <c r="ED29" s="774">
        <v>0</v>
      </c>
    </row>
    <row r="30" spans="1:134" ht="15" x14ac:dyDescent="0.25">
      <c r="A30" s="766">
        <v>143</v>
      </c>
      <c r="B30" s="766">
        <v>64</v>
      </c>
      <c r="C30" s="766" t="s">
        <v>3700</v>
      </c>
      <c r="D30" s="2">
        <v>99714</v>
      </c>
      <c r="E30" s="2">
        <v>99714</v>
      </c>
      <c r="F30" s="767" t="s">
        <v>3676</v>
      </c>
      <c r="G30" s="114">
        <v>15</v>
      </c>
      <c r="H30" s="114">
        <v>23</v>
      </c>
      <c r="I30" s="114">
        <v>8</v>
      </c>
      <c r="J30" s="114">
        <v>15</v>
      </c>
      <c r="K30" s="114">
        <v>0</v>
      </c>
      <c r="L30" s="114">
        <v>1</v>
      </c>
      <c r="M30" s="114">
        <v>1</v>
      </c>
      <c r="N30" s="114">
        <v>0</v>
      </c>
      <c r="O30" s="114">
        <v>0</v>
      </c>
      <c r="P30" s="114">
        <v>0</v>
      </c>
      <c r="Q30" s="114">
        <v>1</v>
      </c>
      <c r="R30" s="114">
        <v>0</v>
      </c>
      <c r="S30" s="114">
        <v>1120</v>
      </c>
      <c r="T30" s="114">
        <v>1120</v>
      </c>
      <c r="U30" s="114">
        <v>0</v>
      </c>
      <c r="V30" s="114">
        <v>0</v>
      </c>
      <c r="W30" s="114">
        <v>0</v>
      </c>
      <c r="X30" s="114">
        <v>1120</v>
      </c>
      <c r="Y30" s="114">
        <v>0</v>
      </c>
      <c r="Z30" s="114">
        <v>23</v>
      </c>
      <c r="AA30" s="114">
        <v>0</v>
      </c>
      <c r="AB30" s="657">
        <v>0</v>
      </c>
      <c r="AC30" s="657">
        <v>0</v>
      </c>
      <c r="AD30" s="768">
        <v>23</v>
      </c>
      <c r="AE30" s="769">
        <v>0</v>
      </c>
      <c r="AF30" s="769">
        <v>8</v>
      </c>
      <c r="AG30" s="770">
        <v>8</v>
      </c>
      <c r="AH30" s="769">
        <v>0</v>
      </c>
      <c r="AI30" s="769">
        <v>0</v>
      </c>
      <c r="AJ30" s="769">
        <v>21.576990995495077</v>
      </c>
      <c r="AK30" s="769">
        <v>21.576990995495077</v>
      </c>
      <c r="AL30" s="769">
        <v>0</v>
      </c>
      <c r="AM30" s="769">
        <v>0</v>
      </c>
      <c r="AN30" s="769">
        <v>7.6511135818042781</v>
      </c>
      <c r="AO30" s="769">
        <v>7.6511135818042781</v>
      </c>
      <c r="AP30" s="769">
        <v>0</v>
      </c>
      <c r="AQ30" s="769">
        <v>0</v>
      </c>
      <c r="AR30" s="769">
        <v>0</v>
      </c>
      <c r="AS30" s="769">
        <v>20.242023496507635</v>
      </c>
      <c r="AT30" s="769">
        <v>20.898850655352916</v>
      </c>
      <c r="AU30" s="769">
        <v>21.576990995495077</v>
      </c>
      <c r="AV30" s="769">
        <v>22.277136101761077</v>
      </c>
      <c r="AW30" s="769">
        <v>23</v>
      </c>
      <c r="AX30" s="769">
        <v>7.3174423802087363</v>
      </c>
      <c r="AY30" s="769">
        <v>7.4824182440762614</v>
      </c>
      <c r="AZ30" s="769">
        <v>7.6511135818042781</v>
      </c>
      <c r="BA30" s="769">
        <v>7.8236122510279245</v>
      </c>
      <c r="BB30" s="769">
        <v>8</v>
      </c>
      <c r="BC30" s="769">
        <v>0</v>
      </c>
      <c r="BD30" s="769">
        <v>0</v>
      </c>
      <c r="BE30" s="769">
        <v>0</v>
      </c>
      <c r="BF30" s="769">
        <v>0</v>
      </c>
      <c r="BG30" s="769">
        <v>0</v>
      </c>
      <c r="BH30" s="771">
        <v>23.261286731762247</v>
      </c>
      <c r="BI30" s="771">
        <v>23.525541757272109</v>
      </c>
      <c r="BJ30" s="771">
        <v>23.792798797215323</v>
      </c>
      <c r="BK30" s="772">
        <v>23.63637158409945</v>
      </c>
      <c r="BL30" s="772">
        <v>23.480972811278129</v>
      </c>
      <c r="BM30" s="772">
        <v>23.649539556835393</v>
      </c>
      <c r="BN30" s="772">
        <v>23.819316420386325</v>
      </c>
      <c r="BO30" s="772">
        <v>23.990312089205243</v>
      </c>
      <c r="BP30" s="772">
        <v>24.162535312931222</v>
      </c>
      <c r="BQ30" s="772">
        <v>24.335994904015838</v>
      </c>
      <c r="BR30" s="772">
        <v>24.472608053933946</v>
      </c>
      <c r="BS30" s="772">
        <v>24.609988098848714</v>
      </c>
      <c r="BT30" s="772">
        <v>24.748139343821084</v>
      </c>
      <c r="BU30" s="772">
        <v>24.887066118078991</v>
      </c>
      <c r="BV30" s="772">
        <v>25.026772775153034</v>
      </c>
      <c r="BW30" s="771">
        <v>8.0908823414825211</v>
      </c>
      <c r="BX30" s="771">
        <v>8.1827971329642111</v>
      </c>
      <c r="BY30" s="771">
        <v>8.2757561033792424</v>
      </c>
      <c r="BZ30" s="772">
        <v>8.2213466379476348</v>
      </c>
      <c r="CA30" s="772">
        <v>8.167294890879349</v>
      </c>
      <c r="CB30" s="772">
        <v>8.2259268023775274</v>
      </c>
      <c r="CC30" s="772">
        <v>8.2849796244822009</v>
      </c>
      <c r="CD30" s="772">
        <v>8.344456378853998</v>
      </c>
      <c r="CE30" s="772">
        <v>8.4043601088456423</v>
      </c>
      <c r="CF30" s="772">
        <v>8.4646938796576823</v>
      </c>
      <c r="CG30" s="772">
        <v>8.5122114970205036</v>
      </c>
      <c r="CH30" s="772">
        <v>8.5599958604691171</v>
      </c>
      <c r="CI30" s="772">
        <v>8.6080484674160278</v>
      </c>
      <c r="CJ30" s="772">
        <v>8.6563708236796497</v>
      </c>
      <c r="CK30" s="772">
        <v>8.7049644435314892</v>
      </c>
      <c r="CL30" s="771">
        <v>0</v>
      </c>
      <c r="CM30" s="771">
        <v>0</v>
      </c>
      <c r="CN30" s="771">
        <v>0</v>
      </c>
      <c r="CO30" s="772">
        <v>0</v>
      </c>
      <c r="CP30" s="772">
        <v>0</v>
      </c>
      <c r="CQ30" s="772">
        <v>0</v>
      </c>
      <c r="CR30" s="772">
        <v>0</v>
      </c>
      <c r="CS30" s="772">
        <v>0</v>
      </c>
      <c r="CT30" s="772">
        <v>0</v>
      </c>
      <c r="CU30" s="772">
        <v>0</v>
      </c>
      <c r="CV30" s="772">
        <v>0</v>
      </c>
      <c r="CW30" s="772">
        <v>0</v>
      </c>
      <c r="CX30" s="772">
        <v>0</v>
      </c>
      <c r="CY30" s="772">
        <v>0</v>
      </c>
      <c r="CZ30" s="772">
        <v>0</v>
      </c>
      <c r="DA30" s="773">
        <v>0</v>
      </c>
      <c r="DB30" s="773">
        <v>0</v>
      </c>
      <c r="DC30" s="773">
        <v>0</v>
      </c>
      <c r="DD30" s="774">
        <v>0</v>
      </c>
      <c r="DE30" s="774">
        <v>0</v>
      </c>
      <c r="DF30" s="774">
        <v>0</v>
      </c>
      <c r="DG30" s="774">
        <v>0</v>
      </c>
      <c r="DH30" s="774">
        <v>0</v>
      </c>
      <c r="DI30" s="774">
        <v>0</v>
      </c>
      <c r="DJ30" s="774">
        <v>0</v>
      </c>
      <c r="DK30" s="774">
        <v>0</v>
      </c>
      <c r="DL30" s="774">
        <v>0</v>
      </c>
      <c r="DM30" s="774">
        <v>0</v>
      </c>
      <c r="DN30" s="774">
        <v>0</v>
      </c>
      <c r="DO30" s="774">
        <v>0</v>
      </c>
      <c r="DP30" s="773">
        <v>0</v>
      </c>
      <c r="DQ30" s="773">
        <v>0</v>
      </c>
      <c r="DR30" s="773">
        <v>0</v>
      </c>
      <c r="DS30" s="774">
        <v>0</v>
      </c>
      <c r="DT30" s="774">
        <v>0</v>
      </c>
      <c r="DU30" s="774">
        <v>0</v>
      </c>
      <c r="DV30" s="774">
        <v>0</v>
      </c>
      <c r="DW30" s="774">
        <v>0</v>
      </c>
      <c r="DX30" s="774">
        <v>0</v>
      </c>
      <c r="DY30" s="774">
        <v>0</v>
      </c>
      <c r="DZ30" s="774">
        <v>0</v>
      </c>
      <c r="EA30" s="774">
        <v>0</v>
      </c>
      <c r="EB30" s="774">
        <v>0</v>
      </c>
      <c r="EC30" s="774">
        <v>0</v>
      </c>
      <c r="ED30" s="774">
        <v>0</v>
      </c>
    </row>
    <row r="31" spans="1:134" ht="15" x14ac:dyDescent="0.25">
      <c r="A31" s="766">
        <v>136</v>
      </c>
      <c r="B31" s="766">
        <v>65</v>
      </c>
      <c r="C31" s="766" t="s">
        <v>3701</v>
      </c>
      <c r="D31" s="2">
        <v>99714</v>
      </c>
      <c r="E31" s="2">
        <v>99714</v>
      </c>
      <c r="F31" s="767" t="s">
        <v>3676</v>
      </c>
      <c r="G31" s="114">
        <v>79</v>
      </c>
      <c r="H31" s="114">
        <v>56</v>
      </c>
      <c r="I31" s="114">
        <v>36</v>
      </c>
      <c r="J31" s="114">
        <v>20</v>
      </c>
      <c r="K31" s="114">
        <v>0</v>
      </c>
      <c r="L31" s="114">
        <v>8</v>
      </c>
      <c r="M31" s="114">
        <v>8</v>
      </c>
      <c r="N31" s="114">
        <v>0</v>
      </c>
      <c r="O31" s="114">
        <v>0</v>
      </c>
      <c r="P31" s="114">
        <v>0</v>
      </c>
      <c r="Q31" s="114">
        <v>8</v>
      </c>
      <c r="R31" s="114">
        <v>0</v>
      </c>
      <c r="S31" s="114">
        <v>2156.75</v>
      </c>
      <c r="T31" s="114">
        <v>2156.75</v>
      </c>
      <c r="U31" s="114">
        <v>0</v>
      </c>
      <c r="V31" s="114">
        <v>0</v>
      </c>
      <c r="W31" s="114">
        <v>0</v>
      </c>
      <c r="X31" s="114">
        <v>2156.75</v>
      </c>
      <c r="Y31" s="114">
        <v>0</v>
      </c>
      <c r="Z31" s="114">
        <v>56</v>
      </c>
      <c r="AA31" s="114">
        <v>0</v>
      </c>
      <c r="AB31" s="657">
        <v>0</v>
      </c>
      <c r="AC31" s="657">
        <v>0</v>
      </c>
      <c r="AD31" s="768">
        <v>56</v>
      </c>
      <c r="AE31" s="769">
        <v>0</v>
      </c>
      <c r="AF31" s="769">
        <v>36</v>
      </c>
      <c r="AG31" s="770">
        <v>36</v>
      </c>
      <c r="AH31" s="769">
        <v>0</v>
      </c>
      <c r="AI31" s="769">
        <v>0</v>
      </c>
      <c r="AJ31" s="769">
        <v>52.535282423814103</v>
      </c>
      <c r="AK31" s="769">
        <v>52.535282423814103</v>
      </c>
      <c r="AL31" s="769">
        <v>0</v>
      </c>
      <c r="AM31" s="769">
        <v>0</v>
      </c>
      <c r="AN31" s="769">
        <v>34.430011118119253</v>
      </c>
      <c r="AO31" s="769">
        <v>34.430011118119253</v>
      </c>
      <c r="AP31" s="769">
        <v>0</v>
      </c>
      <c r="AQ31" s="769">
        <v>0</v>
      </c>
      <c r="AR31" s="769">
        <v>0</v>
      </c>
      <c r="AS31" s="769">
        <v>49.284926774105543</v>
      </c>
      <c r="AT31" s="769">
        <v>50.884158117381013</v>
      </c>
      <c r="AU31" s="769">
        <v>52.535282423814103</v>
      </c>
      <c r="AV31" s="769">
        <v>54.239983552113927</v>
      </c>
      <c r="AW31" s="769">
        <v>56</v>
      </c>
      <c r="AX31" s="769">
        <v>32.928490710939315</v>
      </c>
      <c r="AY31" s="769">
        <v>33.670882098343178</v>
      </c>
      <c r="AZ31" s="769">
        <v>34.430011118119253</v>
      </c>
      <c r="BA31" s="769">
        <v>35.20625512962566</v>
      </c>
      <c r="BB31" s="769">
        <v>36</v>
      </c>
      <c r="BC31" s="769">
        <v>0</v>
      </c>
      <c r="BD31" s="769">
        <v>0</v>
      </c>
      <c r="BE31" s="769">
        <v>0</v>
      </c>
      <c r="BF31" s="769">
        <v>0</v>
      </c>
      <c r="BG31" s="769">
        <v>0</v>
      </c>
      <c r="BH31" s="771">
        <v>56.636176390377649</v>
      </c>
      <c r="BI31" s="771">
        <v>57.279579930749478</v>
      </c>
      <c r="BJ31" s="771">
        <v>57.930292723654695</v>
      </c>
      <c r="BK31" s="772">
        <v>57.549426465633445</v>
      </c>
      <c r="BL31" s="772">
        <v>57.171064236155438</v>
      </c>
      <c r="BM31" s="772">
        <v>57.581487616642697</v>
      </c>
      <c r="BN31" s="772">
        <v>57.994857371375403</v>
      </c>
      <c r="BO31" s="772">
        <v>58.411194651977979</v>
      </c>
      <c r="BP31" s="772">
        <v>58.830520761919495</v>
      </c>
      <c r="BQ31" s="772">
        <v>59.252857157603778</v>
      </c>
      <c r="BR31" s="772">
        <v>59.58548047914352</v>
      </c>
      <c r="BS31" s="772">
        <v>59.919971023283821</v>
      </c>
      <c r="BT31" s="772">
        <v>60.256339271912196</v>
      </c>
      <c r="BU31" s="772">
        <v>60.594595765757539</v>
      </c>
      <c r="BV31" s="772">
        <v>60.934751104720426</v>
      </c>
      <c r="BW31" s="771">
        <v>36.408970536671347</v>
      </c>
      <c r="BX31" s="771">
        <v>36.82258709833895</v>
      </c>
      <c r="BY31" s="771">
        <v>37.240902465206588</v>
      </c>
      <c r="BZ31" s="772">
        <v>36.996059870764356</v>
      </c>
      <c r="CA31" s="772">
        <v>36.75282700895707</v>
      </c>
      <c r="CB31" s="772">
        <v>37.016670610698874</v>
      </c>
      <c r="CC31" s="772">
        <v>37.282408310169899</v>
      </c>
      <c r="CD31" s="772">
        <v>37.550053704842988</v>
      </c>
      <c r="CE31" s="772">
        <v>37.819620489805388</v>
      </c>
      <c r="CF31" s="772">
        <v>38.091122458459573</v>
      </c>
      <c r="CG31" s="772">
        <v>38.304951736592258</v>
      </c>
      <c r="CH31" s="772">
        <v>38.519981372111026</v>
      </c>
      <c r="CI31" s="772">
        <v>38.736218103372124</v>
      </c>
      <c r="CJ31" s="772">
        <v>38.953668706558418</v>
      </c>
      <c r="CK31" s="772">
        <v>39.172339995891704</v>
      </c>
      <c r="CL31" s="771">
        <v>0</v>
      </c>
      <c r="CM31" s="771">
        <v>0</v>
      </c>
      <c r="CN31" s="771">
        <v>0</v>
      </c>
      <c r="CO31" s="772">
        <v>0</v>
      </c>
      <c r="CP31" s="772">
        <v>0</v>
      </c>
      <c r="CQ31" s="772">
        <v>0</v>
      </c>
      <c r="CR31" s="772">
        <v>0</v>
      </c>
      <c r="CS31" s="772">
        <v>0</v>
      </c>
      <c r="CT31" s="772">
        <v>0</v>
      </c>
      <c r="CU31" s="772">
        <v>0</v>
      </c>
      <c r="CV31" s="772">
        <v>0</v>
      </c>
      <c r="CW31" s="772">
        <v>0</v>
      </c>
      <c r="CX31" s="772">
        <v>0</v>
      </c>
      <c r="CY31" s="772">
        <v>0</v>
      </c>
      <c r="CZ31" s="772">
        <v>0</v>
      </c>
      <c r="DA31" s="773">
        <v>0</v>
      </c>
      <c r="DB31" s="773">
        <v>0</v>
      </c>
      <c r="DC31" s="773">
        <v>0</v>
      </c>
      <c r="DD31" s="774">
        <v>0</v>
      </c>
      <c r="DE31" s="774">
        <v>0</v>
      </c>
      <c r="DF31" s="774">
        <v>0</v>
      </c>
      <c r="DG31" s="774">
        <v>0</v>
      </c>
      <c r="DH31" s="774">
        <v>0</v>
      </c>
      <c r="DI31" s="774">
        <v>0</v>
      </c>
      <c r="DJ31" s="774">
        <v>0</v>
      </c>
      <c r="DK31" s="774">
        <v>0</v>
      </c>
      <c r="DL31" s="774">
        <v>0</v>
      </c>
      <c r="DM31" s="774">
        <v>0</v>
      </c>
      <c r="DN31" s="774">
        <v>0</v>
      </c>
      <c r="DO31" s="774">
        <v>0</v>
      </c>
      <c r="DP31" s="773">
        <v>0</v>
      </c>
      <c r="DQ31" s="773">
        <v>0</v>
      </c>
      <c r="DR31" s="773">
        <v>0</v>
      </c>
      <c r="DS31" s="774">
        <v>0</v>
      </c>
      <c r="DT31" s="774">
        <v>0</v>
      </c>
      <c r="DU31" s="774">
        <v>0</v>
      </c>
      <c r="DV31" s="774">
        <v>0</v>
      </c>
      <c r="DW31" s="774">
        <v>0</v>
      </c>
      <c r="DX31" s="774">
        <v>0</v>
      </c>
      <c r="DY31" s="774">
        <v>0</v>
      </c>
      <c r="DZ31" s="774">
        <v>0</v>
      </c>
      <c r="EA31" s="774">
        <v>0</v>
      </c>
      <c r="EB31" s="774">
        <v>0</v>
      </c>
      <c r="EC31" s="774">
        <v>0</v>
      </c>
      <c r="ED31" s="774">
        <v>0</v>
      </c>
    </row>
    <row r="32" spans="1:134" ht="15" x14ac:dyDescent="0.25">
      <c r="A32" s="766">
        <v>141</v>
      </c>
      <c r="B32" s="766">
        <v>66</v>
      </c>
      <c r="C32" s="766" t="s">
        <v>3702</v>
      </c>
      <c r="D32" s="2">
        <v>99714</v>
      </c>
      <c r="E32" s="2">
        <v>99714</v>
      </c>
      <c r="F32" s="767" t="s">
        <v>3676</v>
      </c>
      <c r="G32" s="114">
        <v>65</v>
      </c>
      <c r="H32" s="114">
        <v>37</v>
      </c>
      <c r="I32" s="114">
        <v>24</v>
      </c>
      <c r="J32" s="114">
        <v>13</v>
      </c>
      <c r="K32" s="114">
        <v>0</v>
      </c>
      <c r="L32" s="114">
        <v>0</v>
      </c>
      <c r="M32" s="114">
        <v>0</v>
      </c>
      <c r="N32" s="114">
        <v>0</v>
      </c>
      <c r="O32" s="114">
        <v>0</v>
      </c>
      <c r="P32" s="114">
        <v>0</v>
      </c>
      <c r="Q32" s="114">
        <v>0</v>
      </c>
      <c r="R32" s="114">
        <v>0</v>
      </c>
      <c r="S32" s="114">
        <v>834.49503068156923</v>
      </c>
      <c r="T32" s="114">
        <v>834.49503068156923</v>
      </c>
      <c r="U32" s="114">
        <v>1408.3846153846155</v>
      </c>
      <c r="V32" s="114">
        <v>0</v>
      </c>
      <c r="W32" s="114">
        <v>0</v>
      </c>
      <c r="X32" s="114">
        <v>1365.173957061457</v>
      </c>
      <c r="Y32" s="114">
        <v>0.84775641025641024</v>
      </c>
      <c r="Z32" s="114">
        <v>36.104166666666664</v>
      </c>
      <c r="AA32" s="114">
        <v>4.807692307692308E-2</v>
      </c>
      <c r="AB32" s="657">
        <v>0</v>
      </c>
      <c r="AC32" s="657">
        <v>0</v>
      </c>
      <c r="AD32" s="768">
        <v>36.999999999999993</v>
      </c>
      <c r="AE32" s="769">
        <v>0.5498960498960499</v>
      </c>
      <c r="AF32" s="769">
        <v>23.418918918918919</v>
      </c>
      <c r="AG32" s="770">
        <v>23.968814968814968</v>
      </c>
      <c r="AH32" s="769">
        <v>3.1185031185031187E-2</v>
      </c>
      <c r="AI32" s="769">
        <v>0.79530575784677371</v>
      </c>
      <c r="AJ32" s="769">
        <v>33.870403437674788</v>
      </c>
      <c r="AK32" s="769">
        <v>34.665709195521565</v>
      </c>
      <c r="AL32" s="769">
        <v>4.5102405927038208E-2</v>
      </c>
      <c r="AM32" s="769">
        <v>0.5259146419925238</v>
      </c>
      <c r="AN32" s="769">
        <v>22.397601076464213</v>
      </c>
      <c r="AO32" s="769">
        <v>22.923515718456738</v>
      </c>
      <c r="AP32" s="769">
        <v>2.9825026956097758E-2</v>
      </c>
      <c r="AQ32" s="769">
        <v>0</v>
      </c>
      <c r="AR32" s="769">
        <v>0</v>
      </c>
      <c r="AS32" s="769">
        <v>32.520943268009546</v>
      </c>
      <c r="AT32" s="769">
        <v>33.576205296204535</v>
      </c>
      <c r="AU32" s="769">
        <v>34.665709195521558</v>
      </c>
      <c r="AV32" s="769">
        <v>35.790566069844402</v>
      </c>
      <c r="AW32" s="769">
        <v>36.951923076923073</v>
      </c>
      <c r="AX32" s="769">
        <v>21.923802807023524</v>
      </c>
      <c r="AY32" s="769">
        <v>22.418087301443663</v>
      </c>
      <c r="AZ32" s="769">
        <v>22.923515718456734</v>
      </c>
      <c r="BA32" s="769">
        <v>23.440339304080286</v>
      </c>
      <c r="BB32" s="769">
        <v>23.968814968814968</v>
      </c>
      <c r="BC32" s="769">
        <v>0</v>
      </c>
      <c r="BD32" s="769">
        <v>0</v>
      </c>
      <c r="BE32" s="769">
        <v>0</v>
      </c>
      <c r="BF32" s="769">
        <v>0</v>
      </c>
      <c r="BG32" s="769">
        <v>0</v>
      </c>
      <c r="BH32" s="771">
        <v>37.371707738362169</v>
      </c>
      <c r="BI32" s="771">
        <v>37.796261276420026</v>
      </c>
      <c r="BJ32" s="771">
        <v>38.225637866930796</v>
      </c>
      <c r="BK32" s="772">
        <v>37.97432106927014</v>
      </c>
      <c r="BL32" s="772">
        <v>37.724656569290062</v>
      </c>
      <c r="BM32" s="772">
        <v>37.995476804731773</v>
      </c>
      <c r="BN32" s="772">
        <v>38.268241222217654</v>
      </c>
      <c r="BO32" s="772">
        <v>38.542963778769121</v>
      </c>
      <c r="BP32" s="772">
        <v>38.819658531603125</v>
      </c>
      <c r="BQ32" s="772">
        <v>39.098339638851527</v>
      </c>
      <c r="BR32" s="772">
        <v>39.317823056550225</v>
      </c>
      <c r="BS32" s="772">
        <v>39.538538571854339</v>
      </c>
      <c r="BT32" s="772">
        <v>39.760493101297826</v>
      </c>
      <c r="BU32" s="772">
        <v>39.983693600241452</v>
      </c>
      <c r="BV32" s="772">
        <v>40.208147063090756</v>
      </c>
      <c r="BW32" s="771">
        <v>24.241107722180868</v>
      </c>
      <c r="BX32" s="771">
        <v>24.516493800921097</v>
      </c>
      <c r="BY32" s="771">
        <v>24.795008346117278</v>
      </c>
      <c r="BZ32" s="772">
        <v>24.631992044931987</v>
      </c>
      <c r="CA32" s="772">
        <v>24.47004750440437</v>
      </c>
      <c r="CB32" s="772">
        <v>24.645714684150345</v>
      </c>
      <c r="CC32" s="772">
        <v>24.822642954951998</v>
      </c>
      <c r="CD32" s="772">
        <v>25.000841370012406</v>
      </c>
      <c r="CE32" s="772">
        <v>25.180319047526357</v>
      </c>
      <c r="CF32" s="772">
        <v>25.361085171146939</v>
      </c>
      <c r="CG32" s="772">
        <v>25.50345279343799</v>
      </c>
      <c r="CH32" s="772">
        <v>25.646619614175794</v>
      </c>
      <c r="CI32" s="772">
        <v>25.790590119760758</v>
      </c>
      <c r="CJ32" s="772">
        <v>25.935368821778241</v>
      </c>
      <c r="CK32" s="772">
        <v>26.080960257139957</v>
      </c>
      <c r="CL32" s="771">
        <v>0</v>
      </c>
      <c r="CM32" s="771">
        <v>0</v>
      </c>
      <c r="CN32" s="771">
        <v>0</v>
      </c>
      <c r="CO32" s="772">
        <v>0</v>
      </c>
      <c r="CP32" s="772">
        <v>0</v>
      </c>
      <c r="CQ32" s="772">
        <v>0</v>
      </c>
      <c r="CR32" s="772">
        <v>0</v>
      </c>
      <c r="CS32" s="772">
        <v>0</v>
      </c>
      <c r="CT32" s="772">
        <v>0</v>
      </c>
      <c r="CU32" s="772">
        <v>0</v>
      </c>
      <c r="CV32" s="772">
        <v>0</v>
      </c>
      <c r="CW32" s="772">
        <v>0</v>
      </c>
      <c r="CX32" s="772">
        <v>0</v>
      </c>
      <c r="CY32" s="772">
        <v>0</v>
      </c>
      <c r="CZ32" s="772">
        <v>0</v>
      </c>
      <c r="DA32" s="773">
        <v>4.8623090994486307E-2</v>
      </c>
      <c r="DB32" s="773">
        <v>4.9175463539448384E-2</v>
      </c>
      <c r="DC32" s="773">
        <v>4.9734111198192564E-2</v>
      </c>
      <c r="DD32" s="774">
        <v>4.9407131237666074E-2</v>
      </c>
      <c r="DE32" s="774">
        <v>4.9082301026919163E-2</v>
      </c>
      <c r="DF32" s="774">
        <v>4.9434656264288029E-2</v>
      </c>
      <c r="DG32" s="774">
        <v>4.9789541012513226E-2</v>
      </c>
      <c r="DH32" s="774">
        <v>5.0146973430612966E-2</v>
      </c>
      <c r="DI32" s="774">
        <v>5.0506971807966608E-2</v>
      </c>
      <c r="DJ32" s="774">
        <v>5.0869554565250497E-2</v>
      </c>
      <c r="DK32" s="774">
        <v>5.1155117169594373E-2</v>
      </c>
      <c r="DL32" s="774">
        <v>5.1442282815319221E-2</v>
      </c>
      <c r="DM32" s="774">
        <v>5.1731060501298248E-2</v>
      </c>
      <c r="DN32" s="774">
        <v>5.2021459276920971E-2</v>
      </c>
      <c r="DO32" s="774">
        <v>5.2313488242376742E-2</v>
      </c>
      <c r="DP32" s="773">
        <v>0</v>
      </c>
      <c r="DQ32" s="773">
        <v>0</v>
      </c>
      <c r="DR32" s="773">
        <v>0</v>
      </c>
      <c r="DS32" s="774">
        <v>0</v>
      </c>
      <c r="DT32" s="774">
        <v>0</v>
      </c>
      <c r="DU32" s="774">
        <v>0</v>
      </c>
      <c r="DV32" s="774">
        <v>0</v>
      </c>
      <c r="DW32" s="774">
        <v>0</v>
      </c>
      <c r="DX32" s="774">
        <v>0</v>
      </c>
      <c r="DY32" s="774">
        <v>0</v>
      </c>
      <c r="DZ32" s="774">
        <v>0</v>
      </c>
      <c r="EA32" s="774">
        <v>0</v>
      </c>
      <c r="EB32" s="774">
        <v>0</v>
      </c>
      <c r="EC32" s="774">
        <v>0</v>
      </c>
      <c r="ED32" s="774">
        <v>0</v>
      </c>
    </row>
    <row r="33" spans="1:134" ht="15" x14ac:dyDescent="0.25">
      <c r="A33" s="766">
        <v>152</v>
      </c>
      <c r="B33" s="766">
        <v>66</v>
      </c>
      <c r="C33" s="766" t="s">
        <v>3703</v>
      </c>
      <c r="D33" s="2">
        <v>99714</v>
      </c>
      <c r="E33" s="2">
        <v>99714</v>
      </c>
      <c r="F33" s="767" t="s">
        <v>3676</v>
      </c>
      <c r="G33" s="114">
        <v>0</v>
      </c>
      <c r="H33" s="114">
        <v>28</v>
      </c>
      <c r="I33" s="114">
        <v>0</v>
      </c>
      <c r="J33" s="114">
        <v>28</v>
      </c>
      <c r="K33" s="114">
        <v>0</v>
      </c>
      <c r="L33" s="114">
        <v>1</v>
      </c>
      <c r="M33" s="114">
        <v>1</v>
      </c>
      <c r="N33" s="114">
        <v>0</v>
      </c>
      <c r="O33" s="114">
        <v>0</v>
      </c>
      <c r="P33" s="114">
        <v>0</v>
      </c>
      <c r="Q33" s="114">
        <v>1</v>
      </c>
      <c r="R33" s="114">
        <v>0</v>
      </c>
      <c r="S33" s="114">
        <v>1876</v>
      </c>
      <c r="T33" s="114">
        <v>1876</v>
      </c>
      <c r="U33" s="114">
        <v>0</v>
      </c>
      <c r="V33" s="114">
        <v>0</v>
      </c>
      <c r="W33" s="114">
        <v>0</v>
      </c>
      <c r="X33" s="114">
        <v>1876</v>
      </c>
      <c r="Y33" s="114">
        <v>0</v>
      </c>
      <c r="Z33" s="114">
        <v>28</v>
      </c>
      <c r="AA33" s="114">
        <v>0</v>
      </c>
      <c r="AB33" s="657">
        <v>0</v>
      </c>
      <c r="AC33" s="657">
        <v>0</v>
      </c>
      <c r="AD33" s="768">
        <v>28</v>
      </c>
      <c r="AE33" s="769">
        <v>0</v>
      </c>
      <c r="AF33" s="769">
        <v>0</v>
      </c>
      <c r="AG33" s="770">
        <v>0</v>
      </c>
      <c r="AH33" s="769">
        <v>0</v>
      </c>
      <c r="AI33" s="769">
        <v>0</v>
      </c>
      <c r="AJ33" s="769">
        <v>26.267641211907051</v>
      </c>
      <c r="AK33" s="769">
        <v>26.267641211907051</v>
      </c>
      <c r="AL33" s="769">
        <v>0</v>
      </c>
      <c r="AM33" s="769">
        <v>0</v>
      </c>
      <c r="AN33" s="769">
        <v>0</v>
      </c>
      <c r="AO33" s="769">
        <v>0</v>
      </c>
      <c r="AP33" s="769">
        <v>0</v>
      </c>
      <c r="AQ33" s="769">
        <v>0</v>
      </c>
      <c r="AR33" s="769">
        <v>0</v>
      </c>
      <c r="AS33" s="769">
        <v>24.642463387052771</v>
      </c>
      <c r="AT33" s="769">
        <v>25.442079058690506</v>
      </c>
      <c r="AU33" s="769">
        <v>26.267641211907051</v>
      </c>
      <c r="AV33" s="769">
        <v>27.119991776056963</v>
      </c>
      <c r="AW33" s="769">
        <v>28</v>
      </c>
      <c r="AX33" s="769">
        <v>0</v>
      </c>
      <c r="AY33" s="769">
        <v>0</v>
      </c>
      <c r="AZ33" s="769">
        <v>0</v>
      </c>
      <c r="BA33" s="769">
        <v>0</v>
      </c>
      <c r="BB33" s="769">
        <v>0</v>
      </c>
      <c r="BC33" s="769">
        <v>0</v>
      </c>
      <c r="BD33" s="769">
        <v>0</v>
      </c>
      <c r="BE33" s="769">
        <v>0</v>
      </c>
      <c r="BF33" s="769">
        <v>0</v>
      </c>
      <c r="BG33" s="769">
        <v>0</v>
      </c>
      <c r="BH33" s="771">
        <v>28.230082123902513</v>
      </c>
      <c r="BI33" s="771">
        <v>28.462054882938578</v>
      </c>
      <c r="BJ33" s="771">
        <v>28.695933812870596</v>
      </c>
      <c r="BK33" s="772">
        <v>28.507270638253651</v>
      </c>
      <c r="BL33" s="772">
        <v>28.319847841234754</v>
      </c>
      <c r="BM33" s="772">
        <v>28.523152219790184</v>
      </c>
      <c r="BN33" s="772">
        <v>28.727916093134272</v>
      </c>
      <c r="BO33" s="772">
        <v>28.934149938783797</v>
      </c>
      <c r="BP33" s="772">
        <v>29.141864309472226</v>
      </c>
      <c r="BQ33" s="772">
        <v>29.351069833689674</v>
      </c>
      <c r="BR33" s="772">
        <v>29.515835733718074</v>
      </c>
      <c r="BS33" s="772">
        <v>29.681526567725577</v>
      </c>
      <c r="BT33" s="772">
        <v>29.848147527944715</v>
      </c>
      <c r="BU33" s="772">
        <v>30.015703835755261</v>
      </c>
      <c r="BV33" s="772">
        <v>30.184200741847846</v>
      </c>
      <c r="BW33" s="771">
        <v>0</v>
      </c>
      <c r="BX33" s="771">
        <v>0</v>
      </c>
      <c r="BY33" s="771">
        <v>0</v>
      </c>
      <c r="BZ33" s="772">
        <v>0</v>
      </c>
      <c r="CA33" s="772">
        <v>0</v>
      </c>
      <c r="CB33" s="772">
        <v>0</v>
      </c>
      <c r="CC33" s="772">
        <v>0</v>
      </c>
      <c r="CD33" s="772">
        <v>0</v>
      </c>
      <c r="CE33" s="772">
        <v>0</v>
      </c>
      <c r="CF33" s="772">
        <v>0</v>
      </c>
      <c r="CG33" s="772">
        <v>0</v>
      </c>
      <c r="CH33" s="772">
        <v>0</v>
      </c>
      <c r="CI33" s="772">
        <v>0</v>
      </c>
      <c r="CJ33" s="772">
        <v>0</v>
      </c>
      <c r="CK33" s="772">
        <v>0</v>
      </c>
      <c r="CL33" s="771">
        <v>0</v>
      </c>
      <c r="CM33" s="771">
        <v>0</v>
      </c>
      <c r="CN33" s="771">
        <v>0</v>
      </c>
      <c r="CO33" s="772">
        <v>0</v>
      </c>
      <c r="CP33" s="772">
        <v>0</v>
      </c>
      <c r="CQ33" s="772">
        <v>0</v>
      </c>
      <c r="CR33" s="772">
        <v>0</v>
      </c>
      <c r="CS33" s="772">
        <v>0</v>
      </c>
      <c r="CT33" s="772">
        <v>0</v>
      </c>
      <c r="CU33" s="772">
        <v>0</v>
      </c>
      <c r="CV33" s="772">
        <v>0</v>
      </c>
      <c r="CW33" s="772">
        <v>0</v>
      </c>
      <c r="CX33" s="772">
        <v>0</v>
      </c>
      <c r="CY33" s="772">
        <v>0</v>
      </c>
      <c r="CZ33" s="772">
        <v>0</v>
      </c>
      <c r="DA33" s="773">
        <v>0</v>
      </c>
      <c r="DB33" s="773">
        <v>0</v>
      </c>
      <c r="DC33" s="773">
        <v>0</v>
      </c>
      <c r="DD33" s="774">
        <v>0</v>
      </c>
      <c r="DE33" s="774">
        <v>0</v>
      </c>
      <c r="DF33" s="774">
        <v>0</v>
      </c>
      <c r="DG33" s="774">
        <v>0</v>
      </c>
      <c r="DH33" s="774">
        <v>0</v>
      </c>
      <c r="DI33" s="774">
        <v>0</v>
      </c>
      <c r="DJ33" s="774">
        <v>0</v>
      </c>
      <c r="DK33" s="774">
        <v>0</v>
      </c>
      <c r="DL33" s="774">
        <v>0</v>
      </c>
      <c r="DM33" s="774">
        <v>0</v>
      </c>
      <c r="DN33" s="774">
        <v>0</v>
      </c>
      <c r="DO33" s="774">
        <v>0</v>
      </c>
      <c r="DP33" s="773">
        <v>0</v>
      </c>
      <c r="DQ33" s="773">
        <v>0</v>
      </c>
      <c r="DR33" s="773">
        <v>0</v>
      </c>
      <c r="DS33" s="774">
        <v>0</v>
      </c>
      <c r="DT33" s="774">
        <v>0</v>
      </c>
      <c r="DU33" s="774">
        <v>0</v>
      </c>
      <c r="DV33" s="774">
        <v>0</v>
      </c>
      <c r="DW33" s="774">
        <v>0</v>
      </c>
      <c r="DX33" s="774">
        <v>0</v>
      </c>
      <c r="DY33" s="774">
        <v>0</v>
      </c>
      <c r="DZ33" s="774">
        <v>0</v>
      </c>
      <c r="EA33" s="774">
        <v>0</v>
      </c>
      <c r="EB33" s="774">
        <v>0</v>
      </c>
      <c r="EC33" s="774">
        <v>0</v>
      </c>
      <c r="ED33" s="774">
        <v>0</v>
      </c>
    </row>
    <row r="34" spans="1:134" ht="15" x14ac:dyDescent="0.25">
      <c r="A34" s="766">
        <v>100</v>
      </c>
      <c r="B34" s="766">
        <v>68</v>
      </c>
      <c r="C34" s="766" t="s">
        <v>3704</v>
      </c>
      <c r="D34" s="2">
        <v>99760</v>
      </c>
      <c r="E34" s="2">
        <v>99760</v>
      </c>
      <c r="F34" s="767" t="s">
        <v>3676</v>
      </c>
      <c r="G34" s="114">
        <v>0</v>
      </c>
      <c r="H34" s="114">
        <v>11</v>
      </c>
      <c r="I34" s="114">
        <v>0</v>
      </c>
      <c r="J34" s="114">
        <v>11</v>
      </c>
      <c r="K34" s="114">
        <v>0</v>
      </c>
      <c r="L34" s="114">
        <v>0</v>
      </c>
      <c r="M34" s="114">
        <v>0</v>
      </c>
      <c r="N34" s="114">
        <v>0</v>
      </c>
      <c r="O34" s="114">
        <v>0</v>
      </c>
      <c r="P34" s="114">
        <v>0</v>
      </c>
      <c r="Q34" s="114">
        <v>0</v>
      </c>
      <c r="R34" s="114">
        <v>0</v>
      </c>
      <c r="S34" s="114">
        <v>834.49503068156923</v>
      </c>
      <c r="T34" s="114">
        <v>834.49503068156923</v>
      </c>
      <c r="U34" s="114">
        <v>1408.3846153846155</v>
      </c>
      <c r="V34" s="114">
        <v>0</v>
      </c>
      <c r="W34" s="114">
        <v>0</v>
      </c>
      <c r="X34" s="114">
        <v>1365.173957061457</v>
      </c>
      <c r="Y34" s="114">
        <v>0.25203568953568956</v>
      </c>
      <c r="Z34" s="114">
        <v>10.733671171171171</v>
      </c>
      <c r="AA34" s="114">
        <v>1.4293139293139294E-2</v>
      </c>
      <c r="AB34" s="657">
        <v>0</v>
      </c>
      <c r="AC34" s="657">
        <v>0</v>
      </c>
      <c r="AD34" s="768">
        <v>11</v>
      </c>
      <c r="AE34" s="769">
        <v>0</v>
      </c>
      <c r="AF34" s="769">
        <v>0</v>
      </c>
      <c r="AG34" s="770">
        <v>0</v>
      </c>
      <c r="AH34" s="769">
        <v>0</v>
      </c>
      <c r="AI34" s="769">
        <v>0.23278238662920361</v>
      </c>
      <c r="AJ34" s="769">
        <v>9.9137133995639459</v>
      </c>
      <c r="AK34" s="769">
        <v>10.14649578619315</v>
      </c>
      <c r="AL34" s="769">
        <v>1.3201269563092831E-2</v>
      </c>
      <c r="AM34" s="769">
        <v>0</v>
      </c>
      <c r="AN34" s="769">
        <v>0</v>
      </c>
      <c r="AO34" s="769">
        <v>0</v>
      </c>
      <c r="AP34" s="769">
        <v>0</v>
      </c>
      <c r="AQ34" s="769">
        <v>0</v>
      </c>
      <c r="AR34" s="769">
        <v>0</v>
      </c>
      <c r="AS34" s="769">
        <v>9.3713930332026969</v>
      </c>
      <c r="AT34" s="769">
        <v>9.7512460702287171</v>
      </c>
      <c r="AU34" s="769">
        <v>10.14649578619315</v>
      </c>
      <c r="AV34" s="769">
        <v>10.55776625856603</v>
      </c>
      <c r="AW34" s="769">
        <v>10.985706860706861</v>
      </c>
      <c r="AX34" s="769">
        <v>0</v>
      </c>
      <c r="AY34" s="769">
        <v>0</v>
      </c>
      <c r="AZ34" s="769">
        <v>0</v>
      </c>
      <c r="BA34" s="769">
        <v>0</v>
      </c>
      <c r="BB34" s="769">
        <v>0</v>
      </c>
      <c r="BC34" s="769">
        <v>0</v>
      </c>
      <c r="BD34" s="769">
        <v>0</v>
      </c>
      <c r="BE34" s="769">
        <v>0</v>
      </c>
      <c r="BF34" s="769">
        <v>0</v>
      </c>
      <c r="BG34" s="769">
        <v>0</v>
      </c>
      <c r="BH34" s="771">
        <v>11.031354389986282</v>
      </c>
      <c r="BI34" s="771">
        <v>11.077191592716462</v>
      </c>
      <c r="BJ34" s="771">
        <v>11.123219257023694</v>
      </c>
      <c r="BK34" s="772">
        <v>11.050088970667611</v>
      </c>
      <c r="BL34" s="772">
        <v>10.977439483858758</v>
      </c>
      <c r="BM34" s="772">
        <v>11.056245045417823</v>
      </c>
      <c r="BN34" s="772">
        <v>11.135616341503756</v>
      </c>
      <c r="BO34" s="772">
        <v>11.215557433448636</v>
      </c>
      <c r="BP34" s="772">
        <v>11.296072411740292</v>
      </c>
      <c r="BQ34" s="772">
        <v>11.37716539623162</v>
      </c>
      <c r="BR34" s="772">
        <v>11.441032536574504</v>
      </c>
      <c r="BS34" s="772">
        <v>11.505258203094474</v>
      </c>
      <c r="BT34" s="772">
        <v>11.56984440842305</v>
      </c>
      <c r="BU34" s="772">
        <v>11.634793176489909</v>
      </c>
      <c r="BV34" s="772">
        <v>11.700106542586305</v>
      </c>
      <c r="BW34" s="771">
        <v>0</v>
      </c>
      <c r="BX34" s="771">
        <v>0</v>
      </c>
      <c r="BY34" s="771">
        <v>0</v>
      </c>
      <c r="BZ34" s="772">
        <v>0</v>
      </c>
      <c r="CA34" s="772">
        <v>0</v>
      </c>
      <c r="CB34" s="772">
        <v>0</v>
      </c>
      <c r="CC34" s="772">
        <v>0</v>
      </c>
      <c r="CD34" s="772">
        <v>0</v>
      </c>
      <c r="CE34" s="772">
        <v>0</v>
      </c>
      <c r="CF34" s="772">
        <v>0</v>
      </c>
      <c r="CG34" s="772">
        <v>0</v>
      </c>
      <c r="CH34" s="772">
        <v>0</v>
      </c>
      <c r="CI34" s="772">
        <v>0</v>
      </c>
      <c r="CJ34" s="772">
        <v>0</v>
      </c>
      <c r="CK34" s="772">
        <v>0</v>
      </c>
      <c r="CL34" s="771">
        <v>0</v>
      </c>
      <c r="CM34" s="771">
        <v>0</v>
      </c>
      <c r="CN34" s="771">
        <v>0</v>
      </c>
      <c r="CO34" s="772">
        <v>0</v>
      </c>
      <c r="CP34" s="772">
        <v>0</v>
      </c>
      <c r="CQ34" s="772">
        <v>0</v>
      </c>
      <c r="CR34" s="772">
        <v>0</v>
      </c>
      <c r="CS34" s="772">
        <v>0</v>
      </c>
      <c r="CT34" s="772">
        <v>0</v>
      </c>
      <c r="CU34" s="772">
        <v>0</v>
      </c>
      <c r="CV34" s="772">
        <v>0</v>
      </c>
      <c r="CW34" s="772">
        <v>0</v>
      </c>
      <c r="CX34" s="772">
        <v>0</v>
      </c>
      <c r="CY34" s="772">
        <v>0</v>
      </c>
      <c r="CZ34" s="772">
        <v>0</v>
      </c>
      <c r="DA34" s="773">
        <v>1.4352529781402916E-2</v>
      </c>
      <c r="DB34" s="773">
        <v>1.4412167047510359E-2</v>
      </c>
      <c r="DC34" s="773">
        <v>1.4472052116866634E-2</v>
      </c>
      <c r="DD34" s="774">
        <v>1.4376904723741363E-2</v>
      </c>
      <c r="DE34" s="774">
        <v>1.4282382882980432E-2</v>
      </c>
      <c r="DF34" s="774">
        <v>1.4384914188677886E-2</v>
      </c>
      <c r="DG34" s="774">
        <v>1.4488181552828204E-2</v>
      </c>
      <c r="DH34" s="774">
        <v>1.4592190259496015E-2</v>
      </c>
      <c r="DI34" s="774">
        <v>1.4696945630679538E-2</v>
      </c>
      <c r="DJ34" s="774">
        <v>1.4802453026582904E-2</v>
      </c>
      <c r="DK34" s="774">
        <v>1.4885548447273621E-2</v>
      </c>
      <c r="DL34" s="774">
        <v>1.4969110334497106E-2</v>
      </c>
      <c r="DM34" s="774">
        <v>1.505314130682156E-2</v>
      </c>
      <c r="DN34" s="774">
        <v>1.5137643997514844E-2</v>
      </c>
      <c r="DO34" s="774">
        <v>1.5222621054626991E-2</v>
      </c>
      <c r="DP34" s="773">
        <v>0</v>
      </c>
      <c r="DQ34" s="773">
        <v>0</v>
      </c>
      <c r="DR34" s="773">
        <v>0</v>
      </c>
      <c r="DS34" s="774">
        <v>0</v>
      </c>
      <c r="DT34" s="774">
        <v>0</v>
      </c>
      <c r="DU34" s="774">
        <v>0</v>
      </c>
      <c r="DV34" s="774">
        <v>0</v>
      </c>
      <c r="DW34" s="774">
        <v>0</v>
      </c>
      <c r="DX34" s="774">
        <v>0</v>
      </c>
      <c r="DY34" s="774">
        <v>0</v>
      </c>
      <c r="DZ34" s="774">
        <v>0</v>
      </c>
      <c r="EA34" s="774">
        <v>0</v>
      </c>
      <c r="EB34" s="774">
        <v>0</v>
      </c>
      <c r="EC34" s="774">
        <v>0</v>
      </c>
      <c r="ED34" s="774">
        <v>0</v>
      </c>
    </row>
    <row r="35" spans="1:134" ht="15" x14ac:dyDescent="0.25">
      <c r="A35" s="766">
        <v>135</v>
      </c>
      <c r="B35" s="766">
        <v>68</v>
      </c>
      <c r="C35" s="766" t="s">
        <v>3705</v>
      </c>
      <c r="D35" s="2">
        <v>99714</v>
      </c>
      <c r="E35" s="2">
        <v>99714</v>
      </c>
      <c r="F35" s="767" t="s">
        <v>3676</v>
      </c>
      <c r="G35" s="114">
        <v>53</v>
      </c>
      <c r="H35" s="114">
        <v>23</v>
      </c>
      <c r="I35" s="114">
        <v>20</v>
      </c>
      <c r="J35" s="114">
        <v>3</v>
      </c>
      <c r="K35" s="114">
        <v>0</v>
      </c>
      <c r="L35" s="114">
        <v>3</v>
      </c>
      <c r="M35" s="114">
        <v>3</v>
      </c>
      <c r="N35" s="114">
        <v>1</v>
      </c>
      <c r="O35" s="114">
        <v>0</v>
      </c>
      <c r="P35" s="114">
        <v>0</v>
      </c>
      <c r="Q35" s="114">
        <v>4</v>
      </c>
      <c r="R35" s="114">
        <v>0</v>
      </c>
      <c r="S35" s="114">
        <v>2356</v>
      </c>
      <c r="T35" s="114">
        <v>2356</v>
      </c>
      <c r="U35" s="114">
        <v>6230</v>
      </c>
      <c r="V35" s="114">
        <v>0</v>
      </c>
      <c r="W35" s="114">
        <v>0</v>
      </c>
      <c r="X35" s="114">
        <v>3324.5</v>
      </c>
      <c r="Y35" s="114">
        <v>0</v>
      </c>
      <c r="Z35" s="114">
        <v>23</v>
      </c>
      <c r="AA35" s="114">
        <v>0</v>
      </c>
      <c r="AB35" s="657">
        <v>1</v>
      </c>
      <c r="AC35" s="657">
        <v>0</v>
      </c>
      <c r="AD35" s="768">
        <v>24</v>
      </c>
      <c r="AE35" s="769">
        <v>0</v>
      </c>
      <c r="AF35" s="769">
        <v>20</v>
      </c>
      <c r="AG35" s="770">
        <v>20</v>
      </c>
      <c r="AH35" s="769">
        <v>0</v>
      </c>
      <c r="AI35" s="769">
        <v>0</v>
      </c>
      <c r="AJ35" s="769">
        <v>21.576990995495077</v>
      </c>
      <c r="AK35" s="769">
        <v>21.576990995495077</v>
      </c>
      <c r="AL35" s="769">
        <v>0</v>
      </c>
      <c r="AM35" s="769">
        <v>0</v>
      </c>
      <c r="AN35" s="769">
        <v>19.127783954510694</v>
      </c>
      <c r="AO35" s="769">
        <v>19.127783954510694</v>
      </c>
      <c r="AP35" s="769">
        <v>0</v>
      </c>
      <c r="AQ35" s="769">
        <v>0.96638421298841071</v>
      </c>
      <c r="AR35" s="769">
        <v>0</v>
      </c>
      <c r="AS35" s="769">
        <v>20.242023496507635</v>
      </c>
      <c r="AT35" s="769">
        <v>20.898850655352916</v>
      </c>
      <c r="AU35" s="769">
        <v>21.576990995495077</v>
      </c>
      <c r="AV35" s="769">
        <v>22.277136101761077</v>
      </c>
      <c r="AW35" s="769">
        <v>23</v>
      </c>
      <c r="AX35" s="769">
        <v>18.29360595052184</v>
      </c>
      <c r="AY35" s="769">
        <v>18.706045610190653</v>
      </c>
      <c r="AZ35" s="769">
        <v>19.127783954510694</v>
      </c>
      <c r="BA35" s="769">
        <v>19.559030627569811</v>
      </c>
      <c r="BB35" s="769">
        <v>20</v>
      </c>
      <c r="BC35" s="769">
        <v>0.93389844711322989</v>
      </c>
      <c r="BD35" s="769">
        <v>0.95000248200971427</v>
      </c>
      <c r="BE35" s="769">
        <v>0.96638421298841071</v>
      </c>
      <c r="BF35" s="769">
        <v>0.98304842860787411</v>
      </c>
      <c r="BG35" s="769">
        <v>1</v>
      </c>
      <c r="BH35" s="771">
        <v>23.261286731762247</v>
      </c>
      <c r="BI35" s="771">
        <v>23.525541757272109</v>
      </c>
      <c r="BJ35" s="771">
        <v>23.792798797215323</v>
      </c>
      <c r="BK35" s="772">
        <v>23.63637158409945</v>
      </c>
      <c r="BL35" s="772">
        <v>23.480972811278129</v>
      </c>
      <c r="BM35" s="772">
        <v>23.649539556835393</v>
      </c>
      <c r="BN35" s="772">
        <v>23.819316420386325</v>
      </c>
      <c r="BO35" s="772">
        <v>23.990312089205243</v>
      </c>
      <c r="BP35" s="772">
        <v>24.162535312931222</v>
      </c>
      <c r="BQ35" s="772">
        <v>24.335994904015838</v>
      </c>
      <c r="BR35" s="772">
        <v>24.472608053933946</v>
      </c>
      <c r="BS35" s="772">
        <v>24.609988098848714</v>
      </c>
      <c r="BT35" s="772">
        <v>24.748139343821084</v>
      </c>
      <c r="BU35" s="772">
        <v>24.887066118078991</v>
      </c>
      <c r="BV35" s="772">
        <v>25.026772775153034</v>
      </c>
      <c r="BW35" s="771">
        <v>20.227205853706302</v>
      </c>
      <c r="BX35" s="771">
        <v>20.456992832410528</v>
      </c>
      <c r="BY35" s="771">
        <v>20.689390258448107</v>
      </c>
      <c r="BZ35" s="772">
        <v>20.55336659486909</v>
      </c>
      <c r="CA35" s="772">
        <v>20.418237227198372</v>
      </c>
      <c r="CB35" s="772">
        <v>20.564817005943823</v>
      </c>
      <c r="CC35" s="772">
        <v>20.712449061205501</v>
      </c>
      <c r="CD35" s="772">
        <v>20.861140947134995</v>
      </c>
      <c r="CE35" s="772">
        <v>21.010900272114107</v>
      </c>
      <c r="CF35" s="772">
        <v>21.161734699144208</v>
      </c>
      <c r="CG35" s="772">
        <v>21.280528742551258</v>
      </c>
      <c r="CH35" s="772">
        <v>21.399989651172795</v>
      </c>
      <c r="CI35" s="772">
        <v>21.520121168540072</v>
      </c>
      <c r="CJ35" s="772">
        <v>21.640927059199125</v>
      </c>
      <c r="CK35" s="772">
        <v>21.762411108828726</v>
      </c>
      <c r="CL35" s="771">
        <v>1.0113602926853151</v>
      </c>
      <c r="CM35" s="771">
        <v>1.0228496416205264</v>
      </c>
      <c r="CN35" s="771">
        <v>1.0344695129224053</v>
      </c>
      <c r="CO35" s="772">
        <v>1.0276683297434543</v>
      </c>
      <c r="CP35" s="772">
        <v>1.0209118613599186</v>
      </c>
      <c r="CQ35" s="772">
        <v>1.0282408502971909</v>
      </c>
      <c r="CR35" s="772">
        <v>1.0356224530602751</v>
      </c>
      <c r="CS35" s="772">
        <v>1.0430570473567498</v>
      </c>
      <c r="CT35" s="772">
        <v>1.0505450136057053</v>
      </c>
      <c r="CU35" s="772">
        <v>1.0580867349572103</v>
      </c>
      <c r="CV35" s="772">
        <v>1.064026437127563</v>
      </c>
      <c r="CW35" s="772">
        <v>1.0699994825586396</v>
      </c>
      <c r="CX35" s="772">
        <v>1.0760060584270035</v>
      </c>
      <c r="CY35" s="772">
        <v>1.0820463529599562</v>
      </c>
      <c r="CZ35" s="772">
        <v>1.0881205554414362</v>
      </c>
      <c r="DA35" s="773">
        <v>0</v>
      </c>
      <c r="DB35" s="773">
        <v>0</v>
      </c>
      <c r="DC35" s="773">
        <v>0</v>
      </c>
      <c r="DD35" s="774">
        <v>0</v>
      </c>
      <c r="DE35" s="774">
        <v>0</v>
      </c>
      <c r="DF35" s="774">
        <v>0</v>
      </c>
      <c r="DG35" s="774">
        <v>0</v>
      </c>
      <c r="DH35" s="774">
        <v>0</v>
      </c>
      <c r="DI35" s="774">
        <v>0</v>
      </c>
      <c r="DJ35" s="774">
        <v>0</v>
      </c>
      <c r="DK35" s="774">
        <v>0</v>
      </c>
      <c r="DL35" s="774">
        <v>0</v>
      </c>
      <c r="DM35" s="774">
        <v>0</v>
      </c>
      <c r="DN35" s="774">
        <v>0</v>
      </c>
      <c r="DO35" s="774">
        <v>0</v>
      </c>
      <c r="DP35" s="773">
        <v>0</v>
      </c>
      <c r="DQ35" s="773">
        <v>0</v>
      </c>
      <c r="DR35" s="773">
        <v>0</v>
      </c>
      <c r="DS35" s="774">
        <v>0</v>
      </c>
      <c r="DT35" s="774">
        <v>0</v>
      </c>
      <c r="DU35" s="774">
        <v>0</v>
      </c>
      <c r="DV35" s="774">
        <v>0</v>
      </c>
      <c r="DW35" s="774">
        <v>0</v>
      </c>
      <c r="DX35" s="774">
        <v>0</v>
      </c>
      <c r="DY35" s="774">
        <v>0</v>
      </c>
      <c r="DZ35" s="774">
        <v>0</v>
      </c>
      <c r="EA35" s="774">
        <v>0</v>
      </c>
      <c r="EB35" s="774">
        <v>0</v>
      </c>
      <c r="EC35" s="774">
        <v>0</v>
      </c>
      <c r="ED35" s="774">
        <v>0</v>
      </c>
    </row>
    <row r="36" spans="1:134" ht="15" x14ac:dyDescent="0.25">
      <c r="A36" s="766">
        <v>158</v>
      </c>
      <c r="B36" s="766">
        <v>68</v>
      </c>
      <c r="C36" s="766" t="s">
        <v>3706</v>
      </c>
      <c r="D36" s="2">
        <v>99714</v>
      </c>
      <c r="E36" s="2">
        <v>99714</v>
      </c>
      <c r="F36" s="767" t="s">
        <v>3676</v>
      </c>
      <c r="G36" s="114">
        <v>0</v>
      </c>
      <c r="H36" s="114">
        <v>12</v>
      </c>
      <c r="I36" s="114">
        <v>0</v>
      </c>
      <c r="J36" s="114">
        <v>12</v>
      </c>
      <c r="K36" s="114">
        <v>0</v>
      </c>
      <c r="L36" s="114">
        <v>3</v>
      </c>
      <c r="M36" s="114">
        <v>3</v>
      </c>
      <c r="N36" s="114">
        <v>0</v>
      </c>
      <c r="O36" s="114">
        <v>0</v>
      </c>
      <c r="P36" s="114">
        <v>0</v>
      </c>
      <c r="Q36" s="114">
        <v>3</v>
      </c>
      <c r="R36" s="114">
        <v>0</v>
      </c>
      <c r="S36" s="114">
        <v>565.33333333333337</v>
      </c>
      <c r="T36" s="114">
        <v>565.33333333333337</v>
      </c>
      <c r="U36" s="114">
        <v>0</v>
      </c>
      <c r="V36" s="114">
        <v>0</v>
      </c>
      <c r="W36" s="114">
        <v>0</v>
      </c>
      <c r="X36" s="114">
        <v>565.33333333333337</v>
      </c>
      <c r="Y36" s="114">
        <v>0</v>
      </c>
      <c r="Z36" s="114">
        <v>12</v>
      </c>
      <c r="AA36" s="114">
        <v>0</v>
      </c>
      <c r="AB36" s="657">
        <v>0</v>
      </c>
      <c r="AC36" s="657">
        <v>0</v>
      </c>
      <c r="AD36" s="768">
        <v>12</v>
      </c>
      <c r="AE36" s="769">
        <v>0</v>
      </c>
      <c r="AF36" s="769">
        <v>0</v>
      </c>
      <c r="AG36" s="770">
        <v>0</v>
      </c>
      <c r="AH36" s="769">
        <v>0</v>
      </c>
      <c r="AI36" s="769">
        <v>0</v>
      </c>
      <c r="AJ36" s="769">
        <v>11.257560519388736</v>
      </c>
      <c r="AK36" s="769">
        <v>11.257560519388736</v>
      </c>
      <c r="AL36" s="769">
        <v>0</v>
      </c>
      <c r="AM36" s="769">
        <v>0</v>
      </c>
      <c r="AN36" s="769">
        <v>0</v>
      </c>
      <c r="AO36" s="769">
        <v>0</v>
      </c>
      <c r="AP36" s="769">
        <v>0</v>
      </c>
      <c r="AQ36" s="769">
        <v>0</v>
      </c>
      <c r="AR36" s="769">
        <v>0</v>
      </c>
      <c r="AS36" s="769">
        <v>10.561055737308331</v>
      </c>
      <c r="AT36" s="769">
        <v>10.903748168010218</v>
      </c>
      <c r="AU36" s="769">
        <v>11.257560519388736</v>
      </c>
      <c r="AV36" s="769">
        <v>11.622853618310128</v>
      </c>
      <c r="AW36" s="769">
        <v>12</v>
      </c>
      <c r="AX36" s="769">
        <v>0</v>
      </c>
      <c r="AY36" s="769">
        <v>0</v>
      </c>
      <c r="AZ36" s="769">
        <v>0</v>
      </c>
      <c r="BA36" s="769">
        <v>0</v>
      </c>
      <c r="BB36" s="769">
        <v>0</v>
      </c>
      <c r="BC36" s="769">
        <v>0</v>
      </c>
      <c r="BD36" s="769">
        <v>0</v>
      </c>
      <c r="BE36" s="769">
        <v>0</v>
      </c>
      <c r="BF36" s="769">
        <v>0</v>
      </c>
      <c r="BG36" s="769">
        <v>0</v>
      </c>
      <c r="BH36" s="771">
        <v>12.098606624529648</v>
      </c>
      <c r="BI36" s="771">
        <v>12.19802352125939</v>
      </c>
      <c r="BJ36" s="771">
        <v>12.298257348373113</v>
      </c>
      <c r="BK36" s="772">
        <v>12.217401702108708</v>
      </c>
      <c r="BL36" s="772">
        <v>12.137077646243466</v>
      </c>
      <c r="BM36" s="772">
        <v>12.224208094195793</v>
      </c>
      <c r="BN36" s="772">
        <v>12.311964039914688</v>
      </c>
      <c r="BO36" s="772">
        <v>12.400349973764486</v>
      </c>
      <c r="BP36" s="772">
        <v>12.48937041834524</v>
      </c>
      <c r="BQ36" s="772">
        <v>12.579029928724147</v>
      </c>
      <c r="BR36" s="772">
        <v>12.649643885879176</v>
      </c>
      <c r="BS36" s="772">
        <v>12.720654243310962</v>
      </c>
      <c r="BT36" s="772">
        <v>12.792063226262021</v>
      </c>
      <c r="BU36" s="772">
        <v>12.863873072466541</v>
      </c>
      <c r="BV36" s="772">
        <v>12.936086032220505</v>
      </c>
      <c r="BW36" s="771">
        <v>0</v>
      </c>
      <c r="BX36" s="771">
        <v>0</v>
      </c>
      <c r="BY36" s="771">
        <v>0</v>
      </c>
      <c r="BZ36" s="772">
        <v>0</v>
      </c>
      <c r="CA36" s="772">
        <v>0</v>
      </c>
      <c r="CB36" s="772">
        <v>0</v>
      </c>
      <c r="CC36" s="772">
        <v>0</v>
      </c>
      <c r="CD36" s="772">
        <v>0</v>
      </c>
      <c r="CE36" s="772">
        <v>0</v>
      </c>
      <c r="CF36" s="772">
        <v>0</v>
      </c>
      <c r="CG36" s="772">
        <v>0</v>
      </c>
      <c r="CH36" s="772">
        <v>0</v>
      </c>
      <c r="CI36" s="772">
        <v>0</v>
      </c>
      <c r="CJ36" s="772">
        <v>0</v>
      </c>
      <c r="CK36" s="772">
        <v>0</v>
      </c>
      <c r="CL36" s="771">
        <v>0</v>
      </c>
      <c r="CM36" s="771">
        <v>0</v>
      </c>
      <c r="CN36" s="771">
        <v>0</v>
      </c>
      <c r="CO36" s="772">
        <v>0</v>
      </c>
      <c r="CP36" s="772">
        <v>0</v>
      </c>
      <c r="CQ36" s="772">
        <v>0</v>
      </c>
      <c r="CR36" s="772">
        <v>0</v>
      </c>
      <c r="CS36" s="772">
        <v>0</v>
      </c>
      <c r="CT36" s="772">
        <v>0</v>
      </c>
      <c r="CU36" s="772">
        <v>0</v>
      </c>
      <c r="CV36" s="772">
        <v>0</v>
      </c>
      <c r="CW36" s="772">
        <v>0</v>
      </c>
      <c r="CX36" s="772">
        <v>0</v>
      </c>
      <c r="CY36" s="772">
        <v>0</v>
      </c>
      <c r="CZ36" s="772">
        <v>0</v>
      </c>
      <c r="DA36" s="773">
        <v>0</v>
      </c>
      <c r="DB36" s="773">
        <v>0</v>
      </c>
      <c r="DC36" s="773">
        <v>0</v>
      </c>
      <c r="DD36" s="774">
        <v>0</v>
      </c>
      <c r="DE36" s="774">
        <v>0</v>
      </c>
      <c r="DF36" s="774">
        <v>0</v>
      </c>
      <c r="DG36" s="774">
        <v>0</v>
      </c>
      <c r="DH36" s="774">
        <v>0</v>
      </c>
      <c r="DI36" s="774">
        <v>0</v>
      </c>
      <c r="DJ36" s="774">
        <v>0</v>
      </c>
      <c r="DK36" s="774">
        <v>0</v>
      </c>
      <c r="DL36" s="774">
        <v>0</v>
      </c>
      <c r="DM36" s="774">
        <v>0</v>
      </c>
      <c r="DN36" s="774">
        <v>0</v>
      </c>
      <c r="DO36" s="774">
        <v>0</v>
      </c>
      <c r="DP36" s="773">
        <v>0</v>
      </c>
      <c r="DQ36" s="773">
        <v>0</v>
      </c>
      <c r="DR36" s="773">
        <v>0</v>
      </c>
      <c r="DS36" s="774">
        <v>0</v>
      </c>
      <c r="DT36" s="774">
        <v>0</v>
      </c>
      <c r="DU36" s="774">
        <v>0</v>
      </c>
      <c r="DV36" s="774">
        <v>0</v>
      </c>
      <c r="DW36" s="774">
        <v>0</v>
      </c>
      <c r="DX36" s="774">
        <v>0</v>
      </c>
      <c r="DY36" s="774">
        <v>0</v>
      </c>
      <c r="DZ36" s="774">
        <v>0</v>
      </c>
      <c r="EA36" s="774">
        <v>0</v>
      </c>
      <c r="EB36" s="774">
        <v>0</v>
      </c>
      <c r="EC36" s="774">
        <v>0</v>
      </c>
      <c r="ED36" s="774">
        <v>0</v>
      </c>
    </row>
    <row r="37" spans="1:134" ht="15" x14ac:dyDescent="0.25">
      <c r="A37" s="766">
        <v>138</v>
      </c>
      <c r="B37" s="766">
        <v>69</v>
      </c>
      <c r="C37" s="766" t="s">
        <v>3707</v>
      </c>
      <c r="D37" s="2">
        <v>99714</v>
      </c>
      <c r="E37" s="2">
        <v>99714</v>
      </c>
      <c r="F37" s="767" t="s">
        <v>3676</v>
      </c>
      <c r="G37" s="114">
        <v>106</v>
      </c>
      <c r="H37" s="114">
        <v>55</v>
      </c>
      <c r="I37" s="114">
        <v>34</v>
      </c>
      <c r="J37" s="114">
        <v>21</v>
      </c>
      <c r="K37" s="114">
        <v>0</v>
      </c>
      <c r="L37" s="114">
        <v>2</v>
      </c>
      <c r="M37" s="114">
        <v>2</v>
      </c>
      <c r="N37" s="114">
        <v>0</v>
      </c>
      <c r="O37" s="114">
        <v>0</v>
      </c>
      <c r="P37" s="114">
        <v>0</v>
      </c>
      <c r="Q37" s="114">
        <v>2</v>
      </c>
      <c r="R37" s="114">
        <v>0</v>
      </c>
      <c r="S37" s="114">
        <v>1003</v>
      </c>
      <c r="T37" s="114">
        <v>1003</v>
      </c>
      <c r="U37" s="114">
        <v>0</v>
      </c>
      <c r="V37" s="114">
        <v>0</v>
      </c>
      <c r="W37" s="114">
        <v>0</v>
      </c>
      <c r="X37" s="114">
        <v>1003</v>
      </c>
      <c r="Y37" s="114">
        <v>0</v>
      </c>
      <c r="Z37" s="114">
        <v>55</v>
      </c>
      <c r="AA37" s="114">
        <v>0</v>
      </c>
      <c r="AB37" s="657">
        <v>0</v>
      </c>
      <c r="AC37" s="657">
        <v>0</v>
      </c>
      <c r="AD37" s="768">
        <v>55</v>
      </c>
      <c r="AE37" s="769">
        <v>0</v>
      </c>
      <c r="AF37" s="769">
        <v>34</v>
      </c>
      <c r="AG37" s="770">
        <v>34</v>
      </c>
      <c r="AH37" s="769">
        <v>0</v>
      </c>
      <c r="AI37" s="769">
        <v>0</v>
      </c>
      <c r="AJ37" s="769">
        <v>51.597152380531703</v>
      </c>
      <c r="AK37" s="769">
        <v>51.597152380531703</v>
      </c>
      <c r="AL37" s="769">
        <v>0</v>
      </c>
      <c r="AM37" s="769">
        <v>0</v>
      </c>
      <c r="AN37" s="769">
        <v>32.517232722668183</v>
      </c>
      <c r="AO37" s="769">
        <v>32.517232722668183</v>
      </c>
      <c r="AP37" s="769">
        <v>0</v>
      </c>
      <c r="AQ37" s="769">
        <v>0</v>
      </c>
      <c r="AR37" s="769">
        <v>0</v>
      </c>
      <c r="AS37" s="769">
        <v>48.404838795996518</v>
      </c>
      <c r="AT37" s="769">
        <v>49.975512436713494</v>
      </c>
      <c r="AU37" s="769">
        <v>51.597152380531703</v>
      </c>
      <c r="AV37" s="769">
        <v>53.271412417254751</v>
      </c>
      <c r="AW37" s="769">
        <v>55</v>
      </c>
      <c r="AX37" s="769">
        <v>31.099130115887132</v>
      </c>
      <c r="AY37" s="769">
        <v>31.80027753732411</v>
      </c>
      <c r="AZ37" s="769">
        <v>32.517232722668183</v>
      </c>
      <c r="BA37" s="769">
        <v>33.250352066868679</v>
      </c>
      <c r="BB37" s="769">
        <v>34</v>
      </c>
      <c r="BC37" s="769">
        <v>0</v>
      </c>
      <c r="BD37" s="769">
        <v>0</v>
      </c>
      <c r="BE37" s="769">
        <v>0</v>
      </c>
      <c r="BF37" s="769">
        <v>0</v>
      </c>
      <c r="BG37" s="769">
        <v>0</v>
      </c>
      <c r="BH37" s="771">
        <v>55.624816097692332</v>
      </c>
      <c r="BI37" s="771">
        <v>56.256730289128953</v>
      </c>
      <c r="BJ37" s="771">
        <v>56.895823210732289</v>
      </c>
      <c r="BK37" s="772">
        <v>56.521758135889989</v>
      </c>
      <c r="BL37" s="772">
        <v>56.150152374795525</v>
      </c>
      <c r="BM37" s="772">
        <v>56.553246766345502</v>
      </c>
      <c r="BN37" s="772">
        <v>56.959234918315126</v>
      </c>
      <c r="BO37" s="772">
        <v>57.368137604621225</v>
      </c>
      <c r="BP37" s="772">
        <v>57.779975748313788</v>
      </c>
      <c r="BQ37" s="772">
        <v>58.194770422646563</v>
      </c>
      <c r="BR37" s="772">
        <v>58.521454042015954</v>
      </c>
      <c r="BS37" s="772">
        <v>58.849971540725178</v>
      </c>
      <c r="BT37" s="772">
        <v>59.180333213485191</v>
      </c>
      <c r="BU37" s="772">
        <v>59.512549412797583</v>
      </c>
      <c r="BV37" s="772">
        <v>59.846630549278991</v>
      </c>
      <c r="BW37" s="771">
        <v>34.386249951300712</v>
      </c>
      <c r="BX37" s="771">
        <v>34.776887815097894</v>
      </c>
      <c r="BY37" s="771">
        <v>35.171963439361782</v>
      </c>
      <c r="BZ37" s="772">
        <v>34.940723211277451</v>
      </c>
      <c r="CA37" s="772">
        <v>34.711003286237236</v>
      </c>
      <c r="CB37" s="772">
        <v>34.960188910104499</v>
      </c>
      <c r="CC37" s="772">
        <v>35.211163404049351</v>
      </c>
      <c r="CD37" s="772">
        <v>35.463939610129493</v>
      </c>
      <c r="CE37" s="772">
        <v>35.718530462593982</v>
      </c>
      <c r="CF37" s="772">
        <v>35.974948988545151</v>
      </c>
      <c r="CG37" s="772">
        <v>36.17689886233714</v>
      </c>
      <c r="CH37" s="772">
        <v>36.379982406993754</v>
      </c>
      <c r="CI37" s="772">
        <v>36.584205986518121</v>
      </c>
      <c r="CJ37" s="772">
        <v>36.789576000638512</v>
      </c>
      <c r="CK37" s="772">
        <v>36.996098885008834</v>
      </c>
      <c r="CL37" s="771">
        <v>0</v>
      </c>
      <c r="CM37" s="771">
        <v>0</v>
      </c>
      <c r="CN37" s="771">
        <v>0</v>
      </c>
      <c r="CO37" s="772">
        <v>0</v>
      </c>
      <c r="CP37" s="772">
        <v>0</v>
      </c>
      <c r="CQ37" s="772">
        <v>0</v>
      </c>
      <c r="CR37" s="772">
        <v>0</v>
      </c>
      <c r="CS37" s="772">
        <v>0</v>
      </c>
      <c r="CT37" s="772">
        <v>0</v>
      </c>
      <c r="CU37" s="772">
        <v>0</v>
      </c>
      <c r="CV37" s="772">
        <v>0</v>
      </c>
      <c r="CW37" s="772">
        <v>0</v>
      </c>
      <c r="CX37" s="772">
        <v>0</v>
      </c>
      <c r="CY37" s="772">
        <v>0</v>
      </c>
      <c r="CZ37" s="772">
        <v>0</v>
      </c>
      <c r="DA37" s="773">
        <v>0</v>
      </c>
      <c r="DB37" s="773">
        <v>0</v>
      </c>
      <c r="DC37" s="773">
        <v>0</v>
      </c>
      <c r="DD37" s="774">
        <v>0</v>
      </c>
      <c r="DE37" s="774">
        <v>0</v>
      </c>
      <c r="DF37" s="774">
        <v>0</v>
      </c>
      <c r="DG37" s="774">
        <v>0</v>
      </c>
      <c r="DH37" s="774">
        <v>0</v>
      </c>
      <c r="DI37" s="774">
        <v>0</v>
      </c>
      <c r="DJ37" s="774">
        <v>0</v>
      </c>
      <c r="DK37" s="774">
        <v>0</v>
      </c>
      <c r="DL37" s="774">
        <v>0</v>
      </c>
      <c r="DM37" s="774">
        <v>0</v>
      </c>
      <c r="DN37" s="774">
        <v>0</v>
      </c>
      <c r="DO37" s="774">
        <v>0</v>
      </c>
      <c r="DP37" s="773">
        <v>0</v>
      </c>
      <c r="DQ37" s="773">
        <v>0</v>
      </c>
      <c r="DR37" s="773">
        <v>0</v>
      </c>
      <c r="DS37" s="774">
        <v>0</v>
      </c>
      <c r="DT37" s="774">
        <v>0</v>
      </c>
      <c r="DU37" s="774">
        <v>0</v>
      </c>
      <c r="DV37" s="774">
        <v>0</v>
      </c>
      <c r="DW37" s="774">
        <v>0</v>
      </c>
      <c r="DX37" s="774">
        <v>0</v>
      </c>
      <c r="DY37" s="774">
        <v>0</v>
      </c>
      <c r="DZ37" s="774">
        <v>0</v>
      </c>
      <c r="EA37" s="774">
        <v>0</v>
      </c>
      <c r="EB37" s="774">
        <v>0</v>
      </c>
      <c r="EC37" s="774">
        <v>0</v>
      </c>
      <c r="ED37" s="774">
        <v>0</v>
      </c>
    </row>
    <row r="38" spans="1:134" ht="15" x14ac:dyDescent="0.25">
      <c r="A38" s="766">
        <v>152</v>
      </c>
      <c r="B38" s="766">
        <v>69</v>
      </c>
      <c r="C38" s="766" t="s">
        <v>3708</v>
      </c>
      <c r="D38" s="2">
        <v>99714</v>
      </c>
      <c r="E38" s="2">
        <v>99714</v>
      </c>
      <c r="F38" s="767" t="s">
        <v>3676</v>
      </c>
      <c r="G38" s="114">
        <v>2</v>
      </c>
      <c r="H38" s="114">
        <v>22</v>
      </c>
      <c r="I38" s="114">
        <v>1</v>
      </c>
      <c r="J38" s="114">
        <v>21</v>
      </c>
      <c r="K38" s="114">
        <v>0</v>
      </c>
      <c r="L38" s="114">
        <v>0</v>
      </c>
      <c r="M38" s="114">
        <v>0</v>
      </c>
      <c r="N38" s="114">
        <v>0</v>
      </c>
      <c r="O38" s="114">
        <v>0</v>
      </c>
      <c r="P38" s="114">
        <v>0</v>
      </c>
      <c r="Q38" s="114">
        <v>0</v>
      </c>
      <c r="R38" s="114">
        <v>0</v>
      </c>
      <c r="S38" s="114">
        <v>834.49503068156923</v>
      </c>
      <c r="T38" s="114">
        <v>834.49503068156923</v>
      </c>
      <c r="U38" s="114">
        <v>1408.3846153846155</v>
      </c>
      <c r="V38" s="114">
        <v>0</v>
      </c>
      <c r="W38" s="114">
        <v>0</v>
      </c>
      <c r="X38" s="114">
        <v>1365.173957061457</v>
      </c>
      <c r="Y38" s="114">
        <v>0.50407137907137911</v>
      </c>
      <c r="Z38" s="114">
        <v>21.467342342342342</v>
      </c>
      <c r="AA38" s="114">
        <v>2.8586278586278588E-2</v>
      </c>
      <c r="AB38" s="657">
        <v>0</v>
      </c>
      <c r="AC38" s="657">
        <v>0</v>
      </c>
      <c r="AD38" s="768">
        <v>22</v>
      </c>
      <c r="AE38" s="769">
        <v>2.2912335412335415E-2</v>
      </c>
      <c r="AF38" s="769">
        <v>0.97578828828828823</v>
      </c>
      <c r="AG38" s="770">
        <v>0.99870062370062362</v>
      </c>
      <c r="AH38" s="769">
        <v>1.2993762993762994E-3</v>
      </c>
      <c r="AI38" s="769">
        <v>0.47288450466564924</v>
      </c>
      <c r="AJ38" s="769">
        <v>20.139158800779605</v>
      </c>
      <c r="AK38" s="769">
        <v>20.612043305445255</v>
      </c>
      <c r="AL38" s="769">
        <v>2.6817646767428122E-2</v>
      </c>
      <c r="AM38" s="769">
        <v>2.1913110083021825E-2</v>
      </c>
      <c r="AN38" s="769">
        <v>0.93323337818600882</v>
      </c>
      <c r="AO38" s="769">
        <v>0.95514648826903059</v>
      </c>
      <c r="AP38" s="769">
        <v>1.2427094565040733E-3</v>
      </c>
      <c r="AQ38" s="769">
        <v>0</v>
      </c>
      <c r="AR38" s="769">
        <v>0</v>
      </c>
      <c r="AS38" s="769">
        <v>19.336777078275947</v>
      </c>
      <c r="AT38" s="769">
        <v>19.964230176121617</v>
      </c>
      <c r="AU38" s="769">
        <v>20.612043305445255</v>
      </c>
      <c r="AV38" s="769">
        <v>21.280877122610189</v>
      </c>
      <c r="AW38" s="769">
        <v>21.971413721413722</v>
      </c>
      <c r="AX38" s="769">
        <v>0.91349178362598016</v>
      </c>
      <c r="AY38" s="769">
        <v>0.93408697089348591</v>
      </c>
      <c r="AZ38" s="769">
        <v>0.95514648826903059</v>
      </c>
      <c r="BA38" s="769">
        <v>0.97668080433667848</v>
      </c>
      <c r="BB38" s="769">
        <v>0.99870062370062362</v>
      </c>
      <c r="BC38" s="769">
        <v>0</v>
      </c>
      <c r="BD38" s="769">
        <v>0</v>
      </c>
      <c r="BE38" s="769">
        <v>0</v>
      </c>
      <c r="BF38" s="769">
        <v>0</v>
      </c>
      <c r="BG38" s="769">
        <v>0</v>
      </c>
      <c r="BH38" s="771">
        <v>22.221015411999129</v>
      </c>
      <c r="BI38" s="771">
        <v>22.47345265084434</v>
      </c>
      <c r="BJ38" s="771">
        <v>22.728757650607506</v>
      </c>
      <c r="BK38" s="772">
        <v>22.579326041187656</v>
      </c>
      <c r="BL38" s="772">
        <v>22.430876879037339</v>
      </c>
      <c r="BM38" s="772">
        <v>22.591905127137817</v>
      </c>
      <c r="BN38" s="772">
        <v>22.754089375372665</v>
      </c>
      <c r="BO38" s="772">
        <v>22.917437922511372</v>
      </c>
      <c r="BP38" s="772">
        <v>23.081959126899161</v>
      </c>
      <c r="BQ38" s="772">
        <v>23.247661406884696</v>
      </c>
      <c r="BR38" s="772">
        <v>23.37816506065149</v>
      </c>
      <c r="BS38" s="772">
        <v>23.509401312994481</v>
      </c>
      <c r="BT38" s="772">
        <v>23.641374276447362</v>
      </c>
      <c r="BU38" s="772">
        <v>23.774088086630055</v>
      </c>
      <c r="BV38" s="772">
        <v>23.907546902378293</v>
      </c>
      <c r="BW38" s="771">
        <v>1.0100461550908695</v>
      </c>
      <c r="BX38" s="771">
        <v>1.0215205750383791</v>
      </c>
      <c r="BY38" s="771">
        <v>1.0331253477548865</v>
      </c>
      <c r="BZ38" s="772">
        <v>1.0263330018721659</v>
      </c>
      <c r="CA38" s="772">
        <v>1.0195853126835153</v>
      </c>
      <c r="CB38" s="772">
        <v>1.0269047785062642</v>
      </c>
      <c r="CC38" s="772">
        <v>1.0342767897896665</v>
      </c>
      <c r="CD38" s="772">
        <v>1.0417017237505168</v>
      </c>
      <c r="CE38" s="772">
        <v>1.0491799603135981</v>
      </c>
      <c r="CF38" s="772">
        <v>1.0567118821311223</v>
      </c>
      <c r="CG38" s="772">
        <v>1.0626438663932494</v>
      </c>
      <c r="CH38" s="772">
        <v>1.0686091505906581</v>
      </c>
      <c r="CI38" s="772">
        <v>1.0746079216566982</v>
      </c>
      <c r="CJ38" s="772">
        <v>1.0806403675740934</v>
      </c>
      <c r="CK38" s="772">
        <v>1.0867066773808314</v>
      </c>
      <c r="CL38" s="771">
        <v>0</v>
      </c>
      <c r="CM38" s="771">
        <v>0</v>
      </c>
      <c r="CN38" s="771">
        <v>0</v>
      </c>
      <c r="CO38" s="772">
        <v>0</v>
      </c>
      <c r="CP38" s="772">
        <v>0</v>
      </c>
      <c r="CQ38" s="772">
        <v>0</v>
      </c>
      <c r="CR38" s="772">
        <v>0</v>
      </c>
      <c r="CS38" s="772">
        <v>0</v>
      </c>
      <c r="CT38" s="772">
        <v>0</v>
      </c>
      <c r="CU38" s="772">
        <v>0</v>
      </c>
      <c r="CV38" s="772">
        <v>0</v>
      </c>
      <c r="CW38" s="772">
        <v>0</v>
      </c>
      <c r="CX38" s="772">
        <v>0</v>
      </c>
      <c r="CY38" s="772">
        <v>0</v>
      </c>
      <c r="CZ38" s="772">
        <v>0</v>
      </c>
      <c r="DA38" s="773">
        <v>2.8911027077802669E-2</v>
      </c>
      <c r="DB38" s="773">
        <v>2.923946480723958E-2</v>
      </c>
      <c r="DC38" s="773">
        <v>2.9571633685411797E-2</v>
      </c>
      <c r="DD38" s="774">
        <v>2.9377213168341992E-2</v>
      </c>
      <c r="DE38" s="774">
        <v>2.9184070880870858E-2</v>
      </c>
      <c r="DF38" s="774">
        <v>2.939357940038748E-2</v>
      </c>
      <c r="DG38" s="774">
        <v>2.9604591953386244E-2</v>
      </c>
      <c r="DH38" s="774">
        <v>2.9817119337121226E-2</v>
      </c>
      <c r="DI38" s="774">
        <v>3.0031172426358523E-2</v>
      </c>
      <c r="DJ38" s="774">
        <v>3.0246762173932733E-2</v>
      </c>
      <c r="DK38" s="774">
        <v>3.0416556154893953E-2</v>
      </c>
      <c r="DL38" s="774">
        <v>3.0587303295595211E-2</v>
      </c>
      <c r="DM38" s="774">
        <v>3.0759008946717879E-2</v>
      </c>
      <c r="DN38" s="774">
        <v>3.0931678488980038E-2</v>
      </c>
      <c r="DO38" s="774">
        <v>3.1105317333305092E-2</v>
      </c>
      <c r="DP38" s="773">
        <v>0</v>
      </c>
      <c r="DQ38" s="773">
        <v>0</v>
      </c>
      <c r="DR38" s="773">
        <v>0</v>
      </c>
      <c r="DS38" s="774">
        <v>0</v>
      </c>
      <c r="DT38" s="774">
        <v>0</v>
      </c>
      <c r="DU38" s="774">
        <v>0</v>
      </c>
      <c r="DV38" s="774">
        <v>0</v>
      </c>
      <c r="DW38" s="774">
        <v>0</v>
      </c>
      <c r="DX38" s="774">
        <v>0</v>
      </c>
      <c r="DY38" s="774">
        <v>0</v>
      </c>
      <c r="DZ38" s="774">
        <v>0</v>
      </c>
      <c r="EA38" s="774">
        <v>0</v>
      </c>
      <c r="EB38" s="774">
        <v>0</v>
      </c>
      <c r="EC38" s="774">
        <v>0</v>
      </c>
      <c r="ED38" s="774">
        <v>0</v>
      </c>
    </row>
    <row r="39" spans="1:134" ht="15" x14ac:dyDescent="0.25">
      <c r="A39" s="766">
        <v>134</v>
      </c>
      <c r="B39" s="766">
        <v>70</v>
      </c>
      <c r="C39" s="766" t="s">
        <v>3709</v>
      </c>
      <c r="D39" s="2">
        <v>99714</v>
      </c>
      <c r="E39" s="2">
        <v>99714</v>
      </c>
      <c r="F39" s="767" t="s">
        <v>3676</v>
      </c>
      <c r="G39" s="114">
        <v>127</v>
      </c>
      <c r="H39" s="114">
        <v>50</v>
      </c>
      <c r="I39" s="114">
        <v>45</v>
      </c>
      <c r="J39" s="114">
        <v>5</v>
      </c>
      <c r="K39" s="114">
        <v>0</v>
      </c>
      <c r="L39" s="114">
        <v>32</v>
      </c>
      <c r="M39" s="114">
        <v>32</v>
      </c>
      <c r="N39" s="114">
        <v>1</v>
      </c>
      <c r="O39" s="114">
        <v>0</v>
      </c>
      <c r="P39" s="114">
        <v>0</v>
      </c>
      <c r="Q39" s="114">
        <v>33</v>
      </c>
      <c r="R39" s="114">
        <v>0</v>
      </c>
      <c r="S39" s="114">
        <v>1735.09375</v>
      </c>
      <c r="T39" s="114">
        <v>1735.09375</v>
      </c>
      <c r="U39" s="114">
        <v>1452</v>
      </c>
      <c r="V39" s="114">
        <v>0</v>
      </c>
      <c r="W39" s="114">
        <v>0</v>
      </c>
      <c r="X39" s="114">
        <v>1726.5151515151515</v>
      </c>
      <c r="Y39" s="114">
        <v>0</v>
      </c>
      <c r="Z39" s="114">
        <v>50</v>
      </c>
      <c r="AA39" s="114">
        <v>0</v>
      </c>
      <c r="AB39" s="657">
        <v>1</v>
      </c>
      <c r="AC39" s="657">
        <v>0</v>
      </c>
      <c r="AD39" s="768">
        <v>51</v>
      </c>
      <c r="AE39" s="769">
        <v>0</v>
      </c>
      <c r="AF39" s="769">
        <v>45</v>
      </c>
      <c r="AG39" s="770">
        <v>45</v>
      </c>
      <c r="AH39" s="769">
        <v>0</v>
      </c>
      <c r="AI39" s="769">
        <v>0</v>
      </c>
      <c r="AJ39" s="769">
        <v>46.906502164119736</v>
      </c>
      <c r="AK39" s="769">
        <v>46.906502164119736</v>
      </c>
      <c r="AL39" s="769">
        <v>0</v>
      </c>
      <c r="AM39" s="769">
        <v>0</v>
      </c>
      <c r="AN39" s="769">
        <v>43.037513897649063</v>
      </c>
      <c r="AO39" s="769">
        <v>43.037513897649063</v>
      </c>
      <c r="AP39" s="769">
        <v>0</v>
      </c>
      <c r="AQ39" s="769">
        <v>0.96638421298841071</v>
      </c>
      <c r="AR39" s="769">
        <v>0</v>
      </c>
      <c r="AS39" s="769">
        <v>44.004398905451382</v>
      </c>
      <c r="AT39" s="769">
        <v>45.4322840333759</v>
      </c>
      <c r="AU39" s="769">
        <v>46.906502164119736</v>
      </c>
      <c r="AV39" s="769">
        <v>48.428556742958861</v>
      </c>
      <c r="AW39" s="769">
        <v>50</v>
      </c>
      <c r="AX39" s="769">
        <v>41.160613388674143</v>
      </c>
      <c r="AY39" s="769">
        <v>42.088602622928967</v>
      </c>
      <c r="AZ39" s="769">
        <v>43.037513897649063</v>
      </c>
      <c r="BA39" s="769">
        <v>44.007818912032072</v>
      </c>
      <c r="BB39" s="769">
        <v>45</v>
      </c>
      <c r="BC39" s="769">
        <v>0.93389844711322989</v>
      </c>
      <c r="BD39" s="769">
        <v>0.95000248200971427</v>
      </c>
      <c r="BE39" s="769">
        <v>0.96638421298841071</v>
      </c>
      <c r="BF39" s="769">
        <v>0.98304842860787411</v>
      </c>
      <c r="BG39" s="769">
        <v>1</v>
      </c>
      <c r="BH39" s="771">
        <v>50.568014634265758</v>
      </c>
      <c r="BI39" s="771">
        <v>51.142482081026316</v>
      </c>
      <c r="BJ39" s="771">
        <v>51.723475646120264</v>
      </c>
      <c r="BK39" s="772">
        <v>51.383416487172717</v>
      </c>
      <c r="BL39" s="772">
        <v>51.045593067995931</v>
      </c>
      <c r="BM39" s="772">
        <v>51.41204251485955</v>
      </c>
      <c r="BN39" s="772">
        <v>51.781122653013753</v>
      </c>
      <c r="BO39" s="772">
        <v>52.152852367837482</v>
      </c>
      <c r="BP39" s="772">
        <v>52.527250680285263</v>
      </c>
      <c r="BQ39" s="772">
        <v>52.904336747860519</v>
      </c>
      <c r="BR39" s="772">
        <v>53.201321856378144</v>
      </c>
      <c r="BS39" s="772">
        <v>53.499974127931985</v>
      </c>
      <c r="BT39" s="772">
        <v>53.800302921350173</v>
      </c>
      <c r="BU39" s="772">
        <v>54.102317647997808</v>
      </c>
      <c r="BV39" s="772">
        <v>54.406027772071809</v>
      </c>
      <c r="BW39" s="771">
        <v>45.511213170839184</v>
      </c>
      <c r="BX39" s="771">
        <v>46.028233872923686</v>
      </c>
      <c r="BY39" s="771">
        <v>46.551128081508239</v>
      </c>
      <c r="BZ39" s="772">
        <v>46.245074838455444</v>
      </c>
      <c r="CA39" s="772">
        <v>45.941033761196337</v>
      </c>
      <c r="CB39" s="772">
        <v>46.270838263373598</v>
      </c>
      <c r="CC39" s="772">
        <v>46.603010387712381</v>
      </c>
      <c r="CD39" s="772">
        <v>46.937567131053733</v>
      </c>
      <c r="CE39" s="772">
        <v>47.274525612256738</v>
      </c>
      <c r="CF39" s="772">
        <v>47.613903073074468</v>
      </c>
      <c r="CG39" s="772">
        <v>47.881189670740333</v>
      </c>
      <c r="CH39" s="772">
        <v>48.149976715138784</v>
      </c>
      <c r="CI39" s="772">
        <v>48.420272629215162</v>
      </c>
      <c r="CJ39" s="772">
        <v>48.692085883198025</v>
      </c>
      <c r="CK39" s="772">
        <v>48.965424994864634</v>
      </c>
      <c r="CL39" s="771">
        <v>1.0113602926853151</v>
      </c>
      <c r="CM39" s="771">
        <v>1.0228496416205264</v>
      </c>
      <c r="CN39" s="771">
        <v>1.0344695129224053</v>
      </c>
      <c r="CO39" s="772">
        <v>1.0276683297434543</v>
      </c>
      <c r="CP39" s="772">
        <v>1.0209118613599186</v>
      </c>
      <c r="CQ39" s="772">
        <v>1.0282408502971909</v>
      </c>
      <c r="CR39" s="772">
        <v>1.0356224530602751</v>
      </c>
      <c r="CS39" s="772">
        <v>1.0430570473567498</v>
      </c>
      <c r="CT39" s="772">
        <v>1.0505450136057053</v>
      </c>
      <c r="CU39" s="772">
        <v>1.0580867349572103</v>
      </c>
      <c r="CV39" s="772">
        <v>1.064026437127563</v>
      </c>
      <c r="CW39" s="772">
        <v>1.0699994825586396</v>
      </c>
      <c r="CX39" s="772">
        <v>1.0760060584270035</v>
      </c>
      <c r="CY39" s="772">
        <v>1.0820463529599562</v>
      </c>
      <c r="CZ39" s="772">
        <v>1.0881205554414362</v>
      </c>
      <c r="DA39" s="773">
        <v>0</v>
      </c>
      <c r="DB39" s="773">
        <v>0</v>
      </c>
      <c r="DC39" s="773">
        <v>0</v>
      </c>
      <c r="DD39" s="774">
        <v>0</v>
      </c>
      <c r="DE39" s="774">
        <v>0</v>
      </c>
      <c r="DF39" s="774">
        <v>0</v>
      </c>
      <c r="DG39" s="774">
        <v>0</v>
      </c>
      <c r="DH39" s="774">
        <v>0</v>
      </c>
      <c r="DI39" s="774">
        <v>0</v>
      </c>
      <c r="DJ39" s="774">
        <v>0</v>
      </c>
      <c r="DK39" s="774">
        <v>0</v>
      </c>
      <c r="DL39" s="774">
        <v>0</v>
      </c>
      <c r="DM39" s="774">
        <v>0</v>
      </c>
      <c r="DN39" s="774">
        <v>0</v>
      </c>
      <c r="DO39" s="774">
        <v>0</v>
      </c>
      <c r="DP39" s="773">
        <v>0</v>
      </c>
      <c r="DQ39" s="773">
        <v>0</v>
      </c>
      <c r="DR39" s="773">
        <v>0</v>
      </c>
      <c r="DS39" s="774">
        <v>0</v>
      </c>
      <c r="DT39" s="774">
        <v>0</v>
      </c>
      <c r="DU39" s="774">
        <v>0</v>
      </c>
      <c r="DV39" s="774">
        <v>0</v>
      </c>
      <c r="DW39" s="774">
        <v>0</v>
      </c>
      <c r="DX39" s="774">
        <v>0</v>
      </c>
      <c r="DY39" s="774">
        <v>0</v>
      </c>
      <c r="DZ39" s="774">
        <v>0</v>
      </c>
      <c r="EA39" s="774">
        <v>0</v>
      </c>
      <c r="EB39" s="774">
        <v>0</v>
      </c>
      <c r="EC39" s="774">
        <v>0</v>
      </c>
      <c r="ED39" s="774">
        <v>0</v>
      </c>
    </row>
    <row r="40" spans="1:134" ht="15" x14ac:dyDescent="0.25">
      <c r="A40" s="766">
        <v>133</v>
      </c>
      <c r="B40" s="766">
        <v>71</v>
      </c>
      <c r="C40" s="766" t="s">
        <v>3710</v>
      </c>
      <c r="D40" s="2">
        <v>99714</v>
      </c>
      <c r="E40" s="2">
        <v>99714</v>
      </c>
      <c r="F40" s="767" t="s">
        <v>3676</v>
      </c>
      <c r="G40" s="114">
        <v>6</v>
      </c>
      <c r="H40" s="114">
        <v>9</v>
      </c>
      <c r="I40" s="114">
        <v>4</v>
      </c>
      <c r="J40" s="114">
        <v>5</v>
      </c>
      <c r="K40" s="114">
        <v>0</v>
      </c>
      <c r="L40" s="114">
        <v>28</v>
      </c>
      <c r="M40" s="114">
        <v>28</v>
      </c>
      <c r="N40" s="114">
        <v>2</v>
      </c>
      <c r="O40" s="114">
        <v>0</v>
      </c>
      <c r="P40" s="114">
        <v>0</v>
      </c>
      <c r="Q40" s="114">
        <v>30</v>
      </c>
      <c r="R40" s="114">
        <v>0</v>
      </c>
      <c r="S40" s="114">
        <v>1967.2142857142858</v>
      </c>
      <c r="T40" s="114">
        <v>1967.2142857142858</v>
      </c>
      <c r="U40" s="114">
        <v>1040</v>
      </c>
      <c r="V40" s="114">
        <v>0</v>
      </c>
      <c r="W40" s="114">
        <v>0</v>
      </c>
      <c r="X40" s="114">
        <v>1905.4</v>
      </c>
      <c r="Y40" s="114">
        <v>0</v>
      </c>
      <c r="Z40" s="114">
        <v>9</v>
      </c>
      <c r="AA40" s="114">
        <v>0</v>
      </c>
      <c r="AB40" s="657">
        <v>2</v>
      </c>
      <c r="AC40" s="657">
        <v>0</v>
      </c>
      <c r="AD40" s="768">
        <v>11</v>
      </c>
      <c r="AE40" s="769">
        <v>0</v>
      </c>
      <c r="AF40" s="769">
        <v>4</v>
      </c>
      <c r="AG40" s="770">
        <v>4</v>
      </c>
      <c r="AH40" s="769">
        <v>0</v>
      </c>
      <c r="AI40" s="769">
        <v>0</v>
      </c>
      <c r="AJ40" s="769">
        <v>8.4431703895415513</v>
      </c>
      <c r="AK40" s="769">
        <v>8.4431703895415513</v>
      </c>
      <c r="AL40" s="769">
        <v>0</v>
      </c>
      <c r="AM40" s="769">
        <v>0</v>
      </c>
      <c r="AN40" s="769">
        <v>3.8255567909021391</v>
      </c>
      <c r="AO40" s="769">
        <v>3.8255567909021391</v>
      </c>
      <c r="AP40" s="769">
        <v>0</v>
      </c>
      <c r="AQ40" s="769">
        <v>1.9327684259768214</v>
      </c>
      <c r="AR40" s="769">
        <v>0</v>
      </c>
      <c r="AS40" s="769">
        <v>7.9207918029812481</v>
      </c>
      <c r="AT40" s="769">
        <v>8.1778111260076631</v>
      </c>
      <c r="AU40" s="769">
        <v>8.4431703895415513</v>
      </c>
      <c r="AV40" s="769">
        <v>8.7171402137325948</v>
      </c>
      <c r="AW40" s="769">
        <v>9</v>
      </c>
      <c r="AX40" s="769">
        <v>3.6587211901043681</v>
      </c>
      <c r="AY40" s="769">
        <v>3.7412091220381307</v>
      </c>
      <c r="AZ40" s="769">
        <v>3.8255567909021391</v>
      </c>
      <c r="BA40" s="769">
        <v>3.9118061255139622</v>
      </c>
      <c r="BB40" s="769">
        <v>4</v>
      </c>
      <c r="BC40" s="769">
        <v>1.8677968942264598</v>
      </c>
      <c r="BD40" s="769">
        <v>1.9000049640194285</v>
      </c>
      <c r="BE40" s="769">
        <v>1.9327684259768214</v>
      </c>
      <c r="BF40" s="769">
        <v>1.9660968572157482</v>
      </c>
      <c r="BG40" s="769">
        <v>2</v>
      </c>
      <c r="BH40" s="771">
        <v>9.1022426341678369</v>
      </c>
      <c r="BI40" s="771">
        <v>9.2056467745847375</v>
      </c>
      <c r="BJ40" s="771">
        <v>9.310225616301647</v>
      </c>
      <c r="BK40" s="772">
        <v>9.2490149676910889</v>
      </c>
      <c r="BL40" s="772">
        <v>9.1882067522392674</v>
      </c>
      <c r="BM40" s="772">
        <v>9.2541676526747185</v>
      </c>
      <c r="BN40" s="772">
        <v>9.3206020775424747</v>
      </c>
      <c r="BO40" s="772">
        <v>9.3875134262107469</v>
      </c>
      <c r="BP40" s="772">
        <v>9.454905122451347</v>
      </c>
      <c r="BQ40" s="772">
        <v>9.5227806146148932</v>
      </c>
      <c r="BR40" s="772">
        <v>9.5762379341480646</v>
      </c>
      <c r="BS40" s="772">
        <v>9.6299953430277565</v>
      </c>
      <c r="BT40" s="772">
        <v>9.6840545258430311</v>
      </c>
      <c r="BU40" s="772">
        <v>9.7384171766396044</v>
      </c>
      <c r="BV40" s="772">
        <v>9.7930849989729261</v>
      </c>
      <c r="BW40" s="771">
        <v>4.0454411707412605</v>
      </c>
      <c r="BX40" s="771">
        <v>4.0913985664821055</v>
      </c>
      <c r="BY40" s="771">
        <v>4.1378780516896212</v>
      </c>
      <c r="BZ40" s="772">
        <v>4.1106733189738174</v>
      </c>
      <c r="CA40" s="772">
        <v>4.0836474454396745</v>
      </c>
      <c r="CB40" s="772">
        <v>4.1129634011887637</v>
      </c>
      <c r="CC40" s="772">
        <v>4.1424898122411005</v>
      </c>
      <c r="CD40" s="772">
        <v>4.172228189426999</v>
      </c>
      <c r="CE40" s="772">
        <v>4.2021800544228212</v>
      </c>
      <c r="CF40" s="772">
        <v>4.2323469398288411</v>
      </c>
      <c r="CG40" s="772">
        <v>4.2561057485102518</v>
      </c>
      <c r="CH40" s="772">
        <v>4.2799979302345585</v>
      </c>
      <c r="CI40" s="772">
        <v>4.3040242337080139</v>
      </c>
      <c r="CJ40" s="772">
        <v>4.3281854118398249</v>
      </c>
      <c r="CK40" s="772">
        <v>4.3524822217657446</v>
      </c>
      <c r="CL40" s="771">
        <v>2.0227205853706303</v>
      </c>
      <c r="CM40" s="771">
        <v>2.0456992832410528</v>
      </c>
      <c r="CN40" s="771">
        <v>2.0689390258448106</v>
      </c>
      <c r="CO40" s="772">
        <v>2.0553366594869087</v>
      </c>
      <c r="CP40" s="772">
        <v>2.0418237227198373</v>
      </c>
      <c r="CQ40" s="772">
        <v>2.0564817005943818</v>
      </c>
      <c r="CR40" s="772">
        <v>2.0712449061205502</v>
      </c>
      <c r="CS40" s="772">
        <v>2.0861140947134995</v>
      </c>
      <c r="CT40" s="772">
        <v>2.1010900272114106</v>
      </c>
      <c r="CU40" s="772">
        <v>2.1161734699144206</v>
      </c>
      <c r="CV40" s="772">
        <v>2.1280528742551259</v>
      </c>
      <c r="CW40" s="772">
        <v>2.1399989651172793</v>
      </c>
      <c r="CX40" s="772">
        <v>2.152012116854007</v>
      </c>
      <c r="CY40" s="772">
        <v>2.1640927059199124</v>
      </c>
      <c r="CZ40" s="772">
        <v>2.1762411108828723</v>
      </c>
      <c r="DA40" s="773">
        <v>0</v>
      </c>
      <c r="DB40" s="773">
        <v>0</v>
      </c>
      <c r="DC40" s="773">
        <v>0</v>
      </c>
      <c r="DD40" s="774">
        <v>0</v>
      </c>
      <c r="DE40" s="774">
        <v>0</v>
      </c>
      <c r="DF40" s="774">
        <v>0</v>
      </c>
      <c r="DG40" s="774">
        <v>0</v>
      </c>
      <c r="DH40" s="774">
        <v>0</v>
      </c>
      <c r="DI40" s="774">
        <v>0</v>
      </c>
      <c r="DJ40" s="774">
        <v>0</v>
      </c>
      <c r="DK40" s="774">
        <v>0</v>
      </c>
      <c r="DL40" s="774">
        <v>0</v>
      </c>
      <c r="DM40" s="774">
        <v>0</v>
      </c>
      <c r="DN40" s="774">
        <v>0</v>
      </c>
      <c r="DO40" s="774">
        <v>0</v>
      </c>
      <c r="DP40" s="773">
        <v>0</v>
      </c>
      <c r="DQ40" s="773">
        <v>0</v>
      </c>
      <c r="DR40" s="773">
        <v>0</v>
      </c>
      <c r="DS40" s="774">
        <v>0</v>
      </c>
      <c r="DT40" s="774">
        <v>0</v>
      </c>
      <c r="DU40" s="774">
        <v>0</v>
      </c>
      <c r="DV40" s="774">
        <v>0</v>
      </c>
      <c r="DW40" s="774">
        <v>0</v>
      </c>
      <c r="DX40" s="774">
        <v>0</v>
      </c>
      <c r="DY40" s="774">
        <v>0</v>
      </c>
      <c r="DZ40" s="774">
        <v>0</v>
      </c>
      <c r="EA40" s="774">
        <v>0</v>
      </c>
      <c r="EB40" s="774">
        <v>0</v>
      </c>
      <c r="EC40" s="774">
        <v>0</v>
      </c>
      <c r="ED40" s="774">
        <v>0</v>
      </c>
    </row>
    <row r="41" spans="1:134" ht="15" x14ac:dyDescent="0.25">
      <c r="A41" s="766">
        <v>133</v>
      </c>
      <c r="B41" s="766">
        <v>72</v>
      </c>
      <c r="C41" s="766" t="s">
        <v>3711</v>
      </c>
      <c r="D41" s="2">
        <v>99714</v>
      </c>
      <c r="E41" s="2">
        <v>99714</v>
      </c>
      <c r="F41" s="767" t="s">
        <v>3676</v>
      </c>
      <c r="G41" s="114">
        <v>140</v>
      </c>
      <c r="H41" s="114">
        <v>57</v>
      </c>
      <c r="I41" s="114">
        <v>49</v>
      </c>
      <c r="J41" s="114">
        <v>8</v>
      </c>
      <c r="K41" s="114">
        <v>0</v>
      </c>
      <c r="L41" s="114">
        <v>52</v>
      </c>
      <c r="M41" s="114">
        <v>52</v>
      </c>
      <c r="N41" s="114">
        <v>2</v>
      </c>
      <c r="O41" s="114">
        <v>0</v>
      </c>
      <c r="P41" s="114">
        <v>0</v>
      </c>
      <c r="Q41" s="114">
        <v>54</v>
      </c>
      <c r="R41" s="114">
        <v>0</v>
      </c>
      <c r="S41" s="114">
        <v>1493.0769230769231</v>
      </c>
      <c r="T41" s="114">
        <v>1493.0769230769231</v>
      </c>
      <c r="U41" s="114">
        <v>4706</v>
      </c>
      <c r="V41" s="114">
        <v>0</v>
      </c>
      <c r="W41" s="114">
        <v>0</v>
      </c>
      <c r="X41" s="114">
        <v>1612.0740740740741</v>
      </c>
      <c r="Y41" s="114">
        <v>0</v>
      </c>
      <c r="Z41" s="114">
        <v>57</v>
      </c>
      <c r="AA41" s="114">
        <v>0</v>
      </c>
      <c r="AB41" s="657">
        <v>2</v>
      </c>
      <c r="AC41" s="657">
        <v>0</v>
      </c>
      <c r="AD41" s="768">
        <v>59</v>
      </c>
      <c r="AE41" s="769">
        <v>0</v>
      </c>
      <c r="AF41" s="769">
        <v>49</v>
      </c>
      <c r="AG41" s="770">
        <v>49</v>
      </c>
      <c r="AH41" s="769">
        <v>0</v>
      </c>
      <c r="AI41" s="769">
        <v>0</v>
      </c>
      <c r="AJ41" s="769">
        <v>53.473412467096495</v>
      </c>
      <c r="AK41" s="769">
        <v>53.473412467096495</v>
      </c>
      <c r="AL41" s="769">
        <v>0</v>
      </c>
      <c r="AM41" s="769">
        <v>0</v>
      </c>
      <c r="AN41" s="769">
        <v>46.863070688551204</v>
      </c>
      <c r="AO41" s="769">
        <v>46.863070688551204</v>
      </c>
      <c r="AP41" s="769">
        <v>0</v>
      </c>
      <c r="AQ41" s="769">
        <v>1.9327684259768214</v>
      </c>
      <c r="AR41" s="769">
        <v>0</v>
      </c>
      <c r="AS41" s="769">
        <v>50.165014752214574</v>
      </c>
      <c r="AT41" s="769">
        <v>51.792803798048531</v>
      </c>
      <c r="AU41" s="769">
        <v>53.473412467096495</v>
      </c>
      <c r="AV41" s="769">
        <v>55.208554686973102</v>
      </c>
      <c r="AW41" s="769">
        <v>57</v>
      </c>
      <c r="AX41" s="769">
        <v>44.819334578778509</v>
      </c>
      <c r="AY41" s="769">
        <v>45.829811744967103</v>
      </c>
      <c r="AZ41" s="769">
        <v>46.863070688551204</v>
      </c>
      <c r="BA41" s="769">
        <v>47.919625037546034</v>
      </c>
      <c r="BB41" s="769">
        <v>49</v>
      </c>
      <c r="BC41" s="769">
        <v>1.8677968942264598</v>
      </c>
      <c r="BD41" s="769">
        <v>1.9000049640194285</v>
      </c>
      <c r="BE41" s="769">
        <v>1.9327684259768214</v>
      </c>
      <c r="BF41" s="769">
        <v>1.9660968572157482</v>
      </c>
      <c r="BG41" s="769">
        <v>2</v>
      </c>
      <c r="BH41" s="771">
        <v>57.64753668306296</v>
      </c>
      <c r="BI41" s="771">
        <v>58.302429572370002</v>
      </c>
      <c r="BJ41" s="771">
        <v>58.964762236577101</v>
      </c>
      <c r="BK41" s="772">
        <v>58.577094795376901</v>
      </c>
      <c r="BL41" s="772">
        <v>58.191976097515358</v>
      </c>
      <c r="BM41" s="772">
        <v>58.609728466939885</v>
      </c>
      <c r="BN41" s="772">
        <v>59.03047982443568</v>
      </c>
      <c r="BO41" s="772">
        <v>59.454251699334726</v>
      </c>
      <c r="BP41" s="772">
        <v>59.881065775525201</v>
      </c>
      <c r="BQ41" s="772">
        <v>60.310943892560992</v>
      </c>
      <c r="BR41" s="772">
        <v>60.649506916271086</v>
      </c>
      <c r="BS41" s="772">
        <v>60.989970505842464</v>
      </c>
      <c r="BT41" s="772">
        <v>61.332345330339201</v>
      </c>
      <c r="BU41" s="772">
        <v>61.676642118717496</v>
      </c>
      <c r="BV41" s="772">
        <v>62.022871660161869</v>
      </c>
      <c r="BW41" s="771">
        <v>49.55665434158044</v>
      </c>
      <c r="BX41" s="771">
        <v>50.119632439405791</v>
      </c>
      <c r="BY41" s="771">
        <v>50.689006133197857</v>
      </c>
      <c r="BZ41" s="772">
        <v>50.355748157429261</v>
      </c>
      <c r="CA41" s="772">
        <v>50.024681206636011</v>
      </c>
      <c r="CB41" s="772">
        <v>50.383801664562355</v>
      </c>
      <c r="CC41" s="772">
        <v>50.745500199953476</v>
      </c>
      <c r="CD41" s="772">
        <v>51.109795320480728</v>
      </c>
      <c r="CE41" s="772">
        <v>51.476705666679557</v>
      </c>
      <c r="CF41" s="772">
        <v>51.846250012903305</v>
      </c>
      <c r="CG41" s="772">
        <v>52.137295419250577</v>
      </c>
      <c r="CH41" s="772">
        <v>52.429974645373342</v>
      </c>
      <c r="CI41" s="772">
        <v>52.724296862923168</v>
      </c>
      <c r="CJ41" s="772">
        <v>53.020271295037851</v>
      </c>
      <c r="CK41" s="772">
        <v>53.317907216630374</v>
      </c>
      <c r="CL41" s="771">
        <v>2.0227205853706303</v>
      </c>
      <c r="CM41" s="771">
        <v>2.0456992832410528</v>
      </c>
      <c r="CN41" s="771">
        <v>2.0689390258448106</v>
      </c>
      <c r="CO41" s="772">
        <v>2.0553366594869087</v>
      </c>
      <c r="CP41" s="772">
        <v>2.0418237227198373</v>
      </c>
      <c r="CQ41" s="772">
        <v>2.0564817005943818</v>
      </c>
      <c r="CR41" s="772">
        <v>2.0712449061205502</v>
      </c>
      <c r="CS41" s="772">
        <v>2.0861140947134995</v>
      </c>
      <c r="CT41" s="772">
        <v>2.1010900272114106</v>
      </c>
      <c r="CU41" s="772">
        <v>2.1161734699144206</v>
      </c>
      <c r="CV41" s="772">
        <v>2.1280528742551259</v>
      </c>
      <c r="CW41" s="772">
        <v>2.1399989651172793</v>
      </c>
      <c r="CX41" s="772">
        <v>2.152012116854007</v>
      </c>
      <c r="CY41" s="772">
        <v>2.1640927059199124</v>
      </c>
      <c r="CZ41" s="772">
        <v>2.1762411108828723</v>
      </c>
      <c r="DA41" s="773">
        <v>0</v>
      </c>
      <c r="DB41" s="773">
        <v>0</v>
      </c>
      <c r="DC41" s="773">
        <v>0</v>
      </c>
      <c r="DD41" s="774">
        <v>0</v>
      </c>
      <c r="DE41" s="774">
        <v>0</v>
      </c>
      <c r="DF41" s="774">
        <v>0</v>
      </c>
      <c r="DG41" s="774">
        <v>0</v>
      </c>
      <c r="DH41" s="774">
        <v>0</v>
      </c>
      <c r="DI41" s="774">
        <v>0</v>
      </c>
      <c r="DJ41" s="774">
        <v>0</v>
      </c>
      <c r="DK41" s="774">
        <v>0</v>
      </c>
      <c r="DL41" s="774">
        <v>0</v>
      </c>
      <c r="DM41" s="774">
        <v>0</v>
      </c>
      <c r="DN41" s="774">
        <v>0</v>
      </c>
      <c r="DO41" s="774">
        <v>0</v>
      </c>
      <c r="DP41" s="773">
        <v>0</v>
      </c>
      <c r="DQ41" s="773">
        <v>0</v>
      </c>
      <c r="DR41" s="773">
        <v>0</v>
      </c>
      <c r="DS41" s="774">
        <v>0</v>
      </c>
      <c r="DT41" s="774">
        <v>0</v>
      </c>
      <c r="DU41" s="774">
        <v>0</v>
      </c>
      <c r="DV41" s="774">
        <v>0</v>
      </c>
      <c r="DW41" s="774">
        <v>0</v>
      </c>
      <c r="DX41" s="774">
        <v>0</v>
      </c>
      <c r="DY41" s="774">
        <v>0</v>
      </c>
      <c r="DZ41" s="774">
        <v>0</v>
      </c>
      <c r="EA41" s="774">
        <v>0</v>
      </c>
      <c r="EB41" s="774">
        <v>0</v>
      </c>
      <c r="EC41" s="774">
        <v>0</v>
      </c>
      <c r="ED41" s="774">
        <v>0</v>
      </c>
    </row>
    <row r="42" spans="1:134" ht="15" x14ac:dyDescent="0.25">
      <c r="A42" s="766">
        <v>137</v>
      </c>
      <c r="B42" s="766">
        <v>72</v>
      </c>
      <c r="C42" s="766" t="s">
        <v>3712</v>
      </c>
      <c r="D42" s="2">
        <v>99714</v>
      </c>
      <c r="E42" s="2">
        <v>99714</v>
      </c>
      <c r="F42" s="767" t="s">
        <v>3676</v>
      </c>
      <c r="G42" s="114">
        <v>140</v>
      </c>
      <c r="H42" s="114">
        <v>73</v>
      </c>
      <c r="I42" s="114">
        <v>58</v>
      </c>
      <c r="J42" s="114">
        <v>15</v>
      </c>
      <c r="K42" s="114">
        <v>0</v>
      </c>
      <c r="L42" s="114">
        <v>0</v>
      </c>
      <c r="M42" s="114">
        <v>0</v>
      </c>
      <c r="N42" s="114">
        <v>0</v>
      </c>
      <c r="O42" s="114">
        <v>0</v>
      </c>
      <c r="P42" s="114">
        <v>0</v>
      </c>
      <c r="Q42" s="114">
        <v>0</v>
      </c>
      <c r="R42" s="114">
        <v>0</v>
      </c>
      <c r="S42" s="114">
        <v>834.49503068156923</v>
      </c>
      <c r="T42" s="114">
        <v>834.49503068156923</v>
      </c>
      <c r="U42" s="114">
        <v>1408.3846153846155</v>
      </c>
      <c r="V42" s="114">
        <v>0</v>
      </c>
      <c r="W42" s="114">
        <v>0</v>
      </c>
      <c r="X42" s="114">
        <v>1365.173957061457</v>
      </c>
      <c r="Y42" s="114">
        <v>1.6726004851004852</v>
      </c>
      <c r="Z42" s="114">
        <v>71.232545045045043</v>
      </c>
      <c r="AA42" s="114">
        <v>9.4854469854469853E-2</v>
      </c>
      <c r="AB42" s="657">
        <v>0</v>
      </c>
      <c r="AC42" s="657">
        <v>0</v>
      </c>
      <c r="AD42" s="768">
        <v>73</v>
      </c>
      <c r="AE42" s="769">
        <v>1.3289154539154542</v>
      </c>
      <c r="AF42" s="769">
        <v>56.59572072072072</v>
      </c>
      <c r="AG42" s="770">
        <v>57.924636174636177</v>
      </c>
      <c r="AH42" s="769">
        <v>7.5363825363825354E-2</v>
      </c>
      <c r="AI42" s="769">
        <v>1.5691167654814724</v>
      </c>
      <c r="AJ42" s="769">
        <v>66.825390566223234</v>
      </c>
      <c r="AK42" s="769">
        <v>68.394507331704702</v>
      </c>
      <c r="AL42" s="769">
        <v>8.89858279101024E-2</v>
      </c>
      <c r="AM42" s="769">
        <v>1.270960384815266</v>
      </c>
      <c r="AN42" s="769">
        <v>54.127535934788511</v>
      </c>
      <c r="AO42" s="769">
        <v>55.39849631960378</v>
      </c>
      <c r="AP42" s="769">
        <v>7.2077148477236244E-2</v>
      </c>
      <c r="AQ42" s="769">
        <v>0</v>
      </c>
      <c r="AR42" s="769">
        <v>0</v>
      </c>
      <c r="AS42" s="769">
        <v>64.162942123370186</v>
      </c>
      <c r="AT42" s="769">
        <v>66.244945584403553</v>
      </c>
      <c r="AU42" s="769">
        <v>68.394507331704716</v>
      </c>
      <c r="AV42" s="769">
        <v>70.613819543206532</v>
      </c>
      <c r="AW42" s="769">
        <v>72.905145530145532</v>
      </c>
      <c r="AX42" s="769">
        <v>52.982523450306857</v>
      </c>
      <c r="AY42" s="769">
        <v>54.177044311822186</v>
      </c>
      <c r="AZ42" s="769">
        <v>55.39849631960378</v>
      </c>
      <c r="BA42" s="769">
        <v>56.647486651527359</v>
      </c>
      <c r="BB42" s="769">
        <v>57.924636174636177</v>
      </c>
      <c r="BC42" s="769">
        <v>0</v>
      </c>
      <c r="BD42" s="769">
        <v>0</v>
      </c>
      <c r="BE42" s="769">
        <v>0</v>
      </c>
      <c r="BF42" s="769">
        <v>0</v>
      </c>
      <c r="BG42" s="769">
        <v>0</v>
      </c>
      <c r="BH42" s="771">
        <v>73.733369321633475</v>
      </c>
      <c r="BI42" s="771">
        <v>74.571001977801672</v>
      </c>
      <c r="BJ42" s="771">
        <v>75.418150386106717</v>
      </c>
      <c r="BK42" s="772">
        <v>74.922309136668119</v>
      </c>
      <c r="BL42" s="772">
        <v>74.42972782589662</v>
      </c>
      <c r="BM42" s="772">
        <v>74.964048830957296</v>
      </c>
      <c r="BN42" s="772">
        <v>75.502205654645664</v>
      </c>
      <c r="BO42" s="772">
        <v>76.044225833787735</v>
      </c>
      <c r="BP42" s="772">
        <v>76.590137102892655</v>
      </c>
      <c r="BQ42" s="772">
        <v>77.139967395571944</v>
      </c>
      <c r="BR42" s="772">
        <v>77.573002246707219</v>
      </c>
      <c r="BS42" s="772">
        <v>78.008467993118032</v>
      </c>
      <c r="BT42" s="772">
        <v>78.446378280938958</v>
      </c>
      <c r="BU42" s="772">
        <v>78.886746832908813</v>
      </c>
      <c r="BV42" s="772">
        <v>79.329587448800694</v>
      </c>
      <c r="BW42" s="771">
        <v>58.58267699527044</v>
      </c>
      <c r="BX42" s="771">
        <v>59.248193352225989</v>
      </c>
      <c r="BY42" s="771">
        <v>59.921270169783426</v>
      </c>
      <c r="BZ42" s="772">
        <v>59.527314108585635</v>
      </c>
      <c r="CA42" s="772">
        <v>59.135948135643901</v>
      </c>
      <c r="CB42" s="772">
        <v>59.560477153363337</v>
      </c>
      <c r="CC42" s="772">
        <v>59.988053807800668</v>
      </c>
      <c r="CD42" s="772">
        <v>60.418699977529982</v>
      </c>
      <c r="CE42" s="772">
        <v>60.852437698188695</v>
      </c>
      <c r="CF42" s="772">
        <v>61.289289163605112</v>
      </c>
      <c r="CG42" s="772">
        <v>61.633344250808477</v>
      </c>
      <c r="CH42" s="772">
        <v>61.979330734258177</v>
      </c>
      <c r="CI42" s="772">
        <v>62.327259456088498</v>
      </c>
      <c r="CJ42" s="772">
        <v>62.677141319297419</v>
      </c>
      <c r="CK42" s="772">
        <v>63.028987288088231</v>
      </c>
      <c r="CL42" s="771">
        <v>0</v>
      </c>
      <c r="CM42" s="771">
        <v>0</v>
      </c>
      <c r="CN42" s="771">
        <v>0</v>
      </c>
      <c r="CO42" s="772">
        <v>0</v>
      </c>
      <c r="CP42" s="772">
        <v>0</v>
      </c>
      <c r="CQ42" s="772">
        <v>0</v>
      </c>
      <c r="CR42" s="772">
        <v>0</v>
      </c>
      <c r="CS42" s="772">
        <v>0</v>
      </c>
      <c r="CT42" s="772">
        <v>0</v>
      </c>
      <c r="CU42" s="772">
        <v>0</v>
      </c>
      <c r="CV42" s="772">
        <v>0</v>
      </c>
      <c r="CW42" s="772">
        <v>0</v>
      </c>
      <c r="CX42" s="772">
        <v>0</v>
      </c>
      <c r="CY42" s="772">
        <v>0</v>
      </c>
      <c r="CZ42" s="772">
        <v>0</v>
      </c>
      <c r="DA42" s="773">
        <v>9.593204439452703E-2</v>
      </c>
      <c r="DB42" s="773">
        <v>9.7021860496749518E-2</v>
      </c>
      <c r="DC42" s="773">
        <v>9.8124057228866399E-2</v>
      </c>
      <c r="DD42" s="774">
        <v>9.7478934604043874E-2</v>
      </c>
      <c r="DE42" s="774">
        <v>9.6838053377435104E-2</v>
      </c>
      <c r="DF42" s="774">
        <v>9.7533240737649352E-2</v>
      </c>
      <c r="DG42" s="774">
        <v>9.8233418754417975E-2</v>
      </c>
      <c r="DH42" s="774">
        <v>9.8938623254993141E-2</v>
      </c>
      <c r="DI42" s="774">
        <v>9.9648890323825998E-2</v>
      </c>
      <c r="DJ42" s="774">
        <v>0.10036425630441313</v>
      </c>
      <c r="DK42" s="774">
        <v>0.10092766360487537</v>
      </c>
      <c r="DL42" s="774">
        <v>0.10149423366265682</v>
      </c>
      <c r="DM42" s="774">
        <v>0.10206398423229113</v>
      </c>
      <c r="DN42" s="774">
        <v>0.1026369331679792</v>
      </c>
      <c r="DO42" s="774">
        <v>0.10321309842414871</v>
      </c>
      <c r="DP42" s="773">
        <v>0</v>
      </c>
      <c r="DQ42" s="773">
        <v>0</v>
      </c>
      <c r="DR42" s="773">
        <v>0</v>
      </c>
      <c r="DS42" s="774">
        <v>0</v>
      </c>
      <c r="DT42" s="774">
        <v>0</v>
      </c>
      <c r="DU42" s="774">
        <v>0</v>
      </c>
      <c r="DV42" s="774">
        <v>0</v>
      </c>
      <c r="DW42" s="774">
        <v>0</v>
      </c>
      <c r="DX42" s="774">
        <v>0</v>
      </c>
      <c r="DY42" s="774">
        <v>0</v>
      </c>
      <c r="DZ42" s="774">
        <v>0</v>
      </c>
      <c r="EA42" s="774">
        <v>0</v>
      </c>
      <c r="EB42" s="774">
        <v>0</v>
      </c>
      <c r="EC42" s="774">
        <v>0</v>
      </c>
      <c r="ED42" s="774">
        <v>0</v>
      </c>
    </row>
    <row r="43" spans="1:134" ht="15" x14ac:dyDescent="0.25">
      <c r="A43" s="766">
        <v>132</v>
      </c>
      <c r="B43" s="766">
        <v>73</v>
      </c>
      <c r="C43" s="766" t="s">
        <v>3713</v>
      </c>
      <c r="D43" s="2">
        <v>99714</v>
      </c>
      <c r="E43" s="2">
        <v>99714</v>
      </c>
      <c r="F43" s="767" t="s">
        <v>3676</v>
      </c>
      <c r="G43" s="114">
        <v>46</v>
      </c>
      <c r="H43" s="114">
        <v>34</v>
      </c>
      <c r="I43" s="114">
        <v>21</v>
      </c>
      <c r="J43" s="114">
        <v>13</v>
      </c>
      <c r="K43" s="114">
        <v>0</v>
      </c>
      <c r="L43" s="114">
        <v>4</v>
      </c>
      <c r="M43" s="114">
        <v>4</v>
      </c>
      <c r="N43" s="114">
        <v>0</v>
      </c>
      <c r="O43" s="114">
        <v>0</v>
      </c>
      <c r="P43" s="114">
        <v>0</v>
      </c>
      <c r="Q43" s="114">
        <v>4</v>
      </c>
      <c r="R43" s="114">
        <v>0</v>
      </c>
      <c r="S43" s="114">
        <v>1644</v>
      </c>
      <c r="T43" s="114">
        <v>1644</v>
      </c>
      <c r="U43" s="114">
        <v>0</v>
      </c>
      <c r="V43" s="114">
        <v>0</v>
      </c>
      <c r="W43" s="114">
        <v>0</v>
      </c>
      <c r="X43" s="114">
        <v>1644</v>
      </c>
      <c r="Y43" s="114">
        <v>0</v>
      </c>
      <c r="Z43" s="114">
        <v>34</v>
      </c>
      <c r="AA43" s="114">
        <v>0</v>
      </c>
      <c r="AB43" s="657">
        <v>0</v>
      </c>
      <c r="AC43" s="657">
        <v>0</v>
      </c>
      <c r="AD43" s="768">
        <v>34</v>
      </c>
      <c r="AE43" s="769">
        <v>0</v>
      </c>
      <c r="AF43" s="769">
        <v>21</v>
      </c>
      <c r="AG43" s="770">
        <v>21</v>
      </c>
      <c r="AH43" s="769">
        <v>0</v>
      </c>
      <c r="AI43" s="769">
        <v>0</v>
      </c>
      <c r="AJ43" s="769">
        <v>31.896421471601418</v>
      </c>
      <c r="AK43" s="769">
        <v>31.896421471601418</v>
      </c>
      <c r="AL43" s="769">
        <v>0</v>
      </c>
      <c r="AM43" s="769">
        <v>0</v>
      </c>
      <c r="AN43" s="769">
        <v>20.084173152236229</v>
      </c>
      <c r="AO43" s="769">
        <v>20.084173152236229</v>
      </c>
      <c r="AP43" s="769">
        <v>0</v>
      </c>
      <c r="AQ43" s="769">
        <v>0</v>
      </c>
      <c r="AR43" s="769">
        <v>0</v>
      </c>
      <c r="AS43" s="769">
        <v>29.92299125570694</v>
      </c>
      <c r="AT43" s="769">
        <v>30.893953142695615</v>
      </c>
      <c r="AU43" s="769">
        <v>31.896421471601418</v>
      </c>
      <c r="AV43" s="769">
        <v>32.931418585212029</v>
      </c>
      <c r="AW43" s="769">
        <v>34</v>
      </c>
      <c r="AX43" s="769">
        <v>19.208286248047933</v>
      </c>
      <c r="AY43" s="769">
        <v>19.641347890700185</v>
      </c>
      <c r="AZ43" s="769">
        <v>20.084173152236229</v>
      </c>
      <c r="BA43" s="769">
        <v>20.536982158948302</v>
      </c>
      <c r="BB43" s="769">
        <v>21</v>
      </c>
      <c r="BC43" s="769">
        <v>0</v>
      </c>
      <c r="BD43" s="769">
        <v>0</v>
      </c>
      <c r="BE43" s="769">
        <v>0</v>
      </c>
      <c r="BF43" s="769">
        <v>0</v>
      </c>
      <c r="BG43" s="769">
        <v>0</v>
      </c>
      <c r="BH43" s="771">
        <v>34.386249951300712</v>
      </c>
      <c r="BI43" s="771">
        <v>34.776887815097894</v>
      </c>
      <c r="BJ43" s="771">
        <v>35.171963439361782</v>
      </c>
      <c r="BK43" s="772">
        <v>34.940723211277451</v>
      </c>
      <c r="BL43" s="772">
        <v>34.711003286237236</v>
      </c>
      <c r="BM43" s="772">
        <v>34.960188910104499</v>
      </c>
      <c r="BN43" s="772">
        <v>35.211163404049351</v>
      </c>
      <c r="BO43" s="772">
        <v>35.463939610129493</v>
      </c>
      <c r="BP43" s="772">
        <v>35.718530462593982</v>
      </c>
      <c r="BQ43" s="772">
        <v>35.974948988545151</v>
      </c>
      <c r="BR43" s="772">
        <v>36.17689886233714</v>
      </c>
      <c r="BS43" s="772">
        <v>36.379982406993754</v>
      </c>
      <c r="BT43" s="772">
        <v>36.584205986518121</v>
      </c>
      <c r="BU43" s="772">
        <v>36.789576000638512</v>
      </c>
      <c r="BV43" s="772">
        <v>36.996098885008834</v>
      </c>
      <c r="BW43" s="771">
        <v>21.238566146391619</v>
      </c>
      <c r="BX43" s="771">
        <v>21.479842474031052</v>
      </c>
      <c r="BY43" s="771">
        <v>21.72385977137051</v>
      </c>
      <c r="BZ43" s="772">
        <v>21.581034924612538</v>
      </c>
      <c r="CA43" s="772">
        <v>21.439149088558288</v>
      </c>
      <c r="CB43" s="772">
        <v>21.59305785624101</v>
      </c>
      <c r="CC43" s="772">
        <v>21.748071514265774</v>
      </c>
      <c r="CD43" s="772">
        <v>21.904197994491742</v>
      </c>
      <c r="CE43" s="772">
        <v>22.06144528571981</v>
      </c>
      <c r="CF43" s="772">
        <v>22.219821434101416</v>
      </c>
      <c r="CG43" s="772">
        <v>22.344555179678821</v>
      </c>
      <c r="CH43" s="772">
        <v>22.469989133731431</v>
      </c>
      <c r="CI43" s="772">
        <v>22.596127226967074</v>
      </c>
      <c r="CJ43" s="772">
        <v>22.722973412159078</v>
      </c>
      <c r="CK43" s="772">
        <v>22.850531664270161</v>
      </c>
      <c r="CL43" s="771">
        <v>0</v>
      </c>
      <c r="CM43" s="771">
        <v>0</v>
      </c>
      <c r="CN43" s="771">
        <v>0</v>
      </c>
      <c r="CO43" s="772">
        <v>0</v>
      </c>
      <c r="CP43" s="772">
        <v>0</v>
      </c>
      <c r="CQ43" s="772">
        <v>0</v>
      </c>
      <c r="CR43" s="772">
        <v>0</v>
      </c>
      <c r="CS43" s="772">
        <v>0</v>
      </c>
      <c r="CT43" s="772">
        <v>0</v>
      </c>
      <c r="CU43" s="772">
        <v>0</v>
      </c>
      <c r="CV43" s="772">
        <v>0</v>
      </c>
      <c r="CW43" s="772">
        <v>0</v>
      </c>
      <c r="CX43" s="772">
        <v>0</v>
      </c>
      <c r="CY43" s="772">
        <v>0</v>
      </c>
      <c r="CZ43" s="772">
        <v>0</v>
      </c>
      <c r="DA43" s="773">
        <v>0</v>
      </c>
      <c r="DB43" s="773">
        <v>0</v>
      </c>
      <c r="DC43" s="773">
        <v>0</v>
      </c>
      <c r="DD43" s="774">
        <v>0</v>
      </c>
      <c r="DE43" s="774">
        <v>0</v>
      </c>
      <c r="DF43" s="774">
        <v>0</v>
      </c>
      <c r="DG43" s="774">
        <v>0</v>
      </c>
      <c r="DH43" s="774">
        <v>0</v>
      </c>
      <c r="DI43" s="774">
        <v>0</v>
      </c>
      <c r="DJ43" s="774">
        <v>0</v>
      </c>
      <c r="DK43" s="774">
        <v>0</v>
      </c>
      <c r="DL43" s="774">
        <v>0</v>
      </c>
      <c r="DM43" s="774">
        <v>0</v>
      </c>
      <c r="DN43" s="774">
        <v>0</v>
      </c>
      <c r="DO43" s="774">
        <v>0</v>
      </c>
      <c r="DP43" s="773">
        <v>0</v>
      </c>
      <c r="DQ43" s="773">
        <v>0</v>
      </c>
      <c r="DR43" s="773">
        <v>0</v>
      </c>
      <c r="DS43" s="774">
        <v>0</v>
      </c>
      <c r="DT43" s="774">
        <v>0</v>
      </c>
      <c r="DU43" s="774">
        <v>0</v>
      </c>
      <c r="DV43" s="774">
        <v>0</v>
      </c>
      <c r="DW43" s="774">
        <v>0</v>
      </c>
      <c r="DX43" s="774">
        <v>0</v>
      </c>
      <c r="DY43" s="774">
        <v>0</v>
      </c>
      <c r="DZ43" s="774">
        <v>0</v>
      </c>
      <c r="EA43" s="774">
        <v>0</v>
      </c>
      <c r="EB43" s="774">
        <v>0</v>
      </c>
      <c r="EC43" s="774">
        <v>0</v>
      </c>
      <c r="ED43" s="774">
        <v>0</v>
      </c>
    </row>
    <row r="44" spans="1:134" ht="15" x14ac:dyDescent="0.25">
      <c r="A44" s="766">
        <v>133</v>
      </c>
      <c r="B44" s="766">
        <v>73</v>
      </c>
      <c r="C44" s="766" t="s">
        <v>3714</v>
      </c>
      <c r="D44" s="2">
        <v>99714</v>
      </c>
      <c r="E44" s="2">
        <v>99714</v>
      </c>
      <c r="F44" s="767" t="s">
        <v>3676</v>
      </c>
      <c r="G44" s="114">
        <v>41</v>
      </c>
      <c r="H44" s="114">
        <v>20</v>
      </c>
      <c r="I44" s="114">
        <v>19</v>
      </c>
      <c r="J44" s="114">
        <v>1</v>
      </c>
      <c r="K44" s="114">
        <v>0</v>
      </c>
      <c r="L44" s="114">
        <v>13</v>
      </c>
      <c r="M44" s="114">
        <v>13</v>
      </c>
      <c r="N44" s="114">
        <v>0</v>
      </c>
      <c r="O44" s="114">
        <v>0</v>
      </c>
      <c r="P44" s="114">
        <v>0</v>
      </c>
      <c r="Q44" s="114">
        <v>13</v>
      </c>
      <c r="R44" s="114">
        <v>0</v>
      </c>
      <c r="S44" s="114">
        <v>1930.3076923076924</v>
      </c>
      <c r="T44" s="114">
        <v>1930.3076923076924</v>
      </c>
      <c r="U44" s="114">
        <v>0</v>
      </c>
      <c r="V44" s="114">
        <v>0</v>
      </c>
      <c r="W44" s="114">
        <v>0</v>
      </c>
      <c r="X44" s="114">
        <v>1930.3076923076924</v>
      </c>
      <c r="Y44" s="114">
        <v>0</v>
      </c>
      <c r="Z44" s="114">
        <v>20</v>
      </c>
      <c r="AA44" s="114">
        <v>0</v>
      </c>
      <c r="AB44" s="657">
        <v>0</v>
      </c>
      <c r="AC44" s="657">
        <v>0</v>
      </c>
      <c r="AD44" s="768">
        <v>20</v>
      </c>
      <c r="AE44" s="769">
        <v>0</v>
      </c>
      <c r="AF44" s="769">
        <v>19</v>
      </c>
      <c r="AG44" s="770">
        <v>19</v>
      </c>
      <c r="AH44" s="769">
        <v>0</v>
      </c>
      <c r="AI44" s="769">
        <v>0</v>
      </c>
      <c r="AJ44" s="769">
        <v>18.762600865647894</v>
      </c>
      <c r="AK44" s="769">
        <v>18.762600865647894</v>
      </c>
      <c r="AL44" s="769">
        <v>0</v>
      </c>
      <c r="AM44" s="769">
        <v>0</v>
      </c>
      <c r="AN44" s="769">
        <v>18.171394756785162</v>
      </c>
      <c r="AO44" s="769">
        <v>18.171394756785162</v>
      </c>
      <c r="AP44" s="769">
        <v>0</v>
      </c>
      <c r="AQ44" s="769">
        <v>0</v>
      </c>
      <c r="AR44" s="769">
        <v>0</v>
      </c>
      <c r="AS44" s="769">
        <v>17.60175956218055</v>
      </c>
      <c r="AT44" s="769">
        <v>18.17291361335036</v>
      </c>
      <c r="AU44" s="769">
        <v>18.762600865647894</v>
      </c>
      <c r="AV44" s="769">
        <v>19.371422697183547</v>
      </c>
      <c r="AW44" s="769">
        <v>20</v>
      </c>
      <c r="AX44" s="769">
        <v>17.378925652995751</v>
      </c>
      <c r="AY44" s="769">
        <v>17.770743329681121</v>
      </c>
      <c r="AZ44" s="769">
        <v>18.171394756785162</v>
      </c>
      <c r="BA44" s="769">
        <v>18.581079096191321</v>
      </c>
      <c r="BB44" s="769">
        <v>19</v>
      </c>
      <c r="BC44" s="769">
        <v>0</v>
      </c>
      <c r="BD44" s="769">
        <v>0</v>
      </c>
      <c r="BE44" s="769">
        <v>0</v>
      </c>
      <c r="BF44" s="769">
        <v>0</v>
      </c>
      <c r="BG44" s="769">
        <v>0</v>
      </c>
      <c r="BH44" s="771">
        <v>20.227205853706302</v>
      </c>
      <c r="BI44" s="771">
        <v>20.456992832410528</v>
      </c>
      <c r="BJ44" s="771">
        <v>20.689390258448107</v>
      </c>
      <c r="BK44" s="772">
        <v>20.55336659486909</v>
      </c>
      <c r="BL44" s="772">
        <v>20.418237227198372</v>
      </c>
      <c r="BM44" s="772">
        <v>20.564817005943823</v>
      </c>
      <c r="BN44" s="772">
        <v>20.712449061205501</v>
      </c>
      <c r="BO44" s="772">
        <v>20.861140947134995</v>
      </c>
      <c r="BP44" s="772">
        <v>21.010900272114107</v>
      </c>
      <c r="BQ44" s="772">
        <v>21.161734699144208</v>
      </c>
      <c r="BR44" s="772">
        <v>21.280528742551258</v>
      </c>
      <c r="BS44" s="772">
        <v>21.399989651172795</v>
      </c>
      <c r="BT44" s="772">
        <v>21.520121168540072</v>
      </c>
      <c r="BU44" s="772">
        <v>21.640927059199125</v>
      </c>
      <c r="BV44" s="772">
        <v>21.762411108828726</v>
      </c>
      <c r="BW44" s="771">
        <v>19.215845561020988</v>
      </c>
      <c r="BX44" s="771">
        <v>19.434143190790003</v>
      </c>
      <c r="BY44" s="771">
        <v>19.6549207455257</v>
      </c>
      <c r="BZ44" s="772">
        <v>19.525698265125634</v>
      </c>
      <c r="CA44" s="772">
        <v>19.397325365838455</v>
      </c>
      <c r="CB44" s="772">
        <v>19.536576155646628</v>
      </c>
      <c r="CC44" s="772">
        <v>19.676826608145227</v>
      </c>
      <c r="CD44" s="772">
        <v>19.818083899778244</v>
      </c>
      <c r="CE44" s="772">
        <v>19.9603552585084</v>
      </c>
      <c r="CF44" s="772">
        <v>20.103647964186997</v>
      </c>
      <c r="CG44" s="772">
        <v>20.216502305423695</v>
      </c>
      <c r="CH44" s="772">
        <v>20.329990168614152</v>
      </c>
      <c r="CI44" s="772">
        <v>20.444115110113067</v>
      </c>
      <c r="CJ44" s="772">
        <v>20.558880706239165</v>
      </c>
      <c r="CK44" s="772">
        <v>20.674290553387287</v>
      </c>
      <c r="CL44" s="771">
        <v>0</v>
      </c>
      <c r="CM44" s="771">
        <v>0</v>
      </c>
      <c r="CN44" s="771">
        <v>0</v>
      </c>
      <c r="CO44" s="772">
        <v>0</v>
      </c>
      <c r="CP44" s="772">
        <v>0</v>
      </c>
      <c r="CQ44" s="772">
        <v>0</v>
      </c>
      <c r="CR44" s="772">
        <v>0</v>
      </c>
      <c r="CS44" s="772">
        <v>0</v>
      </c>
      <c r="CT44" s="772">
        <v>0</v>
      </c>
      <c r="CU44" s="772">
        <v>0</v>
      </c>
      <c r="CV44" s="772">
        <v>0</v>
      </c>
      <c r="CW44" s="772">
        <v>0</v>
      </c>
      <c r="CX44" s="772">
        <v>0</v>
      </c>
      <c r="CY44" s="772">
        <v>0</v>
      </c>
      <c r="CZ44" s="772">
        <v>0</v>
      </c>
      <c r="DA44" s="773">
        <v>0</v>
      </c>
      <c r="DB44" s="773">
        <v>0</v>
      </c>
      <c r="DC44" s="773">
        <v>0</v>
      </c>
      <c r="DD44" s="774">
        <v>0</v>
      </c>
      <c r="DE44" s="774">
        <v>0</v>
      </c>
      <c r="DF44" s="774">
        <v>0</v>
      </c>
      <c r="DG44" s="774">
        <v>0</v>
      </c>
      <c r="DH44" s="774">
        <v>0</v>
      </c>
      <c r="DI44" s="774">
        <v>0</v>
      </c>
      <c r="DJ44" s="774">
        <v>0</v>
      </c>
      <c r="DK44" s="774">
        <v>0</v>
      </c>
      <c r="DL44" s="774">
        <v>0</v>
      </c>
      <c r="DM44" s="774">
        <v>0</v>
      </c>
      <c r="DN44" s="774">
        <v>0</v>
      </c>
      <c r="DO44" s="774">
        <v>0</v>
      </c>
      <c r="DP44" s="773">
        <v>0</v>
      </c>
      <c r="DQ44" s="773">
        <v>0</v>
      </c>
      <c r="DR44" s="773">
        <v>0</v>
      </c>
      <c r="DS44" s="774">
        <v>0</v>
      </c>
      <c r="DT44" s="774">
        <v>0</v>
      </c>
      <c r="DU44" s="774">
        <v>0</v>
      </c>
      <c r="DV44" s="774">
        <v>0</v>
      </c>
      <c r="DW44" s="774">
        <v>0</v>
      </c>
      <c r="DX44" s="774">
        <v>0</v>
      </c>
      <c r="DY44" s="774">
        <v>0</v>
      </c>
      <c r="DZ44" s="774">
        <v>0</v>
      </c>
      <c r="EA44" s="774">
        <v>0</v>
      </c>
      <c r="EB44" s="774">
        <v>0</v>
      </c>
      <c r="EC44" s="774">
        <v>0</v>
      </c>
      <c r="ED44" s="774">
        <v>0</v>
      </c>
    </row>
    <row r="45" spans="1:134" ht="15" x14ac:dyDescent="0.25">
      <c r="A45" s="766">
        <v>131</v>
      </c>
      <c r="B45" s="766">
        <v>74</v>
      </c>
      <c r="C45" s="766" t="s">
        <v>3715</v>
      </c>
      <c r="D45" s="2">
        <v>99714</v>
      </c>
      <c r="E45" s="2">
        <v>99714</v>
      </c>
      <c r="F45" s="767" t="s">
        <v>3676</v>
      </c>
      <c r="G45" s="114">
        <v>2</v>
      </c>
      <c r="H45" s="114">
        <v>2</v>
      </c>
      <c r="I45" s="114">
        <v>1</v>
      </c>
      <c r="J45" s="114">
        <v>1</v>
      </c>
      <c r="K45" s="114">
        <v>0</v>
      </c>
      <c r="L45" s="114">
        <v>8</v>
      </c>
      <c r="M45" s="114">
        <v>8</v>
      </c>
      <c r="N45" s="114">
        <v>0</v>
      </c>
      <c r="O45" s="114">
        <v>0</v>
      </c>
      <c r="P45" s="114">
        <v>0</v>
      </c>
      <c r="Q45" s="114">
        <v>8</v>
      </c>
      <c r="R45" s="114">
        <v>0</v>
      </c>
      <c r="S45" s="114">
        <v>1723</v>
      </c>
      <c r="T45" s="114">
        <v>1723</v>
      </c>
      <c r="U45" s="114">
        <v>0</v>
      </c>
      <c r="V45" s="114">
        <v>0</v>
      </c>
      <c r="W45" s="114">
        <v>0</v>
      </c>
      <c r="X45" s="114">
        <v>1723</v>
      </c>
      <c r="Y45" s="114">
        <v>0</v>
      </c>
      <c r="Z45" s="114">
        <v>2</v>
      </c>
      <c r="AA45" s="114">
        <v>0</v>
      </c>
      <c r="AB45" s="657">
        <v>0</v>
      </c>
      <c r="AC45" s="657">
        <v>0</v>
      </c>
      <c r="AD45" s="768">
        <v>2</v>
      </c>
      <c r="AE45" s="769">
        <v>0</v>
      </c>
      <c r="AF45" s="769">
        <v>1</v>
      </c>
      <c r="AG45" s="770">
        <v>1</v>
      </c>
      <c r="AH45" s="769">
        <v>0</v>
      </c>
      <c r="AI45" s="769">
        <v>0</v>
      </c>
      <c r="AJ45" s="769">
        <v>1.8762600865647894</v>
      </c>
      <c r="AK45" s="769">
        <v>1.8762600865647894</v>
      </c>
      <c r="AL45" s="769">
        <v>0</v>
      </c>
      <c r="AM45" s="769">
        <v>0</v>
      </c>
      <c r="AN45" s="769">
        <v>0.95638919772553477</v>
      </c>
      <c r="AO45" s="769">
        <v>0.95638919772553477</v>
      </c>
      <c r="AP45" s="769">
        <v>0</v>
      </c>
      <c r="AQ45" s="769">
        <v>0</v>
      </c>
      <c r="AR45" s="769">
        <v>0</v>
      </c>
      <c r="AS45" s="769">
        <v>1.7601759562180552</v>
      </c>
      <c r="AT45" s="769">
        <v>1.8172913613350361</v>
      </c>
      <c r="AU45" s="769">
        <v>1.8762600865647894</v>
      </c>
      <c r="AV45" s="769">
        <v>1.9371422697183545</v>
      </c>
      <c r="AW45" s="769">
        <v>2</v>
      </c>
      <c r="AX45" s="769">
        <v>0.91468029752609203</v>
      </c>
      <c r="AY45" s="769">
        <v>0.93530228050953268</v>
      </c>
      <c r="AZ45" s="769">
        <v>0.95638919772553477</v>
      </c>
      <c r="BA45" s="769">
        <v>0.97795153137849056</v>
      </c>
      <c r="BB45" s="769">
        <v>1</v>
      </c>
      <c r="BC45" s="769">
        <v>0</v>
      </c>
      <c r="BD45" s="769">
        <v>0</v>
      </c>
      <c r="BE45" s="769">
        <v>0</v>
      </c>
      <c r="BF45" s="769">
        <v>0</v>
      </c>
      <c r="BG45" s="769">
        <v>0</v>
      </c>
      <c r="BH45" s="771">
        <v>2.0227205853706303</v>
      </c>
      <c r="BI45" s="771">
        <v>2.0456992832410528</v>
      </c>
      <c r="BJ45" s="771">
        <v>2.0689390258448106</v>
      </c>
      <c r="BK45" s="772">
        <v>2.0553366594869087</v>
      </c>
      <c r="BL45" s="772">
        <v>2.0418237227198373</v>
      </c>
      <c r="BM45" s="772">
        <v>2.0564817005943818</v>
      </c>
      <c r="BN45" s="772">
        <v>2.0712449061205502</v>
      </c>
      <c r="BO45" s="772">
        <v>2.0861140947134995</v>
      </c>
      <c r="BP45" s="772">
        <v>2.1010900272114106</v>
      </c>
      <c r="BQ45" s="772">
        <v>2.1161734699144206</v>
      </c>
      <c r="BR45" s="772">
        <v>2.1280528742551259</v>
      </c>
      <c r="BS45" s="772">
        <v>2.1399989651172793</v>
      </c>
      <c r="BT45" s="772">
        <v>2.152012116854007</v>
      </c>
      <c r="BU45" s="772">
        <v>2.1640927059199124</v>
      </c>
      <c r="BV45" s="772">
        <v>2.1762411108828723</v>
      </c>
      <c r="BW45" s="771">
        <v>1.0113602926853151</v>
      </c>
      <c r="BX45" s="771">
        <v>1.0228496416205264</v>
      </c>
      <c r="BY45" s="771">
        <v>1.0344695129224053</v>
      </c>
      <c r="BZ45" s="772">
        <v>1.0276683297434543</v>
      </c>
      <c r="CA45" s="772">
        <v>1.0209118613599186</v>
      </c>
      <c r="CB45" s="772">
        <v>1.0282408502971909</v>
      </c>
      <c r="CC45" s="772">
        <v>1.0356224530602751</v>
      </c>
      <c r="CD45" s="772">
        <v>1.0430570473567498</v>
      </c>
      <c r="CE45" s="772">
        <v>1.0505450136057053</v>
      </c>
      <c r="CF45" s="772">
        <v>1.0580867349572103</v>
      </c>
      <c r="CG45" s="772">
        <v>1.064026437127563</v>
      </c>
      <c r="CH45" s="772">
        <v>1.0699994825586396</v>
      </c>
      <c r="CI45" s="772">
        <v>1.0760060584270035</v>
      </c>
      <c r="CJ45" s="772">
        <v>1.0820463529599562</v>
      </c>
      <c r="CK45" s="772">
        <v>1.0881205554414362</v>
      </c>
      <c r="CL45" s="771">
        <v>0</v>
      </c>
      <c r="CM45" s="771">
        <v>0</v>
      </c>
      <c r="CN45" s="771">
        <v>0</v>
      </c>
      <c r="CO45" s="772">
        <v>0</v>
      </c>
      <c r="CP45" s="772">
        <v>0</v>
      </c>
      <c r="CQ45" s="772">
        <v>0</v>
      </c>
      <c r="CR45" s="772">
        <v>0</v>
      </c>
      <c r="CS45" s="772">
        <v>0</v>
      </c>
      <c r="CT45" s="772">
        <v>0</v>
      </c>
      <c r="CU45" s="772">
        <v>0</v>
      </c>
      <c r="CV45" s="772">
        <v>0</v>
      </c>
      <c r="CW45" s="772">
        <v>0</v>
      </c>
      <c r="CX45" s="772">
        <v>0</v>
      </c>
      <c r="CY45" s="772">
        <v>0</v>
      </c>
      <c r="CZ45" s="772">
        <v>0</v>
      </c>
      <c r="DA45" s="773">
        <v>0</v>
      </c>
      <c r="DB45" s="773">
        <v>0</v>
      </c>
      <c r="DC45" s="773">
        <v>0</v>
      </c>
      <c r="DD45" s="774">
        <v>0</v>
      </c>
      <c r="DE45" s="774">
        <v>0</v>
      </c>
      <c r="DF45" s="774">
        <v>0</v>
      </c>
      <c r="DG45" s="774">
        <v>0</v>
      </c>
      <c r="DH45" s="774">
        <v>0</v>
      </c>
      <c r="DI45" s="774">
        <v>0</v>
      </c>
      <c r="DJ45" s="774">
        <v>0</v>
      </c>
      <c r="DK45" s="774">
        <v>0</v>
      </c>
      <c r="DL45" s="774">
        <v>0</v>
      </c>
      <c r="DM45" s="774">
        <v>0</v>
      </c>
      <c r="DN45" s="774">
        <v>0</v>
      </c>
      <c r="DO45" s="774">
        <v>0</v>
      </c>
      <c r="DP45" s="773">
        <v>0</v>
      </c>
      <c r="DQ45" s="773">
        <v>0</v>
      </c>
      <c r="DR45" s="773">
        <v>0</v>
      </c>
      <c r="DS45" s="774">
        <v>0</v>
      </c>
      <c r="DT45" s="774">
        <v>0</v>
      </c>
      <c r="DU45" s="774">
        <v>0</v>
      </c>
      <c r="DV45" s="774">
        <v>0</v>
      </c>
      <c r="DW45" s="774">
        <v>0</v>
      </c>
      <c r="DX45" s="774">
        <v>0</v>
      </c>
      <c r="DY45" s="774">
        <v>0</v>
      </c>
      <c r="DZ45" s="774">
        <v>0</v>
      </c>
      <c r="EA45" s="774">
        <v>0</v>
      </c>
      <c r="EB45" s="774">
        <v>0</v>
      </c>
      <c r="EC45" s="774">
        <v>0</v>
      </c>
      <c r="ED45" s="774">
        <v>0</v>
      </c>
    </row>
    <row r="46" spans="1:134" ht="15" x14ac:dyDescent="0.25">
      <c r="A46" s="766">
        <v>132</v>
      </c>
      <c r="B46" s="766">
        <v>74</v>
      </c>
      <c r="C46" s="766" t="s">
        <v>3716</v>
      </c>
      <c r="D46" s="2">
        <v>99714</v>
      </c>
      <c r="E46" s="2">
        <v>99714</v>
      </c>
      <c r="F46" s="767" t="s">
        <v>3676</v>
      </c>
      <c r="G46" s="114">
        <v>60</v>
      </c>
      <c r="H46" s="114">
        <v>23</v>
      </c>
      <c r="I46" s="114">
        <v>19</v>
      </c>
      <c r="J46" s="114">
        <v>4</v>
      </c>
      <c r="K46" s="114">
        <v>0</v>
      </c>
      <c r="L46" s="114">
        <v>32</v>
      </c>
      <c r="M46" s="114">
        <v>32</v>
      </c>
      <c r="N46" s="114">
        <v>0</v>
      </c>
      <c r="O46" s="114">
        <v>0</v>
      </c>
      <c r="P46" s="114">
        <v>0</v>
      </c>
      <c r="Q46" s="114">
        <v>32</v>
      </c>
      <c r="R46" s="114">
        <v>0</v>
      </c>
      <c r="S46" s="114">
        <v>1443.71875</v>
      </c>
      <c r="T46" s="114">
        <v>1443.71875</v>
      </c>
      <c r="U46" s="114">
        <v>0</v>
      </c>
      <c r="V46" s="114">
        <v>0</v>
      </c>
      <c r="W46" s="114">
        <v>0</v>
      </c>
      <c r="X46" s="114">
        <v>1443.71875</v>
      </c>
      <c r="Y46" s="114">
        <v>0</v>
      </c>
      <c r="Z46" s="114">
        <v>23</v>
      </c>
      <c r="AA46" s="114">
        <v>0</v>
      </c>
      <c r="AB46" s="657">
        <v>0</v>
      </c>
      <c r="AC46" s="657">
        <v>0</v>
      </c>
      <c r="AD46" s="768">
        <v>23</v>
      </c>
      <c r="AE46" s="769">
        <v>0</v>
      </c>
      <c r="AF46" s="769">
        <v>19</v>
      </c>
      <c r="AG46" s="770">
        <v>19</v>
      </c>
      <c r="AH46" s="769">
        <v>0</v>
      </c>
      <c r="AI46" s="769">
        <v>0</v>
      </c>
      <c r="AJ46" s="769">
        <v>21.576990995495077</v>
      </c>
      <c r="AK46" s="769">
        <v>21.576990995495077</v>
      </c>
      <c r="AL46" s="769">
        <v>0</v>
      </c>
      <c r="AM46" s="769">
        <v>0</v>
      </c>
      <c r="AN46" s="769">
        <v>18.171394756785162</v>
      </c>
      <c r="AO46" s="769">
        <v>18.171394756785162</v>
      </c>
      <c r="AP46" s="769">
        <v>0</v>
      </c>
      <c r="AQ46" s="769">
        <v>0</v>
      </c>
      <c r="AR46" s="769">
        <v>0</v>
      </c>
      <c r="AS46" s="769">
        <v>20.242023496507635</v>
      </c>
      <c r="AT46" s="769">
        <v>20.898850655352916</v>
      </c>
      <c r="AU46" s="769">
        <v>21.576990995495077</v>
      </c>
      <c r="AV46" s="769">
        <v>22.277136101761077</v>
      </c>
      <c r="AW46" s="769">
        <v>23</v>
      </c>
      <c r="AX46" s="769">
        <v>17.378925652995751</v>
      </c>
      <c r="AY46" s="769">
        <v>17.770743329681121</v>
      </c>
      <c r="AZ46" s="769">
        <v>18.171394756785162</v>
      </c>
      <c r="BA46" s="769">
        <v>18.581079096191321</v>
      </c>
      <c r="BB46" s="769">
        <v>19</v>
      </c>
      <c r="BC46" s="769">
        <v>0</v>
      </c>
      <c r="BD46" s="769">
        <v>0</v>
      </c>
      <c r="BE46" s="769">
        <v>0</v>
      </c>
      <c r="BF46" s="769">
        <v>0</v>
      </c>
      <c r="BG46" s="769">
        <v>0</v>
      </c>
      <c r="BH46" s="771">
        <v>23.261286731762247</v>
      </c>
      <c r="BI46" s="771">
        <v>23.525541757272109</v>
      </c>
      <c r="BJ46" s="771">
        <v>23.792798797215323</v>
      </c>
      <c r="BK46" s="772">
        <v>23.63637158409945</v>
      </c>
      <c r="BL46" s="772">
        <v>23.480972811278129</v>
      </c>
      <c r="BM46" s="772">
        <v>23.649539556835393</v>
      </c>
      <c r="BN46" s="772">
        <v>23.819316420386325</v>
      </c>
      <c r="BO46" s="772">
        <v>23.990312089205243</v>
      </c>
      <c r="BP46" s="772">
        <v>24.162535312931222</v>
      </c>
      <c r="BQ46" s="772">
        <v>24.335994904015838</v>
      </c>
      <c r="BR46" s="772">
        <v>24.472608053933946</v>
      </c>
      <c r="BS46" s="772">
        <v>24.609988098848714</v>
      </c>
      <c r="BT46" s="772">
        <v>24.748139343821084</v>
      </c>
      <c r="BU46" s="772">
        <v>24.887066118078991</v>
      </c>
      <c r="BV46" s="772">
        <v>25.026772775153034</v>
      </c>
      <c r="BW46" s="771">
        <v>19.215845561020988</v>
      </c>
      <c r="BX46" s="771">
        <v>19.434143190790003</v>
      </c>
      <c r="BY46" s="771">
        <v>19.6549207455257</v>
      </c>
      <c r="BZ46" s="772">
        <v>19.525698265125634</v>
      </c>
      <c r="CA46" s="772">
        <v>19.397325365838455</v>
      </c>
      <c r="CB46" s="772">
        <v>19.536576155646628</v>
      </c>
      <c r="CC46" s="772">
        <v>19.676826608145227</v>
      </c>
      <c r="CD46" s="772">
        <v>19.818083899778244</v>
      </c>
      <c r="CE46" s="772">
        <v>19.9603552585084</v>
      </c>
      <c r="CF46" s="772">
        <v>20.103647964186997</v>
      </c>
      <c r="CG46" s="772">
        <v>20.216502305423695</v>
      </c>
      <c r="CH46" s="772">
        <v>20.329990168614152</v>
      </c>
      <c r="CI46" s="772">
        <v>20.444115110113067</v>
      </c>
      <c r="CJ46" s="772">
        <v>20.558880706239165</v>
      </c>
      <c r="CK46" s="772">
        <v>20.674290553387287</v>
      </c>
      <c r="CL46" s="771">
        <v>0</v>
      </c>
      <c r="CM46" s="771">
        <v>0</v>
      </c>
      <c r="CN46" s="771">
        <v>0</v>
      </c>
      <c r="CO46" s="772">
        <v>0</v>
      </c>
      <c r="CP46" s="772">
        <v>0</v>
      </c>
      <c r="CQ46" s="772">
        <v>0</v>
      </c>
      <c r="CR46" s="772">
        <v>0</v>
      </c>
      <c r="CS46" s="772">
        <v>0</v>
      </c>
      <c r="CT46" s="772">
        <v>0</v>
      </c>
      <c r="CU46" s="772">
        <v>0</v>
      </c>
      <c r="CV46" s="772">
        <v>0</v>
      </c>
      <c r="CW46" s="772">
        <v>0</v>
      </c>
      <c r="CX46" s="772">
        <v>0</v>
      </c>
      <c r="CY46" s="772">
        <v>0</v>
      </c>
      <c r="CZ46" s="772">
        <v>0</v>
      </c>
      <c r="DA46" s="773">
        <v>0</v>
      </c>
      <c r="DB46" s="773">
        <v>0</v>
      </c>
      <c r="DC46" s="773">
        <v>0</v>
      </c>
      <c r="DD46" s="774">
        <v>0</v>
      </c>
      <c r="DE46" s="774">
        <v>0</v>
      </c>
      <c r="DF46" s="774">
        <v>0</v>
      </c>
      <c r="DG46" s="774">
        <v>0</v>
      </c>
      <c r="DH46" s="774">
        <v>0</v>
      </c>
      <c r="DI46" s="774">
        <v>0</v>
      </c>
      <c r="DJ46" s="774">
        <v>0</v>
      </c>
      <c r="DK46" s="774">
        <v>0</v>
      </c>
      <c r="DL46" s="774">
        <v>0</v>
      </c>
      <c r="DM46" s="774">
        <v>0</v>
      </c>
      <c r="DN46" s="774">
        <v>0</v>
      </c>
      <c r="DO46" s="774">
        <v>0</v>
      </c>
      <c r="DP46" s="773">
        <v>0</v>
      </c>
      <c r="DQ46" s="773">
        <v>0</v>
      </c>
      <c r="DR46" s="773">
        <v>0</v>
      </c>
      <c r="DS46" s="774">
        <v>0</v>
      </c>
      <c r="DT46" s="774">
        <v>0</v>
      </c>
      <c r="DU46" s="774">
        <v>0</v>
      </c>
      <c r="DV46" s="774">
        <v>0</v>
      </c>
      <c r="DW46" s="774">
        <v>0</v>
      </c>
      <c r="DX46" s="774">
        <v>0</v>
      </c>
      <c r="DY46" s="774">
        <v>0</v>
      </c>
      <c r="DZ46" s="774">
        <v>0</v>
      </c>
      <c r="EA46" s="774">
        <v>0</v>
      </c>
      <c r="EB46" s="774">
        <v>0</v>
      </c>
      <c r="EC46" s="774">
        <v>0</v>
      </c>
      <c r="ED46" s="774">
        <v>0</v>
      </c>
    </row>
    <row r="47" spans="1:134" ht="15" x14ac:dyDescent="0.25">
      <c r="A47" s="766">
        <v>133</v>
      </c>
      <c r="B47" s="766">
        <v>74</v>
      </c>
      <c r="C47" s="766" t="s">
        <v>3717</v>
      </c>
      <c r="D47" s="2">
        <v>99714</v>
      </c>
      <c r="E47" s="2">
        <v>99714</v>
      </c>
      <c r="F47" s="767" t="s">
        <v>3676</v>
      </c>
      <c r="G47" s="114">
        <v>9</v>
      </c>
      <c r="H47" s="114">
        <v>4</v>
      </c>
      <c r="I47" s="114">
        <v>4</v>
      </c>
      <c r="J47" s="114">
        <v>0</v>
      </c>
      <c r="K47" s="114">
        <v>0</v>
      </c>
      <c r="L47" s="114">
        <v>3</v>
      </c>
      <c r="M47" s="114">
        <v>3</v>
      </c>
      <c r="N47" s="114">
        <v>0</v>
      </c>
      <c r="O47" s="114">
        <v>0</v>
      </c>
      <c r="P47" s="114">
        <v>0</v>
      </c>
      <c r="Q47" s="114">
        <v>3</v>
      </c>
      <c r="R47" s="114">
        <v>0</v>
      </c>
      <c r="S47" s="114">
        <v>1639.6666666666667</v>
      </c>
      <c r="T47" s="114">
        <v>1639.6666666666667</v>
      </c>
      <c r="U47" s="114">
        <v>0</v>
      </c>
      <c r="V47" s="114">
        <v>0</v>
      </c>
      <c r="W47" s="114">
        <v>0</v>
      </c>
      <c r="X47" s="114">
        <v>1639.6666666666667</v>
      </c>
      <c r="Y47" s="114">
        <v>0</v>
      </c>
      <c r="Z47" s="114">
        <v>4</v>
      </c>
      <c r="AA47" s="114">
        <v>0</v>
      </c>
      <c r="AB47" s="657">
        <v>0</v>
      </c>
      <c r="AC47" s="657">
        <v>0</v>
      </c>
      <c r="AD47" s="768">
        <v>4</v>
      </c>
      <c r="AE47" s="769">
        <v>0</v>
      </c>
      <c r="AF47" s="769">
        <v>4</v>
      </c>
      <c r="AG47" s="770">
        <v>4</v>
      </c>
      <c r="AH47" s="769">
        <v>0</v>
      </c>
      <c r="AI47" s="769">
        <v>0</v>
      </c>
      <c r="AJ47" s="769">
        <v>3.7525201731295788</v>
      </c>
      <c r="AK47" s="769">
        <v>3.7525201731295788</v>
      </c>
      <c r="AL47" s="769">
        <v>0</v>
      </c>
      <c r="AM47" s="769">
        <v>0</v>
      </c>
      <c r="AN47" s="769">
        <v>3.8255567909021391</v>
      </c>
      <c r="AO47" s="769">
        <v>3.8255567909021391</v>
      </c>
      <c r="AP47" s="769">
        <v>0</v>
      </c>
      <c r="AQ47" s="769">
        <v>0</v>
      </c>
      <c r="AR47" s="769">
        <v>0</v>
      </c>
      <c r="AS47" s="769">
        <v>3.5203519124361105</v>
      </c>
      <c r="AT47" s="769">
        <v>3.6345827226700722</v>
      </c>
      <c r="AU47" s="769">
        <v>3.7525201731295788</v>
      </c>
      <c r="AV47" s="769">
        <v>3.8742845394367089</v>
      </c>
      <c r="AW47" s="769">
        <v>4</v>
      </c>
      <c r="AX47" s="769">
        <v>3.6587211901043681</v>
      </c>
      <c r="AY47" s="769">
        <v>3.7412091220381307</v>
      </c>
      <c r="AZ47" s="769">
        <v>3.8255567909021391</v>
      </c>
      <c r="BA47" s="769">
        <v>3.9118061255139622</v>
      </c>
      <c r="BB47" s="769">
        <v>4</v>
      </c>
      <c r="BC47" s="769">
        <v>0</v>
      </c>
      <c r="BD47" s="769">
        <v>0</v>
      </c>
      <c r="BE47" s="769">
        <v>0</v>
      </c>
      <c r="BF47" s="769">
        <v>0</v>
      </c>
      <c r="BG47" s="769">
        <v>0</v>
      </c>
      <c r="BH47" s="771">
        <v>4.0454411707412605</v>
      </c>
      <c r="BI47" s="771">
        <v>4.0913985664821055</v>
      </c>
      <c r="BJ47" s="771">
        <v>4.1378780516896212</v>
      </c>
      <c r="BK47" s="772">
        <v>4.1106733189738174</v>
      </c>
      <c r="BL47" s="772">
        <v>4.0836474454396745</v>
      </c>
      <c r="BM47" s="772">
        <v>4.1129634011887637</v>
      </c>
      <c r="BN47" s="772">
        <v>4.1424898122411005</v>
      </c>
      <c r="BO47" s="772">
        <v>4.172228189426999</v>
      </c>
      <c r="BP47" s="772">
        <v>4.2021800544228212</v>
      </c>
      <c r="BQ47" s="772">
        <v>4.2323469398288411</v>
      </c>
      <c r="BR47" s="772">
        <v>4.2561057485102518</v>
      </c>
      <c r="BS47" s="772">
        <v>4.2799979302345585</v>
      </c>
      <c r="BT47" s="772">
        <v>4.3040242337080139</v>
      </c>
      <c r="BU47" s="772">
        <v>4.3281854118398249</v>
      </c>
      <c r="BV47" s="772">
        <v>4.3524822217657446</v>
      </c>
      <c r="BW47" s="771">
        <v>4.0454411707412605</v>
      </c>
      <c r="BX47" s="771">
        <v>4.0913985664821055</v>
      </c>
      <c r="BY47" s="771">
        <v>4.1378780516896212</v>
      </c>
      <c r="BZ47" s="772">
        <v>4.1106733189738174</v>
      </c>
      <c r="CA47" s="772">
        <v>4.0836474454396745</v>
      </c>
      <c r="CB47" s="772">
        <v>4.1129634011887637</v>
      </c>
      <c r="CC47" s="772">
        <v>4.1424898122411005</v>
      </c>
      <c r="CD47" s="772">
        <v>4.172228189426999</v>
      </c>
      <c r="CE47" s="772">
        <v>4.2021800544228212</v>
      </c>
      <c r="CF47" s="772">
        <v>4.2323469398288411</v>
      </c>
      <c r="CG47" s="772">
        <v>4.2561057485102518</v>
      </c>
      <c r="CH47" s="772">
        <v>4.2799979302345585</v>
      </c>
      <c r="CI47" s="772">
        <v>4.3040242337080139</v>
      </c>
      <c r="CJ47" s="772">
        <v>4.3281854118398249</v>
      </c>
      <c r="CK47" s="772">
        <v>4.3524822217657446</v>
      </c>
      <c r="CL47" s="771">
        <v>0</v>
      </c>
      <c r="CM47" s="771">
        <v>0</v>
      </c>
      <c r="CN47" s="771">
        <v>0</v>
      </c>
      <c r="CO47" s="772">
        <v>0</v>
      </c>
      <c r="CP47" s="772">
        <v>0</v>
      </c>
      <c r="CQ47" s="772">
        <v>0</v>
      </c>
      <c r="CR47" s="772">
        <v>0</v>
      </c>
      <c r="CS47" s="772">
        <v>0</v>
      </c>
      <c r="CT47" s="772">
        <v>0</v>
      </c>
      <c r="CU47" s="772">
        <v>0</v>
      </c>
      <c r="CV47" s="772">
        <v>0</v>
      </c>
      <c r="CW47" s="772">
        <v>0</v>
      </c>
      <c r="CX47" s="772">
        <v>0</v>
      </c>
      <c r="CY47" s="772">
        <v>0</v>
      </c>
      <c r="CZ47" s="772">
        <v>0</v>
      </c>
      <c r="DA47" s="773">
        <v>0</v>
      </c>
      <c r="DB47" s="773">
        <v>0</v>
      </c>
      <c r="DC47" s="773">
        <v>0</v>
      </c>
      <c r="DD47" s="774">
        <v>0</v>
      </c>
      <c r="DE47" s="774">
        <v>0</v>
      </c>
      <c r="DF47" s="774">
        <v>0</v>
      </c>
      <c r="DG47" s="774">
        <v>0</v>
      </c>
      <c r="DH47" s="774">
        <v>0</v>
      </c>
      <c r="DI47" s="774">
        <v>0</v>
      </c>
      <c r="DJ47" s="774">
        <v>0</v>
      </c>
      <c r="DK47" s="774">
        <v>0</v>
      </c>
      <c r="DL47" s="774">
        <v>0</v>
      </c>
      <c r="DM47" s="774">
        <v>0</v>
      </c>
      <c r="DN47" s="774">
        <v>0</v>
      </c>
      <c r="DO47" s="774">
        <v>0</v>
      </c>
      <c r="DP47" s="773">
        <v>0</v>
      </c>
      <c r="DQ47" s="773">
        <v>0</v>
      </c>
      <c r="DR47" s="773">
        <v>0</v>
      </c>
      <c r="DS47" s="774">
        <v>0</v>
      </c>
      <c r="DT47" s="774">
        <v>0</v>
      </c>
      <c r="DU47" s="774">
        <v>0</v>
      </c>
      <c r="DV47" s="774">
        <v>0</v>
      </c>
      <c r="DW47" s="774">
        <v>0</v>
      </c>
      <c r="DX47" s="774">
        <v>0</v>
      </c>
      <c r="DY47" s="774">
        <v>0</v>
      </c>
      <c r="DZ47" s="774">
        <v>0</v>
      </c>
      <c r="EA47" s="774">
        <v>0</v>
      </c>
      <c r="EB47" s="774">
        <v>0</v>
      </c>
      <c r="EC47" s="774">
        <v>0</v>
      </c>
      <c r="ED47" s="774">
        <v>0</v>
      </c>
    </row>
    <row r="48" spans="1:134" ht="15" x14ac:dyDescent="0.25">
      <c r="A48" s="766">
        <v>131</v>
      </c>
      <c r="B48" s="766">
        <v>75</v>
      </c>
      <c r="C48" s="766" t="s">
        <v>3718</v>
      </c>
      <c r="D48" s="2">
        <v>99714</v>
      </c>
      <c r="E48" s="2">
        <v>99714</v>
      </c>
      <c r="F48" s="767" t="s">
        <v>3676</v>
      </c>
      <c r="G48" s="114">
        <v>67</v>
      </c>
      <c r="H48" s="114">
        <v>31</v>
      </c>
      <c r="I48" s="114">
        <v>25</v>
      </c>
      <c r="J48" s="114">
        <v>6</v>
      </c>
      <c r="K48" s="114">
        <v>0</v>
      </c>
      <c r="L48" s="114">
        <v>24</v>
      </c>
      <c r="M48" s="114">
        <v>24</v>
      </c>
      <c r="N48" s="114">
        <v>0</v>
      </c>
      <c r="O48" s="114">
        <v>0</v>
      </c>
      <c r="P48" s="114">
        <v>0</v>
      </c>
      <c r="Q48" s="114">
        <v>24</v>
      </c>
      <c r="R48" s="114">
        <v>0</v>
      </c>
      <c r="S48" s="114">
        <v>1990</v>
      </c>
      <c r="T48" s="114">
        <v>1990</v>
      </c>
      <c r="U48" s="114">
        <v>0</v>
      </c>
      <c r="V48" s="114">
        <v>0</v>
      </c>
      <c r="W48" s="114">
        <v>0</v>
      </c>
      <c r="X48" s="114">
        <v>1990</v>
      </c>
      <c r="Y48" s="114">
        <v>0</v>
      </c>
      <c r="Z48" s="114">
        <v>31</v>
      </c>
      <c r="AA48" s="114">
        <v>0</v>
      </c>
      <c r="AB48" s="657">
        <v>0</v>
      </c>
      <c r="AC48" s="657">
        <v>0</v>
      </c>
      <c r="AD48" s="768">
        <v>31</v>
      </c>
      <c r="AE48" s="769">
        <v>0</v>
      </c>
      <c r="AF48" s="769">
        <v>25</v>
      </c>
      <c r="AG48" s="770">
        <v>25</v>
      </c>
      <c r="AH48" s="769">
        <v>0</v>
      </c>
      <c r="AI48" s="769">
        <v>0</v>
      </c>
      <c r="AJ48" s="769">
        <v>29.082031341754234</v>
      </c>
      <c r="AK48" s="769">
        <v>29.082031341754234</v>
      </c>
      <c r="AL48" s="769">
        <v>0</v>
      </c>
      <c r="AM48" s="769">
        <v>0</v>
      </c>
      <c r="AN48" s="769">
        <v>23.90972994313837</v>
      </c>
      <c r="AO48" s="769">
        <v>23.90972994313837</v>
      </c>
      <c r="AP48" s="769">
        <v>0</v>
      </c>
      <c r="AQ48" s="769">
        <v>0</v>
      </c>
      <c r="AR48" s="769">
        <v>0</v>
      </c>
      <c r="AS48" s="769">
        <v>27.282727321379856</v>
      </c>
      <c r="AT48" s="769">
        <v>28.168016100693059</v>
      </c>
      <c r="AU48" s="769">
        <v>29.082031341754234</v>
      </c>
      <c r="AV48" s="769">
        <v>30.025705180634496</v>
      </c>
      <c r="AW48" s="769">
        <v>31</v>
      </c>
      <c r="AX48" s="769">
        <v>22.867007438152303</v>
      </c>
      <c r="AY48" s="769">
        <v>23.382557012738317</v>
      </c>
      <c r="AZ48" s="769">
        <v>23.90972994313837</v>
      </c>
      <c r="BA48" s="769">
        <v>24.448788284462264</v>
      </c>
      <c r="BB48" s="769">
        <v>25</v>
      </c>
      <c r="BC48" s="769">
        <v>0</v>
      </c>
      <c r="BD48" s="769">
        <v>0</v>
      </c>
      <c r="BE48" s="769">
        <v>0</v>
      </c>
      <c r="BF48" s="769">
        <v>0</v>
      </c>
      <c r="BG48" s="769">
        <v>0</v>
      </c>
      <c r="BH48" s="771">
        <v>31.35216907324477</v>
      </c>
      <c r="BI48" s="771">
        <v>31.70833889023632</v>
      </c>
      <c r="BJ48" s="771">
        <v>32.068554900594563</v>
      </c>
      <c r="BK48" s="772">
        <v>31.857718222047083</v>
      </c>
      <c r="BL48" s="772">
        <v>31.648267702157476</v>
      </c>
      <c r="BM48" s="772">
        <v>31.875466359212922</v>
      </c>
      <c r="BN48" s="772">
        <v>32.104296044868526</v>
      </c>
      <c r="BO48" s="772">
        <v>32.334768468059238</v>
      </c>
      <c r="BP48" s="772">
        <v>32.566895421776863</v>
      </c>
      <c r="BQ48" s="772">
        <v>32.800688783673522</v>
      </c>
      <c r="BR48" s="772">
        <v>32.984819550954448</v>
      </c>
      <c r="BS48" s="772">
        <v>33.169983959317833</v>
      </c>
      <c r="BT48" s="772">
        <v>33.356187811237106</v>
      </c>
      <c r="BU48" s="772">
        <v>33.543436941758642</v>
      </c>
      <c r="BV48" s="772">
        <v>33.731737218684522</v>
      </c>
      <c r="BW48" s="771">
        <v>25.284007317132879</v>
      </c>
      <c r="BX48" s="771">
        <v>25.571241040513158</v>
      </c>
      <c r="BY48" s="771">
        <v>25.861737823060132</v>
      </c>
      <c r="BZ48" s="772">
        <v>25.691708243586358</v>
      </c>
      <c r="CA48" s="772">
        <v>25.522796533997965</v>
      </c>
      <c r="CB48" s="772">
        <v>25.706021257429775</v>
      </c>
      <c r="CC48" s="772">
        <v>25.890561326506877</v>
      </c>
      <c r="CD48" s="772">
        <v>26.076426183918741</v>
      </c>
      <c r="CE48" s="772">
        <v>26.263625340142632</v>
      </c>
      <c r="CF48" s="772">
        <v>26.45216837393026</v>
      </c>
      <c r="CG48" s="772">
        <v>26.600660928189072</v>
      </c>
      <c r="CH48" s="772">
        <v>26.749987063965992</v>
      </c>
      <c r="CI48" s="772">
        <v>26.900151460675087</v>
      </c>
      <c r="CJ48" s="772">
        <v>27.051158823998904</v>
      </c>
      <c r="CK48" s="772">
        <v>27.203013886035905</v>
      </c>
      <c r="CL48" s="771">
        <v>0</v>
      </c>
      <c r="CM48" s="771">
        <v>0</v>
      </c>
      <c r="CN48" s="771">
        <v>0</v>
      </c>
      <c r="CO48" s="772">
        <v>0</v>
      </c>
      <c r="CP48" s="772">
        <v>0</v>
      </c>
      <c r="CQ48" s="772">
        <v>0</v>
      </c>
      <c r="CR48" s="772">
        <v>0</v>
      </c>
      <c r="CS48" s="772">
        <v>0</v>
      </c>
      <c r="CT48" s="772">
        <v>0</v>
      </c>
      <c r="CU48" s="772">
        <v>0</v>
      </c>
      <c r="CV48" s="772">
        <v>0</v>
      </c>
      <c r="CW48" s="772">
        <v>0</v>
      </c>
      <c r="CX48" s="772">
        <v>0</v>
      </c>
      <c r="CY48" s="772">
        <v>0</v>
      </c>
      <c r="CZ48" s="772">
        <v>0</v>
      </c>
      <c r="DA48" s="773">
        <v>0</v>
      </c>
      <c r="DB48" s="773">
        <v>0</v>
      </c>
      <c r="DC48" s="773">
        <v>0</v>
      </c>
      <c r="DD48" s="774">
        <v>0</v>
      </c>
      <c r="DE48" s="774">
        <v>0</v>
      </c>
      <c r="DF48" s="774">
        <v>0</v>
      </c>
      <c r="DG48" s="774">
        <v>0</v>
      </c>
      <c r="DH48" s="774">
        <v>0</v>
      </c>
      <c r="DI48" s="774">
        <v>0</v>
      </c>
      <c r="DJ48" s="774">
        <v>0</v>
      </c>
      <c r="DK48" s="774">
        <v>0</v>
      </c>
      <c r="DL48" s="774">
        <v>0</v>
      </c>
      <c r="DM48" s="774">
        <v>0</v>
      </c>
      <c r="DN48" s="774">
        <v>0</v>
      </c>
      <c r="DO48" s="774">
        <v>0</v>
      </c>
      <c r="DP48" s="773">
        <v>0</v>
      </c>
      <c r="DQ48" s="773">
        <v>0</v>
      </c>
      <c r="DR48" s="773">
        <v>0</v>
      </c>
      <c r="DS48" s="774">
        <v>0</v>
      </c>
      <c r="DT48" s="774">
        <v>0</v>
      </c>
      <c r="DU48" s="774">
        <v>0</v>
      </c>
      <c r="DV48" s="774">
        <v>0</v>
      </c>
      <c r="DW48" s="774">
        <v>0</v>
      </c>
      <c r="DX48" s="774">
        <v>0</v>
      </c>
      <c r="DY48" s="774">
        <v>0</v>
      </c>
      <c r="DZ48" s="774">
        <v>0</v>
      </c>
      <c r="EA48" s="774">
        <v>0</v>
      </c>
      <c r="EB48" s="774">
        <v>0</v>
      </c>
      <c r="EC48" s="774">
        <v>0</v>
      </c>
      <c r="ED48" s="774">
        <v>0</v>
      </c>
    </row>
    <row r="49" spans="1:134" ht="15" x14ac:dyDescent="0.25">
      <c r="A49" s="766">
        <v>130</v>
      </c>
      <c r="B49" s="766">
        <v>76</v>
      </c>
      <c r="C49" s="766" t="s">
        <v>3719</v>
      </c>
      <c r="D49" s="2">
        <v>99714</v>
      </c>
      <c r="E49" s="2">
        <v>99714</v>
      </c>
      <c r="F49" s="767" t="s">
        <v>3676</v>
      </c>
      <c r="G49" s="114">
        <v>50</v>
      </c>
      <c r="H49" s="114">
        <v>20</v>
      </c>
      <c r="I49" s="114">
        <v>18</v>
      </c>
      <c r="J49" s="114">
        <v>2</v>
      </c>
      <c r="K49" s="114">
        <v>0</v>
      </c>
      <c r="L49" s="114">
        <v>3</v>
      </c>
      <c r="M49" s="114">
        <v>3</v>
      </c>
      <c r="N49" s="114">
        <v>0</v>
      </c>
      <c r="O49" s="114">
        <v>0</v>
      </c>
      <c r="P49" s="114">
        <v>0</v>
      </c>
      <c r="Q49" s="114">
        <v>3</v>
      </c>
      <c r="R49" s="114">
        <v>0</v>
      </c>
      <c r="S49" s="114">
        <v>2651.6666666666665</v>
      </c>
      <c r="T49" s="114">
        <v>2651.6666666666665</v>
      </c>
      <c r="U49" s="114">
        <v>0</v>
      </c>
      <c r="V49" s="114">
        <v>0</v>
      </c>
      <c r="W49" s="114">
        <v>0</v>
      </c>
      <c r="X49" s="114">
        <v>2651.6666666666665</v>
      </c>
      <c r="Y49" s="114">
        <v>0</v>
      </c>
      <c r="Z49" s="114">
        <v>20</v>
      </c>
      <c r="AA49" s="114">
        <v>0</v>
      </c>
      <c r="AB49" s="657">
        <v>0</v>
      </c>
      <c r="AC49" s="657">
        <v>0</v>
      </c>
      <c r="AD49" s="768">
        <v>20</v>
      </c>
      <c r="AE49" s="769">
        <v>0</v>
      </c>
      <c r="AF49" s="769">
        <v>18</v>
      </c>
      <c r="AG49" s="770">
        <v>18</v>
      </c>
      <c r="AH49" s="769">
        <v>0</v>
      </c>
      <c r="AI49" s="769">
        <v>0</v>
      </c>
      <c r="AJ49" s="769">
        <v>18.762600865647894</v>
      </c>
      <c r="AK49" s="769">
        <v>18.762600865647894</v>
      </c>
      <c r="AL49" s="769">
        <v>0</v>
      </c>
      <c r="AM49" s="769">
        <v>0</v>
      </c>
      <c r="AN49" s="769">
        <v>17.215005559059627</v>
      </c>
      <c r="AO49" s="769">
        <v>17.215005559059627</v>
      </c>
      <c r="AP49" s="769">
        <v>0</v>
      </c>
      <c r="AQ49" s="769">
        <v>0</v>
      </c>
      <c r="AR49" s="769">
        <v>0</v>
      </c>
      <c r="AS49" s="769">
        <v>17.60175956218055</v>
      </c>
      <c r="AT49" s="769">
        <v>18.17291361335036</v>
      </c>
      <c r="AU49" s="769">
        <v>18.762600865647894</v>
      </c>
      <c r="AV49" s="769">
        <v>19.371422697183547</v>
      </c>
      <c r="AW49" s="769">
        <v>20</v>
      </c>
      <c r="AX49" s="769">
        <v>16.464245355469657</v>
      </c>
      <c r="AY49" s="769">
        <v>16.835441049171589</v>
      </c>
      <c r="AZ49" s="769">
        <v>17.215005559059627</v>
      </c>
      <c r="BA49" s="769">
        <v>17.60312756481283</v>
      </c>
      <c r="BB49" s="769">
        <v>18</v>
      </c>
      <c r="BC49" s="769">
        <v>0</v>
      </c>
      <c r="BD49" s="769">
        <v>0</v>
      </c>
      <c r="BE49" s="769">
        <v>0</v>
      </c>
      <c r="BF49" s="769">
        <v>0</v>
      </c>
      <c r="BG49" s="769">
        <v>0</v>
      </c>
      <c r="BH49" s="771">
        <v>20.08030916595219</v>
      </c>
      <c r="BI49" s="771">
        <v>20.160940810011176</v>
      </c>
      <c r="BJ49" s="771">
        <v>20.241896227074353</v>
      </c>
      <c r="BK49" s="772">
        <v>20.108814640415765</v>
      </c>
      <c r="BL49" s="772">
        <v>19.976608006800554</v>
      </c>
      <c r="BM49" s="772">
        <v>20.120017388773103</v>
      </c>
      <c r="BN49" s="772">
        <v>20.264456287409875</v>
      </c>
      <c r="BO49" s="772">
        <v>20.409932093472538</v>
      </c>
      <c r="BP49" s="772">
        <v>20.556452250780033</v>
      </c>
      <c r="BQ49" s="772">
        <v>20.704024256589474</v>
      </c>
      <c r="BR49" s="772">
        <v>20.820248885203561</v>
      </c>
      <c r="BS49" s="772">
        <v>20.937125955300964</v>
      </c>
      <c r="BT49" s="772">
        <v>21.054659129443518</v>
      </c>
      <c r="BU49" s="772">
        <v>21.172852090753302</v>
      </c>
      <c r="BV49" s="772">
        <v>21.291708543028065</v>
      </c>
      <c r="BW49" s="771">
        <v>18.07227824935697</v>
      </c>
      <c r="BX49" s="771">
        <v>18.144846729010059</v>
      </c>
      <c r="BY49" s="771">
        <v>18.217706604366917</v>
      </c>
      <c r="BZ49" s="772">
        <v>18.097933176374191</v>
      </c>
      <c r="CA49" s="772">
        <v>17.978947206120498</v>
      </c>
      <c r="CB49" s="772">
        <v>18.10801564989579</v>
      </c>
      <c r="CC49" s="772">
        <v>18.238010658668887</v>
      </c>
      <c r="CD49" s="772">
        <v>18.368938884125285</v>
      </c>
      <c r="CE49" s="772">
        <v>18.500807025702027</v>
      </c>
      <c r="CF49" s="772">
        <v>18.633621830930526</v>
      </c>
      <c r="CG49" s="772">
        <v>18.738223996683207</v>
      </c>
      <c r="CH49" s="772">
        <v>18.843413359770867</v>
      </c>
      <c r="CI49" s="772">
        <v>18.949193216499165</v>
      </c>
      <c r="CJ49" s="772">
        <v>19.055566881677972</v>
      </c>
      <c r="CK49" s="772">
        <v>19.162537688725259</v>
      </c>
      <c r="CL49" s="771">
        <v>0</v>
      </c>
      <c r="CM49" s="771">
        <v>0</v>
      </c>
      <c r="CN49" s="771">
        <v>0</v>
      </c>
      <c r="CO49" s="772">
        <v>0</v>
      </c>
      <c r="CP49" s="772">
        <v>0</v>
      </c>
      <c r="CQ49" s="772">
        <v>0</v>
      </c>
      <c r="CR49" s="772">
        <v>0</v>
      </c>
      <c r="CS49" s="772">
        <v>0</v>
      </c>
      <c r="CT49" s="772">
        <v>0</v>
      </c>
      <c r="CU49" s="772">
        <v>0</v>
      </c>
      <c r="CV49" s="772">
        <v>0</v>
      </c>
      <c r="CW49" s="772">
        <v>0</v>
      </c>
      <c r="CX49" s="772">
        <v>0</v>
      </c>
      <c r="CY49" s="772">
        <v>0</v>
      </c>
      <c r="CZ49" s="772">
        <v>0</v>
      </c>
      <c r="DA49" s="773">
        <v>0</v>
      </c>
      <c r="DB49" s="773">
        <v>0</v>
      </c>
      <c r="DC49" s="773">
        <v>0</v>
      </c>
      <c r="DD49" s="774">
        <v>0</v>
      </c>
      <c r="DE49" s="774">
        <v>0</v>
      </c>
      <c r="DF49" s="774">
        <v>0</v>
      </c>
      <c r="DG49" s="774">
        <v>0</v>
      </c>
      <c r="DH49" s="774">
        <v>0</v>
      </c>
      <c r="DI49" s="774">
        <v>0</v>
      </c>
      <c r="DJ49" s="774">
        <v>0</v>
      </c>
      <c r="DK49" s="774">
        <v>0</v>
      </c>
      <c r="DL49" s="774">
        <v>0</v>
      </c>
      <c r="DM49" s="774">
        <v>0</v>
      </c>
      <c r="DN49" s="774">
        <v>0</v>
      </c>
      <c r="DO49" s="774">
        <v>0</v>
      </c>
      <c r="DP49" s="773">
        <v>0</v>
      </c>
      <c r="DQ49" s="773">
        <v>0</v>
      </c>
      <c r="DR49" s="773">
        <v>0</v>
      </c>
      <c r="DS49" s="774">
        <v>0</v>
      </c>
      <c r="DT49" s="774">
        <v>0</v>
      </c>
      <c r="DU49" s="774">
        <v>0</v>
      </c>
      <c r="DV49" s="774">
        <v>0</v>
      </c>
      <c r="DW49" s="774">
        <v>0</v>
      </c>
      <c r="DX49" s="774">
        <v>0</v>
      </c>
      <c r="DY49" s="774">
        <v>0</v>
      </c>
      <c r="DZ49" s="774">
        <v>0</v>
      </c>
      <c r="EA49" s="774">
        <v>0</v>
      </c>
      <c r="EB49" s="774">
        <v>0</v>
      </c>
      <c r="EC49" s="774">
        <v>0</v>
      </c>
      <c r="ED49" s="774">
        <v>0</v>
      </c>
    </row>
    <row r="50" spans="1:134" ht="15" x14ac:dyDescent="0.25">
      <c r="A50" s="766">
        <v>131</v>
      </c>
      <c r="B50" s="766">
        <v>76</v>
      </c>
      <c r="C50" s="766" t="s">
        <v>3720</v>
      </c>
      <c r="D50" s="2">
        <v>99705</v>
      </c>
      <c r="E50" s="2">
        <v>99714</v>
      </c>
      <c r="F50" s="767" t="s">
        <v>3676</v>
      </c>
      <c r="G50" s="114">
        <v>6</v>
      </c>
      <c r="H50" s="114">
        <v>3</v>
      </c>
      <c r="I50" s="114">
        <v>3</v>
      </c>
      <c r="J50" s="114">
        <v>0</v>
      </c>
      <c r="K50" s="114">
        <v>0</v>
      </c>
      <c r="L50" s="114">
        <v>6</v>
      </c>
      <c r="M50" s="114">
        <v>6</v>
      </c>
      <c r="N50" s="114">
        <v>0</v>
      </c>
      <c r="O50" s="114">
        <v>0</v>
      </c>
      <c r="P50" s="114">
        <v>0</v>
      </c>
      <c r="Q50" s="114">
        <v>6</v>
      </c>
      <c r="R50" s="114">
        <v>0</v>
      </c>
      <c r="S50" s="114">
        <v>1360</v>
      </c>
      <c r="T50" s="114">
        <v>1360</v>
      </c>
      <c r="U50" s="114">
        <v>0</v>
      </c>
      <c r="V50" s="114">
        <v>0</v>
      </c>
      <c r="W50" s="114">
        <v>0</v>
      </c>
      <c r="X50" s="114">
        <v>1360</v>
      </c>
      <c r="Y50" s="114">
        <v>0</v>
      </c>
      <c r="Z50" s="114">
        <v>3</v>
      </c>
      <c r="AA50" s="114">
        <v>0</v>
      </c>
      <c r="AB50" s="657">
        <v>0</v>
      </c>
      <c r="AC50" s="657">
        <v>0</v>
      </c>
      <c r="AD50" s="768">
        <v>3</v>
      </c>
      <c r="AE50" s="769">
        <v>0</v>
      </c>
      <c r="AF50" s="769">
        <v>3</v>
      </c>
      <c r="AG50" s="770">
        <v>3</v>
      </c>
      <c r="AH50" s="769">
        <v>0</v>
      </c>
      <c r="AI50" s="769">
        <v>0</v>
      </c>
      <c r="AJ50" s="769">
        <v>2.7844551006625817</v>
      </c>
      <c r="AK50" s="769">
        <v>2.7844551006625817</v>
      </c>
      <c r="AL50" s="769">
        <v>0</v>
      </c>
      <c r="AM50" s="769">
        <v>0</v>
      </c>
      <c r="AN50" s="769">
        <v>2.798736847705618</v>
      </c>
      <c r="AO50" s="769">
        <v>2.798736847705618</v>
      </c>
      <c r="AP50" s="769">
        <v>0</v>
      </c>
      <c r="AQ50" s="769">
        <v>0</v>
      </c>
      <c r="AR50" s="769">
        <v>0</v>
      </c>
      <c r="AS50" s="769">
        <v>2.5843967358686224</v>
      </c>
      <c r="AT50" s="769">
        <v>2.6825615879836038</v>
      </c>
      <c r="AU50" s="769">
        <v>2.7844551006625817</v>
      </c>
      <c r="AV50" s="769">
        <v>2.8902189020881695</v>
      </c>
      <c r="AW50" s="769">
        <v>3</v>
      </c>
      <c r="AX50" s="769">
        <v>2.6109759809017263</v>
      </c>
      <c r="AY50" s="769">
        <v>2.703226717503358</v>
      </c>
      <c r="AZ50" s="769">
        <v>2.798736847705618</v>
      </c>
      <c r="BA50" s="769">
        <v>2.8976215320701999</v>
      </c>
      <c r="BB50" s="769">
        <v>3</v>
      </c>
      <c r="BC50" s="769">
        <v>0</v>
      </c>
      <c r="BD50" s="769">
        <v>0</v>
      </c>
      <c r="BE50" s="769">
        <v>0</v>
      </c>
      <c r="BF50" s="769">
        <v>0</v>
      </c>
      <c r="BG50" s="769">
        <v>0</v>
      </c>
      <c r="BH50" s="771">
        <v>3.0120463748928286</v>
      </c>
      <c r="BI50" s="771">
        <v>3.0241411215016765</v>
      </c>
      <c r="BJ50" s="771">
        <v>3.0362844340611526</v>
      </c>
      <c r="BK50" s="772">
        <v>3.0163221960623647</v>
      </c>
      <c r="BL50" s="772">
        <v>2.996491201020083</v>
      </c>
      <c r="BM50" s="772">
        <v>3.0180026083159648</v>
      </c>
      <c r="BN50" s="772">
        <v>3.0396684431114811</v>
      </c>
      <c r="BO50" s="772">
        <v>3.0614898140208804</v>
      </c>
      <c r="BP50" s="772">
        <v>3.0834678376170044</v>
      </c>
      <c r="BQ50" s="772">
        <v>3.1056036384884207</v>
      </c>
      <c r="BR50" s="772">
        <v>3.1230373327805339</v>
      </c>
      <c r="BS50" s="772">
        <v>3.1405688932951445</v>
      </c>
      <c r="BT50" s="772">
        <v>3.1581988694165273</v>
      </c>
      <c r="BU50" s="772">
        <v>3.1759278136129949</v>
      </c>
      <c r="BV50" s="772">
        <v>3.1937562814542093</v>
      </c>
      <c r="BW50" s="771">
        <v>3.0120463748928286</v>
      </c>
      <c r="BX50" s="771">
        <v>3.0241411215016765</v>
      </c>
      <c r="BY50" s="771">
        <v>3.0362844340611526</v>
      </c>
      <c r="BZ50" s="772">
        <v>3.0163221960623647</v>
      </c>
      <c r="CA50" s="772">
        <v>2.996491201020083</v>
      </c>
      <c r="CB50" s="772">
        <v>3.0180026083159648</v>
      </c>
      <c r="CC50" s="772">
        <v>3.0396684431114811</v>
      </c>
      <c r="CD50" s="772">
        <v>3.0614898140208804</v>
      </c>
      <c r="CE50" s="772">
        <v>3.0834678376170044</v>
      </c>
      <c r="CF50" s="772">
        <v>3.1056036384884207</v>
      </c>
      <c r="CG50" s="772">
        <v>3.1230373327805339</v>
      </c>
      <c r="CH50" s="772">
        <v>3.1405688932951445</v>
      </c>
      <c r="CI50" s="772">
        <v>3.1581988694165273</v>
      </c>
      <c r="CJ50" s="772">
        <v>3.1759278136129949</v>
      </c>
      <c r="CK50" s="772">
        <v>3.1937562814542093</v>
      </c>
      <c r="CL50" s="771">
        <v>0</v>
      </c>
      <c r="CM50" s="771">
        <v>0</v>
      </c>
      <c r="CN50" s="771">
        <v>0</v>
      </c>
      <c r="CO50" s="772">
        <v>0</v>
      </c>
      <c r="CP50" s="772">
        <v>0</v>
      </c>
      <c r="CQ50" s="772">
        <v>0</v>
      </c>
      <c r="CR50" s="772">
        <v>0</v>
      </c>
      <c r="CS50" s="772">
        <v>0</v>
      </c>
      <c r="CT50" s="772">
        <v>0</v>
      </c>
      <c r="CU50" s="772">
        <v>0</v>
      </c>
      <c r="CV50" s="772">
        <v>0</v>
      </c>
      <c r="CW50" s="772">
        <v>0</v>
      </c>
      <c r="CX50" s="772">
        <v>0</v>
      </c>
      <c r="CY50" s="772">
        <v>0</v>
      </c>
      <c r="CZ50" s="772">
        <v>0</v>
      </c>
      <c r="DA50" s="773">
        <v>0</v>
      </c>
      <c r="DB50" s="773">
        <v>0</v>
      </c>
      <c r="DC50" s="773">
        <v>0</v>
      </c>
      <c r="DD50" s="774">
        <v>0</v>
      </c>
      <c r="DE50" s="774">
        <v>0</v>
      </c>
      <c r="DF50" s="774">
        <v>0</v>
      </c>
      <c r="DG50" s="774">
        <v>0</v>
      </c>
      <c r="DH50" s="774">
        <v>0</v>
      </c>
      <c r="DI50" s="774">
        <v>0</v>
      </c>
      <c r="DJ50" s="774">
        <v>0</v>
      </c>
      <c r="DK50" s="774">
        <v>0</v>
      </c>
      <c r="DL50" s="774">
        <v>0</v>
      </c>
      <c r="DM50" s="774">
        <v>0</v>
      </c>
      <c r="DN50" s="774">
        <v>0</v>
      </c>
      <c r="DO50" s="774">
        <v>0</v>
      </c>
      <c r="DP50" s="773">
        <v>0</v>
      </c>
      <c r="DQ50" s="773">
        <v>0</v>
      </c>
      <c r="DR50" s="773">
        <v>0</v>
      </c>
      <c r="DS50" s="774">
        <v>0</v>
      </c>
      <c r="DT50" s="774">
        <v>0</v>
      </c>
      <c r="DU50" s="774">
        <v>0</v>
      </c>
      <c r="DV50" s="774">
        <v>0</v>
      </c>
      <c r="DW50" s="774">
        <v>0</v>
      </c>
      <c r="DX50" s="774">
        <v>0</v>
      </c>
      <c r="DY50" s="774">
        <v>0</v>
      </c>
      <c r="DZ50" s="774">
        <v>0</v>
      </c>
      <c r="EA50" s="774">
        <v>0</v>
      </c>
      <c r="EB50" s="774">
        <v>0</v>
      </c>
      <c r="EC50" s="774">
        <v>0</v>
      </c>
      <c r="ED50" s="774">
        <v>0</v>
      </c>
    </row>
    <row r="51" spans="1:134" ht="15" x14ac:dyDescent="0.25">
      <c r="A51" s="766">
        <v>134</v>
      </c>
      <c r="B51" s="766">
        <v>76</v>
      </c>
      <c r="C51" s="766" t="s">
        <v>3721</v>
      </c>
      <c r="D51" s="2">
        <v>99702</v>
      </c>
      <c r="E51" s="2">
        <v>99702</v>
      </c>
      <c r="F51" s="767" t="s">
        <v>3676</v>
      </c>
      <c r="G51" s="114">
        <v>18</v>
      </c>
      <c r="H51" s="114">
        <v>6</v>
      </c>
      <c r="I51" s="114">
        <v>6</v>
      </c>
      <c r="J51" s="114">
        <v>0</v>
      </c>
      <c r="K51" s="114">
        <v>0</v>
      </c>
      <c r="L51" s="114">
        <v>0</v>
      </c>
      <c r="M51" s="114">
        <v>0</v>
      </c>
      <c r="N51" s="114">
        <v>0</v>
      </c>
      <c r="O51" s="114">
        <v>0</v>
      </c>
      <c r="P51" s="114">
        <v>0</v>
      </c>
      <c r="Q51" s="114">
        <v>0</v>
      </c>
      <c r="R51" s="114">
        <v>0</v>
      </c>
      <c r="S51" s="114">
        <v>834.49503068156923</v>
      </c>
      <c r="T51" s="114">
        <v>834.49503068156923</v>
      </c>
      <c r="U51" s="114">
        <v>1408.3846153846155</v>
      </c>
      <c r="V51" s="114">
        <v>0</v>
      </c>
      <c r="W51" s="114">
        <v>0</v>
      </c>
      <c r="X51" s="114">
        <v>1365.173957061457</v>
      </c>
      <c r="Y51" s="114">
        <v>0.13747401247401247</v>
      </c>
      <c r="Z51" s="114">
        <v>5.8547297297297298</v>
      </c>
      <c r="AA51" s="114">
        <v>7.7962577962577967E-3</v>
      </c>
      <c r="AB51" s="657">
        <v>0</v>
      </c>
      <c r="AC51" s="657">
        <v>0</v>
      </c>
      <c r="AD51" s="768">
        <v>6</v>
      </c>
      <c r="AE51" s="769">
        <v>0.13747401247401247</v>
      </c>
      <c r="AF51" s="769">
        <v>5.8547297297297298</v>
      </c>
      <c r="AG51" s="770">
        <v>5.992203742203742</v>
      </c>
      <c r="AH51" s="769">
        <v>7.7962577962577967E-3</v>
      </c>
      <c r="AI51" s="769">
        <v>0.15345800067764379</v>
      </c>
      <c r="AJ51" s="769">
        <v>6.5354542481410904</v>
      </c>
      <c r="AK51" s="769">
        <v>6.6889122488187338</v>
      </c>
      <c r="AL51" s="769">
        <v>8.7027221556319739E-3</v>
      </c>
      <c r="AM51" s="769">
        <v>0.160336691611878</v>
      </c>
      <c r="AN51" s="769">
        <v>6.8284032614820411</v>
      </c>
      <c r="AO51" s="769">
        <v>6.9887399530939192</v>
      </c>
      <c r="AP51" s="769">
        <v>9.0928180498229504E-3</v>
      </c>
      <c r="AQ51" s="769">
        <v>0</v>
      </c>
      <c r="AR51" s="769">
        <v>0</v>
      </c>
      <c r="AS51" s="769">
        <v>7.4666264695370277</v>
      </c>
      <c r="AT51" s="769">
        <v>7.0670792587490059</v>
      </c>
      <c r="AU51" s="769">
        <v>6.6889122488187338</v>
      </c>
      <c r="AV51" s="769">
        <v>6.330981362209501</v>
      </c>
      <c r="AW51" s="769">
        <v>5.992203742203742</v>
      </c>
      <c r="AX51" s="769">
        <v>8.1510055787937006</v>
      </c>
      <c r="AY51" s="769">
        <v>7.5475332623584341</v>
      </c>
      <c r="AZ51" s="769">
        <v>6.9887399530939183</v>
      </c>
      <c r="BA51" s="769">
        <v>6.4713177715375858</v>
      </c>
      <c r="BB51" s="769">
        <v>5.992203742203742</v>
      </c>
      <c r="BC51" s="769">
        <v>0</v>
      </c>
      <c r="BD51" s="769">
        <v>0</v>
      </c>
      <c r="BE51" s="769">
        <v>0</v>
      </c>
      <c r="BF51" s="769">
        <v>0</v>
      </c>
      <c r="BG51" s="769">
        <v>0</v>
      </c>
      <c r="BH51" s="771">
        <v>6.0162651864413412</v>
      </c>
      <c r="BI51" s="771">
        <v>6.0404232484048554</v>
      </c>
      <c r="BJ51" s="771">
        <v>6.0646783160587372</v>
      </c>
      <c r="BK51" s="772">
        <v>6.0248057169790377</v>
      </c>
      <c r="BL51" s="772">
        <v>5.9851952627443756</v>
      </c>
      <c r="BM51" s="772">
        <v>6.0281621745105269</v>
      </c>
      <c r="BN51" s="772">
        <v>6.0714375399570804</v>
      </c>
      <c r="BO51" s="772">
        <v>6.1150235734315199</v>
      </c>
      <c r="BP51" s="772">
        <v>6.1589225051778325</v>
      </c>
      <c r="BQ51" s="772">
        <v>6.2031365814506243</v>
      </c>
      <c r="BR51" s="772">
        <v>6.2379586641765039</v>
      </c>
      <c r="BS51" s="772">
        <v>6.2729762250172767</v>
      </c>
      <c r="BT51" s="772">
        <v>6.3081903613137813</v>
      </c>
      <c r="BU51" s="772">
        <v>6.3436021765669128</v>
      </c>
      <c r="BV51" s="772">
        <v>6.3792127804722076</v>
      </c>
      <c r="BW51" s="771">
        <v>6.0162651864413412</v>
      </c>
      <c r="BX51" s="771">
        <v>6.0404232484048554</v>
      </c>
      <c r="BY51" s="771">
        <v>6.0646783160587372</v>
      </c>
      <c r="BZ51" s="772">
        <v>6.0248057169790377</v>
      </c>
      <c r="CA51" s="772">
        <v>5.9851952627443756</v>
      </c>
      <c r="CB51" s="772">
        <v>6.0281621745105269</v>
      </c>
      <c r="CC51" s="772">
        <v>6.0714375399570804</v>
      </c>
      <c r="CD51" s="772">
        <v>6.1150235734315199</v>
      </c>
      <c r="CE51" s="772">
        <v>6.1589225051778325</v>
      </c>
      <c r="CF51" s="772">
        <v>6.2031365814506243</v>
      </c>
      <c r="CG51" s="772">
        <v>6.2379586641765039</v>
      </c>
      <c r="CH51" s="772">
        <v>6.2729762250172767</v>
      </c>
      <c r="CI51" s="772">
        <v>6.3081903613137813</v>
      </c>
      <c r="CJ51" s="772">
        <v>6.3436021765669128</v>
      </c>
      <c r="CK51" s="772">
        <v>6.3792127804722076</v>
      </c>
      <c r="CL51" s="771">
        <v>0</v>
      </c>
      <c r="CM51" s="771">
        <v>0</v>
      </c>
      <c r="CN51" s="771">
        <v>0</v>
      </c>
      <c r="CO51" s="772">
        <v>0</v>
      </c>
      <c r="CP51" s="772">
        <v>0</v>
      </c>
      <c r="CQ51" s="772">
        <v>0</v>
      </c>
      <c r="CR51" s="772">
        <v>0</v>
      </c>
      <c r="CS51" s="772">
        <v>0</v>
      </c>
      <c r="CT51" s="772">
        <v>0</v>
      </c>
      <c r="CU51" s="772">
        <v>0</v>
      </c>
      <c r="CV51" s="772">
        <v>0</v>
      </c>
      <c r="CW51" s="772">
        <v>0</v>
      </c>
      <c r="CX51" s="772">
        <v>0</v>
      </c>
      <c r="CY51" s="772">
        <v>0</v>
      </c>
      <c r="CZ51" s="772">
        <v>0</v>
      </c>
      <c r="DA51" s="773">
        <v>7.8275633443160835E-3</v>
      </c>
      <c r="DB51" s="773">
        <v>7.8589945984970811E-3</v>
      </c>
      <c r="DC51" s="773">
        <v>7.8905520635684841E-3</v>
      </c>
      <c r="DD51" s="774">
        <v>7.8386751456922168E-3</v>
      </c>
      <c r="DE51" s="774">
        <v>7.7871392957902363E-3</v>
      </c>
      <c r="DF51" s="774">
        <v>7.8430421214032361E-3</v>
      </c>
      <c r="DG51" s="774">
        <v>7.8993462658822275E-3</v>
      </c>
      <c r="DH51" s="774">
        <v>7.9560546102413737E-3</v>
      </c>
      <c r="DI51" s="774">
        <v>8.0131700561772469E-3</v>
      </c>
      <c r="DJ51" s="774">
        <v>8.0706955262173103E-3</v>
      </c>
      <c r="DK51" s="774">
        <v>8.1160013845647978E-3</v>
      </c>
      <c r="DL51" s="774">
        <v>8.1615615730123298E-3</v>
      </c>
      <c r="DM51" s="774">
        <v>8.2073775192737196E-3</v>
      </c>
      <c r="DN51" s="774">
        <v>8.2534506590774305E-3</v>
      </c>
      <c r="DO51" s="774">
        <v>8.2997824362115637E-3</v>
      </c>
      <c r="DP51" s="773">
        <v>0</v>
      </c>
      <c r="DQ51" s="773">
        <v>0</v>
      </c>
      <c r="DR51" s="773">
        <v>0</v>
      </c>
      <c r="DS51" s="774">
        <v>0</v>
      </c>
      <c r="DT51" s="774">
        <v>0</v>
      </c>
      <c r="DU51" s="774">
        <v>0</v>
      </c>
      <c r="DV51" s="774">
        <v>0</v>
      </c>
      <c r="DW51" s="774">
        <v>0</v>
      </c>
      <c r="DX51" s="774">
        <v>0</v>
      </c>
      <c r="DY51" s="774">
        <v>0</v>
      </c>
      <c r="DZ51" s="774">
        <v>0</v>
      </c>
      <c r="EA51" s="774">
        <v>0</v>
      </c>
      <c r="EB51" s="774">
        <v>0</v>
      </c>
      <c r="EC51" s="774">
        <v>0</v>
      </c>
      <c r="ED51" s="774">
        <v>0</v>
      </c>
    </row>
    <row r="52" spans="1:134" ht="15" x14ac:dyDescent="0.25">
      <c r="A52" s="766">
        <v>168</v>
      </c>
      <c r="B52" s="766">
        <v>76</v>
      </c>
      <c r="C52" s="766" t="s">
        <v>3722</v>
      </c>
      <c r="D52" s="2">
        <v>99712</v>
      </c>
      <c r="E52" s="2">
        <v>99712</v>
      </c>
      <c r="F52" s="767" t="s">
        <v>3676</v>
      </c>
      <c r="G52" s="114">
        <v>0</v>
      </c>
      <c r="H52" s="114">
        <v>5</v>
      </c>
      <c r="I52" s="114">
        <v>0</v>
      </c>
      <c r="J52" s="114">
        <v>5</v>
      </c>
      <c r="K52" s="114">
        <v>0</v>
      </c>
      <c r="L52" s="114">
        <v>0</v>
      </c>
      <c r="M52" s="114">
        <v>0</v>
      </c>
      <c r="N52" s="114">
        <v>0</v>
      </c>
      <c r="O52" s="114">
        <v>0</v>
      </c>
      <c r="P52" s="114">
        <v>0</v>
      </c>
      <c r="Q52" s="114">
        <v>0</v>
      </c>
      <c r="R52" s="114">
        <v>0</v>
      </c>
      <c r="S52" s="114">
        <v>834.49503068156923</v>
      </c>
      <c r="T52" s="114">
        <v>834.49503068156923</v>
      </c>
      <c r="U52" s="114">
        <v>1408.3846153846155</v>
      </c>
      <c r="V52" s="114">
        <v>0</v>
      </c>
      <c r="W52" s="114">
        <v>0</v>
      </c>
      <c r="X52" s="114">
        <v>1365.173957061457</v>
      </c>
      <c r="Y52" s="114">
        <v>0.11456167706167707</v>
      </c>
      <c r="Z52" s="114">
        <v>4.8789414414414418</v>
      </c>
      <c r="AA52" s="114">
        <v>6.4968814968814972E-3</v>
      </c>
      <c r="AB52" s="657">
        <v>0</v>
      </c>
      <c r="AC52" s="657">
        <v>0</v>
      </c>
      <c r="AD52" s="768">
        <v>5</v>
      </c>
      <c r="AE52" s="769">
        <v>0</v>
      </c>
      <c r="AF52" s="769">
        <v>0</v>
      </c>
      <c r="AG52" s="770">
        <v>0</v>
      </c>
      <c r="AH52" s="769">
        <v>0</v>
      </c>
      <c r="AI52" s="769">
        <v>0.10414965256455638</v>
      </c>
      <c r="AJ52" s="769">
        <v>4.4355151656462963</v>
      </c>
      <c r="AK52" s="769">
        <v>4.539664818210853</v>
      </c>
      <c r="AL52" s="769">
        <v>5.9064075178387361E-3</v>
      </c>
      <c r="AM52" s="769">
        <v>0</v>
      </c>
      <c r="AN52" s="769">
        <v>0</v>
      </c>
      <c r="AO52" s="769">
        <v>0</v>
      </c>
      <c r="AP52" s="769">
        <v>0</v>
      </c>
      <c r="AQ52" s="769">
        <v>0</v>
      </c>
      <c r="AR52" s="769">
        <v>0</v>
      </c>
      <c r="AS52" s="769">
        <v>4.127073954422424</v>
      </c>
      <c r="AT52" s="769">
        <v>4.3284561258081187</v>
      </c>
      <c r="AU52" s="769">
        <v>4.539664818210853</v>
      </c>
      <c r="AV52" s="769">
        <v>4.7611795205279535</v>
      </c>
      <c r="AW52" s="769">
        <v>4.9935031185031189</v>
      </c>
      <c r="AX52" s="769">
        <v>0</v>
      </c>
      <c r="AY52" s="769">
        <v>0</v>
      </c>
      <c r="AZ52" s="769">
        <v>0</v>
      </c>
      <c r="BA52" s="769">
        <v>0</v>
      </c>
      <c r="BB52" s="769">
        <v>0</v>
      </c>
      <c r="BC52" s="769">
        <v>0</v>
      </c>
      <c r="BD52" s="769">
        <v>0</v>
      </c>
      <c r="BE52" s="769">
        <v>0</v>
      </c>
      <c r="BF52" s="769">
        <v>0</v>
      </c>
      <c r="BG52" s="769">
        <v>0</v>
      </c>
      <c r="BH52" s="771">
        <v>5.0567097538629424</v>
      </c>
      <c r="BI52" s="771">
        <v>5.1207164445463933</v>
      </c>
      <c r="BJ52" s="771">
        <v>5.1855333174731735</v>
      </c>
      <c r="BK52" s="772">
        <v>5.1514407110385427</v>
      </c>
      <c r="BL52" s="772">
        <v>5.1175722485332518</v>
      </c>
      <c r="BM52" s="772">
        <v>5.1543106113780439</v>
      </c>
      <c r="BN52" s="772">
        <v>5.191312713988288</v>
      </c>
      <c r="BO52" s="772">
        <v>5.2285804497162873</v>
      </c>
      <c r="BP52" s="772">
        <v>5.2661157255064666</v>
      </c>
      <c r="BQ52" s="772">
        <v>5.3039204619929459</v>
      </c>
      <c r="BR52" s="772">
        <v>5.333694682610834</v>
      </c>
      <c r="BS52" s="772">
        <v>5.3636360445385804</v>
      </c>
      <c r="BT52" s="772">
        <v>5.3937454860448257</v>
      </c>
      <c r="BU52" s="772">
        <v>5.4240239506652967</v>
      </c>
      <c r="BV52" s="772">
        <v>5.4544723872323742</v>
      </c>
      <c r="BW52" s="771">
        <v>0</v>
      </c>
      <c r="BX52" s="771">
        <v>0</v>
      </c>
      <c r="BY52" s="771">
        <v>0</v>
      </c>
      <c r="BZ52" s="772">
        <v>0</v>
      </c>
      <c r="CA52" s="772">
        <v>0</v>
      </c>
      <c r="CB52" s="772">
        <v>0</v>
      </c>
      <c r="CC52" s="772">
        <v>0</v>
      </c>
      <c r="CD52" s="772">
        <v>0</v>
      </c>
      <c r="CE52" s="772">
        <v>0</v>
      </c>
      <c r="CF52" s="772">
        <v>0</v>
      </c>
      <c r="CG52" s="772">
        <v>0</v>
      </c>
      <c r="CH52" s="772">
        <v>0</v>
      </c>
      <c r="CI52" s="772">
        <v>0</v>
      </c>
      <c r="CJ52" s="772">
        <v>0</v>
      </c>
      <c r="CK52" s="772">
        <v>0</v>
      </c>
      <c r="CL52" s="771">
        <v>0</v>
      </c>
      <c r="CM52" s="771">
        <v>0</v>
      </c>
      <c r="CN52" s="771">
        <v>0</v>
      </c>
      <c r="CO52" s="772">
        <v>0</v>
      </c>
      <c r="CP52" s="772">
        <v>0</v>
      </c>
      <c r="CQ52" s="772">
        <v>0</v>
      </c>
      <c r="CR52" s="772">
        <v>0</v>
      </c>
      <c r="CS52" s="772">
        <v>0</v>
      </c>
      <c r="CT52" s="772">
        <v>0</v>
      </c>
      <c r="CU52" s="772">
        <v>0</v>
      </c>
      <c r="CV52" s="772">
        <v>0</v>
      </c>
      <c r="CW52" s="772">
        <v>0</v>
      </c>
      <c r="CX52" s="772">
        <v>0</v>
      </c>
      <c r="CY52" s="772">
        <v>0</v>
      </c>
      <c r="CZ52" s="772">
        <v>0</v>
      </c>
      <c r="DA52" s="773">
        <v>6.5791175564180876E-3</v>
      </c>
      <c r="DB52" s="773">
        <v>6.6623945414342875E-3</v>
      </c>
      <c r="DC52" s="773">
        <v>6.746725627729864E-3</v>
      </c>
      <c r="DD52" s="774">
        <v>6.7023688668208983E-3</v>
      </c>
      <c r="DE52" s="774">
        <v>6.6583037321535929E-3</v>
      </c>
      <c r="DF52" s="774">
        <v>6.7061027990867076E-3</v>
      </c>
      <c r="DG52" s="774">
        <v>6.7542450090922294E-3</v>
      </c>
      <c r="DH52" s="774">
        <v>6.8027328255481235E-3</v>
      </c>
      <c r="DI52" s="774">
        <v>6.85156872951661E-3</v>
      </c>
      <c r="DJ52" s="774">
        <v>6.9007552198711236E-3</v>
      </c>
      <c r="DK52" s="774">
        <v>6.9394934720411576E-3</v>
      </c>
      <c r="DL52" s="774">
        <v>6.9784491862328654E-3</v>
      </c>
      <c r="DM52" s="774">
        <v>7.0176235831964943E-3</v>
      </c>
      <c r="DN52" s="774">
        <v>7.0570178905351244E-3</v>
      </c>
      <c r="DO52" s="774">
        <v>7.0966333427431357E-3</v>
      </c>
      <c r="DP52" s="773">
        <v>0</v>
      </c>
      <c r="DQ52" s="773">
        <v>0</v>
      </c>
      <c r="DR52" s="773">
        <v>0</v>
      </c>
      <c r="DS52" s="774">
        <v>0</v>
      </c>
      <c r="DT52" s="774">
        <v>0</v>
      </c>
      <c r="DU52" s="774">
        <v>0</v>
      </c>
      <c r="DV52" s="774">
        <v>0</v>
      </c>
      <c r="DW52" s="774">
        <v>0</v>
      </c>
      <c r="DX52" s="774">
        <v>0</v>
      </c>
      <c r="DY52" s="774">
        <v>0</v>
      </c>
      <c r="DZ52" s="774">
        <v>0</v>
      </c>
      <c r="EA52" s="774">
        <v>0</v>
      </c>
      <c r="EB52" s="774">
        <v>0</v>
      </c>
      <c r="EC52" s="774">
        <v>0</v>
      </c>
      <c r="ED52" s="774">
        <v>0</v>
      </c>
    </row>
    <row r="53" spans="1:134" ht="15" x14ac:dyDescent="0.25">
      <c r="A53" s="766">
        <v>130</v>
      </c>
      <c r="B53" s="766">
        <v>77</v>
      </c>
      <c r="C53" s="766" t="s">
        <v>3723</v>
      </c>
      <c r="D53" s="2">
        <v>99705</v>
      </c>
      <c r="E53" s="2">
        <v>99714</v>
      </c>
      <c r="F53" s="767" t="s">
        <v>3676</v>
      </c>
      <c r="G53" s="114">
        <v>1</v>
      </c>
      <c r="H53" s="114">
        <v>1</v>
      </c>
      <c r="I53" s="114">
        <v>1</v>
      </c>
      <c r="J53" s="114">
        <v>0</v>
      </c>
      <c r="K53" s="114">
        <v>0</v>
      </c>
      <c r="L53" s="114">
        <v>5</v>
      </c>
      <c r="M53" s="114">
        <v>5</v>
      </c>
      <c r="N53" s="114">
        <v>0</v>
      </c>
      <c r="O53" s="114">
        <v>0</v>
      </c>
      <c r="P53" s="114">
        <v>0</v>
      </c>
      <c r="Q53" s="114">
        <v>5</v>
      </c>
      <c r="R53" s="114">
        <v>0</v>
      </c>
      <c r="S53" s="114">
        <v>1915.6</v>
      </c>
      <c r="T53" s="114">
        <v>1915.6</v>
      </c>
      <c r="U53" s="114">
        <v>0</v>
      </c>
      <c r="V53" s="114">
        <v>0</v>
      </c>
      <c r="W53" s="114">
        <v>0</v>
      </c>
      <c r="X53" s="114">
        <v>1915.6</v>
      </c>
      <c r="Y53" s="114">
        <v>0</v>
      </c>
      <c r="Z53" s="114">
        <v>1</v>
      </c>
      <c r="AA53" s="114">
        <v>0</v>
      </c>
      <c r="AB53" s="657">
        <v>0</v>
      </c>
      <c r="AC53" s="657">
        <v>0</v>
      </c>
      <c r="AD53" s="768">
        <v>1</v>
      </c>
      <c r="AE53" s="769">
        <v>0</v>
      </c>
      <c r="AF53" s="769">
        <v>1</v>
      </c>
      <c r="AG53" s="770">
        <v>1</v>
      </c>
      <c r="AH53" s="769">
        <v>0</v>
      </c>
      <c r="AI53" s="769">
        <v>0</v>
      </c>
      <c r="AJ53" s="769">
        <v>0.92815170022086046</v>
      </c>
      <c r="AK53" s="769">
        <v>0.92815170022086046</v>
      </c>
      <c r="AL53" s="769">
        <v>0</v>
      </c>
      <c r="AM53" s="769">
        <v>0</v>
      </c>
      <c r="AN53" s="769">
        <v>0.93291228256853931</v>
      </c>
      <c r="AO53" s="769">
        <v>0.93291228256853931</v>
      </c>
      <c r="AP53" s="769">
        <v>0</v>
      </c>
      <c r="AQ53" s="769">
        <v>0</v>
      </c>
      <c r="AR53" s="769">
        <v>0</v>
      </c>
      <c r="AS53" s="769">
        <v>0.86146557862287421</v>
      </c>
      <c r="AT53" s="769">
        <v>0.89418719599453456</v>
      </c>
      <c r="AU53" s="769">
        <v>0.92815170022086046</v>
      </c>
      <c r="AV53" s="769">
        <v>0.96340630069605648</v>
      </c>
      <c r="AW53" s="769">
        <v>1</v>
      </c>
      <c r="AX53" s="769">
        <v>0.87032532696724207</v>
      </c>
      <c r="AY53" s="769">
        <v>0.90107557250111936</v>
      </c>
      <c r="AZ53" s="769">
        <v>0.93291228256853931</v>
      </c>
      <c r="BA53" s="769">
        <v>0.96587384402340004</v>
      </c>
      <c r="BB53" s="769">
        <v>1</v>
      </c>
      <c r="BC53" s="769">
        <v>0</v>
      </c>
      <c r="BD53" s="769">
        <v>0</v>
      </c>
      <c r="BE53" s="769">
        <v>0</v>
      </c>
      <c r="BF53" s="769">
        <v>0</v>
      </c>
      <c r="BG53" s="769">
        <v>0</v>
      </c>
      <c r="BH53" s="771">
        <v>1.0040154582976095</v>
      </c>
      <c r="BI53" s="771">
        <v>1.0080470405005588</v>
      </c>
      <c r="BJ53" s="771">
        <v>1.0120948113537176</v>
      </c>
      <c r="BK53" s="772">
        <v>1.0054407320207883</v>
      </c>
      <c r="BL53" s="772">
        <v>0.99883040034002768</v>
      </c>
      <c r="BM53" s="772">
        <v>1.0060008694386551</v>
      </c>
      <c r="BN53" s="772">
        <v>1.0132228143704938</v>
      </c>
      <c r="BO53" s="772">
        <v>1.020496604673627</v>
      </c>
      <c r="BP53" s="772">
        <v>1.0278226125390015</v>
      </c>
      <c r="BQ53" s="772">
        <v>1.0352012128294736</v>
      </c>
      <c r="BR53" s="772">
        <v>1.041012444260178</v>
      </c>
      <c r="BS53" s="772">
        <v>1.0468562977650482</v>
      </c>
      <c r="BT53" s="772">
        <v>1.0527329564721757</v>
      </c>
      <c r="BU53" s="772">
        <v>1.0586426045376651</v>
      </c>
      <c r="BV53" s="772">
        <v>1.0645854271514033</v>
      </c>
      <c r="BW53" s="771">
        <v>1.0040154582976095</v>
      </c>
      <c r="BX53" s="771">
        <v>1.0080470405005588</v>
      </c>
      <c r="BY53" s="771">
        <v>1.0120948113537176</v>
      </c>
      <c r="BZ53" s="772">
        <v>1.0054407320207883</v>
      </c>
      <c r="CA53" s="772">
        <v>0.99883040034002768</v>
      </c>
      <c r="CB53" s="772">
        <v>1.0060008694386551</v>
      </c>
      <c r="CC53" s="772">
        <v>1.0132228143704938</v>
      </c>
      <c r="CD53" s="772">
        <v>1.020496604673627</v>
      </c>
      <c r="CE53" s="772">
        <v>1.0278226125390015</v>
      </c>
      <c r="CF53" s="772">
        <v>1.0352012128294736</v>
      </c>
      <c r="CG53" s="772">
        <v>1.041012444260178</v>
      </c>
      <c r="CH53" s="772">
        <v>1.0468562977650482</v>
      </c>
      <c r="CI53" s="772">
        <v>1.0527329564721757</v>
      </c>
      <c r="CJ53" s="772">
        <v>1.0586426045376651</v>
      </c>
      <c r="CK53" s="772">
        <v>1.0645854271514033</v>
      </c>
      <c r="CL53" s="771">
        <v>0</v>
      </c>
      <c r="CM53" s="771">
        <v>0</v>
      </c>
      <c r="CN53" s="771">
        <v>0</v>
      </c>
      <c r="CO53" s="772">
        <v>0</v>
      </c>
      <c r="CP53" s="772">
        <v>0</v>
      </c>
      <c r="CQ53" s="772">
        <v>0</v>
      </c>
      <c r="CR53" s="772">
        <v>0</v>
      </c>
      <c r="CS53" s="772">
        <v>0</v>
      </c>
      <c r="CT53" s="772">
        <v>0</v>
      </c>
      <c r="CU53" s="772">
        <v>0</v>
      </c>
      <c r="CV53" s="772">
        <v>0</v>
      </c>
      <c r="CW53" s="772">
        <v>0</v>
      </c>
      <c r="CX53" s="772">
        <v>0</v>
      </c>
      <c r="CY53" s="772">
        <v>0</v>
      </c>
      <c r="CZ53" s="772">
        <v>0</v>
      </c>
      <c r="DA53" s="773">
        <v>0</v>
      </c>
      <c r="DB53" s="773">
        <v>0</v>
      </c>
      <c r="DC53" s="773">
        <v>0</v>
      </c>
      <c r="DD53" s="774">
        <v>0</v>
      </c>
      <c r="DE53" s="774">
        <v>0</v>
      </c>
      <c r="DF53" s="774">
        <v>0</v>
      </c>
      <c r="DG53" s="774">
        <v>0</v>
      </c>
      <c r="DH53" s="774">
        <v>0</v>
      </c>
      <c r="DI53" s="774">
        <v>0</v>
      </c>
      <c r="DJ53" s="774">
        <v>0</v>
      </c>
      <c r="DK53" s="774">
        <v>0</v>
      </c>
      <c r="DL53" s="774">
        <v>0</v>
      </c>
      <c r="DM53" s="774">
        <v>0</v>
      </c>
      <c r="DN53" s="774">
        <v>0</v>
      </c>
      <c r="DO53" s="774">
        <v>0</v>
      </c>
      <c r="DP53" s="773">
        <v>0</v>
      </c>
      <c r="DQ53" s="773">
        <v>0</v>
      </c>
      <c r="DR53" s="773">
        <v>0</v>
      </c>
      <c r="DS53" s="774">
        <v>0</v>
      </c>
      <c r="DT53" s="774">
        <v>0</v>
      </c>
      <c r="DU53" s="774">
        <v>0</v>
      </c>
      <c r="DV53" s="774">
        <v>0</v>
      </c>
      <c r="DW53" s="774">
        <v>0</v>
      </c>
      <c r="DX53" s="774">
        <v>0</v>
      </c>
      <c r="DY53" s="774">
        <v>0</v>
      </c>
      <c r="DZ53" s="774">
        <v>0</v>
      </c>
      <c r="EA53" s="774">
        <v>0</v>
      </c>
      <c r="EB53" s="774">
        <v>0</v>
      </c>
      <c r="EC53" s="774">
        <v>0</v>
      </c>
      <c r="ED53" s="774">
        <v>0</v>
      </c>
    </row>
    <row r="54" spans="1:134" ht="15" x14ac:dyDescent="0.25">
      <c r="A54" s="766">
        <v>129</v>
      </c>
      <c r="B54" s="766">
        <v>78</v>
      </c>
      <c r="C54" s="766" t="s">
        <v>3724</v>
      </c>
      <c r="D54" s="2">
        <v>99705</v>
      </c>
      <c r="E54" s="2">
        <v>99714</v>
      </c>
      <c r="F54" s="767" t="s">
        <v>3676</v>
      </c>
      <c r="G54" s="114">
        <v>14</v>
      </c>
      <c r="H54" s="114">
        <v>6</v>
      </c>
      <c r="I54" s="114">
        <v>6</v>
      </c>
      <c r="J54" s="114">
        <v>0</v>
      </c>
      <c r="K54" s="114">
        <v>0</v>
      </c>
      <c r="L54" s="114">
        <v>2</v>
      </c>
      <c r="M54" s="114">
        <v>2</v>
      </c>
      <c r="N54" s="114">
        <v>1</v>
      </c>
      <c r="O54" s="114">
        <v>0</v>
      </c>
      <c r="P54" s="114">
        <v>0</v>
      </c>
      <c r="Q54" s="114">
        <v>3</v>
      </c>
      <c r="R54" s="114">
        <v>0</v>
      </c>
      <c r="S54" s="114">
        <v>3110.5</v>
      </c>
      <c r="T54" s="114">
        <v>3110.5</v>
      </c>
      <c r="U54" s="114">
        <v>1118</v>
      </c>
      <c r="V54" s="114">
        <v>0</v>
      </c>
      <c r="W54" s="114">
        <v>0</v>
      </c>
      <c r="X54" s="114">
        <v>2446.3333333333335</v>
      </c>
      <c r="Y54" s="114">
        <v>0</v>
      </c>
      <c r="Z54" s="114">
        <v>6</v>
      </c>
      <c r="AA54" s="114">
        <v>0</v>
      </c>
      <c r="AB54" s="657">
        <v>1</v>
      </c>
      <c r="AC54" s="657">
        <v>0</v>
      </c>
      <c r="AD54" s="768">
        <v>7</v>
      </c>
      <c r="AE54" s="769">
        <v>0</v>
      </c>
      <c r="AF54" s="769">
        <v>6</v>
      </c>
      <c r="AG54" s="770">
        <v>6</v>
      </c>
      <c r="AH54" s="769">
        <v>0</v>
      </c>
      <c r="AI54" s="769">
        <v>0</v>
      </c>
      <c r="AJ54" s="769">
        <v>5.5689102013251635</v>
      </c>
      <c r="AK54" s="769">
        <v>5.5689102013251635</v>
      </c>
      <c r="AL54" s="769">
        <v>0</v>
      </c>
      <c r="AM54" s="769">
        <v>0</v>
      </c>
      <c r="AN54" s="769">
        <v>5.5974736954112361</v>
      </c>
      <c r="AO54" s="769">
        <v>5.5974736954112361</v>
      </c>
      <c r="AP54" s="769">
        <v>0</v>
      </c>
      <c r="AQ54" s="769">
        <v>0.94010766733490925</v>
      </c>
      <c r="AR54" s="769">
        <v>0</v>
      </c>
      <c r="AS54" s="769">
        <v>5.1687934717372448</v>
      </c>
      <c r="AT54" s="769">
        <v>5.3651231759672076</v>
      </c>
      <c r="AU54" s="769">
        <v>5.5689102013251635</v>
      </c>
      <c r="AV54" s="769">
        <v>5.7804378041763389</v>
      </c>
      <c r="AW54" s="769">
        <v>6</v>
      </c>
      <c r="AX54" s="769">
        <v>5.2219519618034527</v>
      </c>
      <c r="AY54" s="769">
        <v>5.4064534350067159</v>
      </c>
      <c r="AZ54" s="769">
        <v>5.5974736954112361</v>
      </c>
      <c r="BA54" s="769">
        <v>5.7952430641403998</v>
      </c>
      <c r="BB54" s="769">
        <v>6</v>
      </c>
      <c r="BC54" s="769">
        <v>0.88380242618188454</v>
      </c>
      <c r="BD54" s="769">
        <v>0.91152039870909352</v>
      </c>
      <c r="BE54" s="769">
        <v>0.94010766733490925</v>
      </c>
      <c r="BF54" s="769">
        <v>0.96959149508177378</v>
      </c>
      <c r="BG54" s="769">
        <v>1</v>
      </c>
      <c r="BH54" s="771">
        <v>6.0681617561118912</v>
      </c>
      <c r="BI54" s="771">
        <v>6.1370978497231583</v>
      </c>
      <c r="BJ54" s="771">
        <v>6.2068170775344313</v>
      </c>
      <c r="BK54" s="772">
        <v>6.1660099784607256</v>
      </c>
      <c r="BL54" s="772">
        <v>6.1254711681595113</v>
      </c>
      <c r="BM54" s="772">
        <v>6.169445101783146</v>
      </c>
      <c r="BN54" s="772">
        <v>6.2137347183616498</v>
      </c>
      <c r="BO54" s="772">
        <v>6.2583422841404976</v>
      </c>
      <c r="BP54" s="772">
        <v>6.3032700816342313</v>
      </c>
      <c r="BQ54" s="772">
        <v>6.3485204097432613</v>
      </c>
      <c r="BR54" s="772">
        <v>6.3841586227653773</v>
      </c>
      <c r="BS54" s="772">
        <v>6.4199968953518374</v>
      </c>
      <c r="BT54" s="772">
        <v>6.4560363505620204</v>
      </c>
      <c r="BU54" s="772">
        <v>6.492278117759736</v>
      </c>
      <c r="BV54" s="772">
        <v>6.5287233326486174</v>
      </c>
      <c r="BW54" s="771">
        <v>6.0681617561118912</v>
      </c>
      <c r="BX54" s="771">
        <v>6.1370978497231583</v>
      </c>
      <c r="BY54" s="771">
        <v>6.2068170775344313</v>
      </c>
      <c r="BZ54" s="772">
        <v>6.1660099784607256</v>
      </c>
      <c r="CA54" s="772">
        <v>6.1254711681595113</v>
      </c>
      <c r="CB54" s="772">
        <v>6.169445101783146</v>
      </c>
      <c r="CC54" s="772">
        <v>6.2137347183616498</v>
      </c>
      <c r="CD54" s="772">
        <v>6.2583422841404976</v>
      </c>
      <c r="CE54" s="772">
        <v>6.3032700816342313</v>
      </c>
      <c r="CF54" s="772">
        <v>6.3485204097432613</v>
      </c>
      <c r="CG54" s="772">
        <v>6.3841586227653773</v>
      </c>
      <c r="CH54" s="772">
        <v>6.4199968953518374</v>
      </c>
      <c r="CI54" s="772">
        <v>6.4560363505620204</v>
      </c>
      <c r="CJ54" s="772">
        <v>6.492278117759736</v>
      </c>
      <c r="CK54" s="772">
        <v>6.5287233326486174</v>
      </c>
      <c r="CL54" s="771">
        <v>1.0113602926853151</v>
      </c>
      <c r="CM54" s="771">
        <v>1.0228496416205264</v>
      </c>
      <c r="CN54" s="771">
        <v>1.0344695129224053</v>
      </c>
      <c r="CO54" s="772">
        <v>1.0276683297434543</v>
      </c>
      <c r="CP54" s="772">
        <v>1.0209118613599186</v>
      </c>
      <c r="CQ54" s="772">
        <v>1.0282408502971909</v>
      </c>
      <c r="CR54" s="772">
        <v>1.0356224530602751</v>
      </c>
      <c r="CS54" s="772">
        <v>1.0430570473567498</v>
      </c>
      <c r="CT54" s="772">
        <v>1.0505450136057053</v>
      </c>
      <c r="CU54" s="772">
        <v>1.0580867349572103</v>
      </c>
      <c r="CV54" s="772">
        <v>1.064026437127563</v>
      </c>
      <c r="CW54" s="772">
        <v>1.0699994825586396</v>
      </c>
      <c r="CX54" s="772">
        <v>1.0760060584270035</v>
      </c>
      <c r="CY54" s="772">
        <v>1.0820463529599562</v>
      </c>
      <c r="CZ54" s="772">
        <v>1.0881205554414362</v>
      </c>
      <c r="DA54" s="773">
        <v>0</v>
      </c>
      <c r="DB54" s="773">
        <v>0</v>
      </c>
      <c r="DC54" s="773">
        <v>0</v>
      </c>
      <c r="DD54" s="774">
        <v>0</v>
      </c>
      <c r="DE54" s="774">
        <v>0</v>
      </c>
      <c r="DF54" s="774">
        <v>0</v>
      </c>
      <c r="DG54" s="774">
        <v>0</v>
      </c>
      <c r="DH54" s="774">
        <v>0</v>
      </c>
      <c r="DI54" s="774">
        <v>0</v>
      </c>
      <c r="DJ54" s="774">
        <v>0</v>
      </c>
      <c r="DK54" s="774">
        <v>0</v>
      </c>
      <c r="DL54" s="774">
        <v>0</v>
      </c>
      <c r="DM54" s="774">
        <v>0</v>
      </c>
      <c r="DN54" s="774">
        <v>0</v>
      </c>
      <c r="DO54" s="774">
        <v>0</v>
      </c>
      <c r="DP54" s="773">
        <v>0</v>
      </c>
      <c r="DQ54" s="773">
        <v>0</v>
      </c>
      <c r="DR54" s="773">
        <v>0</v>
      </c>
      <c r="DS54" s="774">
        <v>0</v>
      </c>
      <c r="DT54" s="774">
        <v>0</v>
      </c>
      <c r="DU54" s="774">
        <v>0</v>
      </c>
      <c r="DV54" s="774">
        <v>0</v>
      </c>
      <c r="DW54" s="774">
        <v>0</v>
      </c>
      <c r="DX54" s="774">
        <v>0</v>
      </c>
      <c r="DY54" s="774">
        <v>0</v>
      </c>
      <c r="DZ54" s="774">
        <v>0</v>
      </c>
      <c r="EA54" s="774">
        <v>0</v>
      </c>
      <c r="EB54" s="774">
        <v>0</v>
      </c>
      <c r="EC54" s="774">
        <v>0</v>
      </c>
      <c r="ED54" s="774">
        <v>0</v>
      </c>
    </row>
    <row r="55" spans="1:134" ht="15" x14ac:dyDescent="0.25">
      <c r="A55" s="766">
        <v>130</v>
      </c>
      <c r="B55" s="766">
        <v>78</v>
      </c>
      <c r="C55" s="766" t="s">
        <v>3725</v>
      </c>
      <c r="D55" s="2">
        <v>99705</v>
      </c>
      <c r="E55" s="2">
        <v>99714</v>
      </c>
      <c r="F55" s="767" t="s">
        <v>3676</v>
      </c>
      <c r="G55" s="114">
        <v>5</v>
      </c>
      <c r="H55" s="114">
        <v>1</v>
      </c>
      <c r="I55" s="114">
        <v>1</v>
      </c>
      <c r="J55" s="114">
        <v>0</v>
      </c>
      <c r="K55" s="114">
        <v>0</v>
      </c>
      <c r="L55" s="114">
        <v>0</v>
      </c>
      <c r="M55" s="114">
        <v>0</v>
      </c>
      <c r="N55" s="114">
        <v>1</v>
      </c>
      <c r="O55" s="114">
        <v>0</v>
      </c>
      <c r="P55" s="114">
        <v>0</v>
      </c>
      <c r="Q55" s="114">
        <v>1</v>
      </c>
      <c r="R55" s="114">
        <v>0</v>
      </c>
      <c r="S55" s="114">
        <v>0</v>
      </c>
      <c r="T55" s="114">
        <v>0</v>
      </c>
      <c r="U55" s="114">
        <v>9320</v>
      </c>
      <c r="V55" s="114">
        <v>0</v>
      </c>
      <c r="W55" s="114">
        <v>0</v>
      </c>
      <c r="X55" s="114">
        <v>9320</v>
      </c>
      <c r="Y55" s="114">
        <v>2.2912335412335411E-2</v>
      </c>
      <c r="Z55" s="114">
        <v>0.97578828828828834</v>
      </c>
      <c r="AA55" s="114">
        <v>1.2993762993762994E-3</v>
      </c>
      <c r="AB55" s="657">
        <v>1</v>
      </c>
      <c r="AC55" s="657">
        <v>0</v>
      </c>
      <c r="AD55" s="768">
        <v>2</v>
      </c>
      <c r="AE55" s="769">
        <v>2.2912335412335411E-2</v>
      </c>
      <c r="AF55" s="769">
        <v>0.97578828828828834</v>
      </c>
      <c r="AG55" s="770">
        <v>0.99870062370062374</v>
      </c>
      <c r="AH55" s="769">
        <v>1.2993762993762994E-3</v>
      </c>
      <c r="AI55" s="769">
        <v>2.1266123068989742E-2</v>
      </c>
      <c r="AJ55" s="769">
        <v>0.90567955883037798</v>
      </c>
      <c r="AK55" s="769">
        <v>0.92694568189936777</v>
      </c>
      <c r="AL55" s="769">
        <v>1.2060183214928021E-3</v>
      </c>
      <c r="AM55" s="769">
        <v>2.1375199128497804E-2</v>
      </c>
      <c r="AN55" s="769">
        <v>0.91032487933067496</v>
      </c>
      <c r="AO55" s="769">
        <v>0.9317000784591728</v>
      </c>
      <c r="AP55" s="769">
        <v>1.2122041093666051E-3</v>
      </c>
      <c r="AQ55" s="769">
        <v>0.94010766733490925</v>
      </c>
      <c r="AR55" s="769">
        <v>0</v>
      </c>
      <c r="AS55" s="769">
        <v>0.86034621066728312</v>
      </c>
      <c r="AT55" s="769">
        <v>0.89302531034485355</v>
      </c>
      <c r="AU55" s="769">
        <v>0.92694568189936777</v>
      </c>
      <c r="AV55" s="769">
        <v>0.96215447338226234</v>
      </c>
      <c r="AW55" s="769">
        <v>0.99870062370062374</v>
      </c>
      <c r="AX55" s="769">
        <v>0.86919444686463387</v>
      </c>
      <c r="AY55" s="769">
        <v>0.8999047362582645</v>
      </c>
      <c r="AZ55" s="769">
        <v>0.93170007845917269</v>
      </c>
      <c r="BA55" s="769">
        <v>0.96461881044228859</v>
      </c>
      <c r="BB55" s="769">
        <v>0.99870062370062374</v>
      </c>
      <c r="BC55" s="769">
        <v>0.88380242618188454</v>
      </c>
      <c r="BD55" s="769">
        <v>0.91152039870909352</v>
      </c>
      <c r="BE55" s="769">
        <v>0.94010766733490925</v>
      </c>
      <c r="BF55" s="769">
        <v>0.96959149508177378</v>
      </c>
      <c r="BG55" s="769">
        <v>1</v>
      </c>
      <c r="BH55" s="771">
        <v>1.0027108644068903</v>
      </c>
      <c r="BI55" s="771">
        <v>1.0067372080674759</v>
      </c>
      <c r="BJ55" s="771">
        <v>1.0107797193431229</v>
      </c>
      <c r="BK55" s="772">
        <v>1.004134286163173</v>
      </c>
      <c r="BL55" s="772">
        <v>0.99753254379072942</v>
      </c>
      <c r="BM55" s="772">
        <v>1.0046936957517545</v>
      </c>
      <c r="BN55" s="772">
        <v>1.0119062566595134</v>
      </c>
      <c r="BO55" s="772">
        <v>1.0191705955719201</v>
      </c>
      <c r="BP55" s="772">
        <v>1.0264870841963054</v>
      </c>
      <c r="BQ55" s="772">
        <v>1.0338560969084374</v>
      </c>
      <c r="BR55" s="772">
        <v>1.0396597773627507</v>
      </c>
      <c r="BS55" s="772">
        <v>1.0454960375028797</v>
      </c>
      <c r="BT55" s="772">
        <v>1.0513650602189637</v>
      </c>
      <c r="BU55" s="772">
        <v>1.057267029427819</v>
      </c>
      <c r="BV55" s="772">
        <v>1.0632021300787013</v>
      </c>
      <c r="BW55" s="771">
        <v>1.0027108644068903</v>
      </c>
      <c r="BX55" s="771">
        <v>1.0067372080674759</v>
      </c>
      <c r="BY55" s="771">
        <v>1.0107797193431229</v>
      </c>
      <c r="BZ55" s="772">
        <v>1.004134286163173</v>
      </c>
      <c r="CA55" s="772">
        <v>0.99753254379072942</v>
      </c>
      <c r="CB55" s="772">
        <v>1.0046936957517545</v>
      </c>
      <c r="CC55" s="772">
        <v>1.0119062566595134</v>
      </c>
      <c r="CD55" s="772">
        <v>1.0191705955719201</v>
      </c>
      <c r="CE55" s="772">
        <v>1.0264870841963054</v>
      </c>
      <c r="CF55" s="772">
        <v>1.0338560969084374</v>
      </c>
      <c r="CG55" s="772">
        <v>1.0396597773627507</v>
      </c>
      <c r="CH55" s="772">
        <v>1.0454960375028797</v>
      </c>
      <c r="CI55" s="772">
        <v>1.0513650602189637</v>
      </c>
      <c r="CJ55" s="772">
        <v>1.057267029427819</v>
      </c>
      <c r="CK55" s="772">
        <v>1.0632021300787013</v>
      </c>
      <c r="CL55" s="771">
        <v>1.0040154582976095</v>
      </c>
      <c r="CM55" s="771">
        <v>1.0080470405005588</v>
      </c>
      <c r="CN55" s="771">
        <v>1.0120948113537176</v>
      </c>
      <c r="CO55" s="772">
        <v>1.0054407320207883</v>
      </c>
      <c r="CP55" s="772">
        <v>0.99883040034002768</v>
      </c>
      <c r="CQ55" s="772">
        <v>1.0060008694386551</v>
      </c>
      <c r="CR55" s="772">
        <v>1.0132228143704938</v>
      </c>
      <c r="CS55" s="772">
        <v>1.020496604673627</v>
      </c>
      <c r="CT55" s="772">
        <v>1.0278226125390015</v>
      </c>
      <c r="CU55" s="772">
        <v>1.0352012128294736</v>
      </c>
      <c r="CV55" s="772">
        <v>1.041012444260178</v>
      </c>
      <c r="CW55" s="772">
        <v>1.0468562977650482</v>
      </c>
      <c r="CX55" s="772">
        <v>1.0527329564721757</v>
      </c>
      <c r="CY55" s="772">
        <v>1.0586426045376651</v>
      </c>
      <c r="CZ55" s="772">
        <v>1.0645854271514033</v>
      </c>
      <c r="DA55" s="773">
        <v>1.3045938907193472E-3</v>
      </c>
      <c r="DB55" s="773">
        <v>1.3098324330828469E-3</v>
      </c>
      <c r="DC55" s="773">
        <v>1.3150920105947474E-3</v>
      </c>
      <c r="DD55" s="774">
        <v>1.3064458576153694E-3</v>
      </c>
      <c r="DE55" s="774">
        <v>1.2978565492983729E-3</v>
      </c>
      <c r="DF55" s="774">
        <v>1.3071736869005393E-3</v>
      </c>
      <c r="DG55" s="774">
        <v>1.3165577109803712E-3</v>
      </c>
      <c r="DH55" s="774">
        <v>1.3260091017068957E-3</v>
      </c>
      <c r="DI55" s="774">
        <v>1.3355283426962079E-3</v>
      </c>
      <c r="DJ55" s="774">
        <v>1.3451159210362185E-3</v>
      </c>
      <c r="DK55" s="774">
        <v>1.3526668974274663E-3</v>
      </c>
      <c r="DL55" s="774">
        <v>1.3602602621687217E-3</v>
      </c>
      <c r="DM55" s="774">
        <v>1.3678962532122866E-3</v>
      </c>
      <c r="DN55" s="774">
        <v>1.3755751098462384E-3</v>
      </c>
      <c r="DO55" s="774">
        <v>1.3832970727019273E-3</v>
      </c>
      <c r="DP55" s="773">
        <v>0</v>
      </c>
      <c r="DQ55" s="773">
        <v>0</v>
      </c>
      <c r="DR55" s="773">
        <v>0</v>
      </c>
      <c r="DS55" s="774">
        <v>0</v>
      </c>
      <c r="DT55" s="774">
        <v>0</v>
      </c>
      <c r="DU55" s="774">
        <v>0</v>
      </c>
      <c r="DV55" s="774">
        <v>0</v>
      </c>
      <c r="DW55" s="774">
        <v>0</v>
      </c>
      <c r="DX55" s="774">
        <v>0</v>
      </c>
      <c r="DY55" s="774">
        <v>0</v>
      </c>
      <c r="DZ55" s="774">
        <v>0</v>
      </c>
      <c r="EA55" s="774">
        <v>0</v>
      </c>
      <c r="EB55" s="774">
        <v>0</v>
      </c>
      <c r="EC55" s="774">
        <v>0</v>
      </c>
      <c r="ED55" s="774">
        <v>0</v>
      </c>
    </row>
    <row r="56" spans="1:134" ht="15" x14ac:dyDescent="0.25">
      <c r="A56" s="766">
        <v>200</v>
      </c>
      <c r="B56" s="766">
        <v>78</v>
      </c>
      <c r="C56" s="766" t="s">
        <v>3726</v>
      </c>
      <c r="D56" s="2">
        <v>99712</v>
      </c>
      <c r="E56" s="2">
        <v>99712</v>
      </c>
      <c r="F56" s="767" t="s">
        <v>3676</v>
      </c>
      <c r="G56" s="114">
        <v>0</v>
      </c>
      <c r="H56" s="114">
        <v>20</v>
      </c>
      <c r="I56" s="114">
        <v>0</v>
      </c>
      <c r="J56" s="114">
        <v>20</v>
      </c>
      <c r="K56" s="114">
        <v>0</v>
      </c>
      <c r="L56" s="114">
        <v>0</v>
      </c>
      <c r="M56" s="114">
        <v>0</v>
      </c>
      <c r="N56" s="114">
        <v>0</v>
      </c>
      <c r="O56" s="114">
        <v>0</v>
      </c>
      <c r="P56" s="114">
        <v>0</v>
      </c>
      <c r="Q56" s="114">
        <v>0</v>
      </c>
      <c r="R56" s="114">
        <v>0</v>
      </c>
      <c r="S56" s="114">
        <v>834.49503068156923</v>
      </c>
      <c r="T56" s="114">
        <v>834.49503068156923</v>
      </c>
      <c r="U56" s="114">
        <v>1408.3846153846155</v>
      </c>
      <c r="V56" s="114">
        <v>0</v>
      </c>
      <c r="W56" s="114">
        <v>0</v>
      </c>
      <c r="X56" s="114">
        <v>1365.173957061457</v>
      </c>
      <c r="Y56" s="114">
        <v>0.45824670824670827</v>
      </c>
      <c r="Z56" s="114">
        <v>19.515765765765767</v>
      </c>
      <c r="AA56" s="114">
        <v>2.5987525987525989E-2</v>
      </c>
      <c r="AB56" s="657">
        <v>0</v>
      </c>
      <c r="AC56" s="657">
        <v>0</v>
      </c>
      <c r="AD56" s="768">
        <v>20</v>
      </c>
      <c r="AE56" s="769">
        <v>0</v>
      </c>
      <c r="AF56" s="769">
        <v>0</v>
      </c>
      <c r="AG56" s="770">
        <v>0</v>
      </c>
      <c r="AH56" s="769">
        <v>0</v>
      </c>
      <c r="AI56" s="769">
        <v>0.41659861025822553</v>
      </c>
      <c r="AJ56" s="769">
        <v>17.742060662585185</v>
      </c>
      <c r="AK56" s="769">
        <v>18.158659272843412</v>
      </c>
      <c r="AL56" s="769">
        <v>2.3625630071354944E-2</v>
      </c>
      <c r="AM56" s="769">
        <v>0</v>
      </c>
      <c r="AN56" s="769">
        <v>0</v>
      </c>
      <c r="AO56" s="769">
        <v>0</v>
      </c>
      <c r="AP56" s="769">
        <v>0</v>
      </c>
      <c r="AQ56" s="769">
        <v>0</v>
      </c>
      <c r="AR56" s="769">
        <v>0</v>
      </c>
      <c r="AS56" s="769">
        <v>16.508295817689696</v>
      </c>
      <c r="AT56" s="769">
        <v>17.313824503232475</v>
      </c>
      <c r="AU56" s="769">
        <v>18.158659272843412</v>
      </c>
      <c r="AV56" s="769">
        <v>19.044718082111814</v>
      </c>
      <c r="AW56" s="769">
        <v>19.974012474012476</v>
      </c>
      <c r="AX56" s="769">
        <v>0</v>
      </c>
      <c r="AY56" s="769">
        <v>0</v>
      </c>
      <c r="AZ56" s="769">
        <v>0</v>
      </c>
      <c r="BA56" s="769">
        <v>0</v>
      </c>
      <c r="BB56" s="769">
        <v>0</v>
      </c>
      <c r="BC56" s="769">
        <v>0</v>
      </c>
      <c r="BD56" s="769">
        <v>0</v>
      </c>
      <c r="BE56" s="769">
        <v>0</v>
      </c>
      <c r="BF56" s="769">
        <v>0</v>
      </c>
      <c r="BG56" s="769">
        <v>0</v>
      </c>
      <c r="BH56" s="771">
        <v>20.22683901545177</v>
      </c>
      <c r="BI56" s="771">
        <v>20.482865778185573</v>
      </c>
      <c r="BJ56" s="771">
        <v>20.742133269892694</v>
      </c>
      <c r="BK56" s="772">
        <v>20.605762844154171</v>
      </c>
      <c r="BL56" s="772">
        <v>20.470288994133007</v>
      </c>
      <c r="BM56" s="772">
        <v>20.617242445512176</v>
      </c>
      <c r="BN56" s="772">
        <v>20.765250855953152</v>
      </c>
      <c r="BO56" s="772">
        <v>20.914321798865149</v>
      </c>
      <c r="BP56" s="772">
        <v>21.064462902025866</v>
      </c>
      <c r="BQ56" s="772">
        <v>21.215681847971783</v>
      </c>
      <c r="BR56" s="772">
        <v>21.334778730443336</v>
      </c>
      <c r="BS56" s="772">
        <v>21.454544178154322</v>
      </c>
      <c r="BT56" s="772">
        <v>21.574981944179303</v>
      </c>
      <c r="BU56" s="772">
        <v>21.696095802661187</v>
      </c>
      <c r="BV56" s="772">
        <v>21.817889548929497</v>
      </c>
      <c r="BW56" s="771">
        <v>0</v>
      </c>
      <c r="BX56" s="771">
        <v>0</v>
      </c>
      <c r="BY56" s="771">
        <v>0</v>
      </c>
      <c r="BZ56" s="772">
        <v>0</v>
      </c>
      <c r="CA56" s="772">
        <v>0</v>
      </c>
      <c r="CB56" s="772">
        <v>0</v>
      </c>
      <c r="CC56" s="772">
        <v>0</v>
      </c>
      <c r="CD56" s="772">
        <v>0</v>
      </c>
      <c r="CE56" s="772">
        <v>0</v>
      </c>
      <c r="CF56" s="772">
        <v>0</v>
      </c>
      <c r="CG56" s="772">
        <v>0</v>
      </c>
      <c r="CH56" s="772">
        <v>0</v>
      </c>
      <c r="CI56" s="772">
        <v>0</v>
      </c>
      <c r="CJ56" s="772">
        <v>0</v>
      </c>
      <c r="CK56" s="772">
        <v>0</v>
      </c>
      <c r="CL56" s="771">
        <v>0</v>
      </c>
      <c r="CM56" s="771">
        <v>0</v>
      </c>
      <c r="CN56" s="771">
        <v>0</v>
      </c>
      <c r="CO56" s="772">
        <v>0</v>
      </c>
      <c r="CP56" s="772">
        <v>0</v>
      </c>
      <c r="CQ56" s="772">
        <v>0</v>
      </c>
      <c r="CR56" s="772">
        <v>0</v>
      </c>
      <c r="CS56" s="772">
        <v>0</v>
      </c>
      <c r="CT56" s="772">
        <v>0</v>
      </c>
      <c r="CU56" s="772">
        <v>0</v>
      </c>
      <c r="CV56" s="772">
        <v>0</v>
      </c>
      <c r="CW56" s="772">
        <v>0</v>
      </c>
      <c r="CX56" s="772">
        <v>0</v>
      </c>
      <c r="CY56" s="772">
        <v>0</v>
      </c>
      <c r="CZ56" s="772">
        <v>0</v>
      </c>
      <c r="DA56" s="773">
        <v>2.631647022567235E-2</v>
      </c>
      <c r="DB56" s="773">
        <v>2.664957816573715E-2</v>
      </c>
      <c r="DC56" s="773">
        <v>2.6986902510919456E-2</v>
      </c>
      <c r="DD56" s="774">
        <v>2.6809475467283593E-2</v>
      </c>
      <c r="DE56" s="774">
        <v>2.6633214928614372E-2</v>
      </c>
      <c r="DF56" s="774">
        <v>2.6824411196346831E-2</v>
      </c>
      <c r="DG56" s="774">
        <v>2.7016980036368918E-2</v>
      </c>
      <c r="DH56" s="774">
        <v>2.7210931302192494E-2</v>
      </c>
      <c r="DI56" s="774">
        <v>2.740627491806644E-2</v>
      </c>
      <c r="DJ56" s="774">
        <v>2.7603020879484495E-2</v>
      </c>
      <c r="DK56" s="774">
        <v>2.775797388816463E-2</v>
      </c>
      <c r="DL56" s="774">
        <v>2.7913796744931461E-2</v>
      </c>
      <c r="DM56" s="774">
        <v>2.8070494332785977E-2</v>
      </c>
      <c r="DN56" s="774">
        <v>2.8228071562140498E-2</v>
      </c>
      <c r="DO56" s="774">
        <v>2.8386533370972543E-2</v>
      </c>
      <c r="DP56" s="773">
        <v>0</v>
      </c>
      <c r="DQ56" s="773">
        <v>0</v>
      </c>
      <c r="DR56" s="773">
        <v>0</v>
      </c>
      <c r="DS56" s="774">
        <v>0</v>
      </c>
      <c r="DT56" s="774">
        <v>0</v>
      </c>
      <c r="DU56" s="774">
        <v>0</v>
      </c>
      <c r="DV56" s="774">
        <v>0</v>
      </c>
      <c r="DW56" s="774">
        <v>0</v>
      </c>
      <c r="DX56" s="774">
        <v>0</v>
      </c>
      <c r="DY56" s="774">
        <v>0</v>
      </c>
      <c r="DZ56" s="774">
        <v>0</v>
      </c>
      <c r="EA56" s="774">
        <v>0</v>
      </c>
      <c r="EB56" s="774">
        <v>0</v>
      </c>
      <c r="EC56" s="774">
        <v>0</v>
      </c>
      <c r="ED56" s="774">
        <v>0</v>
      </c>
    </row>
    <row r="57" spans="1:134" ht="15" x14ac:dyDescent="0.25">
      <c r="A57" s="766">
        <v>128</v>
      </c>
      <c r="B57" s="766">
        <v>79</v>
      </c>
      <c r="C57" s="766" t="s">
        <v>3727</v>
      </c>
      <c r="D57" s="2">
        <v>99705</v>
      </c>
      <c r="E57" s="2">
        <v>99705</v>
      </c>
      <c r="F57" s="767" t="s">
        <v>3676</v>
      </c>
      <c r="G57" s="114">
        <v>8</v>
      </c>
      <c r="H57" s="114">
        <v>3</v>
      </c>
      <c r="I57" s="114">
        <v>3</v>
      </c>
      <c r="J57" s="114">
        <v>0</v>
      </c>
      <c r="K57" s="114">
        <v>0</v>
      </c>
      <c r="L57" s="114">
        <v>3</v>
      </c>
      <c r="M57" s="114">
        <v>3</v>
      </c>
      <c r="N57" s="114">
        <v>0</v>
      </c>
      <c r="O57" s="114">
        <v>0</v>
      </c>
      <c r="P57" s="114">
        <v>0</v>
      </c>
      <c r="Q57" s="114">
        <v>3</v>
      </c>
      <c r="R57" s="114">
        <v>0</v>
      </c>
      <c r="S57" s="114">
        <v>2121</v>
      </c>
      <c r="T57" s="114">
        <v>2121</v>
      </c>
      <c r="U57" s="114">
        <v>0</v>
      </c>
      <c r="V57" s="114">
        <v>0</v>
      </c>
      <c r="W57" s="114">
        <v>0</v>
      </c>
      <c r="X57" s="114">
        <v>2121</v>
      </c>
      <c r="Y57" s="114">
        <v>0</v>
      </c>
      <c r="Z57" s="114">
        <v>3</v>
      </c>
      <c r="AA57" s="114">
        <v>0</v>
      </c>
      <c r="AB57" s="657">
        <v>0</v>
      </c>
      <c r="AC57" s="657">
        <v>0</v>
      </c>
      <c r="AD57" s="768">
        <v>3</v>
      </c>
      <c r="AE57" s="769">
        <v>0</v>
      </c>
      <c r="AF57" s="769">
        <v>3</v>
      </c>
      <c r="AG57" s="770">
        <v>3</v>
      </c>
      <c r="AH57" s="769">
        <v>0</v>
      </c>
      <c r="AI57" s="769">
        <v>0</v>
      </c>
      <c r="AJ57" s="769">
        <v>2.7844551006625817</v>
      </c>
      <c r="AK57" s="769">
        <v>2.7844551006625817</v>
      </c>
      <c r="AL57" s="769">
        <v>0</v>
      </c>
      <c r="AM57" s="769">
        <v>0</v>
      </c>
      <c r="AN57" s="769">
        <v>2.798736847705618</v>
      </c>
      <c r="AO57" s="769">
        <v>2.798736847705618</v>
      </c>
      <c r="AP57" s="769">
        <v>0</v>
      </c>
      <c r="AQ57" s="769">
        <v>0</v>
      </c>
      <c r="AR57" s="769">
        <v>0</v>
      </c>
      <c r="AS57" s="769">
        <v>2.5843967358686224</v>
      </c>
      <c r="AT57" s="769">
        <v>2.6825615879836038</v>
      </c>
      <c r="AU57" s="769">
        <v>2.7844551006625817</v>
      </c>
      <c r="AV57" s="769">
        <v>2.8902189020881695</v>
      </c>
      <c r="AW57" s="769">
        <v>3</v>
      </c>
      <c r="AX57" s="769">
        <v>2.6109759809017263</v>
      </c>
      <c r="AY57" s="769">
        <v>2.703226717503358</v>
      </c>
      <c r="AZ57" s="769">
        <v>2.798736847705618</v>
      </c>
      <c r="BA57" s="769">
        <v>2.8976215320701999</v>
      </c>
      <c r="BB57" s="769">
        <v>3</v>
      </c>
      <c r="BC57" s="769">
        <v>0</v>
      </c>
      <c r="BD57" s="769">
        <v>0</v>
      </c>
      <c r="BE57" s="769">
        <v>0</v>
      </c>
      <c r="BF57" s="769">
        <v>0</v>
      </c>
      <c r="BG57" s="769">
        <v>0</v>
      </c>
      <c r="BH57" s="771">
        <v>3.0340808780559456</v>
      </c>
      <c r="BI57" s="771">
        <v>3.0685489248615792</v>
      </c>
      <c r="BJ57" s="771">
        <v>3.1034085387672157</v>
      </c>
      <c r="BK57" s="772">
        <v>3.0830049892303628</v>
      </c>
      <c r="BL57" s="772">
        <v>3.0627355840797557</v>
      </c>
      <c r="BM57" s="772">
        <v>3.084722550891573</v>
      </c>
      <c r="BN57" s="772">
        <v>3.1068673591808249</v>
      </c>
      <c r="BO57" s="772">
        <v>3.1291711420702488</v>
      </c>
      <c r="BP57" s="772">
        <v>3.1516350408171157</v>
      </c>
      <c r="BQ57" s="772">
        <v>3.1742602048716306</v>
      </c>
      <c r="BR57" s="772">
        <v>3.1920793113826886</v>
      </c>
      <c r="BS57" s="772">
        <v>3.2099984476759187</v>
      </c>
      <c r="BT57" s="772">
        <v>3.2280181752810102</v>
      </c>
      <c r="BU57" s="772">
        <v>3.246139058879868</v>
      </c>
      <c r="BV57" s="772">
        <v>3.2643616663243087</v>
      </c>
      <c r="BW57" s="771">
        <v>3.0340808780559456</v>
      </c>
      <c r="BX57" s="771">
        <v>3.0685489248615792</v>
      </c>
      <c r="BY57" s="771">
        <v>3.1034085387672157</v>
      </c>
      <c r="BZ57" s="772">
        <v>3.0830049892303628</v>
      </c>
      <c r="CA57" s="772">
        <v>3.0627355840797557</v>
      </c>
      <c r="CB57" s="772">
        <v>3.084722550891573</v>
      </c>
      <c r="CC57" s="772">
        <v>3.1068673591808249</v>
      </c>
      <c r="CD57" s="772">
        <v>3.1291711420702488</v>
      </c>
      <c r="CE57" s="772">
        <v>3.1516350408171157</v>
      </c>
      <c r="CF57" s="772">
        <v>3.1742602048716306</v>
      </c>
      <c r="CG57" s="772">
        <v>3.1920793113826886</v>
      </c>
      <c r="CH57" s="772">
        <v>3.2099984476759187</v>
      </c>
      <c r="CI57" s="772">
        <v>3.2280181752810102</v>
      </c>
      <c r="CJ57" s="772">
        <v>3.246139058879868</v>
      </c>
      <c r="CK57" s="772">
        <v>3.2643616663243087</v>
      </c>
      <c r="CL57" s="771">
        <v>0</v>
      </c>
      <c r="CM57" s="771">
        <v>0</v>
      </c>
      <c r="CN57" s="771">
        <v>0</v>
      </c>
      <c r="CO57" s="772">
        <v>0</v>
      </c>
      <c r="CP57" s="772">
        <v>0</v>
      </c>
      <c r="CQ57" s="772">
        <v>0</v>
      </c>
      <c r="CR57" s="772">
        <v>0</v>
      </c>
      <c r="CS57" s="772">
        <v>0</v>
      </c>
      <c r="CT57" s="772">
        <v>0</v>
      </c>
      <c r="CU57" s="772">
        <v>0</v>
      </c>
      <c r="CV57" s="772">
        <v>0</v>
      </c>
      <c r="CW57" s="772">
        <v>0</v>
      </c>
      <c r="CX57" s="772">
        <v>0</v>
      </c>
      <c r="CY57" s="772">
        <v>0</v>
      </c>
      <c r="CZ57" s="772">
        <v>0</v>
      </c>
      <c r="DA57" s="773">
        <v>0</v>
      </c>
      <c r="DB57" s="773">
        <v>0</v>
      </c>
      <c r="DC57" s="773">
        <v>0</v>
      </c>
      <c r="DD57" s="774">
        <v>0</v>
      </c>
      <c r="DE57" s="774">
        <v>0</v>
      </c>
      <c r="DF57" s="774">
        <v>0</v>
      </c>
      <c r="DG57" s="774">
        <v>0</v>
      </c>
      <c r="DH57" s="774">
        <v>0</v>
      </c>
      <c r="DI57" s="774">
        <v>0</v>
      </c>
      <c r="DJ57" s="774">
        <v>0</v>
      </c>
      <c r="DK57" s="774">
        <v>0</v>
      </c>
      <c r="DL57" s="774">
        <v>0</v>
      </c>
      <c r="DM57" s="774">
        <v>0</v>
      </c>
      <c r="DN57" s="774">
        <v>0</v>
      </c>
      <c r="DO57" s="774">
        <v>0</v>
      </c>
      <c r="DP57" s="773">
        <v>0</v>
      </c>
      <c r="DQ57" s="773">
        <v>0</v>
      </c>
      <c r="DR57" s="773">
        <v>0</v>
      </c>
      <c r="DS57" s="774">
        <v>0</v>
      </c>
      <c r="DT57" s="774">
        <v>0</v>
      </c>
      <c r="DU57" s="774">
        <v>0</v>
      </c>
      <c r="DV57" s="774">
        <v>0</v>
      </c>
      <c r="DW57" s="774">
        <v>0</v>
      </c>
      <c r="DX57" s="774">
        <v>0</v>
      </c>
      <c r="DY57" s="774">
        <v>0</v>
      </c>
      <c r="DZ57" s="774">
        <v>0</v>
      </c>
      <c r="EA57" s="774">
        <v>0</v>
      </c>
      <c r="EB57" s="774">
        <v>0</v>
      </c>
      <c r="EC57" s="774">
        <v>0</v>
      </c>
      <c r="ED57" s="774">
        <v>0</v>
      </c>
    </row>
    <row r="58" spans="1:134" ht="15" x14ac:dyDescent="0.25">
      <c r="A58" s="766">
        <v>129</v>
      </c>
      <c r="B58" s="766">
        <v>79</v>
      </c>
      <c r="C58" s="766" t="s">
        <v>3728</v>
      </c>
      <c r="D58" s="2">
        <v>99705</v>
      </c>
      <c r="E58" s="2">
        <v>99714</v>
      </c>
      <c r="F58" s="767" t="s">
        <v>3676</v>
      </c>
      <c r="G58" s="114">
        <v>0</v>
      </c>
      <c r="H58" s="114">
        <v>1</v>
      </c>
      <c r="I58" s="114">
        <v>0</v>
      </c>
      <c r="J58" s="114">
        <v>1</v>
      </c>
      <c r="K58" s="114">
        <v>0</v>
      </c>
      <c r="L58" s="114">
        <v>1</v>
      </c>
      <c r="M58" s="114">
        <v>1</v>
      </c>
      <c r="N58" s="114">
        <v>1</v>
      </c>
      <c r="O58" s="114">
        <v>0</v>
      </c>
      <c r="P58" s="114">
        <v>0</v>
      </c>
      <c r="Q58" s="114">
        <v>2</v>
      </c>
      <c r="R58" s="114">
        <v>0</v>
      </c>
      <c r="S58" s="114">
        <v>746</v>
      </c>
      <c r="T58" s="114">
        <v>746</v>
      </c>
      <c r="U58" s="114">
        <v>3300</v>
      </c>
      <c r="V58" s="114">
        <v>0</v>
      </c>
      <c r="W58" s="114">
        <v>0</v>
      </c>
      <c r="X58" s="114">
        <v>2023</v>
      </c>
      <c r="Y58" s="114">
        <v>0</v>
      </c>
      <c r="Z58" s="114">
        <v>1</v>
      </c>
      <c r="AA58" s="114">
        <v>0</v>
      </c>
      <c r="AB58" s="657">
        <v>1</v>
      </c>
      <c r="AC58" s="657">
        <v>0</v>
      </c>
      <c r="AD58" s="768">
        <v>2</v>
      </c>
      <c r="AE58" s="769">
        <v>0</v>
      </c>
      <c r="AF58" s="769">
        <v>0</v>
      </c>
      <c r="AG58" s="770">
        <v>0</v>
      </c>
      <c r="AH58" s="769">
        <v>0</v>
      </c>
      <c r="AI58" s="769">
        <v>0</v>
      </c>
      <c r="AJ58" s="769">
        <v>0.92815170022086046</v>
      </c>
      <c r="AK58" s="769">
        <v>0.92815170022086046</v>
      </c>
      <c r="AL58" s="769">
        <v>0</v>
      </c>
      <c r="AM58" s="769">
        <v>0</v>
      </c>
      <c r="AN58" s="769">
        <v>0</v>
      </c>
      <c r="AO58" s="769">
        <v>0</v>
      </c>
      <c r="AP58" s="769">
        <v>0</v>
      </c>
      <c r="AQ58" s="769">
        <v>0.94010766733490925</v>
      </c>
      <c r="AR58" s="769">
        <v>0</v>
      </c>
      <c r="AS58" s="769">
        <v>0.86146557862287421</v>
      </c>
      <c r="AT58" s="769">
        <v>0.89418719599453456</v>
      </c>
      <c r="AU58" s="769">
        <v>0.92815170022086046</v>
      </c>
      <c r="AV58" s="769">
        <v>0.96340630069605648</v>
      </c>
      <c r="AW58" s="769">
        <v>1</v>
      </c>
      <c r="AX58" s="769">
        <v>0</v>
      </c>
      <c r="AY58" s="769">
        <v>0</v>
      </c>
      <c r="AZ58" s="769">
        <v>0</v>
      </c>
      <c r="BA58" s="769">
        <v>0</v>
      </c>
      <c r="BB58" s="769">
        <v>0</v>
      </c>
      <c r="BC58" s="769">
        <v>0.88380242618188454</v>
      </c>
      <c r="BD58" s="769">
        <v>0.91152039870909352</v>
      </c>
      <c r="BE58" s="769">
        <v>0.94010766733490925</v>
      </c>
      <c r="BF58" s="769">
        <v>0.96959149508177378</v>
      </c>
      <c r="BG58" s="769">
        <v>1</v>
      </c>
      <c r="BH58" s="771">
        <v>1.0040154582976095</v>
      </c>
      <c r="BI58" s="771">
        <v>1.0080470405005588</v>
      </c>
      <c r="BJ58" s="771">
        <v>1.0120948113537176</v>
      </c>
      <c r="BK58" s="772">
        <v>1.0054407320207883</v>
      </c>
      <c r="BL58" s="772">
        <v>0.99883040034002768</v>
      </c>
      <c r="BM58" s="772">
        <v>1.0060008694386551</v>
      </c>
      <c r="BN58" s="772">
        <v>1.0132228143704938</v>
      </c>
      <c r="BO58" s="772">
        <v>1.020496604673627</v>
      </c>
      <c r="BP58" s="772">
        <v>1.0278226125390015</v>
      </c>
      <c r="BQ58" s="772">
        <v>1.0352012128294736</v>
      </c>
      <c r="BR58" s="772">
        <v>1.041012444260178</v>
      </c>
      <c r="BS58" s="772">
        <v>1.0468562977650482</v>
      </c>
      <c r="BT58" s="772">
        <v>1.0527329564721757</v>
      </c>
      <c r="BU58" s="772">
        <v>1.0586426045376651</v>
      </c>
      <c r="BV58" s="772">
        <v>1.0645854271514033</v>
      </c>
      <c r="BW58" s="771">
        <v>0</v>
      </c>
      <c r="BX58" s="771">
        <v>0</v>
      </c>
      <c r="BY58" s="771">
        <v>0</v>
      </c>
      <c r="BZ58" s="772">
        <v>0</v>
      </c>
      <c r="CA58" s="772">
        <v>0</v>
      </c>
      <c r="CB58" s="772">
        <v>0</v>
      </c>
      <c r="CC58" s="772">
        <v>0</v>
      </c>
      <c r="CD58" s="772">
        <v>0</v>
      </c>
      <c r="CE58" s="772">
        <v>0</v>
      </c>
      <c r="CF58" s="772">
        <v>0</v>
      </c>
      <c r="CG58" s="772">
        <v>0</v>
      </c>
      <c r="CH58" s="772">
        <v>0</v>
      </c>
      <c r="CI58" s="772">
        <v>0</v>
      </c>
      <c r="CJ58" s="772">
        <v>0</v>
      </c>
      <c r="CK58" s="772">
        <v>0</v>
      </c>
      <c r="CL58" s="771">
        <v>1.0040154582976095</v>
      </c>
      <c r="CM58" s="771">
        <v>1.0080470405005588</v>
      </c>
      <c r="CN58" s="771">
        <v>1.0120948113537176</v>
      </c>
      <c r="CO58" s="772">
        <v>1.0054407320207883</v>
      </c>
      <c r="CP58" s="772">
        <v>0.99883040034002768</v>
      </c>
      <c r="CQ58" s="772">
        <v>1.0060008694386551</v>
      </c>
      <c r="CR58" s="772">
        <v>1.0132228143704938</v>
      </c>
      <c r="CS58" s="772">
        <v>1.020496604673627</v>
      </c>
      <c r="CT58" s="772">
        <v>1.0278226125390015</v>
      </c>
      <c r="CU58" s="772">
        <v>1.0352012128294736</v>
      </c>
      <c r="CV58" s="772">
        <v>1.041012444260178</v>
      </c>
      <c r="CW58" s="772">
        <v>1.0468562977650482</v>
      </c>
      <c r="CX58" s="772">
        <v>1.0527329564721757</v>
      </c>
      <c r="CY58" s="772">
        <v>1.0586426045376651</v>
      </c>
      <c r="CZ58" s="772">
        <v>1.0645854271514033</v>
      </c>
      <c r="DA58" s="773">
        <v>0</v>
      </c>
      <c r="DB58" s="773">
        <v>0</v>
      </c>
      <c r="DC58" s="773">
        <v>0</v>
      </c>
      <c r="DD58" s="774">
        <v>0</v>
      </c>
      <c r="DE58" s="774">
        <v>0</v>
      </c>
      <c r="DF58" s="774">
        <v>0</v>
      </c>
      <c r="DG58" s="774">
        <v>0</v>
      </c>
      <c r="DH58" s="774">
        <v>0</v>
      </c>
      <c r="DI58" s="774">
        <v>0</v>
      </c>
      <c r="DJ58" s="774">
        <v>0</v>
      </c>
      <c r="DK58" s="774">
        <v>0</v>
      </c>
      <c r="DL58" s="774">
        <v>0</v>
      </c>
      <c r="DM58" s="774">
        <v>0</v>
      </c>
      <c r="DN58" s="774">
        <v>0</v>
      </c>
      <c r="DO58" s="774">
        <v>0</v>
      </c>
      <c r="DP58" s="773">
        <v>0</v>
      </c>
      <c r="DQ58" s="773">
        <v>0</v>
      </c>
      <c r="DR58" s="773">
        <v>0</v>
      </c>
      <c r="DS58" s="774">
        <v>0</v>
      </c>
      <c r="DT58" s="774">
        <v>0</v>
      </c>
      <c r="DU58" s="774">
        <v>0</v>
      </c>
      <c r="DV58" s="774">
        <v>0</v>
      </c>
      <c r="DW58" s="774">
        <v>0</v>
      </c>
      <c r="DX58" s="774">
        <v>0</v>
      </c>
      <c r="DY58" s="774">
        <v>0</v>
      </c>
      <c r="DZ58" s="774">
        <v>0</v>
      </c>
      <c r="EA58" s="774">
        <v>0</v>
      </c>
      <c r="EB58" s="774">
        <v>0</v>
      </c>
      <c r="EC58" s="774">
        <v>0</v>
      </c>
      <c r="ED58" s="774">
        <v>0</v>
      </c>
    </row>
    <row r="59" spans="1:134" ht="15" x14ac:dyDescent="0.25">
      <c r="A59" s="766">
        <v>128</v>
      </c>
      <c r="B59" s="766">
        <v>80</v>
      </c>
      <c r="C59" s="766" t="s">
        <v>3729</v>
      </c>
      <c r="D59" s="2">
        <v>99705</v>
      </c>
      <c r="E59" s="2">
        <v>99705</v>
      </c>
      <c r="F59" s="767" t="s">
        <v>3676</v>
      </c>
      <c r="G59" s="114">
        <v>7</v>
      </c>
      <c r="H59" s="114">
        <v>2</v>
      </c>
      <c r="I59" s="114">
        <v>2</v>
      </c>
      <c r="J59" s="114">
        <v>0</v>
      </c>
      <c r="K59" s="114">
        <v>0</v>
      </c>
      <c r="L59" s="114">
        <v>16</v>
      </c>
      <c r="M59" s="114">
        <v>16</v>
      </c>
      <c r="N59" s="114">
        <v>0</v>
      </c>
      <c r="O59" s="114">
        <v>0</v>
      </c>
      <c r="P59" s="114">
        <v>0</v>
      </c>
      <c r="Q59" s="114">
        <v>16</v>
      </c>
      <c r="R59" s="114">
        <v>0</v>
      </c>
      <c r="S59" s="114">
        <v>2430.4375</v>
      </c>
      <c r="T59" s="114">
        <v>2430.4375</v>
      </c>
      <c r="U59" s="114">
        <v>0</v>
      </c>
      <c r="V59" s="114">
        <v>0</v>
      </c>
      <c r="W59" s="114">
        <v>0</v>
      </c>
      <c r="X59" s="114">
        <v>2430.4375</v>
      </c>
      <c r="Y59" s="114">
        <v>0</v>
      </c>
      <c r="Z59" s="114">
        <v>2</v>
      </c>
      <c r="AA59" s="114">
        <v>0</v>
      </c>
      <c r="AB59" s="657">
        <v>0</v>
      </c>
      <c r="AC59" s="657">
        <v>0</v>
      </c>
      <c r="AD59" s="768">
        <v>2</v>
      </c>
      <c r="AE59" s="769">
        <v>0</v>
      </c>
      <c r="AF59" s="769">
        <v>2</v>
      </c>
      <c r="AG59" s="770">
        <v>2</v>
      </c>
      <c r="AH59" s="769">
        <v>0</v>
      </c>
      <c r="AI59" s="769">
        <v>0</v>
      </c>
      <c r="AJ59" s="769">
        <v>1.8563034004417209</v>
      </c>
      <c r="AK59" s="769">
        <v>1.8563034004417209</v>
      </c>
      <c r="AL59" s="769">
        <v>0</v>
      </c>
      <c r="AM59" s="769">
        <v>0</v>
      </c>
      <c r="AN59" s="769">
        <v>1.8658245651370786</v>
      </c>
      <c r="AO59" s="769">
        <v>1.8658245651370786</v>
      </c>
      <c r="AP59" s="769">
        <v>0</v>
      </c>
      <c r="AQ59" s="769">
        <v>0</v>
      </c>
      <c r="AR59" s="769">
        <v>0</v>
      </c>
      <c r="AS59" s="769">
        <v>1.7229311572457484</v>
      </c>
      <c r="AT59" s="769">
        <v>1.7883743919890691</v>
      </c>
      <c r="AU59" s="769">
        <v>1.8563034004417209</v>
      </c>
      <c r="AV59" s="769">
        <v>1.926812601392113</v>
      </c>
      <c r="AW59" s="769">
        <v>2</v>
      </c>
      <c r="AX59" s="769">
        <v>1.7406506539344841</v>
      </c>
      <c r="AY59" s="769">
        <v>1.8021511450022387</v>
      </c>
      <c r="AZ59" s="769">
        <v>1.8658245651370786</v>
      </c>
      <c r="BA59" s="769">
        <v>1.9317476880468001</v>
      </c>
      <c r="BB59" s="769">
        <v>2</v>
      </c>
      <c r="BC59" s="769">
        <v>0</v>
      </c>
      <c r="BD59" s="769">
        <v>0</v>
      </c>
      <c r="BE59" s="769">
        <v>0</v>
      </c>
      <c r="BF59" s="769">
        <v>0</v>
      </c>
      <c r="BG59" s="769">
        <v>0</v>
      </c>
      <c r="BH59" s="771">
        <v>2.0227205853706303</v>
      </c>
      <c r="BI59" s="771">
        <v>2.0456992832410528</v>
      </c>
      <c r="BJ59" s="771">
        <v>2.0689390258448106</v>
      </c>
      <c r="BK59" s="772">
        <v>2.0553366594869087</v>
      </c>
      <c r="BL59" s="772">
        <v>2.0418237227198373</v>
      </c>
      <c r="BM59" s="772">
        <v>2.0564817005943818</v>
      </c>
      <c r="BN59" s="772">
        <v>2.0712449061205502</v>
      </c>
      <c r="BO59" s="772">
        <v>2.0861140947134995</v>
      </c>
      <c r="BP59" s="772">
        <v>2.1010900272114106</v>
      </c>
      <c r="BQ59" s="772">
        <v>2.1161734699144206</v>
      </c>
      <c r="BR59" s="772">
        <v>2.1280528742551259</v>
      </c>
      <c r="BS59" s="772">
        <v>2.1399989651172793</v>
      </c>
      <c r="BT59" s="772">
        <v>2.152012116854007</v>
      </c>
      <c r="BU59" s="772">
        <v>2.1640927059199124</v>
      </c>
      <c r="BV59" s="772">
        <v>2.1762411108828723</v>
      </c>
      <c r="BW59" s="771">
        <v>2.0227205853706303</v>
      </c>
      <c r="BX59" s="771">
        <v>2.0456992832410528</v>
      </c>
      <c r="BY59" s="771">
        <v>2.0689390258448106</v>
      </c>
      <c r="BZ59" s="772">
        <v>2.0553366594869087</v>
      </c>
      <c r="CA59" s="772">
        <v>2.0418237227198373</v>
      </c>
      <c r="CB59" s="772">
        <v>2.0564817005943818</v>
      </c>
      <c r="CC59" s="772">
        <v>2.0712449061205502</v>
      </c>
      <c r="CD59" s="772">
        <v>2.0861140947134995</v>
      </c>
      <c r="CE59" s="772">
        <v>2.1010900272114106</v>
      </c>
      <c r="CF59" s="772">
        <v>2.1161734699144206</v>
      </c>
      <c r="CG59" s="772">
        <v>2.1280528742551259</v>
      </c>
      <c r="CH59" s="772">
        <v>2.1399989651172793</v>
      </c>
      <c r="CI59" s="772">
        <v>2.152012116854007</v>
      </c>
      <c r="CJ59" s="772">
        <v>2.1640927059199124</v>
      </c>
      <c r="CK59" s="772">
        <v>2.1762411108828723</v>
      </c>
      <c r="CL59" s="771">
        <v>0</v>
      </c>
      <c r="CM59" s="771">
        <v>0</v>
      </c>
      <c r="CN59" s="771">
        <v>0</v>
      </c>
      <c r="CO59" s="772">
        <v>0</v>
      </c>
      <c r="CP59" s="772">
        <v>0</v>
      </c>
      <c r="CQ59" s="772">
        <v>0</v>
      </c>
      <c r="CR59" s="772">
        <v>0</v>
      </c>
      <c r="CS59" s="772">
        <v>0</v>
      </c>
      <c r="CT59" s="772">
        <v>0</v>
      </c>
      <c r="CU59" s="772">
        <v>0</v>
      </c>
      <c r="CV59" s="772">
        <v>0</v>
      </c>
      <c r="CW59" s="772">
        <v>0</v>
      </c>
      <c r="CX59" s="772">
        <v>0</v>
      </c>
      <c r="CY59" s="772">
        <v>0</v>
      </c>
      <c r="CZ59" s="772">
        <v>0</v>
      </c>
      <c r="DA59" s="773">
        <v>0</v>
      </c>
      <c r="DB59" s="773">
        <v>0</v>
      </c>
      <c r="DC59" s="773">
        <v>0</v>
      </c>
      <c r="DD59" s="774">
        <v>0</v>
      </c>
      <c r="DE59" s="774">
        <v>0</v>
      </c>
      <c r="DF59" s="774">
        <v>0</v>
      </c>
      <c r="DG59" s="774">
        <v>0</v>
      </c>
      <c r="DH59" s="774">
        <v>0</v>
      </c>
      <c r="DI59" s="774">
        <v>0</v>
      </c>
      <c r="DJ59" s="774">
        <v>0</v>
      </c>
      <c r="DK59" s="774">
        <v>0</v>
      </c>
      <c r="DL59" s="774">
        <v>0</v>
      </c>
      <c r="DM59" s="774">
        <v>0</v>
      </c>
      <c r="DN59" s="774">
        <v>0</v>
      </c>
      <c r="DO59" s="774">
        <v>0</v>
      </c>
      <c r="DP59" s="773">
        <v>0</v>
      </c>
      <c r="DQ59" s="773">
        <v>0</v>
      </c>
      <c r="DR59" s="773">
        <v>0</v>
      </c>
      <c r="DS59" s="774">
        <v>0</v>
      </c>
      <c r="DT59" s="774">
        <v>0</v>
      </c>
      <c r="DU59" s="774">
        <v>0</v>
      </c>
      <c r="DV59" s="774">
        <v>0</v>
      </c>
      <c r="DW59" s="774">
        <v>0</v>
      </c>
      <c r="DX59" s="774">
        <v>0</v>
      </c>
      <c r="DY59" s="774">
        <v>0</v>
      </c>
      <c r="DZ59" s="774">
        <v>0</v>
      </c>
      <c r="EA59" s="774">
        <v>0</v>
      </c>
      <c r="EB59" s="774">
        <v>0</v>
      </c>
      <c r="EC59" s="774">
        <v>0</v>
      </c>
      <c r="ED59" s="774">
        <v>0</v>
      </c>
    </row>
    <row r="60" spans="1:134" ht="15" x14ac:dyDescent="0.25">
      <c r="A60" s="766">
        <v>129</v>
      </c>
      <c r="B60" s="766">
        <v>80</v>
      </c>
      <c r="C60" s="766" t="s">
        <v>3730</v>
      </c>
      <c r="D60" s="2">
        <v>99705</v>
      </c>
      <c r="E60" s="2">
        <v>99705</v>
      </c>
      <c r="F60" s="767" t="s">
        <v>3676</v>
      </c>
      <c r="G60" s="114">
        <v>6</v>
      </c>
      <c r="H60" s="114">
        <v>3</v>
      </c>
      <c r="I60" s="114">
        <v>3</v>
      </c>
      <c r="J60" s="114">
        <v>0</v>
      </c>
      <c r="K60" s="114">
        <v>0</v>
      </c>
      <c r="L60" s="114">
        <v>0</v>
      </c>
      <c r="M60" s="114">
        <v>0</v>
      </c>
      <c r="N60" s="114">
        <v>1</v>
      </c>
      <c r="O60" s="114">
        <v>0</v>
      </c>
      <c r="P60" s="114">
        <v>0</v>
      </c>
      <c r="Q60" s="114">
        <v>1</v>
      </c>
      <c r="R60" s="114">
        <v>0</v>
      </c>
      <c r="S60" s="114">
        <v>0</v>
      </c>
      <c r="T60" s="114">
        <v>0</v>
      </c>
      <c r="U60" s="114">
        <v>6176</v>
      </c>
      <c r="V60" s="114">
        <v>0</v>
      </c>
      <c r="W60" s="114">
        <v>0</v>
      </c>
      <c r="X60" s="114">
        <v>6176</v>
      </c>
      <c r="Y60" s="114">
        <v>6.8737006237006237E-2</v>
      </c>
      <c r="Z60" s="114">
        <v>2.9273648648648649</v>
      </c>
      <c r="AA60" s="114">
        <v>3.8981288981288983E-3</v>
      </c>
      <c r="AB60" s="657">
        <v>1</v>
      </c>
      <c r="AC60" s="657">
        <v>0</v>
      </c>
      <c r="AD60" s="768">
        <v>4</v>
      </c>
      <c r="AE60" s="769">
        <v>6.8737006237006237E-2</v>
      </c>
      <c r="AF60" s="769">
        <v>2.9273648648648649</v>
      </c>
      <c r="AG60" s="770">
        <v>2.996101871101871</v>
      </c>
      <c r="AH60" s="769">
        <v>3.8981288981288983E-3</v>
      </c>
      <c r="AI60" s="769">
        <v>6.3798369206969227E-2</v>
      </c>
      <c r="AJ60" s="769">
        <v>2.7170386764911338</v>
      </c>
      <c r="AK60" s="769">
        <v>2.7808370456981031</v>
      </c>
      <c r="AL60" s="769">
        <v>3.6180549644784068E-3</v>
      </c>
      <c r="AM60" s="769">
        <v>6.4125597385493407E-2</v>
      </c>
      <c r="AN60" s="769">
        <v>2.7309746379920248</v>
      </c>
      <c r="AO60" s="769">
        <v>2.7951002353775181</v>
      </c>
      <c r="AP60" s="769">
        <v>3.6366123280998155E-3</v>
      </c>
      <c r="AQ60" s="769">
        <v>0.94010766733490925</v>
      </c>
      <c r="AR60" s="769">
        <v>0</v>
      </c>
      <c r="AS60" s="769">
        <v>2.5810386320018495</v>
      </c>
      <c r="AT60" s="769">
        <v>2.6790759310345602</v>
      </c>
      <c r="AU60" s="769">
        <v>2.7808370456981031</v>
      </c>
      <c r="AV60" s="769">
        <v>2.8864634201467867</v>
      </c>
      <c r="AW60" s="769">
        <v>2.996101871101871</v>
      </c>
      <c r="AX60" s="769">
        <v>2.6075833405939015</v>
      </c>
      <c r="AY60" s="769">
        <v>2.6997142087747932</v>
      </c>
      <c r="AZ60" s="769">
        <v>2.7951002353775181</v>
      </c>
      <c r="BA60" s="769">
        <v>2.8938564313268653</v>
      </c>
      <c r="BB60" s="769">
        <v>2.996101871101871</v>
      </c>
      <c r="BC60" s="769">
        <v>0.88380242618188454</v>
      </c>
      <c r="BD60" s="769">
        <v>0.91152039870909352</v>
      </c>
      <c r="BE60" s="769">
        <v>0.94010766733490925</v>
      </c>
      <c r="BF60" s="769">
        <v>0.96959149508177378</v>
      </c>
      <c r="BG60" s="769">
        <v>1</v>
      </c>
      <c r="BH60" s="771">
        <v>3.0081325932206706</v>
      </c>
      <c r="BI60" s="771">
        <v>3.0202116242024277</v>
      </c>
      <c r="BJ60" s="771">
        <v>3.0323391580293686</v>
      </c>
      <c r="BK60" s="772">
        <v>3.0124028584895188</v>
      </c>
      <c r="BL60" s="772">
        <v>2.9925976313721878</v>
      </c>
      <c r="BM60" s="772">
        <v>3.0140810872552635</v>
      </c>
      <c r="BN60" s="772">
        <v>3.0357187699785402</v>
      </c>
      <c r="BO60" s="772">
        <v>3.05751178671576</v>
      </c>
      <c r="BP60" s="772">
        <v>3.0794612525889162</v>
      </c>
      <c r="BQ60" s="772">
        <v>3.1015682907253121</v>
      </c>
      <c r="BR60" s="772">
        <v>3.118979332088252</v>
      </c>
      <c r="BS60" s="772">
        <v>3.1364881125086383</v>
      </c>
      <c r="BT60" s="772">
        <v>3.1540951806568907</v>
      </c>
      <c r="BU60" s="772">
        <v>3.1718010882834564</v>
      </c>
      <c r="BV60" s="772">
        <v>3.1896063902361038</v>
      </c>
      <c r="BW60" s="771">
        <v>3.0081325932206706</v>
      </c>
      <c r="BX60" s="771">
        <v>3.0202116242024277</v>
      </c>
      <c r="BY60" s="771">
        <v>3.0323391580293686</v>
      </c>
      <c r="BZ60" s="772">
        <v>3.0124028584895188</v>
      </c>
      <c r="CA60" s="772">
        <v>2.9925976313721878</v>
      </c>
      <c r="CB60" s="772">
        <v>3.0140810872552635</v>
      </c>
      <c r="CC60" s="772">
        <v>3.0357187699785402</v>
      </c>
      <c r="CD60" s="772">
        <v>3.05751178671576</v>
      </c>
      <c r="CE60" s="772">
        <v>3.0794612525889162</v>
      </c>
      <c r="CF60" s="772">
        <v>3.1015682907253121</v>
      </c>
      <c r="CG60" s="772">
        <v>3.118979332088252</v>
      </c>
      <c r="CH60" s="772">
        <v>3.1364881125086383</v>
      </c>
      <c r="CI60" s="772">
        <v>3.1540951806568907</v>
      </c>
      <c r="CJ60" s="772">
        <v>3.1718010882834564</v>
      </c>
      <c r="CK60" s="772">
        <v>3.1896063902361038</v>
      </c>
      <c r="CL60" s="771">
        <v>1.0040154582976095</v>
      </c>
      <c r="CM60" s="771">
        <v>1.0080470405005588</v>
      </c>
      <c r="CN60" s="771">
        <v>1.0120948113537176</v>
      </c>
      <c r="CO60" s="772">
        <v>1.0054407320207883</v>
      </c>
      <c r="CP60" s="772">
        <v>0.99883040034002768</v>
      </c>
      <c r="CQ60" s="772">
        <v>1.0060008694386551</v>
      </c>
      <c r="CR60" s="772">
        <v>1.0132228143704938</v>
      </c>
      <c r="CS60" s="772">
        <v>1.020496604673627</v>
      </c>
      <c r="CT60" s="772">
        <v>1.0278226125390015</v>
      </c>
      <c r="CU60" s="772">
        <v>1.0352012128294736</v>
      </c>
      <c r="CV60" s="772">
        <v>1.041012444260178</v>
      </c>
      <c r="CW60" s="772">
        <v>1.0468562977650482</v>
      </c>
      <c r="CX60" s="772">
        <v>1.0527329564721757</v>
      </c>
      <c r="CY60" s="772">
        <v>1.0586426045376651</v>
      </c>
      <c r="CZ60" s="772">
        <v>1.0645854271514033</v>
      </c>
      <c r="DA60" s="773">
        <v>3.9137816721580418E-3</v>
      </c>
      <c r="DB60" s="773">
        <v>3.9294972992485406E-3</v>
      </c>
      <c r="DC60" s="773">
        <v>3.9452760317842421E-3</v>
      </c>
      <c r="DD60" s="774">
        <v>3.9193375728461084E-3</v>
      </c>
      <c r="DE60" s="774">
        <v>3.8935696478951181E-3</v>
      </c>
      <c r="DF60" s="774">
        <v>3.9215210607016181E-3</v>
      </c>
      <c r="DG60" s="774">
        <v>3.9496731329411137E-3</v>
      </c>
      <c r="DH60" s="774">
        <v>3.9780273051206868E-3</v>
      </c>
      <c r="DI60" s="774">
        <v>4.0065850280886234E-3</v>
      </c>
      <c r="DJ60" s="774">
        <v>4.0353477631086552E-3</v>
      </c>
      <c r="DK60" s="774">
        <v>4.0580006922823989E-3</v>
      </c>
      <c r="DL60" s="774">
        <v>4.0807807865061649E-3</v>
      </c>
      <c r="DM60" s="774">
        <v>4.1036887596368598E-3</v>
      </c>
      <c r="DN60" s="774">
        <v>4.1267253295387153E-3</v>
      </c>
      <c r="DO60" s="774">
        <v>4.1498912181057819E-3</v>
      </c>
      <c r="DP60" s="773">
        <v>0</v>
      </c>
      <c r="DQ60" s="773">
        <v>0</v>
      </c>
      <c r="DR60" s="773">
        <v>0</v>
      </c>
      <c r="DS60" s="774">
        <v>0</v>
      </c>
      <c r="DT60" s="774">
        <v>0</v>
      </c>
      <c r="DU60" s="774">
        <v>0</v>
      </c>
      <c r="DV60" s="774">
        <v>0</v>
      </c>
      <c r="DW60" s="774">
        <v>0</v>
      </c>
      <c r="DX60" s="774">
        <v>0</v>
      </c>
      <c r="DY60" s="774">
        <v>0</v>
      </c>
      <c r="DZ60" s="774">
        <v>0</v>
      </c>
      <c r="EA60" s="774">
        <v>0</v>
      </c>
      <c r="EB60" s="774">
        <v>0</v>
      </c>
      <c r="EC60" s="774">
        <v>0</v>
      </c>
      <c r="ED60" s="774">
        <v>0</v>
      </c>
    </row>
    <row r="61" spans="1:134" ht="15" x14ac:dyDescent="0.25">
      <c r="A61" s="766">
        <v>132</v>
      </c>
      <c r="B61" s="766">
        <v>80</v>
      </c>
      <c r="C61" s="766" t="s">
        <v>3731</v>
      </c>
      <c r="D61" s="2">
        <v>99702</v>
      </c>
      <c r="E61" s="2">
        <v>99702</v>
      </c>
      <c r="F61" s="767" t="s">
        <v>3676</v>
      </c>
      <c r="G61" s="114">
        <v>154</v>
      </c>
      <c r="H61" s="114">
        <v>36</v>
      </c>
      <c r="I61" s="114">
        <v>30</v>
      </c>
      <c r="J61" s="114">
        <v>6</v>
      </c>
      <c r="K61" s="114">
        <v>0</v>
      </c>
      <c r="L61" s="114">
        <v>0</v>
      </c>
      <c r="M61" s="114">
        <v>0</v>
      </c>
      <c r="N61" s="114">
        <v>0</v>
      </c>
      <c r="O61" s="114">
        <v>0</v>
      </c>
      <c r="P61" s="114">
        <v>0</v>
      </c>
      <c r="Q61" s="114">
        <v>0</v>
      </c>
      <c r="R61" s="114">
        <v>0</v>
      </c>
      <c r="S61" s="114">
        <v>834.49503068156923</v>
      </c>
      <c r="T61" s="114">
        <v>834.49503068156923</v>
      </c>
      <c r="U61" s="114">
        <v>1408.3846153846155</v>
      </c>
      <c r="V61" s="114">
        <v>0</v>
      </c>
      <c r="W61" s="114">
        <v>0</v>
      </c>
      <c r="X61" s="114">
        <v>1365.173957061457</v>
      </c>
      <c r="Y61" s="114">
        <v>0.82484407484407485</v>
      </c>
      <c r="Z61" s="114">
        <v>35.128378378378379</v>
      </c>
      <c r="AA61" s="114">
        <v>4.677754677754678E-2</v>
      </c>
      <c r="AB61" s="657">
        <v>0</v>
      </c>
      <c r="AC61" s="657">
        <v>0</v>
      </c>
      <c r="AD61" s="768">
        <v>36</v>
      </c>
      <c r="AE61" s="769">
        <v>0.68737006237006237</v>
      </c>
      <c r="AF61" s="769">
        <v>29.273648648648653</v>
      </c>
      <c r="AG61" s="770">
        <v>29.961018711018713</v>
      </c>
      <c r="AH61" s="769">
        <v>3.8981288981288983E-2</v>
      </c>
      <c r="AI61" s="769">
        <v>0.92074800406586277</v>
      </c>
      <c r="AJ61" s="769">
        <v>39.212725488846544</v>
      </c>
      <c r="AK61" s="769">
        <v>40.133473492912408</v>
      </c>
      <c r="AL61" s="769">
        <v>5.221633293379184E-2</v>
      </c>
      <c r="AM61" s="769">
        <v>0.80168345805939001</v>
      </c>
      <c r="AN61" s="769">
        <v>34.142016307410209</v>
      </c>
      <c r="AO61" s="769">
        <v>34.943699765469596</v>
      </c>
      <c r="AP61" s="769">
        <v>4.5464090249114748E-2</v>
      </c>
      <c r="AQ61" s="769">
        <v>0</v>
      </c>
      <c r="AR61" s="769">
        <v>0</v>
      </c>
      <c r="AS61" s="769">
        <v>44.79975881722217</v>
      </c>
      <c r="AT61" s="769">
        <v>42.402475552494039</v>
      </c>
      <c r="AU61" s="769">
        <v>40.133473492912401</v>
      </c>
      <c r="AV61" s="769">
        <v>37.985888173257003</v>
      </c>
      <c r="AW61" s="769">
        <v>35.953222453222452</v>
      </c>
      <c r="AX61" s="769">
        <v>40.755027893968503</v>
      </c>
      <c r="AY61" s="769">
        <v>37.737666311792175</v>
      </c>
      <c r="AZ61" s="769">
        <v>34.943699765469596</v>
      </c>
      <c r="BA61" s="769">
        <v>32.356588857687932</v>
      </c>
      <c r="BB61" s="769">
        <v>29.961018711018713</v>
      </c>
      <c r="BC61" s="769">
        <v>0</v>
      </c>
      <c r="BD61" s="769">
        <v>0</v>
      </c>
      <c r="BE61" s="769">
        <v>0</v>
      </c>
      <c r="BF61" s="769">
        <v>0</v>
      </c>
      <c r="BG61" s="769">
        <v>0</v>
      </c>
      <c r="BH61" s="771">
        <v>36.097591118648047</v>
      </c>
      <c r="BI61" s="771">
        <v>36.242539490429131</v>
      </c>
      <c r="BJ61" s="771">
        <v>36.38806989635242</v>
      </c>
      <c r="BK61" s="772">
        <v>36.148834301874224</v>
      </c>
      <c r="BL61" s="772">
        <v>35.911171576466252</v>
      </c>
      <c r="BM61" s="772">
        <v>36.168973047063162</v>
      </c>
      <c r="BN61" s="772">
        <v>36.42862523974248</v>
      </c>
      <c r="BO61" s="772">
        <v>36.690141440589116</v>
      </c>
      <c r="BP61" s="772">
        <v>36.953535031066991</v>
      </c>
      <c r="BQ61" s="772">
        <v>37.218819488703744</v>
      </c>
      <c r="BR61" s="772">
        <v>37.427751985059018</v>
      </c>
      <c r="BS61" s="772">
        <v>37.637857350103658</v>
      </c>
      <c r="BT61" s="772">
        <v>37.849142167882682</v>
      </c>
      <c r="BU61" s="772">
        <v>38.061613059401473</v>
      </c>
      <c r="BV61" s="772">
        <v>38.275276682833244</v>
      </c>
      <c r="BW61" s="771">
        <v>30.081325932206706</v>
      </c>
      <c r="BX61" s="771">
        <v>30.202116242024282</v>
      </c>
      <c r="BY61" s="771">
        <v>30.323391580293688</v>
      </c>
      <c r="BZ61" s="772">
        <v>30.124028584895189</v>
      </c>
      <c r="CA61" s="772">
        <v>29.925976313721883</v>
      </c>
      <c r="CB61" s="772">
        <v>30.140810872552638</v>
      </c>
      <c r="CC61" s="772">
        <v>30.357187699785403</v>
      </c>
      <c r="CD61" s="772">
        <v>30.575117867157601</v>
      </c>
      <c r="CE61" s="772">
        <v>30.794612525889164</v>
      </c>
      <c r="CF61" s="772">
        <v>31.015682907253126</v>
      </c>
      <c r="CG61" s="772">
        <v>31.189793320882522</v>
      </c>
      <c r="CH61" s="772">
        <v>31.364881125086388</v>
      </c>
      <c r="CI61" s="772">
        <v>31.540951806568909</v>
      </c>
      <c r="CJ61" s="772">
        <v>31.718010882834566</v>
      </c>
      <c r="CK61" s="772">
        <v>31.896063902361039</v>
      </c>
      <c r="CL61" s="771">
        <v>0</v>
      </c>
      <c r="CM61" s="771">
        <v>0</v>
      </c>
      <c r="CN61" s="771">
        <v>0</v>
      </c>
      <c r="CO61" s="772">
        <v>0</v>
      </c>
      <c r="CP61" s="772">
        <v>0</v>
      </c>
      <c r="CQ61" s="772">
        <v>0</v>
      </c>
      <c r="CR61" s="772">
        <v>0</v>
      </c>
      <c r="CS61" s="772">
        <v>0</v>
      </c>
      <c r="CT61" s="772">
        <v>0</v>
      </c>
      <c r="CU61" s="772">
        <v>0</v>
      </c>
      <c r="CV61" s="772">
        <v>0</v>
      </c>
      <c r="CW61" s="772">
        <v>0</v>
      </c>
      <c r="CX61" s="772">
        <v>0</v>
      </c>
      <c r="CY61" s="772">
        <v>0</v>
      </c>
      <c r="CZ61" s="772">
        <v>0</v>
      </c>
      <c r="DA61" s="773">
        <v>4.6965380065896498E-2</v>
      </c>
      <c r="DB61" s="773">
        <v>4.7153967590982483E-2</v>
      </c>
      <c r="DC61" s="773">
        <v>4.7343312381410908E-2</v>
      </c>
      <c r="DD61" s="774">
        <v>4.7032050874153297E-2</v>
      </c>
      <c r="DE61" s="774">
        <v>4.6722835774741421E-2</v>
      </c>
      <c r="DF61" s="774">
        <v>4.7058252728419417E-2</v>
      </c>
      <c r="DG61" s="774">
        <v>4.7396077595293365E-2</v>
      </c>
      <c r="DH61" s="774">
        <v>4.7736327661448245E-2</v>
      </c>
      <c r="DI61" s="774">
        <v>4.8079020337063481E-2</v>
      </c>
      <c r="DJ61" s="774">
        <v>4.8424173157303858E-2</v>
      </c>
      <c r="DK61" s="774">
        <v>4.8696008307388787E-2</v>
      </c>
      <c r="DL61" s="774">
        <v>4.8969369438073979E-2</v>
      </c>
      <c r="DM61" s="774">
        <v>4.9244265115642318E-2</v>
      </c>
      <c r="DN61" s="774">
        <v>4.9520703954464583E-2</v>
      </c>
      <c r="DO61" s="774">
        <v>4.9798694617269379E-2</v>
      </c>
      <c r="DP61" s="773">
        <v>0</v>
      </c>
      <c r="DQ61" s="773">
        <v>0</v>
      </c>
      <c r="DR61" s="773">
        <v>0</v>
      </c>
      <c r="DS61" s="774">
        <v>0</v>
      </c>
      <c r="DT61" s="774">
        <v>0</v>
      </c>
      <c r="DU61" s="774">
        <v>0</v>
      </c>
      <c r="DV61" s="774">
        <v>0</v>
      </c>
      <c r="DW61" s="774">
        <v>0</v>
      </c>
      <c r="DX61" s="774">
        <v>0</v>
      </c>
      <c r="DY61" s="774">
        <v>0</v>
      </c>
      <c r="DZ61" s="774">
        <v>0</v>
      </c>
      <c r="EA61" s="774">
        <v>0</v>
      </c>
      <c r="EB61" s="774">
        <v>0</v>
      </c>
      <c r="EC61" s="774">
        <v>0</v>
      </c>
      <c r="ED61" s="774">
        <v>0</v>
      </c>
    </row>
    <row r="62" spans="1:134" ht="15" x14ac:dyDescent="0.25">
      <c r="A62" s="766">
        <v>81</v>
      </c>
      <c r="B62" s="766">
        <v>81</v>
      </c>
      <c r="C62" s="766" t="s">
        <v>3732</v>
      </c>
      <c r="D62" s="2">
        <v>99709</v>
      </c>
      <c r="E62" s="2">
        <v>99709</v>
      </c>
      <c r="F62" s="767" t="s">
        <v>3676</v>
      </c>
      <c r="G62" s="114">
        <v>0</v>
      </c>
      <c r="H62" s="114">
        <v>3</v>
      </c>
      <c r="I62" s="114">
        <v>0</v>
      </c>
      <c r="J62" s="114">
        <v>3</v>
      </c>
      <c r="K62" s="114">
        <v>0</v>
      </c>
      <c r="L62" s="114">
        <v>0</v>
      </c>
      <c r="M62" s="114">
        <v>0</v>
      </c>
      <c r="N62" s="114">
        <v>0</v>
      </c>
      <c r="O62" s="114">
        <v>0</v>
      </c>
      <c r="P62" s="114">
        <v>0</v>
      </c>
      <c r="Q62" s="114">
        <v>0</v>
      </c>
      <c r="R62" s="114">
        <v>0</v>
      </c>
      <c r="S62" s="114">
        <v>834.49503068156923</v>
      </c>
      <c r="T62" s="114">
        <v>834.49503068156923</v>
      </c>
      <c r="U62" s="114">
        <v>1408.3846153846155</v>
      </c>
      <c r="V62" s="114">
        <v>0</v>
      </c>
      <c r="W62" s="114">
        <v>0</v>
      </c>
      <c r="X62" s="114">
        <v>1365.173957061457</v>
      </c>
      <c r="Y62" s="114">
        <v>6.8737006237006237E-2</v>
      </c>
      <c r="Z62" s="114">
        <v>2.9273648648648649</v>
      </c>
      <c r="AA62" s="114">
        <v>3.8981288981288983E-3</v>
      </c>
      <c r="AB62" s="657">
        <v>0</v>
      </c>
      <c r="AC62" s="657">
        <v>0</v>
      </c>
      <c r="AD62" s="768">
        <v>3</v>
      </c>
      <c r="AE62" s="769">
        <v>0</v>
      </c>
      <c r="AF62" s="769">
        <v>0</v>
      </c>
      <c r="AG62" s="770">
        <v>0</v>
      </c>
      <c r="AH62" s="769">
        <v>0</v>
      </c>
      <c r="AI62" s="769">
        <v>6.5448517536264822E-2</v>
      </c>
      <c r="AJ62" s="769">
        <v>2.7873150313317776</v>
      </c>
      <c r="AK62" s="769">
        <v>2.8527635488680425</v>
      </c>
      <c r="AL62" s="769">
        <v>3.7116361551756995E-3</v>
      </c>
      <c r="AM62" s="769">
        <v>0</v>
      </c>
      <c r="AN62" s="769">
        <v>0</v>
      </c>
      <c r="AO62" s="769">
        <v>0</v>
      </c>
      <c r="AP62" s="769">
        <v>0</v>
      </c>
      <c r="AQ62" s="769">
        <v>0</v>
      </c>
      <c r="AR62" s="769">
        <v>0</v>
      </c>
      <c r="AS62" s="769">
        <v>2.7162827620267778</v>
      </c>
      <c r="AT62" s="769">
        <v>2.7836868451621131</v>
      </c>
      <c r="AU62" s="769">
        <v>2.8527635488680421</v>
      </c>
      <c r="AV62" s="769">
        <v>2.9235543789323906</v>
      </c>
      <c r="AW62" s="769">
        <v>2.996101871101871</v>
      </c>
      <c r="AX62" s="769">
        <v>0</v>
      </c>
      <c r="AY62" s="769">
        <v>0</v>
      </c>
      <c r="AZ62" s="769">
        <v>0</v>
      </c>
      <c r="BA62" s="769">
        <v>0</v>
      </c>
      <c r="BB62" s="769">
        <v>0</v>
      </c>
      <c r="BC62" s="769">
        <v>0</v>
      </c>
      <c r="BD62" s="769">
        <v>0</v>
      </c>
      <c r="BE62" s="769">
        <v>0</v>
      </c>
      <c r="BF62" s="769">
        <v>0</v>
      </c>
      <c r="BG62" s="769">
        <v>0</v>
      </c>
      <c r="BH62" s="771">
        <v>3.011449789467207</v>
      </c>
      <c r="BI62" s="771">
        <v>3.0268763295244225</v>
      </c>
      <c r="BJ62" s="771">
        <v>3.042381894023277</v>
      </c>
      <c r="BK62" s="772">
        <v>3.0223795679004692</v>
      </c>
      <c r="BL62" s="772">
        <v>3.0025087482959947</v>
      </c>
      <c r="BM62" s="772">
        <v>3.0240633547543938</v>
      </c>
      <c r="BN62" s="772">
        <v>3.0457726988334044</v>
      </c>
      <c r="BO62" s="772">
        <v>3.0676378913735927</v>
      </c>
      <c r="BP62" s="772">
        <v>3.0896600511900987</v>
      </c>
      <c r="BQ62" s="772">
        <v>3.1118403051298866</v>
      </c>
      <c r="BR62" s="772">
        <v>3.1293090097299094</v>
      </c>
      <c r="BS62" s="772">
        <v>3.1468757770871703</v>
      </c>
      <c r="BT62" s="772">
        <v>3.1645411576892162</v>
      </c>
      <c r="BU62" s="772">
        <v>3.1823057051138255</v>
      </c>
      <c r="BV62" s="772">
        <v>3.2001699760463538</v>
      </c>
      <c r="BW62" s="771">
        <v>0</v>
      </c>
      <c r="BX62" s="771">
        <v>0</v>
      </c>
      <c r="BY62" s="771">
        <v>0</v>
      </c>
      <c r="BZ62" s="772">
        <v>0</v>
      </c>
      <c r="CA62" s="772">
        <v>0</v>
      </c>
      <c r="CB62" s="772">
        <v>0</v>
      </c>
      <c r="CC62" s="772">
        <v>0</v>
      </c>
      <c r="CD62" s="772">
        <v>0</v>
      </c>
      <c r="CE62" s="772">
        <v>0</v>
      </c>
      <c r="CF62" s="772">
        <v>0</v>
      </c>
      <c r="CG62" s="772">
        <v>0</v>
      </c>
      <c r="CH62" s="772">
        <v>0</v>
      </c>
      <c r="CI62" s="772">
        <v>0</v>
      </c>
      <c r="CJ62" s="772">
        <v>0</v>
      </c>
      <c r="CK62" s="772">
        <v>0</v>
      </c>
      <c r="CL62" s="771">
        <v>0</v>
      </c>
      <c r="CM62" s="771">
        <v>0</v>
      </c>
      <c r="CN62" s="771">
        <v>0</v>
      </c>
      <c r="CO62" s="772">
        <v>0</v>
      </c>
      <c r="CP62" s="772">
        <v>0</v>
      </c>
      <c r="CQ62" s="772">
        <v>0</v>
      </c>
      <c r="CR62" s="772">
        <v>0</v>
      </c>
      <c r="CS62" s="772">
        <v>0</v>
      </c>
      <c r="CT62" s="772">
        <v>0</v>
      </c>
      <c r="CU62" s="772">
        <v>0</v>
      </c>
      <c r="CV62" s="772">
        <v>0</v>
      </c>
      <c r="CW62" s="772">
        <v>0</v>
      </c>
      <c r="CX62" s="772">
        <v>0</v>
      </c>
      <c r="CY62" s="772">
        <v>0</v>
      </c>
      <c r="CZ62" s="772">
        <v>0</v>
      </c>
      <c r="DA62" s="773">
        <v>3.9180975663117455E-3</v>
      </c>
      <c r="DB62" s="773">
        <v>3.9381685265735406E-3</v>
      </c>
      <c r="DC62" s="773">
        <v>3.9583423029186538E-3</v>
      </c>
      <c r="DD62" s="774">
        <v>3.932317938980575E-3</v>
      </c>
      <c r="DE62" s="774">
        <v>3.9064646738173232E-3</v>
      </c>
      <c r="DF62" s="774">
        <v>3.9345086582805028E-3</v>
      </c>
      <c r="DG62" s="774">
        <v>3.9627539667361497E-3</v>
      </c>
      <c r="DH62" s="774">
        <v>3.9912020444621303E-3</v>
      </c>
      <c r="DI62" s="774">
        <v>4.0198543471117601E-3</v>
      </c>
      <c r="DJ62" s="774">
        <v>4.0487123407882989E-3</v>
      </c>
      <c r="DK62" s="774">
        <v>4.0714402936897088E-3</v>
      </c>
      <c r="DL62" s="774">
        <v>4.0942958327962143E-3</v>
      </c>
      <c r="DM62" s="774">
        <v>4.117279674328931E-3</v>
      </c>
      <c r="DN62" s="774">
        <v>4.1403925385295678E-3</v>
      </c>
      <c r="DO62" s="774">
        <v>4.1636351496830001E-3</v>
      </c>
      <c r="DP62" s="773">
        <v>0</v>
      </c>
      <c r="DQ62" s="773">
        <v>0</v>
      </c>
      <c r="DR62" s="773">
        <v>0</v>
      </c>
      <c r="DS62" s="774">
        <v>0</v>
      </c>
      <c r="DT62" s="774">
        <v>0</v>
      </c>
      <c r="DU62" s="774">
        <v>0</v>
      </c>
      <c r="DV62" s="774">
        <v>0</v>
      </c>
      <c r="DW62" s="774">
        <v>0</v>
      </c>
      <c r="DX62" s="774">
        <v>0</v>
      </c>
      <c r="DY62" s="774">
        <v>0</v>
      </c>
      <c r="DZ62" s="774">
        <v>0</v>
      </c>
      <c r="EA62" s="774">
        <v>0</v>
      </c>
      <c r="EB62" s="774">
        <v>0</v>
      </c>
      <c r="EC62" s="774">
        <v>0</v>
      </c>
      <c r="ED62" s="774">
        <v>0</v>
      </c>
    </row>
    <row r="63" spans="1:134" ht="15" x14ac:dyDescent="0.25">
      <c r="A63" s="766">
        <v>126</v>
      </c>
      <c r="B63" s="766">
        <v>81</v>
      </c>
      <c r="C63" s="766" t="s">
        <v>3733</v>
      </c>
      <c r="D63" s="2">
        <v>99705</v>
      </c>
      <c r="E63" s="2">
        <v>99705</v>
      </c>
      <c r="F63" s="767" t="s">
        <v>3676</v>
      </c>
      <c r="G63" s="114">
        <v>36</v>
      </c>
      <c r="H63" s="114">
        <v>13</v>
      </c>
      <c r="I63" s="114">
        <v>13</v>
      </c>
      <c r="J63" s="114">
        <v>0</v>
      </c>
      <c r="K63" s="114">
        <v>0</v>
      </c>
      <c r="L63" s="114">
        <v>4</v>
      </c>
      <c r="M63" s="114">
        <v>4</v>
      </c>
      <c r="N63" s="114">
        <v>1</v>
      </c>
      <c r="O63" s="114">
        <v>0</v>
      </c>
      <c r="P63" s="114">
        <v>0</v>
      </c>
      <c r="Q63" s="114">
        <v>5</v>
      </c>
      <c r="R63" s="114">
        <v>0</v>
      </c>
      <c r="S63" s="114">
        <v>1537.25</v>
      </c>
      <c r="T63" s="114">
        <v>1537.25</v>
      </c>
      <c r="U63" s="114">
        <v>1628</v>
      </c>
      <c r="V63" s="114">
        <v>0</v>
      </c>
      <c r="W63" s="114">
        <v>0</v>
      </c>
      <c r="X63" s="114">
        <v>1555.4</v>
      </c>
      <c r="Y63" s="114">
        <v>0</v>
      </c>
      <c r="Z63" s="114">
        <v>13</v>
      </c>
      <c r="AA63" s="114">
        <v>0</v>
      </c>
      <c r="AB63" s="657">
        <v>1</v>
      </c>
      <c r="AC63" s="657">
        <v>0</v>
      </c>
      <c r="AD63" s="768">
        <v>14</v>
      </c>
      <c r="AE63" s="769">
        <v>0</v>
      </c>
      <c r="AF63" s="769">
        <v>13</v>
      </c>
      <c r="AG63" s="770">
        <v>13</v>
      </c>
      <c r="AH63" s="769">
        <v>0</v>
      </c>
      <c r="AI63" s="769">
        <v>0</v>
      </c>
      <c r="AJ63" s="769">
        <v>12.065972102871187</v>
      </c>
      <c r="AK63" s="769">
        <v>12.065972102871187</v>
      </c>
      <c r="AL63" s="769">
        <v>0</v>
      </c>
      <c r="AM63" s="769">
        <v>0</v>
      </c>
      <c r="AN63" s="769">
        <v>12.127859673391011</v>
      </c>
      <c r="AO63" s="769">
        <v>12.127859673391011</v>
      </c>
      <c r="AP63" s="769">
        <v>0</v>
      </c>
      <c r="AQ63" s="769">
        <v>0.94010766733490925</v>
      </c>
      <c r="AR63" s="769">
        <v>0</v>
      </c>
      <c r="AS63" s="769">
        <v>11.199052522097364</v>
      </c>
      <c r="AT63" s="769">
        <v>11.624433547928948</v>
      </c>
      <c r="AU63" s="769">
        <v>12.065972102871187</v>
      </c>
      <c r="AV63" s="769">
        <v>12.524281909048735</v>
      </c>
      <c r="AW63" s="769">
        <v>13</v>
      </c>
      <c r="AX63" s="769">
        <v>11.314229250574147</v>
      </c>
      <c r="AY63" s="769">
        <v>11.713982442514551</v>
      </c>
      <c r="AZ63" s="769">
        <v>12.127859673391011</v>
      </c>
      <c r="BA63" s="769">
        <v>12.5563599723042</v>
      </c>
      <c r="BB63" s="769">
        <v>13</v>
      </c>
      <c r="BC63" s="769">
        <v>0.88380242618188454</v>
      </c>
      <c r="BD63" s="769">
        <v>0.91152039870909352</v>
      </c>
      <c r="BE63" s="769">
        <v>0.94010766733490925</v>
      </c>
      <c r="BF63" s="769">
        <v>0.96959149508177378</v>
      </c>
      <c r="BG63" s="769">
        <v>1</v>
      </c>
      <c r="BH63" s="771">
        <v>13.147683804909096</v>
      </c>
      <c r="BI63" s="771">
        <v>13.297045341066843</v>
      </c>
      <c r="BJ63" s="771">
        <v>13.448103667991269</v>
      </c>
      <c r="BK63" s="772">
        <v>13.359688286664907</v>
      </c>
      <c r="BL63" s="772">
        <v>13.271854197678943</v>
      </c>
      <c r="BM63" s="772">
        <v>13.367131053863483</v>
      </c>
      <c r="BN63" s="772">
        <v>13.463091889783575</v>
      </c>
      <c r="BO63" s="772">
        <v>13.559741615637746</v>
      </c>
      <c r="BP63" s="772">
        <v>13.657085176874169</v>
      </c>
      <c r="BQ63" s="772">
        <v>13.755127554443735</v>
      </c>
      <c r="BR63" s="772">
        <v>13.832343682658317</v>
      </c>
      <c r="BS63" s="772">
        <v>13.909993273262316</v>
      </c>
      <c r="BT63" s="772">
        <v>13.988078759551046</v>
      </c>
      <c r="BU63" s="772">
        <v>14.06660258847943</v>
      </c>
      <c r="BV63" s="772">
        <v>14.145567220738672</v>
      </c>
      <c r="BW63" s="771">
        <v>13.147683804909096</v>
      </c>
      <c r="BX63" s="771">
        <v>13.297045341066843</v>
      </c>
      <c r="BY63" s="771">
        <v>13.448103667991269</v>
      </c>
      <c r="BZ63" s="772">
        <v>13.359688286664907</v>
      </c>
      <c r="CA63" s="772">
        <v>13.271854197678943</v>
      </c>
      <c r="CB63" s="772">
        <v>13.367131053863483</v>
      </c>
      <c r="CC63" s="772">
        <v>13.463091889783575</v>
      </c>
      <c r="CD63" s="772">
        <v>13.559741615637746</v>
      </c>
      <c r="CE63" s="772">
        <v>13.657085176874169</v>
      </c>
      <c r="CF63" s="772">
        <v>13.755127554443735</v>
      </c>
      <c r="CG63" s="772">
        <v>13.832343682658317</v>
      </c>
      <c r="CH63" s="772">
        <v>13.909993273262316</v>
      </c>
      <c r="CI63" s="772">
        <v>13.988078759551046</v>
      </c>
      <c r="CJ63" s="772">
        <v>14.06660258847943</v>
      </c>
      <c r="CK63" s="772">
        <v>14.145567220738672</v>
      </c>
      <c r="CL63" s="771">
        <v>1.0113602926853151</v>
      </c>
      <c r="CM63" s="771">
        <v>1.0228496416205264</v>
      </c>
      <c r="CN63" s="771">
        <v>1.0344695129224053</v>
      </c>
      <c r="CO63" s="772">
        <v>1.0276683297434543</v>
      </c>
      <c r="CP63" s="772">
        <v>1.0209118613599186</v>
      </c>
      <c r="CQ63" s="772">
        <v>1.0282408502971909</v>
      </c>
      <c r="CR63" s="772">
        <v>1.0356224530602751</v>
      </c>
      <c r="CS63" s="772">
        <v>1.0430570473567498</v>
      </c>
      <c r="CT63" s="772">
        <v>1.0505450136057053</v>
      </c>
      <c r="CU63" s="772">
        <v>1.0580867349572103</v>
      </c>
      <c r="CV63" s="772">
        <v>1.064026437127563</v>
      </c>
      <c r="CW63" s="772">
        <v>1.0699994825586396</v>
      </c>
      <c r="CX63" s="772">
        <v>1.0760060584270035</v>
      </c>
      <c r="CY63" s="772">
        <v>1.0820463529599562</v>
      </c>
      <c r="CZ63" s="772">
        <v>1.0881205554414362</v>
      </c>
      <c r="DA63" s="773">
        <v>0</v>
      </c>
      <c r="DB63" s="773">
        <v>0</v>
      </c>
      <c r="DC63" s="773">
        <v>0</v>
      </c>
      <c r="DD63" s="774">
        <v>0</v>
      </c>
      <c r="DE63" s="774">
        <v>0</v>
      </c>
      <c r="DF63" s="774">
        <v>0</v>
      </c>
      <c r="DG63" s="774">
        <v>0</v>
      </c>
      <c r="DH63" s="774">
        <v>0</v>
      </c>
      <c r="DI63" s="774">
        <v>0</v>
      </c>
      <c r="DJ63" s="774">
        <v>0</v>
      </c>
      <c r="DK63" s="774">
        <v>0</v>
      </c>
      <c r="DL63" s="774">
        <v>0</v>
      </c>
      <c r="DM63" s="774">
        <v>0</v>
      </c>
      <c r="DN63" s="774">
        <v>0</v>
      </c>
      <c r="DO63" s="774">
        <v>0</v>
      </c>
      <c r="DP63" s="773">
        <v>0</v>
      </c>
      <c r="DQ63" s="773">
        <v>0</v>
      </c>
      <c r="DR63" s="773">
        <v>0</v>
      </c>
      <c r="DS63" s="774">
        <v>0</v>
      </c>
      <c r="DT63" s="774">
        <v>0</v>
      </c>
      <c r="DU63" s="774">
        <v>0</v>
      </c>
      <c r="DV63" s="774">
        <v>0</v>
      </c>
      <c r="DW63" s="774">
        <v>0</v>
      </c>
      <c r="DX63" s="774">
        <v>0</v>
      </c>
      <c r="DY63" s="774">
        <v>0</v>
      </c>
      <c r="DZ63" s="774">
        <v>0</v>
      </c>
      <c r="EA63" s="774">
        <v>0</v>
      </c>
      <c r="EB63" s="774">
        <v>0</v>
      </c>
      <c r="EC63" s="774">
        <v>0</v>
      </c>
      <c r="ED63" s="774">
        <v>0</v>
      </c>
    </row>
    <row r="64" spans="1:134" ht="15" x14ac:dyDescent="0.25">
      <c r="A64" s="766">
        <v>128</v>
      </c>
      <c r="B64" s="766">
        <v>81</v>
      </c>
      <c r="C64" s="766" t="s">
        <v>3734</v>
      </c>
      <c r="D64" s="2">
        <v>99705</v>
      </c>
      <c r="E64" s="2">
        <v>99705</v>
      </c>
      <c r="F64" s="767" t="s">
        <v>3676</v>
      </c>
      <c r="G64" s="114">
        <v>28</v>
      </c>
      <c r="H64" s="114">
        <v>11</v>
      </c>
      <c r="I64" s="114">
        <v>10</v>
      </c>
      <c r="J64" s="114">
        <v>1</v>
      </c>
      <c r="K64" s="114">
        <v>0</v>
      </c>
      <c r="L64" s="114">
        <v>1</v>
      </c>
      <c r="M64" s="114">
        <v>1</v>
      </c>
      <c r="N64" s="114">
        <v>0</v>
      </c>
      <c r="O64" s="114">
        <v>0</v>
      </c>
      <c r="P64" s="114">
        <v>0</v>
      </c>
      <c r="Q64" s="114">
        <v>1</v>
      </c>
      <c r="R64" s="114">
        <v>0</v>
      </c>
      <c r="S64" s="114">
        <v>4288</v>
      </c>
      <c r="T64" s="114">
        <v>4288</v>
      </c>
      <c r="U64" s="114">
        <v>0</v>
      </c>
      <c r="V64" s="114">
        <v>0</v>
      </c>
      <c r="W64" s="114">
        <v>0</v>
      </c>
      <c r="X64" s="114">
        <v>4288</v>
      </c>
      <c r="Y64" s="114">
        <v>0</v>
      </c>
      <c r="Z64" s="114">
        <v>11</v>
      </c>
      <c r="AA64" s="114">
        <v>0</v>
      </c>
      <c r="AB64" s="657">
        <v>0</v>
      </c>
      <c r="AC64" s="657">
        <v>0</v>
      </c>
      <c r="AD64" s="768">
        <v>11</v>
      </c>
      <c r="AE64" s="769">
        <v>0</v>
      </c>
      <c r="AF64" s="769">
        <v>10</v>
      </c>
      <c r="AG64" s="770">
        <v>10</v>
      </c>
      <c r="AH64" s="769">
        <v>0</v>
      </c>
      <c r="AI64" s="769">
        <v>0</v>
      </c>
      <c r="AJ64" s="769">
        <v>10.209668702429466</v>
      </c>
      <c r="AK64" s="769">
        <v>10.209668702429466</v>
      </c>
      <c r="AL64" s="769">
        <v>0</v>
      </c>
      <c r="AM64" s="769">
        <v>0</v>
      </c>
      <c r="AN64" s="769">
        <v>9.3291228256853937</v>
      </c>
      <c r="AO64" s="769">
        <v>9.3291228256853937</v>
      </c>
      <c r="AP64" s="769">
        <v>0</v>
      </c>
      <c r="AQ64" s="769">
        <v>0</v>
      </c>
      <c r="AR64" s="769">
        <v>0</v>
      </c>
      <c r="AS64" s="769">
        <v>9.4761213648516165</v>
      </c>
      <c r="AT64" s="769">
        <v>9.8360591559398802</v>
      </c>
      <c r="AU64" s="769">
        <v>10.209668702429466</v>
      </c>
      <c r="AV64" s="769">
        <v>10.597469307656622</v>
      </c>
      <c r="AW64" s="769">
        <v>11</v>
      </c>
      <c r="AX64" s="769">
        <v>8.7032532696724196</v>
      </c>
      <c r="AY64" s="769">
        <v>9.0107557250111938</v>
      </c>
      <c r="AZ64" s="769">
        <v>9.3291228256853937</v>
      </c>
      <c r="BA64" s="769">
        <v>9.658738440234</v>
      </c>
      <c r="BB64" s="769">
        <v>10</v>
      </c>
      <c r="BC64" s="769">
        <v>0</v>
      </c>
      <c r="BD64" s="769">
        <v>0</v>
      </c>
      <c r="BE64" s="769">
        <v>0</v>
      </c>
      <c r="BF64" s="769">
        <v>0</v>
      </c>
      <c r="BG64" s="769">
        <v>0</v>
      </c>
      <c r="BH64" s="771">
        <v>11.124963219538467</v>
      </c>
      <c r="BI64" s="771">
        <v>11.25134605782579</v>
      </c>
      <c r="BJ64" s="771">
        <v>11.379164642146458</v>
      </c>
      <c r="BK64" s="772">
        <v>11.304351627177997</v>
      </c>
      <c r="BL64" s="772">
        <v>11.230030474959104</v>
      </c>
      <c r="BM64" s="772">
        <v>11.310649353269101</v>
      </c>
      <c r="BN64" s="772">
        <v>11.391846983663026</v>
      </c>
      <c r="BO64" s="772">
        <v>11.473627520924246</v>
      </c>
      <c r="BP64" s="772">
        <v>11.555995149662758</v>
      </c>
      <c r="BQ64" s="772">
        <v>11.638954084529313</v>
      </c>
      <c r="BR64" s="772">
        <v>11.704290808403192</v>
      </c>
      <c r="BS64" s="772">
        <v>11.769994308145037</v>
      </c>
      <c r="BT64" s="772">
        <v>11.836066642697039</v>
      </c>
      <c r="BU64" s="772">
        <v>11.902509882559517</v>
      </c>
      <c r="BV64" s="772">
        <v>11.969326109855798</v>
      </c>
      <c r="BW64" s="771">
        <v>10.113602926853151</v>
      </c>
      <c r="BX64" s="771">
        <v>10.228496416205264</v>
      </c>
      <c r="BY64" s="771">
        <v>10.344695129224053</v>
      </c>
      <c r="BZ64" s="772">
        <v>10.276683297434545</v>
      </c>
      <c r="CA64" s="772">
        <v>10.209118613599186</v>
      </c>
      <c r="CB64" s="772">
        <v>10.282408502971911</v>
      </c>
      <c r="CC64" s="772">
        <v>10.35622453060275</v>
      </c>
      <c r="CD64" s="772">
        <v>10.430570473567498</v>
      </c>
      <c r="CE64" s="772">
        <v>10.505450136057053</v>
      </c>
      <c r="CF64" s="772">
        <v>10.580867349572104</v>
      </c>
      <c r="CG64" s="772">
        <v>10.640264371275629</v>
      </c>
      <c r="CH64" s="772">
        <v>10.699994825586398</v>
      </c>
      <c r="CI64" s="772">
        <v>10.760060584270036</v>
      </c>
      <c r="CJ64" s="772">
        <v>10.820463529599563</v>
      </c>
      <c r="CK64" s="772">
        <v>10.881205554414363</v>
      </c>
      <c r="CL64" s="771">
        <v>0</v>
      </c>
      <c r="CM64" s="771">
        <v>0</v>
      </c>
      <c r="CN64" s="771">
        <v>0</v>
      </c>
      <c r="CO64" s="772">
        <v>0</v>
      </c>
      <c r="CP64" s="772">
        <v>0</v>
      </c>
      <c r="CQ64" s="772">
        <v>0</v>
      </c>
      <c r="CR64" s="772">
        <v>0</v>
      </c>
      <c r="CS64" s="772">
        <v>0</v>
      </c>
      <c r="CT64" s="772">
        <v>0</v>
      </c>
      <c r="CU64" s="772">
        <v>0</v>
      </c>
      <c r="CV64" s="772">
        <v>0</v>
      </c>
      <c r="CW64" s="772">
        <v>0</v>
      </c>
      <c r="CX64" s="772">
        <v>0</v>
      </c>
      <c r="CY64" s="772">
        <v>0</v>
      </c>
      <c r="CZ64" s="772">
        <v>0</v>
      </c>
      <c r="DA64" s="773">
        <v>0</v>
      </c>
      <c r="DB64" s="773">
        <v>0</v>
      </c>
      <c r="DC64" s="773">
        <v>0</v>
      </c>
      <c r="DD64" s="774">
        <v>0</v>
      </c>
      <c r="DE64" s="774">
        <v>0</v>
      </c>
      <c r="DF64" s="774">
        <v>0</v>
      </c>
      <c r="DG64" s="774">
        <v>0</v>
      </c>
      <c r="DH64" s="774">
        <v>0</v>
      </c>
      <c r="DI64" s="774">
        <v>0</v>
      </c>
      <c r="DJ64" s="774">
        <v>0</v>
      </c>
      <c r="DK64" s="774">
        <v>0</v>
      </c>
      <c r="DL64" s="774">
        <v>0</v>
      </c>
      <c r="DM64" s="774">
        <v>0</v>
      </c>
      <c r="DN64" s="774">
        <v>0</v>
      </c>
      <c r="DO64" s="774">
        <v>0</v>
      </c>
      <c r="DP64" s="773">
        <v>0</v>
      </c>
      <c r="DQ64" s="773">
        <v>0</v>
      </c>
      <c r="DR64" s="773">
        <v>0</v>
      </c>
      <c r="DS64" s="774">
        <v>0</v>
      </c>
      <c r="DT64" s="774">
        <v>0</v>
      </c>
      <c r="DU64" s="774">
        <v>0</v>
      </c>
      <c r="DV64" s="774">
        <v>0</v>
      </c>
      <c r="DW64" s="774">
        <v>0</v>
      </c>
      <c r="DX64" s="774">
        <v>0</v>
      </c>
      <c r="DY64" s="774">
        <v>0</v>
      </c>
      <c r="DZ64" s="774">
        <v>0</v>
      </c>
      <c r="EA64" s="774">
        <v>0</v>
      </c>
      <c r="EB64" s="774">
        <v>0</v>
      </c>
      <c r="EC64" s="774">
        <v>0</v>
      </c>
      <c r="ED64" s="774">
        <v>0</v>
      </c>
    </row>
    <row r="65" spans="1:134" ht="15" x14ac:dyDescent="0.25">
      <c r="A65" s="766">
        <v>131</v>
      </c>
      <c r="B65" s="766">
        <v>81</v>
      </c>
      <c r="C65" s="766" t="s">
        <v>3735</v>
      </c>
      <c r="D65" s="2">
        <v>99702</v>
      </c>
      <c r="E65" s="2">
        <v>99702</v>
      </c>
      <c r="F65" s="767" t="s">
        <v>3676</v>
      </c>
      <c r="G65" s="114">
        <v>428</v>
      </c>
      <c r="H65" s="114">
        <v>2</v>
      </c>
      <c r="I65" s="114">
        <v>2</v>
      </c>
      <c r="J65" s="114">
        <v>0</v>
      </c>
      <c r="K65" s="114">
        <v>0</v>
      </c>
      <c r="L65" s="114">
        <v>0</v>
      </c>
      <c r="M65" s="114">
        <v>0</v>
      </c>
      <c r="N65" s="114">
        <v>0</v>
      </c>
      <c r="O65" s="114">
        <v>0</v>
      </c>
      <c r="P65" s="114">
        <v>0</v>
      </c>
      <c r="Q65" s="114">
        <v>0</v>
      </c>
      <c r="R65" s="114">
        <v>0</v>
      </c>
      <c r="S65" s="114">
        <v>834.49503068156923</v>
      </c>
      <c r="T65" s="114">
        <v>834.49503068156923</v>
      </c>
      <c r="U65" s="114">
        <v>1408.3846153846155</v>
      </c>
      <c r="V65" s="114">
        <v>0</v>
      </c>
      <c r="W65" s="114">
        <v>0</v>
      </c>
      <c r="X65" s="114">
        <v>1365.173957061457</v>
      </c>
      <c r="Y65" s="114">
        <v>4.5824670824670823E-2</v>
      </c>
      <c r="Z65" s="114">
        <v>1.9515765765765767</v>
      </c>
      <c r="AA65" s="114">
        <v>2.5987525987525989E-3</v>
      </c>
      <c r="AB65" s="657">
        <v>0</v>
      </c>
      <c r="AC65" s="657">
        <v>0</v>
      </c>
      <c r="AD65" s="768">
        <v>2</v>
      </c>
      <c r="AE65" s="769">
        <v>4.5824670824670823E-2</v>
      </c>
      <c r="AF65" s="769">
        <v>1.9515765765765767</v>
      </c>
      <c r="AG65" s="770">
        <v>1.9974012474012475</v>
      </c>
      <c r="AH65" s="769">
        <v>2.5987525987525989E-3</v>
      </c>
      <c r="AI65" s="769">
        <v>5.1152666892547924E-2</v>
      </c>
      <c r="AJ65" s="769">
        <v>2.1784847493803636</v>
      </c>
      <c r="AK65" s="769">
        <v>2.2296374162729116</v>
      </c>
      <c r="AL65" s="769">
        <v>2.900907385210658E-3</v>
      </c>
      <c r="AM65" s="769">
        <v>5.3445563870625996E-2</v>
      </c>
      <c r="AN65" s="769">
        <v>2.2761344204940137</v>
      </c>
      <c r="AO65" s="769">
        <v>2.3295799843646399</v>
      </c>
      <c r="AP65" s="769">
        <v>3.0309393499409832E-3</v>
      </c>
      <c r="AQ65" s="769">
        <v>0</v>
      </c>
      <c r="AR65" s="769">
        <v>0</v>
      </c>
      <c r="AS65" s="769">
        <v>2.4888754898456762</v>
      </c>
      <c r="AT65" s="769">
        <v>2.3556930862496688</v>
      </c>
      <c r="AU65" s="769">
        <v>2.2296374162729116</v>
      </c>
      <c r="AV65" s="769">
        <v>2.1103271207365002</v>
      </c>
      <c r="AW65" s="769">
        <v>1.9974012474012475</v>
      </c>
      <c r="AX65" s="769">
        <v>2.7170018595979002</v>
      </c>
      <c r="AY65" s="769">
        <v>2.515844420786145</v>
      </c>
      <c r="AZ65" s="769">
        <v>2.3295799843646399</v>
      </c>
      <c r="BA65" s="769">
        <v>2.1571059238458621</v>
      </c>
      <c r="BB65" s="769">
        <v>1.9974012474012475</v>
      </c>
      <c r="BC65" s="769">
        <v>0</v>
      </c>
      <c r="BD65" s="769">
        <v>0</v>
      </c>
      <c r="BE65" s="769">
        <v>0</v>
      </c>
      <c r="BF65" s="769">
        <v>0</v>
      </c>
      <c r="BG65" s="769">
        <v>0</v>
      </c>
      <c r="BH65" s="771">
        <v>2.0054217288137806</v>
      </c>
      <c r="BI65" s="771">
        <v>2.0134744161349518</v>
      </c>
      <c r="BJ65" s="771">
        <v>2.0215594386862459</v>
      </c>
      <c r="BK65" s="772">
        <v>2.008268572326346</v>
      </c>
      <c r="BL65" s="772">
        <v>1.9950650875814588</v>
      </c>
      <c r="BM65" s="772">
        <v>2.009387391503509</v>
      </c>
      <c r="BN65" s="772">
        <v>2.0238125133190268</v>
      </c>
      <c r="BO65" s="772">
        <v>2.0383411911438403</v>
      </c>
      <c r="BP65" s="772">
        <v>2.0529741683926108</v>
      </c>
      <c r="BQ65" s="772">
        <v>2.0677121938168748</v>
      </c>
      <c r="BR65" s="772">
        <v>2.0793195547255015</v>
      </c>
      <c r="BS65" s="772">
        <v>2.0909920750057593</v>
      </c>
      <c r="BT65" s="772">
        <v>2.1027301204379274</v>
      </c>
      <c r="BU65" s="772">
        <v>2.1145340588556381</v>
      </c>
      <c r="BV65" s="772">
        <v>2.1264042601574027</v>
      </c>
      <c r="BW65" s="771">
        <v>2.0054217288137806</v>
      </c>
      <c r="BX65" s="771">
        <v>2.0134744161349518</v>
      </c>
      <c r="BY65" s="771">
        <v>2.0215594386862459</v>
      </c>
      <c r="BZ65" s="772">
        <v>2.008268572326346</v>
      </c>
      <c r="CA65" s="772">
        <v>1.9950650875814588</v>
      </c>
      <c r="CB65" s="772">
        <v>2.009387391503509</v>
      </c>
      <c r="CC65" s="772">
        <v>2.0238125133190268</v>
      </c>
      <c r="CD65" s="772">
        <v>2.0383411911438403</v>
      </c>
      <c r="CE65" s="772">
        <v>2.0529741683926108</v>
      </c>
      <c r="CF65" s="772">
        <v>2.0677121938168748</v>
      </c>
      <c r="CG65" s="772">
        <v>2.0793195547255015</v>
      </c>
      <c r="CH65" s="772">
        <v>2.0909920750057593</v>
      </c>
      <c r="CI65" s="772">
        <v>2.1027301204379274</v>
      </c>
      <c r="CJ65" s="772">
        <v>2.1145340588556381</v>
      </c>
      <c r="CK65" s="772">
        <v>2.1264042601574027</v>
      </c>
      <c r="CL65" s="771">
        <v>0</v>
      </c>
      <c r="CM65" s="771">
        <v>0</v>
      </c>
      <c r="CN65" s="771">
        <v>0</v>
      </c>
      <c r="CO65" s="772">
        <v>0</v>
      </c>
      <c r="CP65" s="772">
        <v>0</v>
      </c>
      <c r="CQ65" s="772">
        <v>0</v>
      </c>
      <c r="CR65" s="772">
        <v>0</v>
      </c>
      <c r="CS65" s="772">
        <v>0</v>
      </c>
      <c r="CT65" s="772">
        <v>0</v>
      </c>
      <c r="CU65" s="772">
        <v>0</v>
      </c>
      <c r="CV65" s="772">
        <v>0</v>
      </c>
      <c r="CW65" s="772">
        <v>0</v>
      </c>
      <c r="CX65" s="772">
        <v>0</v>
      </c>
      <c r="CY65" s="772">
        <v>0</v>
      </c>
      <c r="CZ65" s="772">
        <v>0</v>
      </c>
      <c r="DA65" s="773">
        <v>2.6091877814386944E-3</v>
      </c>
      <c r="DB65" s="773">
        <v>2.6196648661656937E-3</v>
      </c>
      <c r="DC65" s="773">
        <v>2.6301840211894949E-3</v>
      </c>
      <c r="DD65" s="774">
        <v>2.6128917152307388E-3</v>
      </c>
      <c r="DE65" s="774">
        <v>2.5957130985967457E-3</v>
      </c>
      <c r="DF65" s="774">
        <v>2.6143473738010786E-3</v>
      </c>
      <c r="DG65" s="774">
        <v>2.6331154219607425E-3</v>
      </c>
      <c r="DH65" s="774">
        <v>2.6520182034137914E-3</v>
      </c>
      <c r="DI65" s="774">
        <v>2.6710566853924158E-3</v>
      </c>
      <c r="DJ65" s="774">
        <v>2.6902318420724369E-3</v>
      </c>
      <c r="DK65" s="774">
        <v>2.7053337948549326E-3</v>
      </c>
      <c r="DL65" s="774">
        <v>2.7205205243374434E-3</v>
      </c>
      <c r="DM65" s="774">
        <v>2.7357925064245732E-3</v>
      </c>
      <c r="DN65" s="774">
        <v>2.7511502196924768E-3</v>
      </c>
      <c r="DO65" s="774">
        <v>2.7665941454038546E-3</v>
      </c>
      <c r="DP65" s="773">
        <v>0</v>
      </c>
      <c r="DQ65" s="773">
        <v>0</v>
      </c>
      <c r="DR65" s="773">
        <v>0</v>
      </c>
      <c r="DS65" s="774">
        <v>0</v>
      </c>
      <c r="DT65" s="774">
        <v>0</v>
      </c>
      <c r="DU65" s="774">
        <v>0</v>
      </c>
      <c r="DV65" s="774">
        <v>0</v>
      </c>
      <c r="DW65" s="774">
        <v>0</v>
      </c>
      <c r="DX65" s="774">
        <v>0</v>
      </c>
      <c r="DY65" s="774">
        <v>0</v>
      </c>
      <c r="DZ65" s="774">
        <v>0</v>
      </c>
      <c r="EA65" s="774">
        <v>0</v>
      </c>
      <c r="EB65" s="774">
        <v>0</v>
      </c>
      <c r="EC65" s="774">
        <v>0</v>
      </c>
      <c r="ED65" s="774">
        <v>0</v>
      </c>
    </row>
    <row r="66" spans="1:134" ht="15" x14ac:dyDescent="0.25">
      <c r="A66" s="766">
        <v>132</v>
      </c>
      <c r="B66" s="766">
        <v>81</v>
      </c>
      <c r="C66" s="766" t="s">
        <v>3736</v>
      </c>
      <c r="D66" s="2">
        <v>99702</v>
      </c>
      <c r="E66" s="2">
        <v>99702</v>
      </c>
      <c r="F66" s="767" t="s">
        <v>3676</v>
      </c>
      <c r="G66" s="114">
        <v>1798</v>
      </c>
      <c r="H66" s="114">
        <v>718</v>
      </c>
      <c r="I66" s="114">
        <v>522</v>
      </c>
      <c r="J66" s="114">
        <v>196</v>
      </c>
      <c r="K66" s="114">
        <v>0</v>
      </c>
      <c r="L66" s="114">
        <v>0</v>
      </c>
      <c r="M66" s="114">
        <v>0</v>
      </c>
      <c r="N66" s="114">
        <v>0</v>
      </c>
      <c r="O66" s="114">
        <v>0</v>
      </c>
      <c r="P66" s="114">
        <v>0</v>
      </c>
      <c r="Q66" s="114">
        <v>0</v>
      </c>
      <c r="R66" s="114">
        <v>0</v>
      </c>
      <c r="S66" s="114">
        <v>834.49503068156923</v>
      </c>
      <c r="T66" s="114">
        <v>834.49503068156923</v>
      </c>
      <c r="U66" s="114">
        <v>1408.3846153846155</v>
      </c>
      <c r="V66" s="114">
        <v>0</v>
      </c>
      <c r="W66" s="114">
        <v>0</v>
      </c>
      <c r="X66" s="114">
        <v>1365.173957061457</v>
      </c>
      <c r="Y66" s="114">
        <v>16.451056826056828</v>
      </c>
      <c r="Z66" s="114">
        <v>700.61599099099101</v>
      </c>
      <c r="AA66" s="114">
        <v>0.93295218295218296</v>
      </c>
      <c r="AB66" s="657">
        <v>0</v>
      </c>
      <c r="AC66" s="657">
        <v>0</v>
      </c>
      <c r="AD66" s="768">
        <v>718</v>
      </c>
      <c r="AE66" s="769">
        <v>11.960239085239087</v>
      </c>
      <c r="AF66" s="769">
        <v>509.36148648648646</v>
      </c>
      <c r="AG66" s="770">
        <v>521.32172557172555</v>
      </c>
      <c r="AH66" s="769">
        <v>0.6782744282744283</v>
      </c>
      <c r="AI66" s="769">
        <v>18.363807414424709</v>
      </c>
      <c r="AJ66" s="769">
        <v>782.07602502755049</v>
      </c>
      <c r="AK66" s="769">
        <v>800.43983244197523</v>
      </c>
      <c r="AL66" s="769">
        <v>1.0414257512906262</v>
      </c>
      <c r="AM66" s="769">
        <v>13.949292170233388</v>
      </c>
      <c r="AN66" s="769">
        <v>594.07108374893755</v>
      </c>
      <c r="AO66" s="769">
        <v>608.02037591917099</v>
      </c>
      <c r="AP66" s="769">
        <v>0.79107517033459662</v>
      </c>
      <c r="AQ66" s="769">
        <v>0</v>
      </c>
      <c r="AR66" s="769">
        <v>0</v>
      </c>
      <c r="AS66" s="769">
        <v>893.50630085459773</v>
      </c>
      <c r="AT66" s="769">
        <v>845.69381796363109</v>
      </c>
      <c r="AU66" s="769">
        <v>800.43983244197523</v>
      </c>
      <c r="AV66" s="769">
        <v>757.60743634440371</v>
      </c>
      <c r="AW66" s="769">
        <v>717.06704781704786</v>
      </c>
      <c r="AX66" s="769">
        <v>709.13748535505192</v>
      </c>
      <c r="AY66" s="769">
        <v>656.63539382518377</v>
      </c>
      <c r="AZ66" s="769">
        <v>608.02037591917087</v>
      </c>
      <c r="BA66" s="769">
        <v>563.00464612376993</v>
      </c>
      <c r="BB66" s="769">
        <v>521.32172557172555</v>
      </c>
      <c r="BC66" s="769">
        <v>0</v>
      </c>
      <c r="BD66" s="769">
        <v>0</v>
      </c>
      <c r="BE66" s="769">
        <v>0</v>
      </c>
      <c r="BF66" s="769">
        <v>0</v>
      </c>
      <c r="BG66" s="769">
        <v>0</v>
      </c>
      <c r="BH66" s="771">
        <v>719.94640064414716</v>
      </c>
      <c r="BI66" s="771">
        <v>722.83731539244775</v>
      </c>
      <c r="BJ66" s="771">
        <v>725.73983848836224</v>
      </c>
      <c r="BK66" s="772">
        <v>720.96841746515815</v>
      </c>
      <c r="BL66" s="772">
        <v>716.22836644174367</v>
      </c>
      <c r="BM66" s="772">
        <v>721.37007354975981</v>
      </c>
      <c r="BN66" s="772">
        <v>726.54869228153063</v>
      </c>
      <c r="BO66" s="772">
        <v>731.76448762063865</v>
      </c>
      <c r="BP66" s="772">
        <v>737.01772645294727</v>
      </c>
      <c r="BQ66" s="772">
        <v>742.30867758025806</v>
      </c>
      <c r="BR66" s="772">
        <v>746.47572014645493</v>
      </c>
      <c r="BS66" s="772">
        <v>750.66615492706751</v>
      </c>
      <c r="BT66" s="772">
        <v>754.88011323721582</v>
      </c>
      <c r="BU66" s="772">
        <v>759.117727129174</v>
      </c>
      <c r="BV66" s="772">
        <v>763.37912939650755</v>
      </c>
      <c r="BW66" s="771">
        <v>523.41507122039661</v>
      </c>
      <c r="BX66" s="771">
        <v>525.51682261122244</v>
      </c>
      <c r="BY66" s="771">
        <v>527.62701349711006</v>
      </c>
      <c r="BZ66" s="772">
        <v>524.1580973771762</v>
      </c>
      <c r="CA66" s="772">
        <v>520.71198785876061</v>
      </c>
      <c r="CB66" s="772">
        <v>524.45010918241576</v>
      </c>
      <c r="CC66" s="772">
        <v>528.21506597626592</v>
      </c>
      <c r="CD66" s="772">
        <v>532.00705088854215</v>
      </c>
      <c r="CE66" s="772">
        <v>535.82625795047136</v>
      </c>
      <c r="CF66" s="772">
        <v>539.6728825862042</v>
      </c>
      <c r="CG66" s="772">
        <v>542.70240378335575</v>
      </c>
      <c r="CH66" s="772">
        <v>545.74893157650297</v>
      </c>
      <c r="CI66" s="772">
        <v>548.81256143429891</v>
      </c>
      <c r="CJ66" s="772">
        <v>551.8933893613214</v>
      </c>
      <c r="CK66" s="772">
        <v>554.99151190108194</v>
      </c>
      <c r="CL66" s="771">
        <v>0</v>
      </c>
      <c r="CM66" s="771">
        <v>0</v>
      </c>
      <c r="CN66" s="771">
        <v>0</v>
      </c>
      <c r="CO66" s="772">
        <v>0</v>
      </c>
      <c r="CP66" s="772">
        <v>0</v>
      </c>
      <c r="CQ66" s="772">
        <v>0</v>
      </c>
      <c r="CR66" s="772">
        <v>0</v>
      </c>
      <c r="CS66" s="772">
        <v>0</v>
      </c>
      <c r="CT66" s="772">
        <v>0</v>
      </c>
      <c r="CU66" s="772">
        <v>0</v>
      </c>
      <c r="CV66" s="772">
        <v>0</v>
      </c>
      <c r="CW66" s="772">
        <v>0</v>
      </c>
      <c r="CX66" s="772">
        <v>0</v>
      </c>
      <c r="CY66" s="772">
        <v>0</v>
      </c>
      <c r="CZ66" s="772">
        <v>0</v>
      </c>
      <c r="DA66" s="773">
        <v>0.93669841353649119</v>
      </c>
      <c r="DB66" s="773">
        <v>0.94045968695348392</v>
      </c>
      <c r="DC66" s="773">
        <v>0.94423606360702861</v>
      </c>
      <c r="DD66" s="774">
        <v>0.93802812576783523</v>
      </c>
      <c r="DE66" s="774">
        <v>0.9318610023962316</v>
      </c>
      <c r="DF66" s="774">
        <v>0.93855070719458722</v>
      </c>
      <c r="DG66" s="774">
        <v>0.94528843648390659</v>
      </c>
      <c r="DH66" s="774">
        <v>0.95207453502555106</v>
      </c>
      <c r="DI66" s="774">
        <v>0.95890935005587719</v>
      </c>
      <c r="DJ66" s="774">
        <v>0.96579323130400474</v>
      </c>
      <c r="DK66" s="774">
        <v>0.97121483235292083</v>
      </c>
      <c r="DL66" s="774">
        <v>0.97666686823714211</v>
      </c>
      <c r="DM66" s="774">
        <v>0.98214950980642179</v>
      </c>
      <c r="DN66" s="774">
        <v>0.98766292886959917</v>
      </c>
      <c r="DO66" s="774">
        <v>0.99320729819998366</v>
      </c>
      <c r="DP66" s="773">
        <v>0</v>
      </c>
      <c r="DQ66" s="773">
        <v>0</v>
      </c>
      <c r="DR66" s="773">
        <v>0</v>
      </c>
      <c r="DS66" s="774">
        <v>0</v>
      </c>
      <c r="DT66" s="774">
        <v>0</v>
      </c>
      <c r="DU66" s="774">
        <v>0</v>
      </c>
      <c r="DV66" s="774">
        <v>0</v>
      </c>
      <c r="DW66" s="774">
        <v>0</v>
      </c>
      <c r="DX66" s="774">
        <v>0</v>
      </c>
      <c r="DY66" s="774">
        <v>0</v>
      </c>
      <c r="DZ66" s="774">
        <v>0</v>
      </c>
      <c r="EA66" s="774">
        <v>0</v>
      </c>
      <c r="EB66" s="774">
        <v>0</v>
      </c>
      <c r="EC66" s="774">
        <v>0</v>
      </c>
      <c r="ED66" s="774">
        <v>0</v>
      </c>
    </row>
    <row r="67" spans="1:134" ht="15" x14ac:dyDescent="0.25">
      <c r="A67" s="766">
        <v>133</v>
      </c>
      <c r="B67" s="766">
        <v>81</v>
      </c>
      <c r="C67" s="766" t="s">
        <v>3737</v>
      </c>
      <c r="D67" s="2">
        <v>99702</v>
      </c>
      <c r="E67" s="2">
        <v>99702</v>
      </c>
      <c r="F67" s="767" t="s">
        <v>3676</v>
      </c>
      <c r="G67" s="114">
        <v>57</v>
      </c>
      <c r="H67" s="114">
        <v>25</v>
      </c>
      <c r="I67" s="114">
        <v>21</v>
      </c>
      <c r="J67" s="114">
        <v>4</v>
      </c>
      <c r="K67" s="114">
        <v>0</v>
      </c>
      <c r="L67" s="114">
        <v>0</v>
      </c>
      <c r="M67" s="114">
        <v>0</v>
      </c>
      <c r="N67" s="114">
        <v>0</v>
      </c>
      <c r="O67" s="114">
        <v>0</v>
      </c>
      <c r="P67" s="114">
        <v>0</v>
      </c>
      <c r="Q67" s="114">
        <v>0</v>
      </c>
      <c r="R67" s="114">
        <v>0</v>
      </c>
      <c r="S67" s="114">
        <v>834.49503068156923</v>
      </c>
      <c r="T67" s="114">
        <v>834.49503068156923</v>
      </c>
      <c r="U67" s="114">
        <v>1408.3846153846155</v>
      </c>
      <c r="V67" s="114">
        <v>0</v>
      </c>
      <c r="W67" s="114">
        <v>0</v>
      </c>
      <c r="X67" s="114">
        <v>1365.173957061457</v>
      </c>
      <c r="Y67" s="114">
        <v>0.57280838530838529</v>
      </c>
      <c r="Z67" s="114">
        <v>24.394707207207208</v>
      </c>
      <c r="AA67" s="114">
        <v>3.2484407484407486E-2</v>
      </c>
      <c r="AB67" s="657">
        <v>0</v>
      </c>
      <c r="AC67" s="657">
        <v>0</v>
      </c>
      <c r="AD67" s="768">
        <v>25</v>
      </c>
      <c r="AE67" s="769">
        <v>0.48115904365904361</v>
      </c>
      <c r="AF67" s="769">
        <v>20.491554054054053</v>
      </c>
      <c r="AG67" s="770">
        <v>20.972713097713097</v>
      </c>
      <c r="AH67" s="769">
        <v>2.7286902286902288E-2</v>
      </c>
      <c r="AI67" s="769">
        <v>0.63940833615684911</v>
      </c>
      <c r="AJ67" s="769">
        <v>27.231059367254545</v>
      </c>
      <c r="AK67" s="769">
        <v>27.870467703411393</v>
      </c>
      <c r="AL67" s="769">
        <v>3.626134231513322E-2</v>
      </c>
      <c r="AM67" s="769">
        <v>0.56117842064157297</v>
      </c>
      <c r="AN67" s="769">
        <v>23.899411415187142</v>
      </c>
      <c r="AO67" s="769">
        <v>24.460589835828713</v>
      </c>
      <c r="AP67" s="769">
        <v>3.1824863174380325E-2</v>
      </c>
      <c r="AQ67" s="769">
        <v>0</v>
      </c>
      <c r="AR67" s="769">
        <v>0</v>
      </c>
      <c r="AS67" s="769">
        <v>31.110943623070952</v>
      </c>
      <c r="AT67" s="769">
        <v>29.44616357812086</v>
      </c>
      <c r="AU67" s="769">
        <v>27.870467703411393</v>
      </c>
      <c r="AV67" s="769">
        <v>26.379089009206254</v>
      </c>
      <c r="AW67" s="769">
        <v>24.967515592515593</v>
      </c>
      <c r="AX67" s="769">
        <v>28.528519525777948</v>
      </c>
      <c r="AY67" s="769">
        <v>26.416366418254519</v>
      </c>
      <c r="AZ67" s="769">
        <v>24.460589835828713</v>
      </c>
      <c r="BA67" s="769">
        <v>22.649612200381551</v>
      </c>
      <c r="BB67" s="769">
        <v>20.972713097713097</v>
      </c>
      <c r="BC67" s="769">
        <v>0</v>
      </c>
      <c r="BD67" s="769">
        <v>0</v>
      </c>
      <c r="BE67" s="769">
        <v>0</v>
      </c>
      <c r="BF67" s="769">
        <v>0</v>
      </c>
      <c r="BG67" s="769">
        <v>0</v>
      </c>
      <c r="BH67" s="771">
        <v>25.067771610172255</v>
      </c>
      <c r="BI67" s="771">
        <v>25.168430201686899</v>
      </c>
      <c r="BJ67" s="771">
        <v>25.269492983578072</v>
      </c>
      <c r="BK67" s="772">
        <v>25.103357154079323</v>
      </c>
      <c r="BL67" s="772">
        <v>24.938313594768232</v>
      </c>
      <c r="BM67" s="772">
        <v>25.117342393793862</v>
      </c>
      <c r="BN67" s="772">
        <v>25.297656416487836</v>
      </c>
      <c r="BO67" s="772">
        <v>25.479264889298001</v>
      </c>
      <c r="BP67" s="772">
        <v>25.662177104907634</v>
      </c>
      <c r="BQ67" s="772">
        <v>25.846402422710934</v>
      </c>
      <c r="BR67" s="772">
        <v>25.991494434068766</v>
      </c>
      <c r="BS67" s="772">
        <v>26.137400937571986</v>
      </c>
      <c r="BT67" s="772">
        <v>26.284126505474088</v>
      </c>
      <c r="BU67" s="772">
        <v>26.431675735695471</v>
      </c>
      <c r="BV67" s="772">
        <v>26.580053251967531</v>
      </c>
      <c r="BW67" s="771">
        <v>21.056928152544693</v>
      </c>
      <c r="BX67" s="771">
        <v>21.141481369416994</v>
      </c>
      <c r="BY67" s="771">
        <v>21.226374106205579</v>
      </c>
      <c r="BZ67" s="772">
        <v>21.086820009426631</v>
      </c>
      <c r="CA67" s="772">
        <v>20.948183419605314</v>
      </c>
      <c r="CB67" s="772">
        <v>21.098567610786844</v>
      </c>
      <c r="CC67" s="772">
        <v>21.250031389849781</v>
      </c>
      <c r="CD67" s="772">
        <v>21.402582507010319</v>
      </c>
      <c r="CE67" s="772">
        <v>21.556228768122413</v>
      </c>
      <c r="CF67" s="772">
        <v>21.710978035077186</v>
      </c>
      <c r="CG67" s="772">
        <v>21.832855324617764</v>
      </c>
      <c r="CH67" s="772">
        <v>21.95541678756047</v>
      </c>
      <c r="CI67" s="772">
        <v>22.078666264598233</v>
      </c>
      <c r="CJ67" s="772">
        <v>22.202607617984196</v>
      </c>
      <c r="CK67" s="772">
        <v>22.327244731652726</v>
      </c>
      <c r="CL67" s="771">
        <v>0</v>
      </c>
      <c r="CM67" s="771">
        <v>0</v>
      </c>
      <c r="CN67" s="771">
        <v>0</v>
      </c>
      <c r="CO67" s="772">
        <v>0</v>
      </c>
      <c r="CP67" s="772">
        <v>0</v>
      </c>
      <c r="CQ67" s="772">
        <v>0</v>
      </c>
      <c r="CR67" s="772">
        <v>0</v>
      </c>
      <c r="CS67" s="772">
        <v>0</v>
      </c>
      <c r="CT67" s="772">
        <v>0</v>
      </c>
      <c r="CU67" s="772">
        <v>0</v>
      </c>
      <c r="CV67" s="772">
        <v>0</v>
      </c>
      <c r="CW67" s="772">
        <v>0</v>
      </c>
      <c r="CX67" s="772">
        <v>0</v>
      </c>
      <c r="CY67" s="772">
        <v>0</v>
      </c>
      <c r="CZ67" s="772">
        <v>0</v>
      </c>
      <c r="DA67" s="773">
        <v>3.2614847267983679E-2</v>
      </c>
      <c r="DB67" s="773">
        <v>3.2745810827071169E-2</v>
      </c>
      <c r="DC67" s="773">
        <v>3.2877300264868688E-2</v>
      </c>
      <c r="DD67" s="774">
        <v>3.2661146440384238E-2</v>
      </c>
      <c r="DE67" s="774">
        <v>3.2446413732459323E-2</v>
      </c>
      <c r="DF67" s="774">
        <v>3.2679342172513483E-2</v>
      </c>
      <c r="DG67" s="774">
        <v>3.2913942774509285E-2</v>
      </c>
      <c r="DH67" s="774">
        <v>3.3150227542672397E-2</v>
      </c>
      <c r="DI67" s="774">
        <v>3.3388208567405202E-2</v>
      </c>
      <c r="DJ67" s="774">
        <v>3.3627898025905462E-2</v>
      </c>
      <c r="DK67" s="774">
        <v>3.3816672435686659E-2</v>
      </c>
      <c r="DL67" s="774">
        <v>3.4006506554218045E-2</v>
      </c>
      <c r="DM67" s="774">
        <v>3.419740633030717E-2</v>
      </c>
      <c r="DN67" s="774">
        <v>3.4389377746155962E-2</v>
      </c>
      <c r="DO67" s="774">
        <v>3.4582426817548181E-2</v>
      </c>
      <c r="DP67" s="773">
        <v>0</v>
      </c>
      <c r="DQ67" s="773">
        <v>0</v>
      </c>
      <c r="DR67" s="773">
        <v>0</v>
      </c>
      <c r="DS67" s="774">
        <v>0</v>
      </c>
      <c r="DT67" s="774">
        <v>0</v>
      </c>
      <c r="DU67" s="774">
        <v>0</v>
      </c>
      <c r="DV67" s="774">
        <v>0</v>
      </c>
      <c r="DW67" s="774">
        <v>0</v>
      </c>
      <c r="DX67" s="774">
        <v>0</v>
      </c>
      <c r="DY67" s="774">
        <v>0</v>
      </c>
      <c r="DZ67" s="774">
        <v>0</v>
      </c>
      <c r="EA67" s="774">
        <v>0</v>
      </c>
      <c r="EB67" s="774">
        <v>0</v>
      </c>
      <c r="EC67" s="774">
        <v>0</v>
      </c>
      <c r="ED67" s="774">
        <v>0</v>
      </c>
    </row>
    <row r="68" spans="1:134" ht="15" x14ac:dyDescent="0.25">
      <c r="A68" s="766">
        <v>126</v>
      </c>
      <c r="B68" s="766">
        <v>82</v>
      </c>
      <c r="C68" s="766" t="s">
        <v>3738</v>
      </c>
      <c r="D68" s="2">
        <v>99705</v>
      </c>
      <c r="E68" s="2">
        <v>99705</v>
      </c>
      <c r="F68" s="767" t="s">
        <v>3676</v>
      </c>
      <c r="G68" s="114">
        <v>6</v>
      </c>
      <c r="H68" s="114">
        <v>6</v>
      </c>
      <c r="I68" s="114">
        <v>4</v>
      </c>
      <c r="J68" s="114">
        <v>2</v>
      </c>
      <c r="K68" s="114">
        <v>0</v>
      </c>
      <c r="L68" s="114">
        <v>0</v>
      </c>
      <c r="M68" s="114">
        <v>0</v>
      </c>
      <c r="N68" s="114">
        <v>0</v>
      </c>
      <c r="O68" s="114">
        <v>0</v>
      </c>
      <c r="P68" s="114">
        <v>0</v>
      </c>
      <c r="Q68" s="114">
        <v>0</v>
      </c>
      <c r="R68" s="114">
        <v>0</v>
      </c>
      <c r="S68" s="114">
        <v>834.49503068156923</v>
      </c>
      <c r="T68" s="114">
        <v>834.49503068156923</v>
      </c>
      <c r="U68" s="114">
        <v>1408.3846153846155</v>
      </c>
      <c r="V68" s="114">
        <v>0</v>
      </c>
      <c r="W68" s="114">
        <v>0</v>
      </c>
      <c r="X68" s="114">
        <v>1365.173957061457</v>
      </c>
      <c r="Y68" s="114">
        <v>0.13747401247401247</v>
      </c>
      <c r="Z68" s="114">
        <v>5.8547297297297298</v>
      </c>
      <c r="AA68" s="114">
        <v>7.7962577962577967E-3</v>
      </c>
      <c r="AB68" s="657">
        <v>0</v>
      </c>
      <c r="AC68" s="657">
        <v>0</v>
      </c>
      <c r="AD68" s="768">
        <v>6</v>
      </c>
      <c r="AE68" s="769">
        <v>9.1649341649341645E-2</v>
      </c>
      <c r="AF68" s="769">
        <v>3.9031531531531534</v>
      </c>
      <c r="AG68" s="770">
        <v>3.9948024948024949</v>
      </c>
      <c r="AH68" s="769">
        <v>5.1975051975051978E-3</v>
      </c>
      <c r="AI68" s="769">
        <v>0.12759673841393845</v>
      </c>
      <c r="AJ68" s="769">
        <v>5.4340773529822677</v>
      </c>
      <c r="AK68" s="769">
        <v>5.5616740913962062</v>
      </c>
      <c r="AL68" s="769">
        <v>7.2361099289568135E-3</v>
      </c>
      <c r="AM68" s="769">
        <v>8.5500796513991215E-2</v>
      </c>
      <c r="AN68" s="769">
        <v>3.6412995173226999</v>
      </c>
      <c r="AO68" s="769">
        <v>3.7268003138366912</v>
      </c>
      <c r="AP68" s="769">
        <v>4.8488164374664204E-3</v>
      </c>
      <c r="AQ68" s="769">
        <v>0</v>
      </c>
      <c r="AR68" s="769">
        <v>0</v>
      </c>
      <c r="AS68" s="769">
        <v>5.1620772640036989</v>
      </c>
      <c r="AT68" s="769">
        <v>5.3581518620691204</v>
      </c>
      <c r="AU68" s="769">
        <v>5.5616740913962062</v>
      </c>
      <c r="AV68" s="769">
        <v>5.7729268402935734</v>
      </c>
      <c r="AW68" s="769">
        <v>5.992203742203742</v>
      </c>
      <c r="AX68" s="769">
        <v>3.4767777874585355</v>
      </c>
      <c r="AY68" s="769">
        <v>3.599618945033058</v>
      </c>
      <c r="AZ68" s="769">
        <v>3.7268003138366907</v>
      </c>
      <c r="BA68" s="769">
        <v>3.8584752417691544</v>
      </c>
      <c r="BB68" s="769">
        <v>3.9948024948024949</v>
      </c>
      <c r="BC68" s="769">
        <v>0</v>
      </c>
      <c r="BD68" s="769">
        <v>0</v>
      </c>
      <c r="BE68" s="769">
        <v>0</v>
      </c>
      <c r="BF68" s="769">
        <v>0</v>
      </c>
      <c r="BG68" s="769">
        <v>0</v>
      </c>
      <c r="BH68" s="771">
        <v>6.0602769305452169</v>
      </c>
      <c r="BI68" s="771">
        <v>6.1291234502302743</v>
      </c>
      <c r="BJ68" s="771">
        <v>6.1987520865293195</v>
      </c>
      <c r="BK68" s="772">
        <v>6.1579980112329968</v>
      </c>
      <c r="BL68" s="772">
        <v>6.1175118761010925</v>
      </c>
      <c r="BM68" s="772">
        <v>6.1614286710375863</v>
      </c>
      <c r="BN68" s="772">
        <v>6.2056607387379996</v>
      </c>
      <c r="BO68" s="772">
        <v>6.2502103425031015</v>
      </c>
      <c r="BP68" s="772">
        <v>6.2950797618815892</v>
      </c>
      <c r="BQ68" s="772">
        <v>6.3402712927867348</v>
      </c>
      <c r="BR68" s="772">
        <v>6.3758631983594976</v>
      </c>
      <c r="BS68" s="772">
        <v>6.4116549035439485</v>
      </c>
      <c r="BT68" s="772">
        <v>6.4476475299401894</v>
      </c>
      <c r="BU68" s="772">
        <v>6.4838422054445601</v>
      </c>
      <c r="BV68" s="772">
        <v>6.5202400642849891</v>
      </c>
      <c r="BW68" s="771">
        <v>4.0401846203634788</v>
      </c>
      <c r="BX68" s="771">
        <v>4.0860823001535165</v>
      </c>
      <c r="BY68" s="771">
        <v>4.1325013910195461</v>
      </c>
      <c r="BZ68" s="772">
        <v>4.1053320074886637</v>
      </c>
      <c r="CA68" s="772">
        <v>4.0783412507340611</v>
      </c>
      <c r="CB68" s="772">
        <v>4.1076191140250566</v>
      </c>
      <c r="CC68" s="772">
        <v>4.1371071591586661</v>
      </c>
      <c r="CD68" s="772">
        <v>4.1668068950020674</v>
      </c>
      <c r="CE68" s="772">
        <v>4.1967198412543922</v>
      </c>
      <c r="CF68" s="772">
        <v>4.2268475285244893</v>
      </c>
      <c r="CG68" s="772">
        <v>4.2505754655729975</v>
      </c>
      <c r="CH68" s="772">
        <v>4.2744366023626323</v>
      </c>
      <c r="CI68" s="772">
        <v>4.2984316866267926</v>
      </c>
      <c r="CJ68" s="772">
        <v>4.3225614702963737</v>
      </c>
      <c r="CK68" s="772">
        <v>4.3468267095233255</v>
      </c>
      <c r="CL68" s="771">
        <v>0</v>
      </c>
      <c r="CM68" s="771">
        <v>0</v>
      </c>
      <c r="CN68" s="771">
        <v>0</v>
      </c>
      <c r="CO68" s="772">
        <v>0</v>
      </c>
      <c r="CP68" s="772">
        <v>0</v>
      </c>
      <c r="CQ68" s="772">
        <v>0</v>
      </c>
      <c r="CR68" s="772">
        <v>0</v>
      </c>
      <c r="CS68" s="772">
        <v>0</v>
      </c>
      <c r="CT68" s="772">
        <v>0</v>
      </c>
      <c r="CU68" s="772">
        <v>0</v>
      </c>
      <c r="CV68" s="772">
        <v>0</v>
      </c>
      <c r="CW68" s="772">
        <v>0</v>
      </c>
      <c r="CX68" s="772">
        <v>0</v>
      </c>
      <c r="CY68" s="772">
        <v>0</v>
      </c>
      <c r="CZ68" s="772">
        <v>0</v>
      </c>
      <c r="DA68" s="773">
        <v>7.8848255666734545E-3</v>
      </c>
      <c r="DB68" s="773">
        <v>7.9743994928835223E-3</v>
      </c>
      <c r="DC68" s="773">
        <v>8.0649910051123087E-3</v>
      </c>
      <c r="DD68" s="774">
        <v>8.0119672277296355E-3</v>
      </c>
      <c r="DE68" s="774">
        <v>7.9592920584193247E-3</v>
      </c>
      <c r="DF68" s="774">
        <v>8.0164307455602227E-3</v>
      </c>
      <c r="DG68" s="774">
        <v>8.0739796236507944E-3</v>
      </c>
      <c r="DH68" s="774">
        <v>8.1319416373966981E-3</v>
      </c>
      <c r="DI68" s="774">
        <v>8.1903197526432339E-3</v>
      </c>
      <c r="DJ68" s="774">
        <v>8.2491169565271083E-3</v>
      </c>
      <c r="DK68" s="774">
        <v>8.2954244058801689E-3</v>
      </c>
      <c r="DL68" s="774">
        <v>8.3419918078896042E-3</v>
      </c>
      <c r="DM68" s="774">
        <v>8.38882062183215E-3</v>
      </c>
      <c r="DN68" s="774">
        <v>8.4359123151763749E-3</v>
      </c>
      <c r="DO68" s="774">
        <v>8.4832683636286623E-3</v>
      </c>
      <c r="DP68" s="773">
        <v>0</v>
      </c>
      <c r="DQ68" s="773">
        <v>0</v>
      </c>
      <c r="DR68" s="773">
        <v>0</v>
      </c>
      <c r="DS68" s="774">
        <v>0</v>
      </c>
      <c r="DT68" s="774">
        <v>0</v>
      </c>
      <c r="DU68" s="774">
        <v>0</v>
      </c>
      <c r="DV68" s="774">
        <v>0</v>
      </c>
      <c r="DW68" s="774">
        <v>0</v>
      </c>
      <c r="DX68" s="774">
        <v>0</v>
      </c>
      <c r="DY68" s="774">
        <v>0</v>
      </c>
      <c r="DZ68" s="774">
        <v>0</v>
      </c>
      <c r="EA68" s="774">
        <v>0</v>
      </c>
      <c r="EB68" s="774">
        <v>0</v>
      </c>
      <c r="EC68" s="774">
        <v>0</v>
      </c>
      <c r="ED68" s="774">
        <v>0</v>
      </c>
    </row>
    <row r="69" spans="1:134" ht="15" x14ac:dyDescent="0.25">
      <c r="A69" s="766">
        <v>127</v>
      </c>
      <c r="B69" s="766">
        <v>82</v>
      </c>
      <c r="C69" s="766" t="s">
        <v>3739</v>
      </c>
      <c r="D69" s="2">
        <v>99705</v>
      </c>
      <c r="E69" s="2">
        <v>99705</v>
      </c>
      <c r="F69" s="767" t="s">
        <v>3676</v>
      </c>
      <c r="G69" s="114">
        <v>12</v>
      </c>
      <c r="H69" s="114">
        <v>5</v>
      </c>
      <c r="I69" s="114">
        <v>3</v>
      </c>
      <c r="J69" s="114">
        <v>2</v>
      </c>
      <c r="K69" s="114">
        <v>0</v>
      </c>
      <c r="L69" s="114">
        <v>1</v>
      </c>
      <c r="M69" s="114">
        <v>1</v>
      </c>
      <c r="N69" s="114">
        <v>0</v>
      </c>
      <c r="O69" s="114">
        <v>0</v>
      </c>
      <c r="P69" s="114">
        <v>0</v>
      </c>
      <c r="Q69" s="114">
        <v>1</v>
      </c>
      <c r="R69" s="114">
        <v>0</v>
      </c>
      <c r="S69" s="114">
        <v>4837</v>
      </c>
      <c r="T69" s="114">
        <v>4837</v>
      </c>
      <c r="U69" s="114">
        <v>0</v>
      </c>
      <c r="V69" s="114">
        <v>0</v>
      </c>
      <c r="W69" s="114">
        <v>0</v>
      </c>
      <c r="X69" s="114">
        <v>4837</v>
      </c>
      <c r="Y69" s="114">
        <v>0</v>
      </c>
      <c r="Z69" s="114">
        <v>5</v>
      </c>
      <c r="AA69" s="114">
        <v>0</v>
      </c>
      <c r="AB69" s="657">
        <v>0</v>
      </c>
      <c r="AC69" s="657">
        <v>0</v>
      </c>
      <c r="AD69" s="768">
        <v>5</v>
      </c>
      <c r="AE69" s="769">
        <v>0</v>
      </c>
      <c r="AF69" s="769">
        <v>3</v>
      </c>
      <c r="AG69" s="770">
        <v>3</v>
      </c>
      <c r="AH69" s="769">
        <v>0</v>
      </c>
      <c r="AI69" s="769">
        <v>0</v>
      </c>
      <c r="AJ69" s="769">
        <v>4.6407585011043029</v>
      </c>
      <c r="AK69" s="769">
        <v>4.6407585011043029</v>
      </c>
      <c r="AL69" s="769">
        <v>0</v>
      </c>
      <c r="AM69" s="769">
        <v>0</v>
      </c>
      <c r="AN69" s="769">
        <v>2.798736847705618</v>
      </c>
      <c r="AO69" s="769">
        <v>2.798736847705618</v>
      </c>
      <c r="AP69" s="769">
        <v>0</v>
      </c>
      <c r="AQ69" s="769">
        <v>0</v>
      </c>
      <c r="AR69" s="769">
        <v>0</v>
      </c>
      <c r="AS69" s="769">
        <v>4.3073278931143708</v>
      </c>
      <c r="AT69" s="769">
        <v>4.4709359799726727</v>
      </c>
      <c r="AU69" s="769">
        <v>4.6407585011043029</v>
      </c>
      <c r="AV69" s="769">
        <v>4.8170315034802824</v>
      </c>
      <c r="AW69" s="769">
        <v>5</v>
      </c>
      <c r="AX69" s="769">
        <v>2.6109759809017263</v>
      </c>
      <c r="AY69" s="769">
        <v>2.703226717503358</v>
      </c>
      <c r="AZ69" s="769">
        <v>2.798736847705618</v>
      </c>
      <c r="BA69" s="769">
        <v>2.8976215320701999</v>
      </c>
      <c r="BB69" s="769">
        <v>3</v>
      </c>
      <c r="BC69" s="769">
        <v>0</v>
      </c>
      <c r="BD69" s="769">
        <v>0</v>
      </c>
      <c r="BE69" s="769">
        <v>0</v>
      </c>
      <c r="BF69" s="769">
        <v>0</v>
      </c>
      <c r="BG69" s="769">
        <v>0</v>
      </c>
      <c r="BH69" s="771">
        <v>5.0568014634265754</v>
      </c>
      <c r="BI69" s="771">
        <v>5.1142482081026319</v>
      </c>
      <c r="BJ69" s="771">
        <v>5.1723475646120267</v>
      </c>
      <c r="BK69" s="772">
        <v>5.1383416487172724</v>
      </c>
      <c r="BL69" s="772">
        <v>5.1045593067995929</v>
      </c>
      <c r="BM69" s="772">
        <v>5.1412042514859557</v>
      </c>
      <c r="BN69" s="772">
        <v>5.1781122653013751</v>
      </c>
      <c r="BO69" s="772">
        <v>5.2152852367837488</v>
      </c>
      <c r="BP69" s="772">
        <v>5.2527250680285267</v>
      </c>
      <c r="BQ69" s="772">
        <v>5.2904336747860521</v>
      </c>
      <c r="BR69" s="772">
        <v>5.3201321856378145</v>
      </c>
      <c r="BS69" s="772">
        <v>5.3499974127931988</v>
      </c>
      <c r="BT69" s="772">
        <v>5.380030292135018</v>
      </c>
      <c r="BU69" s="772">
        <v>5.4102317647997813</v>
      </c>
      <c r="BV69" s="772">
        <v>5.4406027772071814</v>
      </c>
      <c r="BW69" s="771">
        <v>3.0340808780559456</v>
      </c>
      <c r="BX69" s="771">
        <v>3.0685489248615792</v>
      </c>
      <c r="BY69" s="771">
        <v>3.1034085387672157</v>
      </c>
      <c r="BZ69" s="772">
        <v>3.0830049892303628</v>
      </c>
      <c r="CA69" s="772">
        <v>3.0627355840797557</v>
      </c>
      <c r="CB69" s="772">
        <v>3.084722550891573</v>
      </c>
      <c r="CC69" s="772">
        <v>3.1068673591808249</v>
      </c>
      <c r="CD69" s="772">
        <v>3.1291711420702488</v>
      </c>
      <c r="CE69" s="772">
        <v>3.1516350408171157</v>
      </c>
      <c r="CF69" s="772">
        <v>3.1742602048716306</v>
      </c>
      <c r="CG69" s="772">
        <v>3.1920793113826886</v>
      </c>
      <c r="CH69" s="772">
        <v>3.2099984476759187</v>
      </c>
      <c r="CI69" s="772">
        <v>3.2280181752810102</v>
      </c>
      <c r="CJ69" s="772">
        <v>3.246139058879868</v>
      </c>
      <c r="CK69" s="772">
        <v>3.2643616663243087</v>
      </c>
      <c r="CL69" s="771">
        <v>0</v>
      </c>
      <c r="CM69" s="771">
        <v>0</v>
      </c>
      <c r="CN69" s="771">
        <v>0</v>
      </c>
      <c r="CO69" s="772">
        <v>0</v>
      </c>
      <c r="CP69" s="772">
        <v>0</v>
      </c>
      <c r="CQ69" s="772">
        <v>0</v>
      </c>
      <c r="CR69" s="772">
        <v>0</v>
      </c>
      <c r="CS69" s="772">
        <v>0</v>
      </c>
      <c r="CT69" s="772">
        <v>0</v>
      </c>
      <c r="CU69" s="772">
        <v>0</v>
      </c>
      <c r="CV69" s="772">
        <v>0</v>
      </c>
      <c r="CW69" s="772">
        <v>0</v>
      </c>
      <c r="CX69" s="772">
        <v>0</v>
      </c>
      <c r="CY69" s="772">
        <v>0</v>
      </c>
      <c r="CZ69" s="772">
        <v>0</v>
      </c>
      <c r="DA69" s="773">
        <v>0</v>
      </c>
      <c r="DB69" s="773">
        <v>0</v>
      </c>
      <c r="DC69" s="773">
        <v>0</v>
      </c>
      <c r="DD69" s="774">
        <v>0</v>
      </c>
      <c r="DE69" s="774">
        <v>0</v>
      </c>
      <c r="DF69" s="774">
        <v>0</v>
      </c>
      <c r="DG69" s="774">
        <v>0</v>
      </c>
      <c r="DH69" s="774">
        <v>0</v>
      </c>
      <c r="DI69" s="774">
        <v>0</v>
      </c>
      <c r="DJ69" s="774">
        <v>0</v>
      </c>
      <c r="DK69" s="774">
        <v>0</v>
      </c>
      <c r="DL69" s="774">
        <v>0</v>
      </c>
      <c r="DM69" s="774">
        <v>0</v>
      </c>
      <c r="DN69" s="774">
        <v>0</v>
      </c>
      <c r="DO69" s="774">
        <v>0</v>
      </c>
      <c r="DP69" s="773">
        <v>0</v>
      </c>
      <c r="DQ69" s="773">
        <v>0</v>
      </c>
      <c r="DR69" s="773">
        <v>0</v>
      </c>
      <c r="DS69" s="774">
        <v>0</v>
      </c>
      <c r="DT69" s="774">
        <v>0</v>
      </c>
      <c r="DU69" s="774">
        <v>0</v>
      </c>
      <c r="DV69" s="774">
        <v>0</v>
      </c>
      <c r="DW69" s="774">
        <v>0</v>
      </c>
      <c r="DX69" s="774">
        <v>0</v>
      </c>
      <c r="DY69" s="774">
        <v>0</v>
      </c>
      <c r="DZ69" s="774">
        <v>0</v>
      </c>
      <c r="EA69" s="774">
        <v>0</v>
      </c>
      <c r="EB69" s="774">
        <v>0</v>
      </c>
      <c r="EC69" s="774">
        <v>0</v>
      </c>
      <c r="ED69" s="774">
        <v>0</v>
      </c>
    </row>
    <row r="70" spans="1:134" ht="15" x14ac:dyDescent="0.25">
      <c r="A70" s="766">
        <v>132</v>
      </c>
      <c r="B70" s="766">
        <v>82</v>
      </c>
      <c r="C70" s="766" t="s">
        <v>3740</v>
      </c>
      <c r="D70" s="2">
        <v>99702</v>
      </c>
      <c r="E70" s="2">
        <v>99702</v>
      </c>
      <c r="F70" s="767" t="s">
        <v>3676</v>
      </c>
      <c r="G70" s="114">
        <v>192</v>
      </c>
      <c r="H70" s="114">
        <v>61</v>
      </c>
      <c r="I70" s="114">
        <v>58</v>
      </c>
      <c r="J70" s="114">
        <v>3</v>
      </c>
      <c r="K70" s="114">
        <v>0</v>
      </c>
      <c r="L70" s="114">
        <v>0</v>
      </c>
      <c r="M70" s="114">
        <v>0</v>
      </c>
      <c r="N70" s="114">
        <v>0</v>
      </c>
      <c r="O70" s="114">
        <v>0</v>
      </c>
      <c r="P70" s="114">
        <v>0</v>
      </c>
      <c r="Q70" s="114">
        <v>0</v>
      </c>
      <c r="R70" s="114">
        <v>0</v>
      </c>
      <c r="S70" s="114">
        <v>834.49503068156923</v>
      </c>
      <c r="T70" s="114">
        <v>834.49503068156923</v>
      </c>
      <c r="U70" s="114">
        <v>1408.3846153846155</v>
      </c>
      <c r="V70" s="114">
        <v>0</v>
      </c>
      <c r="W70" s="114">
        <v>0</v>
      </c>
      <c r="X70" s="114">
        <v>1365.173957061457</v>
      </c>
      <c r="Y70" s="114">
        <v>1.3976524601524603</v>
      </c>
      <c r="Z70" s="114">
        <v>59.523085585585584</v>
      </c>
      <c r="AA70" s="114">
        <v>7.9261954261954259E-2</v>
      </c>
      <c r="AB70" s="657">
        <v>0</v>
      </c>
      <c r="AC70" s="657">
        <v>0</v>
      </c>
      <c r="AD70" s="768">
        <v>60.999999999999993</v>
      </c>
      <c r="AE70" s="769">
        <v>1.328915453915454</v>
      </c>
      <c r="AF70" s="769">
        <v>56.59572072072072</v>
      </c>
      <c r="AG70" s="770">
        <v>57.924636174636177</v>
      </c>
      <c r="AH70" s="769">
        <v>7.5363825363825354E-2</v>
      </c>
      <c r="AI70" s="769">
        <v>1.5601563402227119</v>
      </c>
      <c r="AJ70" s="769">
        <v>66.44378485610109</v>
      </c>
      <c r="AK70" s="769">
        <v>68.003941196323808</v>
      </c>
      <c r="AL70" s="769">
        <v>8.8477675248925053E-2</v>
      </c>
      <c r="AM70" s="769">
        <v>1.5499213522481541</v>
      </c>
      <c r="AN70" s="769">
        <v>66.007898194326401</v>
      </c>
      <c r="AO70" s="769">
        <v>67.557819546574549</v>
      </c>
      <c r="AP70" s="769">
        <v>8.7897241148288494E-2</v>
      </c>
      <c r="AQ70" s="769">
        <v>0</v>
      </c>
      <c r="AR70" s="769">
        <v>0</v>
      </c>
      <c r="AS70" s="769">
        <v>75.910702440293122</v>
      </c>
      <c r="AT70" s="769">
        <v>71.848639130614885</v>
      </c>
      <c r="AU70" s="769">
        <v>68.003941196323794</v>
      </c>
      <c r="AV70" s="769">
        <v>64.36497718246325</v>
      </c>
      <c r="AW70" s="769">
        <v>60.920738045738041</v>
      </c>
      <c r="AX70" s="769">
        <v>78.793053928339106</v>
      </c>
      <c r="AY70" s="769">
        <v>72.959488202798198</v>
      </c>
      <c r="AZ70" s="769">
        <v>67.557819546574549</v>
      </c>
      <c r="BA70" s="769">
        <v>62.556071791530002</v>
      </c>
      <c r="BB70" s="769">
        <v>57.924636174636177</v>
      </c>
      <c r="BC70" s="769">
        <v>0</v>
      </c>
      <c r="BD70" s="769">
        <v>0</v>
      </c>
      <c r="BE70" s="769">
        <v>0</v>
      </c>
      <c r="BF70" s="769">
        <v>0</v>
      </c>
      <c r="BG70" s="769">
        <v>0</v>
      </c>
      <c r="BH70" s="771">
        <v>61.165362728820298</v>
      </c>
      <c r="BI70" s="771">
        <v>61.410969692116026</v>
      </c>
      <c r="BJ70" s="771">
        <v>61.657562879930488</v>
      </c>
      <c r="BK70" s="772">
        <v>61.252191455953543</v>
      </c>
      <c r="BL70" s="772">
        <v>60.849485171234484</v>
      </c>
      <c r="BM70" s="772">
        <v>61.286315440857017</v>
      </c>
      <c r="BN70" s="772">
        <v>61.726281656230306</v>
      </c>
      <c r="BO70" s="772">
        <v>62.169406329887117</v>
      </c>
      <c r="BP70" s="772">
        <v>62.615712135974618</v>
      </c>
      <c r="BQ70" s="772">
        <v>63.065221911414675</v>
      </c>
      <c r="BR70" s="772">
        <v>63.419246419127781</v>
      </c>
      <c r="BS70" s="772">
        <v>63.775258287675641</v>
      </c>
      <c r="BT70" s="772">
        <v>64.133268673356767</v>
      </c>
      <c r="BU70" s="772">
        <v>64.493288795096944</v>
      </c>
      <c r="BV70" s="772">
        <v>64.855329934800764</v>
      </c>
      <c r="BW70" s="771">
        <v>58.157230135599633</v>
      </c>
      <c r="BX70" s="771">
        <v>58.390758067913609</v>
      </c>
      <c r="BY70" s="771">
        <v>58.625223721901129</v>
      </c>
      <c r="BZ70" s="772">
        <v>58.239788597464035</v>
      </c>
      <c r="CA70" s="772">
        <v>57.856887539862306</v>
      </c>
      <c r="CB70" s="772">
        <v>58.272234353601768</v>
      </c>
      <c r="CC70" s="772">
        <v>58.690562886251776</v>
      </c>
      <c r="CD70" s="772">
        <v>59.111894543171367</v>
      </c>
      <c r="CE70" s="772">
        <v>59.536250883385712</v>
      </c>
      <c r="CF70" s="772">
        <v>59.963653620689371</v>
      </c>
      <c r="CG70" s="772">
        <v>60.300267087039543</v>
      </c>
      <c r="CH70" s="772">
        <v>60.638770175167011</v>
      </c>
      <c r="CI70" s="772">
        <v>60.979173492699886</v>
      </c>
      <c r="CJ70" s="772">
        <v>61.3214877068135</v>
      </c>
      <c r="CK70" s="772">
        <v>61.665723544564678</v>
      </c>
      <c r="CL70" s="771">
        <v>0</v>
      </c>
      <c r="CM70" s="771">
        <v>0</v>
      </c>
      <c r="CN70" s="771">
        <v>0</v>
      </c>
      <c r="CO70" s="772">
        <v>0</v>
      </c>
      <c r="CP70" s="772">
        <v>0</v>
      </c>
      <c r="CQ70" s="772">
        <v>0</v>
      </c>
      <c r="CR70" s="772">
        <v>0</v>
      </c>
      <c r="CS70" s="772">
        <v>0</v>
      </c>
      <c r="CT70" s="772">
        <v>0</v>
      </c>
      <c r="CU70" s="772">
        <v>0</v>
      </c>
      <c r="CV70" s="772">
        <v>0</v>
      </c>
      <c r="CW70" s="772">
        <v>0</v>
      </c>
      <c r="CX70" s="772">
        <v>0</v>
      </c>
      <c r="CY70" s="772">
        <v>0</v>
      </c>
      <c r="CZ70" s="772">
        <v>0</v>
      </c>
      <c r="DA70" s="773">
        <v>7.9580227333880163E-2</v>
      </c>
      <c r="DB70" s="773">
        <v>7.9899778418053652E-2</v>
      </c>
      <c r="DC70" s="773">
        <v>8.0220612646279582E-2</v>
      </c>
      <c r="DD70" s="774">
        <v>7.9693197314537528E-2</v>
      </c>
      <c r="DE70" s="774">
        <v>7.9169249507200737E-2</v>
      </c>
      <c r="DF70" s="774">
        <v>7.9737594900932893E-2</v>
      </c>
      <c r="DG70" s="774">
        <v>8.0310020369802643E-2</v>
      </c>
      <c r="DH70" s="774">
        <v>8.0886555204120622E-2</v>
      </c>
      <c r="DI70" s="774">
        <v>8.1467228904468669E-2</v>
      </c>
      <c r="DJ70" s="774">
        <v>8.2052071183209313E-2</v>
      </c>
      <c r="DK70" s="774">
        <v>8.2512680743075439E-2</v>
      </c>
      <c r="DL70" s="774">
        <v>8.2975875992292017E-2</v>
      </c>
      <c r="DM70" s="774">
        <v>8.3441671445949481E-2</v>
      </c>
      <c r="DN70" s="774">
        <v>8.3910081700620531E-2</v>
      </c>
      <c r="DO70" s="774">
        <v>8.4381121434817546E-2</v>
      </c>
      <c r="DP70" s="773">
        <v>0</v>
      </c>
      <c r="DQ70" s="773">
        <v>0</v>
      </c>
      <c r="DR70" s="773">
        <v>0</v>
      </c>
      <c r="DS70" s="774">
        <v>0</v>
      </c>
      <c r="DT70" s="774">
        <v>0</v>
      </c>
      <c r="DU70" s="774">
        <v>0</v>
      </c>
      <c r="DV70" s="774">
        <v>0</v>
      </c>
      <c r="DW70" s="774">
        <v>0</v>
      </c>
      <c r="DX70" s="774">
        <v>0</v>
      </c>
      <c r="DY70" s="774">
        <v>0</v>
      </c>
      <c r="DZ70" s="774">
        <v>0</v>
      </c>
      <c r="EA70" s="774">
        <v>0</v>
      </c>
      <c r="EB70" s="774">
        <v>0</v>
      </c>
      <c r="EC70" s="774">
        <v>0</v>
      </c>
      <c r="ED70" s="774">
        <v>0</v>
      </c>
    </row>
    <row r="71" spans="1:134" ht="15" x14ac:dyDescent="0.25">
      <c r="A71" s="766">
        <v>178</v>
      </c>
      <c r="B71" s="766">
        <v>82</v>
      </c>
      <c r="C71" s="766" t="s">
        <v>3741</v>
      </c>
      <c r="D71" s="2">
        <v>99712</v>
      </c>
      <c r="E71" s="2">
        <v>99712</v>
      </c>
      <c r="F71" s="767" t="s">
        <v>3676</v>
      </c>
      <c r="G71" s="114">
        <v>0</v>
      </c>
      <c r="H71" s="114">
        <v>6</v>
      </c>
      <c r="I71" s="114">
        <v>0</v>
      </c>
      <c r="J71" s="114">
        <v>6</v>
      </c>
      <c r="K71" s="114">
        <v>0</v>
      </c>
      <c r="L71" s="114">
        <v>0</v>
      </c>
      <c r="M71" s="114">
        <v>0</v>
      </c>
      <c r="N71" s="114">
        <v>0</v>
      </c>
      <c r="O71" s="114">
        <v>0</v>
      </c>
      <c r="P71" s="114">
        <v>0</v>
      </c>
      <c r="Q71" s="114">
        <v>0</v>
      </c>
      <c r="R71" s="114">
        <v>0</v>
      </c>
      <c r="S71" s="114">
        <v>834.49503068156923</v>
      </c>
      <c r="T71" s="114">
        <v>834.49503068156923</v>
      </c>
      <c r="U71" s="114">
        <v>1408.3846153846155</v>
      </c>
      <c r="V71" s="114">
        <v>0</v>
      </c>
      <c r="W71" s="114">
        <v>0</v>
      </c>
      <c r="X71" s="114">
        <v>1365.173957061457</v>
      </c>
      <c r="Y71" s="114">
        <v>0.13747401247401247</v>
      </c>
      <c r="Z71" s="114">
        <v>5.8547297297297298</v>
      </c>
      <c r="AA71" s="114">
        <v>7.7962577962577967E-3</v>
      </c>
      <c r="AB71" s="657">
        <v>0</v>
      </c>
      <c r="AC71" s="657">
        <v>0</v>
      </c>
      <c r="AD71" s="768">
        <v>6</v>
      </c>
      <c r="AE71" s="769">
        <v>0</v>
      </c>
      <c r="AF71" s="769">
        <v>0</v>
      </c>
      <c r="AG71" s="770">
        <v>0</v>
      </c>
      <c r="AH71" s="769">
        <v>0</v>
      </c>
      <c r="AI71" s="769">
        <v>0.12497958307746765</v>
      </c>
      <c r="AJ71" s="769">
        <v>5.3226181987755554</v>
      </c>
      <c r="AK71" s="769">
        <v>5.4475977818530232</v>
      </c>
      <c r="AL71" s="769">
        <v>7.0876890214064837E-3</v>
      </c>
      <c r="AM71" s="769">
        <v>0</v>
      </c>
      <c r="AN71" s="769">
        <v>0</v>
      </c>
      <c r="AO71" s="769">
        <v>0</v>
      </c>
      <c r="AP71" s="769">
        <v>0</v>
      </c>
      <c r="AQ71" s="769">
        <v>0</v>
      </c>
      <c r="AR71" s="769">
        <v>0</v>
      </c>
      <c r="AS71" s="769">
        <v>4.9524887453069084</v>
      </c>
      <c r="AT71" s="769">
        <v>5.1941473509697413</v>
      </c>
      <c r="AU71" s="769">
        <v>5.4475977818530223</v>
      </c>
      <c r="AV71" s="769">
        <v>5.7134154246335429</v>
      </c>
      <c r="AW71" s="769">
        <v>5.992203742203742</v>
      </c>
      <c r="AX71" s="769">
        <v>0</v>
      </c>
      <c r="AY71" s="769">
        <v>0</v>
      </c>
      <c r="AZ71" s="769">
        <v>0</v>
      </c>
      <c r="BA71" s="769">
        <v>0</v>
      </c>
      <c r="BB71" s="769">
        <v>0</v>
      </c>
      <c r="BC71" s="769">
        <v>0</v>
      </c>
      <c r="BD71" s="769">
        <v>0</v>
      </c>
      <c r="BE71" s="769">
        <v>0</v>
      </c>
      <c r="BF71" s="769">
        <v>0</v>
      </c>
      <c r="BG71" s="769">
        <v>0</v>
      </c>
      <c r="BH71" s="771">
        <v>6.06805170463553</v>
      </c>
      <c r="BI71" s="771">
        <v>6.1448597334556716</v>
      </c>
      <c r="BJ71" s="771">
        <v>6.2226399809678075</v>
      </c>
      <c r="BK71" s="772">
        <v>6.1817288532462502</v>
      </c>
      <c r="BL71" s="772">
        <v>6.1410866982399011</v>
      </c>
      <c r="BM71" s="772">
        <v>6.1851727336536513</v>
      </c>
      <c r="BN71" s="772">
        <v>6.2295752567859441</v>
      </c>
      <c r="BO71" s="772">
        <v>6.2742965396595443</v>
      </c>
      <c r="BP71" s="772">
        <v>6.3193388706077593</v>
      </c>
      <c r="BQ71" s="772">
        <v>6.3647045543915342</v>
      </c>
      <c r="BR71" s="772">
        <v>6.4004336191329996</v>
      </c>
      <c r="BS71" s="772">
        <v>6.436363253446296</v>
      </c>
      <c r="BT71" s="772">
        <v>6.4724945832537903</v>
      </c>
      <c r="BU71" s="772">
        <v>6.5088287407983554</v>
      </c>
      <c r="BV71" s="772">
        <v>6.5453668646788481</v>
      </c>
      <c r="BW71" s="771">
        <v>0</v>
      </c>
      <c r="BX71" s="771">
        <v>0</v>
      </c>
      <c r="BY71" s="771">
        <v>0</v>
      </c>
      <c r="BZ71" s="772">
        <v>0</v>
      </c>
      <c r="CA71" s="772">
        <v>0</v>
      </c>
      <c r="CB71" s="772">
        <v>0</v>
      </c>
      <c r="CC71" s="772">
        <v>0</v>
      </c>
      <c r="CD71" s="772">
        <v>0</v>
      </c>
      <c r="CE71" s="772">
        <v>0</v>
      </c>
      <c r="CF71" s="772">
        <v>0</v>
      </c>
      <c r="CG71" s="772">
        <v>0</v>
      </c>
      <c r="CH71" s="772">
        <v>0</v>
      </c>
      <c r="CI71" s="772">
        <v>0</v>
      </c>
      <c r="CJ71" s="772">
        <v>0</v>
      </c>
      <c r="CK71" s="772">
        <v>0</v>
      </c>
      <c r="CL71" s="771">
        <v>0</v>
      </c>
      <c r="CM71" s="771">
        <v>0</v>
      </c>
      <c r="CN71" s="771">
        <v>0</v>
      </c>
      <c r="CO71" s="772">
        <v>0</v>
      </c>
      <c r="CP71" s="772">
        <v>0</v>
      </c>
      <c r="CQ71" s="772">
        <v>0</v>
      </c>
      <c r="CR71" s="772">
        <v>0</v>
      </c>
      <c r="CS71" s="772">
        <v>0</v>
      </c>
      <c r="CT71" s="772">
        <v>0</v>
      </c>
      <c r="CU71" s="772">
        <v>0</v>
      </c>
      <c r="CV71" s="772">
        <v>0</v>
      </c>
      <c r="CW71" s="772">
        <v>0</v>
      </c>
      <c r="CX71" s="772">
        <v>0</v>
      </c>
      <c r="CY71" s="772">
        <v>0</v>
      </c>
      <c r="CZ71" s="772">
        <v>0</v>
      </c>
      <c r="DA71" s="773">
        <v>7.8949410677017062E-3</v>
      </c>
      <c r="DB71" s="773">
        <v>7.9948734497211453E-3</v>
      </c>
      <c r="DC71" s="773">
        <v>8.0960707532758362E-3</v>
      </c>
      <c r="DD71" s="774">
        <v>8.0428426401850765E-3</v>
      </c>
      <c r="DE71" s="774">
        <v>7.9899644785843115E-3</v>
      </c>
      <c r="DF71" s="774">
        <v>8.0473233589040492E-3</v>
      </c>
      <c r="DG71" s="774">
        <v>8.1050940109106753E-3</v>
      </c>
      <c r="DH71" s="774">
        <v>8.1632793906577482E-3</v>
      </c>
      <c r="DI71" s="774">
        <v>8.2218824754199307E-3</v>
      </c>
      <c r="DJ71" s="774">
        <v>8.2809062638453477E-3</v>
      </c>
      <c r="DK71" s="774">
        <v>8.3273921664493884E-3</v>
      </c>
      <c r="DL71" s="774">
        <v>8.3741390234794381E-3</v>
      </c>
      <c r="DM71" s="774">
        <v>8.4211482998357932E-3</v>
      </c>
      <c r="DN71" s="774">
        <v>8.4684214686421479E-3</v>
      </c>
      <c r="DO71" s="774">
        <v>8.5159600112917622E-3</v>
      </c>
      <c r="DP71" s="773">
        <v>0</v>
      </c>
      <c r="DQ71" s="773">
        <v>0</v>
      </c>
      <c r="DR71" s="773">
        <v>0</v>
      </c>
      <c r="DS71" s="774">
        <v>0</v>
      </c>
      <c r="DT71" s="774">
        <v>0</v>
      </c>
      <c r="DU71" s="774">
        <v>0</v>
      </c>
      <c r="DV71" s="774">
        <v>0</v>
      </c>
      <c r="DW71" s="774">
        <v>0</v>
      </c>
      <c r="DX71" s="774">
        <v>0</v>
      </c>
      <c r="DY71" s="774">
        <v>0</v>
      </c>
      <c r="DZ71" s="774">
        <v>0</v>
      </c>
      <c r="EA71" s="774">
        <v>0</v>
      </c>
      <c r="EB71" s="774">
        <v>0</v>
      </c>
      <c r="EC71" s="774">
        <v>0</v>
      </c>
      <c r="ED71" s="774">
        <v>0</v>
      </c>
    </row>
    <row r="72" spans="1:134" ht="15" x14ac:dyDescent="0.25">
      <c r="A72" s="766">
        <v>88</v>
      </c>
      <c r="B72" s="766">
        <v>83</v>
      </c>
      <c r="C72" s="766" t="s">
        <v>3742</v>
      </c>
      <c r="D72" s="2">
        <v>99709</v>
      </c>
      <c r="E72" s="2">
        <v>99709</v>
      </c>
      <c r="F72" s="767" t="s">
        <v>3676</v>
      </c>
      <c r="G72" s="114">
        <v>0</v>
      </c>
      <c r="H72" s="114">
        <v>11</v>
      </c>
      <c r="I72" s="114">
        <v>0</v>
      </c>
      <c r="J72" s="114">
        <v>11</v>
      </c>
      <c r="K72" s="114">
        <v>0</v>
      </c>
      <c r="L72" s="114">
        <v>0</v>
      </c>
      <c r="M72" s="114">
        <v>0</v>
      </c>
      <c r="N72" s="114">
        <v>0</v>
      </c>
      <c r="O72" s="114">
        <v>0</v>
      </c>
      <c r="P72" s="114">
        <v>0</v>
      </c>
      <c r="Q72" s="114">
        <v>0</v>
      </c>
      <c r="R72" s="114">
        <v>0</v>
      </c>
      <c r="S72" s="114">
        <v>834.49503068156923</v>
      </c>
      <c r="T72" s="114">
        <v>834.49503068156923</v>
      </c>
      <c r="U72" s="114">
        <v>1408.3846153846155</v>
      </c>
      <c r="V72" s="114">
        <v>0</v>
      </c>
      <c r="W72" s="114">
        <v>0</v>
      </c>
      <c r="X72" s="114">
        <v>1365.173957061457</v>
      </c>
      <c r="Y72" s="114">
        <v>0.25203568953568956</v>
      </c>
      <c r="Z72" s="114">
        <v>10.733671171171171</v>
      </c>
      <c r="AA72" s="114">
        <v>1.4293139293139294E-2</v>
      </c>
      <c r="AB72" s="657">
        <v>0</v>
      </c>
      <c r="AC72" s="657">
        <v>0</v>
      </c>
      <c r="AD72" s="768">
        <v>11</v>
      </c>
      <c r="AE72" s="769">
        <v>0</v>
      </c>
      <c r="AF72" s="769">
        <v>0</v>
      </c>
      <c r="AG72" s="770">
        <v>0</v>
      </c>
      <c r="AH72" s="769">
        <v>0</v>
      </c>
      <c r="AI72" s="769">
        <v>0.23997789763297106</v>
      </c>
      <c r="AJ72" s="769">
        <v>10.220155114883184</v>
      </c>
      <c r="AK72" s="769">
        <v>10.460133012516154</v>
      </c>
      <c r="AL72" s="769">
        <v>1.3609332568977565E-2</v>
      </c>
      <c r="AM72" s="769">
        <v>0</v>
      </c>
      <c r="AN72" s="769">
        <v>0</v>
      </c>
      <c r="AO72" s="769">
        <v>0</v>
      </c>
      <c r="AP72" s="769">
        <v>0</v>
      </c>
      <c r="AQ72" s="769">
        <v>0</v>
      </c>
      <c r="AR72" s="769">
        <v>0</v>
      </c>
      <c r="AS72" s="769">
        <v>9.9597034607648514</v>
      </c>
      <c r="AT72" s="769">
        <v>10.206851765594415</v>
      </c>
      <c r="AU72" s="769">
        <v>10.460133012516156</v>
      </c>
      <c r="AV72" s="769">
        <v>10.719699389418766</v>
      </c>
      <c r="AW72" s="769">
        <v>10.985706860706861</v>
      </c>
      <c r="AX72" s="769">
        <v>0</v>
      </c>
      <c r="AY72" s="769">
        <v>0</v>
      </c>
      <c r="AZ72" s="769">
        <v>0</v>
      </c>
      <c r="BA72" s="769">
        <v>0</v>
      </c>
      <c r="BB72" s="769">
        <v>0</v>
      </c>
      <c r="BC72" s="769">
        <v>0</v>
      </c>
      <c r="BD72" s="769">
        <v>0</v>
      </c>
      <c r="BE72" s="769">
        <v>0</v>
      </c>
      <c r="BF72" s="769">
        <v>0</v>
      </c>
      <c r="BG72" s="769">
        <v>0</v>
      </c>
      <c r="BH72" s="771">
        <v>11.04198256137976</v>
      </c>
      <c r="BI72" s="771">
        <v>11.098546541589551</v>
      </c>
      <c r="BJ72" s="771">
        <v>11.155400278085349</v>
      </c>
      <c r="BK72" s="772">
        <v>11.082058415635053</v>
      </c>
      <c r="BL72" s="772">
        <v>11.00919874375198</v>
      </c>
      <c r="BM72" s="772">
        <v>11.08823230076611</v>
      </c>
      <c r="BN72" s="772">
        <v>11.167833229055816</v>
      </c>
      <c r="BO72" s="772">
        <v>11.248005601703174</v>
      </c>
      <c r="BP72" s="772">
        <v>11.328753521030361</v>
      </c>
      <c r="BQ72" s="772">
        <v>11.410081118809583</v>
      </c>
      <c r="BR72" s="772">
        <v>11.474133035676335</v>
      </c>
      <c r="BS72" s="772">
        <v>11.53854451598629</v>
      </c>
      <c r="BT72" s="772">
        <v>11.603317578193792</v>
      </c>
      <c r="BU72" s="772">
        <v>11.668454252084027</v>
      </c>
      <c r="BV72" s="772">
        <v>11.733956578836629</v>
      </c>
      <c r="BW72" s="771">
        <v>0</v>
      </c>
      <c r="BX72" s="771">
        <v>0</v>
      </c>
      <c r="BY72" s="771">
        <v>0</v>
      </c>
      <c r="BZ72" s="772">
        <v>0</v>
      </c>
      <c r="CA72" s="772">
        <v>0</v>
      </c>
      <c r="CB72" s="772">
        <v>0</v>
      </c>
      <c r="CC72" s="772">
        <v>0</v>
      </c>
      <c r="CD72" s="772">
        <v>0</v>
      </c>
      <c r="CE72" s="772">
        <v>0</v>
      </c>
      <c r="CF72" s="772">
        <v>0</v>
      </c>
      <c r="CG72" s="772">
        <v>0</v>
      </c>
      <c r="CH72" s="772">
        <v>0</v>
      </c>
      <c r="CI72" s="772">
        <v>0</v>
      </c>
      <c r="CJ72" s="772">
        <v>0</v>
      </c>
      <c r="CK72" s="772">
        <v>0</v>
      </c>
      <c r="CL72" s="771">
        <v>0</v>
      </c>
      <c r="CM72" s="771">
        <v>0</v>
      </c>
      <c r="CN72" s="771">
        <v>0</v>
      </c>
      <c r="CO72" s="772">
        <v>0</v>
      </c>
      <c r="CP72" s="772">
        <v>0</v>
      </c>
      <c r="CQ72" s="772">
        <v>0</v>
      </c>
      <c r="CR72" s="772">
        <v>0</v>
      </c>
      <c r="CS72" s="772">
        <v>0</v>
      </c>
      <c r="CT72" s="772">
        <v>0</v>
      </c>
      <c r="CU72" s="772">
        <v>0</v>
      </c>
      <c r="CV72" s="772">
        <v>0</v>
      </c>
      <c r="CW72" s="772">
        <v>0</v>
      </c>
      <c r="CX72" s="772">
        <v>0</v>
      </c>
      <c r="CY72" s="772">
        <v>0</v>
      </c>
      <c r="CZ72" s="772">
        <v>0</v>
      </c>
      <c r="DA72" s="773">
        <v>1.4366357743143066E-2</v>
      </c>
      <c r="DB72" s="773">
        <v>1.443995126410298E-2</v>
      </c>
      <c r="DC72" s="773">
        <v>1.4513921777368398E-2</v>
      </c>
      <c r="DD72" s="774">
        <v>1.441849910959544E-2</v>
      </c>
      <c r="DE72" s="774">
        <v>1.4323703803996854E-2</v>
      </c>
      <c r="DF72" s="774">
        <v>1.442653174702851E-2</v>
      </c>
      <c r="DG72" s="774">
        <v>1.453009787803255E-2</v>
      </c>
      <c r="DH72" s="774">
        <v>1.4634407496361143E-2</v>
      </c>
      <c r="DI72" s="774">
        <v>1.4739465939409788E-2</v>
      </c>
      <c r="DJ72" s="774">
        <v>1.484527858289043E-2</v>
      </c>
      <c r="DK72" s="774">
        <v>1.4928614410195598E-2</v>
      </c>
      <c r="DL72" s="774">
        <v>1.5012418053586121E-2</v>
      </c>
      <c r="DM72" s="774">
        <v>1.5096692139206081E-2</v>
      </c>
      <c r="DN72" s="774">
        <v>1.518143930794175E-2</v>
      </c>
      <c r="DO72" s="774">
        <v>1.5266662215504335E-2</v>
      </c>
      <c r="DP72" s="773">
        <v>0</v>
      </c>
      <c r="DQ72" s="773">
        <v>0</v>
      </c>
      <c r="DR72" s="773">
        <v>0</v>
      </c>
      <c r="DS72" s="774">
        <v>0</v>
      </c>
      <c r="DT72" s="774">
        <v>0</v>
      </c>
      <c r="DU72" s="774">
        <v>0</v>
      </c>
      <c r="DV72" s="774">
        <v>0</v>
      </c>
      <c r="DW72" s="774">
        <v>0</v>
      </c>
      <c r="DX72" s="774">
        <v>0</v>
      </c>
      <c r="DY72" s="774">
        <v>0</v>
      </c>
      <c r="DZ72" s="774">
        <v>0</v>
      </c>
      <c r="EA72" s="774">
        <v>0</v>
      </c>
      <c r="EB72" s="774">
        <v>0</v>
      </c>
      <c r="EC72" s="774">
        <v>0</v>
      </c>
      <c r="ED72" s="774">
        <v>0</v>
      </c>
    </row>
    <row r="73" spans="1:134" ht="15" x14ac:dyDescent="0.25">
      <c r="A73" s="766">
        <v>129</v>
      </c>
      <c r="B73" s="766">
        <v>83</v>
      </c>
      <c r="C73" s="766" t="s">
        <v>3743</v>
      </c>
      <c r="D73" s="2">
        <v>99705</v>
      </c>
      <c r="E73" s="2">
        <v>99705</v>
      </c>
      <c r="F73" s="767" t="s">
        <v>3676</v>
      </c>
      <c r="G73" s="114">
        <v>98</v>
      </c>
      <c r="H73" s="114">
        <v>42</v>
      </c>
      <c r="I73" s="114">
        <v>33</v>
      </c>
      <c r="J73" s="114">
        <v>9</v>
      </c>
      <c r="K73" s="114">
        <v>5</v>
      </c>
      <c r="L73" s="114">
        <v>29</v>
      </c>
      <c r="M73" s="114">
        <v>34</v>
      </c>
      <c r="N73" s="114">
        <v>5</v>
      </c>
      <c r="O73" s="114">
        <v>0</v>
      </c>
      <c r="P73" s="114">
        <v>0</v>
      </c>
      <c r="Q73" s="114">
        <v>39</v>
      </c>
      <c r="R73" s="114">
        <v>4566.2</v>
      </c>
      <c r="S73" s="114">
        <v>1846.7931034482758</v>
      </c>
      <c r="T73" s="114">
        <v>2246.705882352941</v>
      </c>
      <c r="U73" s="114">
        <v>5453.2</v>
      </c>
      <c r="V73" s="114">
        <v>0</v>
      </c>
      <c r="W73" s="114">
        <v>0</v>
      </c>
      <c r="X73" s="114">
        <v>2657.7948717948716</v>
      </c>
      <c r="Y73" s="114">
        <v>6.1764705882352944</v>
      </c>
      <c r="Z73" s="114">
        <v>35.823529411764703</v>
      </c>
      <c r="AA73" s="114">
        <v>0</v>
      </c>
      <c r="AB73" s="657">
        <v>5</v>
      </c>
      <c r="AC73" s="657">
        <v>0</v>
      </c>
      <c r="AD73" s="768">
        <v>47</v>
      </c>
      <c r="AE73" s="769">
        <v>4.8529411764705888</v>
      </c>
      <c r="AF73" s="769">
        <v>28.147058823529409</v>
      </c>
      <c r="AG73" s="770">
        <v>33</v>
      </c>
      <c r="AH73" s="769">
        <v>0</v>
      </c>
      <c r="AI73" s="769">
        <v>5.7327016778347266</v>
      </c>
      <c r="AJ73" s="769">
        <v>33.249669731441415</v>
      </c>
      <c r="AK73" s="769">
        <v>38.982371409276141</v>
      </c>
      <c r="AL73" s="769">
        <v>0</v>
      </c>
      <c r="AM73" s="769">
        <v>4.5273684301120296</v>
      </c>
      <c r="AN73" s="769">
        <v>26.258736894649765</v>
      </c>
      <c r="AO73" s="769">
        <v>30.786105324761795</v>
      </c>
      <c r="AP73" s="769">
        <v>0</v>
      </c>
      <c r="AQ73" s="769">
        <v>4.7005383366745468</v>
      </c>
      <c r="AR73" s="769">
        <v>0</v>
      </c>
      <c r="AS73" s="769">
        <v>36.181554302160713</v>
      </c>
      <c r="AT73" s="769">
        <v>37.555862231770448</v>
      </c>
      <c r="AU73" s="769">
        <v>38.982371409276141</v>
      </c>
      <c r="AV73" s="769">
        <v>40.463064629234374</v>
      </c>
      <c r="AW73" s="769">
        <v>42</v>
      </c>
      <c r="AX73" s="769">
        <v>28.720735789918987</v>
      </c>
      <c r="AY73" s="769">
        <v>29.73549389253694</v>
      </c>
      <c r="AZ73" s="769">
        <v>30.786105324761795</v>
      </c>
      <c r="BA73" s="769">
        <v>31.8738368527722</v>
      </c>
      <c r="BB73" s="769">
        <v>33</v>
      </c>
      <c r="BC73" s="769">
        <v>4.4190121309094232</v>
      </c>
      <c r="BD73" s="769">
        <v>4.5576019935454681</v>
      </c>
      <c r="BE73" s="769">
        <v>4.7005383366745468</v>
      </c>
      <c r="BF73" s="769">
        <v>4.8479574754088688</v>
      </c>
      <c r="BG73" s="769">
        <v>5</v>
      </c>
      <c r="BH73" s="771">
        <v>42.477132292783239</v>
      </c>
      <c r="BI73" s="771">
        <v>42.959684948062105</v>
      </c>
      <c r="BJ73" s="771">
        <v>43.447719542741019</v>
      </c>
      <c r="BK73" s="772">
        <v>43.558397271642306</v>
      </c>
      <c r="BL73" s="772">
        <v>43.669075000543586</v>
      </c>
      <c r="BM73" s="772">
        <v>43.779752729444866</v>
      </c>
      <c r="BN73" s="772">
        <v>43.89043045834616</v>
      </c>
      <c r="BO73" s="772">
        <v>44.021299613623455</v>
      </c>
      <c r="BP73" s="772">
        <v>44.152168768900751</v>
      </c>
      <c r="BQ73" s="772">
        <v>44.514975636358677</v>
      </c>
      <c r="BR73" s="772">
        <v>44.947235185841144</v>
      </c>
      <c r="BS73" s="772">
        <v>45.137031843683971</v>
      </c>
      <c r="BT73" s="772">
        <v>45.24125983274574</v>
      </c>
      <c r="BU73" s="772">
        <v>45.349197749705731</v>
      </c>
      <c r="BV73" s="772">
        <v>45.459732616194451</v>
      </c>
      <c r="BW73" s="771">
        <v>33.374889658615402</v>
      </c>
      <c r="BX73" s="771">
        <v>33.754038173477369</v>
      </c>
      <c r="BY73" s="771">
        <v>34.137493926439376</v>
      </c>
      <c r="BZ73" s="772">
        <v>34.224454999147532</v>
      </c>
      <c r="CA73" s="772">
        <v>34.311416071855682</v>
      </c>
      <c r="CB73" s="772">
        <v>34.398377144563831</v>
      </c>
      <c r="CC73" s="772">
        <v>34.48533821727198</v>
      </c>
      <c r="CD73" s="772">
        <v>34.58816398213272</v>
      </c>
      <c r="CE73" s="772">
        <v>34.690989746993452</v>
      </c>
      <c r="CF73" s="772">
        <v>34.976052285710395</v>
      </c>
      <c r="CG73" s="772">
        <v>35.315684788875188</v>
      </c>
      <c r="CH73" s="772">
        <v>35.464810734323123</v>
      </c>
      <c r="CI73" s="772">
        <v>35.54670415430023</v>
      </c>
      <c r="CJ73" s="772">
        <v>35.631512517625936</v>
      </c>
      <c r="CK73" s="772">
        <v>35.718361341295648</v>
      </c>
      <c r="CL73" s="771">
        <v>5.0568014634265754</v>
      </c>
      <c r="CM73" s="771">
        <v>5.1142482081026319</v>
      </c>
      <c r="CN73" s="771">
        <v>5.1723475646120267</v>
      </c>
      <c r="CO73" s="772">
        <v>5.1855234847193232</v>
      </c>
      <c r="CP73" s="772">
        <v>5.198699404826618</v>
      </c>
      <c r="CQ73" s="772">
        <v>5.2118753249339136</v>
      </c>
      <c r="CR73" s="772">
        <v>5.2250512450412092</v>
      </c>
      <c r="CS73" s="772">
        <v>5.2406309063837453</v>
      </c>
      <c r="CT73" s="772">
        <v>5.2562105677262805</v>
      </c>
      <c r="CU73" s="772">
        <v>5.2994018614712717</v>
      </c>
      <c r="CV73" s="772">
        <v>5.3508613316477556</v>
      </c>
      <c r="CW73" s="772">
        <v>5.3734561718671392</v>
      </c>
      <c r="CX73" s="772">
        <v>5.3858642658030655</v>
      </c>
      <c r="CY73" s="772">
        <v>5.3987140178221109</v>
      </c>
      <c r="CZ73" s="772">
        <v>5.4118729304993405</v>
      </c>
      <c r="DA73" s="773">
        <v>0</v>
      </c>
      <c r="DB73" s="773">
        <v>0</v>
      </c>
      <c r="DC73" s="773">
        <v>0</v>
      </c>
      <c r="DD73" s="774">
        <v>0</v>
      </c>
      <c r="DE73" s="774">
        <v>0</v>
      </c>
      <c r="DF73" s="774">
        <v>0</v>
      </c>
      <c r="DG73" s="774">
        <v>0</v>
      </c>
      <c r="DH73" s="774">
        <v>0</v>
      </c>
      <c r="DI73" s="774">
        <v>0</v>
      </c>
      <c r="DJ73" s="774">
        <v>0</v>
      </c>
      <c r="DK73" s="774">
        <v>0</v>
      </c>
      <c r="DL73" s="774">
        <v>0</v>
      </c>
      <c r="DM73" s="774">
        <v>0</v>
      </c>
      <c r="DN73" s="774">
        <v>0</v>
      </c>
      <c r="DO73" s="774">
        <v>0</v>
      </c>
      <c r="DP73" s="773">
        <v>0</v>
      </c>
      <c r="DQ73" s="773">
        <v>0</v>
      </c>
      <c r="DR73" s="773">
        <v>0</v>
      </c>
      <c r="DS73" s="774">
        <v>0</v>
      </c>
      <c r="DT73" s="774">
        <v>0</v>
      </c>
      <c r="DU73" s="774">
        <v>0</v>
      </c>
      <c r="DV73" s="774">
        <v>0</v>
      </c>
      <c r="DW73" s="774">
        <v>0</v>
      </c>
      <c r="DX73" s="774">
        <v>0</v>
      </c>
      <c r="DY73" s="774">
        <v>0</v>
      </c>
      <c r="DZ73" s="774">
        <v>0</v>
      </c>
      <c r="EA73" s="774">
        <v>0</v>
      </c>
      <c r="EB73" s="774">
        <v>0</v>
      </c>
      <c r="EC73" s="774">
        <v>0</v>
      </c>
      <c r="ED73" s="774">
        <v>0</v>
      </c>
    </row>
    <row r="74" spans="1:134" ht="15" x14ac:dyDescent="0.25">
      <c r="A74" s="766">
        <v>130</v>
      </c>
      <c r="B74" s="766">
        <v>83</v>
      </c>
      <c r="C74" s="766" t="s">
        <v>3744</v>
      </c>
      <c r="D74" s="2">
        <v>99705</v>
      </c>
      <c r="E74" s="2">
        <v>99705</v>
      </c>
      <c r="F74" s="767" t="s">
        <v>3676</v>
      </c>
      <c r="G74" s="114">
        <v>139</v>
      </c>
      <c r="H74" s="114">
        <v>69</v>
      </c>
      <c r="I74" s="114">
        <v>65</v>
      </c>
      <c r="J74" s="114">
        <v>4</v>
      </c>
      <c r="K74" s="114">
        <v>3</v>
      </c>
      <c r="L74" s="114">
        <v>11</v>
      </c>
      <c r="M74" s="114">
        <v>14</v>
      </c>
      <c r="N74" s="114">
        <v>2</v>
      </c>
      <c r="O74" s="114">
        <v>0</v>
      </c>
      <c r="P74" s="114">
        <v>0</v>
      </c>
      <c r="Q74" s="114">
        <v>16</v>
      </c>
      <c r="R74" s="114">
        <v>5424</v>
      </c>
      <c r="S74" s="114">
        <v>2372.6363636363635</v>
      </c>
      <c r="T74" s="114">
        <v>3026.5</v>
      </c>
      <c r="U74" s="114">
        <v>3908</v>
      </c>
      <c r="V74" s="114">
        <v>0</v>
      </c>
      <c r="W74" s="114">
        <v>0</v>
      </c>
      <c r="X74" s="114">
        <v>3136.6875</v>
      </c>
      <c r="Y74" s="114">
        <v>14.785714285714286</v>
      </c>
      <c r="Z74" s="114">
        <v>54.214285714285715</v>
      </c>
      <c r="AA74" s="114">
        <v>0</v>
      </c>
      <c r="AB74" s="657">
        <v>2</v>
      </c>
      <c r="AC74" s="657">
        <v>0</v>
      </c>
      <c r="AD74" s="768">
        <v>71</v>
      </c>
      <c r="AE74" s="769">
        <v>13.928571428571431</v>
      </c>
      <c r="AF74" s="769">
        <v>51.071428571428577</v>
      </c>
      <c r="AG74" s="770">
        <v>65</v>
      </c>
      <c r="AH74" s="769">
        <v>0</v>
      </c>
      <c r="AI74" s="769">
        <v>13.723385853265581</v>
      </c>
      <c r="AJ74" s="769">
        <v>50.319081461973795</v>
      </c>
      <c r="AK74" s="769">
        <v>64.042467315239378</v>
      </c>
      <c r="AL74" s="769">
        <v>0</v>
      </c>
      <c r="AM74" s="769">
        <v>12.994135364347514</v>
      </c>
      <c r="AN74" s="769">
        <v>47.645163002607546</v>
      </c>
      <c r="AO74" s="769">
        <v>60.63929836695506</v>
      </c>
      <c r="AP74" s="769">
        <v>0</v>
      </c>
      <c r="AQ74" s="769">
        <v>1.8802153346698185</v>
      </c>
      <c r="AR74" s="769">
        <v>0</v>
      </c>
      <c r="AS74" s="769">
        <v>59.441124924978318</v>
      </c>
      <c r="AT74" s="769">
        <v>61.698916523622884</v>
      </c>
      <c r="AU74" s="769">
        <v>64.042467315239378</v>
      </c>
      <c r="AV74" s="769">
        <v>66.475034748027895</v>
      </c>
      <c r="AW74" s="769">
        <v>69</v>
      </c>
      <c r="AX74" s="769">
        <v>56.571146252870733</v>
      </c>
      <c r="AY74" s="769">
        <v>58.56991221257276</v>
      </c>
      <c r="AZ74" s="769">
        <v>60.639298366955053</v>
      </c>
      <c r="BA74" s="769">
        <v>62.781799861521002</v>
      </c>
      <c r="BB74" s="769">
        <v>65</v>
      </c>
      <c r="BC74" s="769">
        <v>1.7676048523637691</v>
      </c>
      <c r="BD74" s="769">
        <v>1.823040797418187</v>
      </c>
      <c r="BE74" s="769">
        <v>1.8802153346698185</v>
      </c>
      <c r="BF74" s="769">
        <v>1.9391829901635476</v>
      </c>
      <c r="BG74" s="769">
        <v>2</v>
      </c>
      <c r="BH74" s="771">
        <v>70.482732770880915</v>
      </c>
      <c r="BI74" s="771">
        <v>71.997327809440719</v>
      </c>
      <c r="BJ74" s="771">
        <v>73.544469800149614</v>
      </c>
      <c r="BK74" s="772">
        <v>74.21246102107115</v>
      </c>
      <c r="BL74" s="772">
        <v>74.880452241992671</v>
      </c>
      <c r="BM74" s="772">
        <v>75.548443462914179</v>
      </c>
      <c r="BN74" s="772">
        <v>76.216434683835715</v>
      </c>
      <c r="BO74" s="772">
        <v>77.006290490261065</v>
      </c>
      <c r="BP74" s="772">
        <v>77.796146296686416</v>
      </c>
      <c r="BQ74" s="772">
        <v>79.985853338543834</v>
      </c>
      <c r="BR74" s="772">
        <v>82.594739399725327</v>
      </c>
      <c r="BS74" s="772">
        <v>83.740249905387486</v>
      </c>
      <c r="BT74" s="772">
        <v>84.36931396695374</v>
      </c>
      <c r="BU74" s="772">
        <v>85.020769157167607</v>
      </c>
      <c r="BV74" s="772">
        <v>85.6878981374348</v>
      </c>
      <c r="BW74" s="771">
        <v>66.396777247931297</v>
      </c>
      <c r="BX74" s="771">
        <v>67.823569675560094</v>
      </c>
      <c r="BY74" s="771">
        <v>69.281022275503261</v>
      </c>
      <c r="BZ74" s="772">
        <v>69.910289367675716</v>
      </c>
      <c r="CA74" s="772">
        <v>70.539556459848157</v>
      </c>
      <c r="CB74" s="772">
        <v>71.168823552020612</v>
      </c>
      <c r="CC74" s="772">
        <v>71.798090644193067</v>
      </c>
      <c r="CD74" s="772">
        <v>72.542157708216948</v>
      </c>
      <c r="CE74" s="772">
        <v>73.286224772240828</v>
      </c>
      <c r="CF74" s="772">
        <v>75.348992275439841</v>
      </c>
      <c r="CG74" s="772">
        <v>77.806638564958646</v>
      </c>
      <c r="CH74" s="772">
        <v>78.885742664495453</v>
      </c>
      <c r="CI74" s="772">
        <v>79.47833924423179</v>
      </c>
      <c r="CJ74" s="772">
        <v>80.092028916172382</v>
      </c>
      <c r="CK74" s="772">
        <v>80.72048375265598</v>
      </c>
      <c r="CL74" s="771">
        <v>2.042977761474809</v>
      </c>
      <c r="CM74" s="771">
        <v>2.0868790669403108</v>
      </c>
      <c r="CN74" s="771">
        <v>2.1317237623231771</v>
      </c>
      <c r="CO74" s="772">
        <v>2.1510858266977144</v>
      </c>
      <c r="CP74" s="772">
        <v>2.1704478910722509</v>
      </c>
      <c r="CQ74" s="772">
        <v>2.1898099554467878</v>
      </c>
      <c r="CR74" s="772">
        <v>2.2091720198213247</v>
      </c>
      <c r="CS74" s="772">
        <v>2.2320663910220597</v>
      </c>
      <c r="CT74" s="772">
        <v>2.2549607622227947</v>
      </c>
      <c r="CU74" s="772">
        <v>2.3184305315519951</v>
      </c>
      <c r="CV74" s="772">
        <v>2.3940504173833426</v>
      </c>
      <c r="CW74" s="772">
        <v>2.427253620446014</v>
      </c>
      <c r="CX74" s="772">
        <v>2.4454873613609776</v>
      </c>
      <c r="CY74" s="772">
        <v>2.4643701204976116</v>
      </c>
      <c r="CZ74" s="772">
        <v>2.4837071923894145</v>
      </c>
      <c r="DA74" s="773">
        <v>0</v>
      </c>
      <c r="DB74" s="773">
        <v>0</v>
      </c>
      <c r="DC74" s="773">
        <v>0</v>
      </c>
      <c r="DD74" s="774">
        <v>0</v>
      </c>
      <c r="DE74" s="774">
        <v>0</v>
      </c>
      <c r="DF74" s="774">
        <v>0</v>
      </c>
      <c r="DG74" s="774">
        <v>0</v>
      </c>
      <c r="DH74" s="774">
        <v>0</v>
      </c>
      <c r="DI74" s="774">
        <v>0</v>
      </c>
      <c r="DJ74" s="774">
        <v>0</v>
      </c>
      <c r="DK74" s="774">
        <v>0</v>
      </c>
      <c r="DL74" s="774">
        <v>0</v>
      </c>
      <c r="DM74" s="774">
        <v>0</v>
      </c>
      <c r="DN74" s="774">
        <v>0</v>
      </c>
      <c r="DO74" s="774">
        <v>0</v>
      </c>
      <c r="DP74" s="773">
        <v>0</v>
      </c>
      <c r="DQ74" s="773">
        <v>0</v>
      </c>
      <c r="DR74" s="773">
        <v>0</v>
      </c>
      <c r="DS74" s="774">
        <v>0</v>
      </c>
      <c r="DT74" s="774">
        <v>0</v>
      </c>
      <c r="DU74" s="774">
        <v>0</v>
      </c>
      <c r="DV74" s="774">
        <v>0</v>
      </c>
      <c r="DW74" s="774">
        <v>0</v>
      </c>
      <c r="DX74" s="774">
        <v>0</v>
      </c>
      <c r="DY74" s="774">
        <v>0</v>
      </c>
      <c r="DZ74" s="774">
        <v>0</v>
      </c>
      <c r="EA74" s="774">
        <v>0</v>
      </c>
      <c r="EB74" s="774">
        <v>0</v>
      </c>
      <c r="EC74" s="774">
        <v>0</v>
      </c>
      <c r="ED74" s="774">
        <v>0</v>
      </c>
    </row>
    <row r="75" spans="1:134" ht="15" x14ac:dyDescent="0.25">
      <c r="A75" s="766">
        <v>124</v>
      </c>
      <c r="B75" s="766">
        <v>84</v>
      </c>
      <c r="C75" s="766" t="s">
        <v>3745</v>
      </c>
      <c r="D75" s="2">
        <v>99705</v>
      </c>
      <c r="E75" s="2">
        <v>99705</v>
      </c>
      <c r="F75" s="767" t="s">
        <v>3746</v>
      </c>
      <c r="G75" s="114">
        <v>36</v>
      </c>
      <c r="H75" s="114">
        <v>13</v>
      </c>
      <c r="I75" s="114">
        <v>13</v>
      </c>
      <c r="J75" s="114">
        <v>0</v>
      </c>
      <c r="K75" s="114">
        <v>0</v>
      </c>
      <c r="L75" s="114">
        <v>32</v>
      </c>
      <c r="M75" s="114">
        <v>32</v>
      </c>
      <c r="N75" s="114">
        <v>3</v>
      </c>
      <c r="O75" s="114">
        <v>0</v>
      </c>
      <c r="P75" s="114">
        <v>0</v>
      </c>
      <c r="Q75" s="114">
        <v>35</v>
      </c>
      <c r="R75" s="114">
        <v>0</v>
      </c>
      <c r="S75" s="114">
        <v>2107</v>
      </c>
      <c r="T75" s="114">
        <v>2107</v>
      </c>
      <c r="U75" s="114">
        <v>4266.666666666667</v>
      </c>
      <c r="V75" s="114">
        <v>0</v>
      </c>
      <c r="W75" s="114">
        <v>0</v>
      </c>
      <c r="X75" s="114">
        <v>2292.1142857142859</v>
      </c>
      <c r="Y75" s="114">
        <v>0</v>
      </c>
      <c r="Z75" s="114">
        <v>13</v>
      </c>
      <c r="AA75" s="114">
        <v>0</v>
      </c>
      <c r="AB75" s="657">
        <v>3</v>
      </c>
      <c r="AC75" s="657">
        <v>0</v>
      </c>
      <c r="AD75" s="768">
        <v>16</v>
      </c>
      <c r="AE75" s="769">
        <v>0</v>
      </c>
      <c r="AF75" s="769">
        <v>13</v>
      </c>
      <c r="AG75" s="770">
        <v>13</v>
      </c>
      <c r="AH75" s="769">
        <v>0</v>
      </c>
      <c r="AI75" s="769">
        <v>0</v>
      </c>
      <c r="AJ75" s="769">
        <v>12.065972102871187</v>
      </c>
      <c r="AK75" s="769">
        <v>12.065972102871187</v>
      </c>
      <c r="AL75" s="769">
        <v>0</v>
      </c>
      <c r="AM75" s="769">
        <v>0</v>
      </c>
      <c r="AN75" s="769">
        <v>12.127859673391011</v>
      </c>
      <c r="AO75" s="769">
        <v>12.127859673391011</v>
      </c>
      <c r="AP75" s="769">
        <v>0</v>
      </c>
      <c r="AQ75" s="769">
        <v>2.8203230020047281</v>
      </c>
      <c r="AR75" s="769">
        <v>0</v>
      </c>
      <c r="AS75" s="769">
        <v>11.199052522097364</v>
      </c>
      <c r="AT75" s="769">
        <v>11.624433547928948</v>
      </c>
      <c r="AU75" s="769">
        <v>12.065972102871187</v>
      </c>
      <c r="AV75" s="769">
        <v>12.524281909048735</v>
      </c>
      <c r="AW75" s="769">
        <v>13</v>
      </c>
      <c r="AX75" s="769">
        <v>11.314229250574147</v>
      </c>
      <c r="AY75" s="769">
        <v>11.713982442514551</v>
      </c>
      <c r="AZ75" s="769">
        <v>12.127859673391011</v>
      </c>
      <c r="BA75" s="769">
        <v>12.5563599723042</v>
      </c>
      <c r="BB75" s="769">
        <v>13</v>
      </c>
      <c r="BC75" s="769">
        <v>2.6514072785456535</v>
      </c>
      <c r="BD75" s="769">
        <v>2.7345611961272809</v>
      </c>
      <c r="BE75" s="769">
        <v>2.8203230020047281</v>
      </c>
      <c r="BF75" s="769">
        <v>2.9087744852453215</v>
      </c>
      <c r="BG75" s="769">
        <v>3</v>
      </c>
      <c r="BH75" s="771">
        <v>13.054017268816354</v>
      </c>
      <c r="BI75" s="771">
        <v>13.108258988811967</v>
      </c>
      <c r="BJ75" s="771">
        <v>13.162726092620662</v>
      </c>
      <c r="BK75" s="772">
        <v>13.076186943644325</v>
      </c>
      <c r="BL75" s="772">
        <v>12.990216751603873</v>
      </c>
      <c r="BM75" s="772">
        <v>13.083471770444048</v>
      </c>
      <c r="BN75" s="772">
        <v>13.177396254521419</v>
      </c>
      <c r="BO75" s="772">
        <v>13.271995009836884</v>
      </c>
      <c r="BP75" s="772">
        <v>13.367272876892967</v>
      </c>
      <c r="BQ75" s="772">
        <v>13.463234730941512</v>
      </c>
      <c r="BR75" s="772">
        <v>13.538812282298464</v>
      </c>
      <c r="BS75" s="772">
        <v>13.614814097688784</v>
      </c>
      <c r="BT75" s="772">
        <v>13.691242558771668</v>
      </c>
      <c r="BU75" s="772">
        <v>13.768100060576046</v>
      </c>
      <c r="BV75" s="772">
        <v>13.845389011575646</v>
      </c>
      <c r="BW75" s="771">
        <v>13.054017268816354</v>
      </c>
      <c r="BX75" s="771">
        <v>13.108258988811967</v>
      </c>
      <c r="BY75" s="771">
        <v>13.162726092620662</v>
      </c>
      <c r="BZ75" s="772">
        <v>13.076186943644325</v>
      </c>
      <c r="CA75" s="772">
        <v>12.990216751603873</v>
      </c>
      <c r="CB75" s="772">
        <v>13.083471770444048</v>
      </c>
      <c r="CC75" s="772">
        <v>13.177396254521419</v>
      </c>
      <c r="CD75" s="772">
        <v>13.271995009836884</v>
      </c>
      <c r="CE75" s="772">
        <v>13.367272876892967</v>
      </c>
      <c r="CF75" s="772">
        <v>13.463234730941512</v>
      </c>
      <c r="CG75" s="772">
        <v>13.538812282298464</v>
      </c>
      <c r="CH75" s="772">
        <v>13.614814097688784</v>
      </c>
      <c r="CI75" s="772">
        <v>13.691242558771668</v>
      </c>
      <c r="CJ75" s="772">
        <v>13.768100060576046</v>
      </c>
      <c r="CK75" s="772">
        <v>13.845389011575646</v>
      </c>
      <c r="CL75" s="771">
        <v>3.0124655235730047</v>
      </c>
      <c r="CM75" s="771">
        <v>3.0249828435719923</v>
      </c>
      <c r="CN75" s="771">
        <v>3.0375521752201529</v>
      </c>
      <c r="CO75" s="772">
        <v>3.0175816023794599</v>
      </c>
      <c r="CP75" s="772">
        <v>2.9977423272932016</v>
      </c>
      <c r="CQ75" s="772">
        <v>3.0192627162563186</v>
      </c>
      <c r="CR75" s="772">
        <v>3.0409375971972503</v>
      </c>
      <c r="CS75" s="772">
        <v>3.0627680791931269</v>
      </c>
      <c r="CT75" s="772">
        <v>3.0847552792829922</v>
      </c>
      <c r="CU75" s="772">
        <v>3.1069003225249641</v>
      </c>
      <c r="CV75" s="772">
        <v>3.1243412959150301</v>
      </c>
      <c r="CW75" s="772">
        <v>3.1418801763897197</v>
      </c>
      <c r="CX75" s="772">
        <v>3.1595175135626925</v>
      </c>
      <c r="CY75" s="772">
        <v>3.1772538601329336</v>
      </c>
      <c r="CZ75" s="772">
        <v>3.1950897719020723</v>
      </c>
      <c r="DA75" s="773">
        <v>0</v>
      </c>
      <c r="DB75" s="773">
        <v>0</v>
      </c>
      <c r="DC75" s="773">
        <v>0</v>
      </c>
      <c r="DD75" s="774">
        <v>0</v>
      </c>
      <c r="DE75" s="774">
        <v>0</v>
      </c>
      <c r="DF75" s="774">
        <v>0</v>
      </c>
      <c r="DG75" s="774">
        <v>0</v>
      </c>
      <c r="DH75" s="774">
        <v>0</v>
      </c>
      <c r="DI75" s="774">
        <v>0</v>
      </c>
      <c r="DJ75" s="774">
        <v>0</v>
      </c>
      <c r="DK75" s="774">
        <v>0</v>
      </c>
      <c r="DL75" s="774">
        <v>0</v>
      </c>
      <c r="DM75" s="774">
        <v>0</v>
      </c>
      <c r="DN75" s="774">
        <v>0</v>
      </c>
      <c r="DO75" s="774">
        <v>0</v>
      </c>
      <c r="DP75" s="773">
        <v>0</v>
      </c>
      <c r="DQ75" s="773">
        <v>0</v>
      </c>
      <c r="DR75" s="773">
        <v>0</v>
      </c>
      <c r="DS75" s="774">
        <v>0</v>
      </c>
      <c r="DT75" s="774">
        <v>0</v>
      </c>
      <c r="DU75" s="774">
        <v>0</v>
      </c>
      <c r="DV75" s="774">
        <v>0</v>
      </c>
      <c r="DW75" s="774">
        <v>0</v>
      </c>
      <c r="DX75" s="774">
        <v>0</v>
      </c>
      <c r="DY75" s="774">
        <v>0</v>
      </c>
      <c r="DZ75" s="774">
        <v>0</v>
      </c>
      <c r="EA75" s="774">
        <v>0</v>
      </c>
      <c r="EB75" s="774">
        <v>0</v>
      </c>
      <c r="EC75" s="774">
        <v>0</v>
      </c>
      <c r="ED75" s="774">
        <v>0</v>
      </c>
    </row>
    <row r="76" spans="1:134" ht="15" x14ac:dyDescent="0.25">
      <c r="A76" s="766">
        <v>125</v>
      </c>
      <c r="B76" s="766">
        <v>84</v>
      </c>
      <c r="C76" s="766" t="s">
        <v>3747</v>
      </c>
      <c r="D76" s="2">
        <v>99705</v>
      </c>
      <c r="E76" s="2">
        <v>99705</v>
      </c>
      <c r="F76" s="767" t="s">
        <v>3746</v>
      </c>
      <c r="G76" s="114">
        <v>91</v>
      </c>
      <c r="H76" s="114">
        <v>33</v>
      </c>
      <c r="I76" s="114">
        <v>30</v>
      </c>
      <c r="J76" s="114">
        <v>3</v>
      </c>
      <c r="K76" s="114">
        <v>0</v>
      </c>
      <c r="L76" s="114">
        <v>16</v>
      </c>
      <c r="M76" s="114">
        <v>16</v>
      </c>
      <c r="N76" s="114">
        <v>0</v>
      </c>
      <c r="O76" s="114">
        <v>0</v>
      </c>
      <c r="P76" s="114">
        <v>0</v>
      </c>
      <c r="Q76" s="114">
        <v>16</v>
      </c>
      <c r="R76" s="114">
        <v>0</v>
      </c>
      <c r="S76" s="114">
        <v>2302.8125</v>
      </c>
      <c r="T76" s="114">
        <v>2302.8125</v>
      </c>
      <c r="U76" s="114">
        <v>0</v>
      </c>
      <c r="V76" s="114">
        <v>0</v>
      </c>
      <c r="W76" s="114">
        <v>0</v>
      </c>
      <c r="X76" s="114">
        <v>2302.8125</v>
      </c>
      <c r="Y76" s="114">
        <v>0</v>
      </c>
      <c r="Z76" s="114">
        <v>33</v>
      </c>
      <c r="AA76" s="114">
        <v>0</v>
      </c>
      <c r="AB76" s="657">
        <v>0</v>
      </c>
      <c r="AC76" s="657">
        <v>0</v>
      </c>
      <c r="AD76" s="768">
        <v>33</v>
      </c>
      <c r="AE76" s="769">
        <v>0</v>
      </c>
      <c r="AF76" s="769">
        <v>30</v>
      </c>
      <c r="AG76" s="770">
        <v>30</v>
      </c>
      <c r="AH76" s="769">
        <v>0</v>
      </c>
      <c r="AI76" s="769">
        <v>0</v>
      </c>
      <c r="AJ76" s="769">
        <v>30.629006107288397</v>
      </c>
      <c r="AK76" s="769">
        <v>30.629006107288397</v>
      </c>
      <c r="AL76" s="769">
        <v>0</v>
      </c>
      <c r="AM76" s="769">
        <v>0</v>
      </c>
      <c r="AN76" s="769">
        <v>27.987368477056179</v>
      </c>
      <c r="AO76" s="769">
        <v>27.987368477056179</v>
      </c>
      <c r="AP76" s="769">
        <v>0</v>
      </c>
      <c r="AQ76" s="769">
        <v>0</v>
      </c>
      <c r="AR76" s="769">
        <v>0</v>
      </c>
      <c r="AS76" s="769">
        <v>28.428364094554848</v>
      </c>
      <c r="AT76" s="769">
        <v>29.508177467819639</v>
      </c>
      <c r="AU76" s="769">
        <v>30.629006107288397</v>
      </c>
      <c r="AV76" s="769">
        <v>31.792407922969865</v>
      </c>
      <c r="AW76" s="769">
        <v>33</v>
      </c>
      <c r="AX76" s="769">
        <v>26.109759809017262</v>
      </c>
      <c r="AY76" s="769">
        <v>27.032267175033581</v>
      </c>
      <c r="AZ76" s="769">
        <v>27.987368477056179</v>
      </c>
      <c r="BA76" s="769">
        <v>28.976215320702</v>
      </c>
      <c r="BB76" s="769">
        <v>30</v>
      </c>
      <c r="BC76" s="769">
        <v>0</v>
      </c>
      <c r="BD76" s="769">
        <v>0</v>
      </c>
      <c r="BE76" s="769">
        <v>0</v>
      </c>
      <c r="BF76" s="769">
        <v>0</v>
      </c>
      <c r="BG76" s="769">
        <v>0</v>
      </c>
      <c r="BH76" s="771">
        <v>33.374889658615402</v>
      </c>
      <c r="BI76" s="771">
        <v>33.754038173477369</v>
      </c>
      <c r="BJ76" s="771">
        <v>34.137493926439376</v>
      </c>
      <c r="BK76" s="772">
        <v>34.334518597906637</v>
      </c>
      <c r="BL76" s="772">
        <v>34.531543269373906</v>
      </c>
      <c r="BM76" s="772">
        <v>34.728567940841167</v>
      </c>
      <c r="BN76" s="772">
        <v>34.925592612308428</v>
      </c>
      <c r="BO76" s="772">
        <v>35.158561363833009</v>
      </c>
      <c r="BP76" s="772">
        <v>35.39153011535759</v>
      </c>
      <c r="BQ76" s="772">
        <v>36.037386373672398</v>
      </c>
      <c r="BR76" s="772">
        <v>36.806879898438638</v>
      </c>
      <c r="BS76" s="772">
        <v>37.144749355359096</v>
      </c>
      <c r="BT76" s="772">
        <v>37.330292422663142</v>
      </c>
      <c r="BU76" s="772">
        <v>37.522439775513767</v>
      </c>
      <c r="BV76" s="772">
        <v>37.719210128247006</v>
      </c>
      <c r="BW76" s="771">
        <v>30.340808780559453</v>
      </c>
      <c r="BX76" s="771">
        <v>30.685489248615792</v>
      </c>
      <c r="BY76" s="771">
        <v>31.03408538767216</v>
      </c>
      <c r="BZ76" s="772">
        <v>31.213198725369672</v>
      </c>
      <c r="CA76" s="772">
        <v>31.392312063067184</v>
      </c>
      <c r="CB76" s="772">
        <v>31.571425400764696</v>
      </c>
      <c r="CC76" s="772">
        <v>31.750538738462211</v>
      </c>
      <c r="CD76" s="772">
        <v>31.962328512575464</v>
      </c>
      <c r="CE76" s="772">
        <v>32.174118286688717</v>
      </c>
      <c r="CF76" s="772">
        <v>32.761260339702183</v>
      </c>
      <c r="CG76" s="772">
        <v>33.460799907671493</v>
      </c>
      <c r="CH76" s="772">
        <v>33.767953959417355</v>
      </c>
      <c r="CI76" s="772">
        <v>33.936629475148308</v>
      </c>
      <c r="CJ76" s="772">
        <v>34.111308886830699</v>
      </c>
      <c r="CK76" s="772">
        <v>34.2901910256791</v>
      </c>
      <c r="CL76" s="771">
        <v>0</v>
      </c>
      <c r="CM76" s="771">
        <v>0</v>
      </c>
      <c r="CN76" s="771">
        <v>0</v>
      </c>
      <c r="CO76" s="772">
        <v>0</v>
      </c>
      <c r="CP76" s="772">
        <v>0</v>
      </c>
      <c r="CQ76" s="772">
        <v>0</v>
      </c>
      <c r="CR76" s="772">
        <v>0</v>
      </c>
      <c r="CS76" s="772">
        <v>0</v>
      </c>
      <c r="CT76" s="772">
        <v>0</v>
      </c>
      <c r="CU76" s="772">
        <v>0</v>
      </c>
      <c r="CV76" s="772">
        <v>0</v>
      </c>
      <c r="CW76" s="772">
        <v>0</v>
      </c>
      <c r="CX76" s="772">
        <v>0</v>
      </c>
      <c r="CY76" s="772">
        <v>0</v>
      </c>
      <c r="CZ76" s="772">
        <v>0</v>
      </c>
      <c r="DA76" s="773">
        <v>0</v>
      </c>
      <c r="DB76" s="773">
        <v>0</v>
      </c>
      <c r="DC76" s="773">
        <v>0</v>
      </c>
      <c r="DD76" s="774">
        <v>0</v>
      </c>
      <c r="DE76" s="774">
        <v>0</v>
      </c>
      <c r="DF76" s="774">
        <v>0</v>
      </c>
      <c r="DG76" s="774">
        <v>0</v>
      </c>
      <c r="DH76" s="774">
        <v>0</v>
      </c>
      <c r="DI76" s="774">
        <v>0</v>
      </c>
      <c r="DJ76" s="774">
        <v>0</v>
      </c>
      <c r="DK76" s="774">
        <v>0</v>
      </c>
      <c r="DL76" s="774">
        <v>0</v>
      </c>
      <c r="DM76" s="774">
        <v>0</v>
      </c>
      <c r="DN76" s="774">
        <v>0</v>
      </c>
      <c r="DO76" s="774">
        <v>0</v>
      </c>
      <c r="DP76" s="773">
        <v>0</v>
      </c>
      <c r="DQ76" s="773">
        <v>0</v>
      </c>
      <c r="DR76" s="773">
        <v>0</v>
      </c>
      <c r="DS76" s="774">
        <v>0</v>
      </c>
      <c r="DT76" s="774">
        <v>0</v>
      </c>
      <c r="DU76" s="774">
        <v>0</v>
      </c>
      <c r="DV76" s="774">
        <v>0</v>
      </c>
      <c r="DW76" s="774">
        <v>0</v>
      </c>
      <c r="DX76" s="774">
        <v>0</v>
      </c>
      <c r="DY76" s="774">
        <v>0</v>
      </c>
      <c r="DZ76" s="774">
        <v>0</v>
      </c>
      <c r="EA76" s="774">
        <v>0</v>
      </c>
      <c r="EB76" s="774">
        <v>0</v>
      </c>
      <c r="EC76" s="774">
        <v>0</v>
      </c>
      <c r="ED76" s="774">
        <v>0</v>
      </c>
    </row>
    <row r="77" spans="1:134" ht="15" x14ac:dyDescent="0.25">
      <c r="A77" s="766">
        <v>128</v>
      </c>
      <c r="B77" s="766">
        <v>84</v>
      </c>
      <c r="C77" s="766" t="s">
        <v>3748</v>
      </c>
      <c r="D77" s="2">
        <v>99705</v>
      </c>
      <c r="E77" s="2">
        <v>99705</v>
      </c>
      <c r="F77" s="767" t="s">
        <v>3676</v>
      </c>
      <c r="G77" s="114">
        <v>215</v>
      </c>
      <c r="H77" s="114">
        <v>87</v>
      </c>
      <c r="I77" s="114">
        <v>80</v>
      </c>
      <c r="J77" s="114">
        <v>7</v>
      </c>
      <c r="K77" s="114">
        <v>2</v>
      </c>
      <c r="L77" s="114">
        <v>55</v>
      </c>
      <c r="M77" s="114">
        <v>57</v>
      </c>
      <c r="N77" s="114">
        <v>4</v>
      </c>
      <c r="O77" s="114">
        <v>0</v>
      </c>
      <c r="P77" s="114">
        <v>0</v>
      </c>
      <c r="Q77" s="114">
        <v>61</v>
      </c>
      <c r="R77" s="114">
        <v>7079.5</v>
      </c>
      <c r="S77" s="114">
        <v>1760.2</v>
      </c>
      <c r="T77" s="114">
        <v>1946.8421052631579</v>
      </c>
      <c r="U77" s="114">
        <v>3928.5</v>
      </c>
      <c r="V77" s="114">
        <v>0</v>
      </c>
      <c r="W77" s="114">
        <v>0</v>
      </c>
      <c r="X77" s="114">
        <v>2076.7868852459014</v>
      </c>
      <c r="Y77" s="114">
        <v>3.0526315789473686</v>
      </c>
      <c r="Z77" s="114">
        <v>83.94736842105263</v>
      </c>
      <c r="AA77" s="114">
        <v>0</v>
      </c>
      <c r="AB77" s="657">
        <v>4</v>
      </c>
      <c r="AC77" s="657">
        <v>0</v>
      </c>
      <c r="AD77" s="768">
        <v>91</v>
      </c>
      <c r="AE77" s="769">
        <v>2.8070175438596494</v>
      </c>
      <c r="AF77" s="769">
        <v>77.192982456140342</v>
      </c>
      <c r="AG77" s="770">
        <v>79.999999999999986</v>
      </c>
      <c r="AH77" s="769">
        <v>0</v>
      </c>
      <c r="AI77" s="769">
        <v>2.8333051901478901</v>
      </c>
      <c r="AJ77" s="769">
        <v>77.915892729066968</v>
      </c>
      <c r="AK77" s="769">
        <v>80.749197919214865</v>
      </c>
      <c r="AL77" s="769">
        <v>0</v>
      </c>
      <c r="AM77" s="769">
        <v>2.6187011440520402</v>
      </c>
      <c r="AN77" s="769">
        <v>72.014281461431096</v>
      </c>
      <c r="AO77" s="769">
        <v>74.632982605483136</v>
      </c>
      <c r="AP77" s="769">
        <v>0</v>
      </c>
      <c r="AQ77" s="769">
        <v>3.760430669339637</v>
      </c>
      <c r="AR77" s="769">
        <v>0</v>
      </c>
      <c r="AS77" s="769">
        <v>74.947505340190048</v>
      </c>
      <c r="AT77" s="769">
        <v>77.794286051524509</v>
      </c>
      <c r="AU77" s="769">
        <v>80.749197919214865</v>
      </c>
      <c r="AV77" s="769">
        <v>83.816348160556913</v>
      </c>
      <c r="AW77" s="769">
        <v>87</v>
      </c>
      <c r="AX77" s="769">
        <v>69.626026157379357</v>
      </c>
      <c r="AY77" s="769">
        <v>72.086045800089536</v>
      </c>
      <c r="AZ77" s="769">
        <v>74.632982605483136</v>
      </c>
      <c r="BA77" s="769">
        <v>77.269907521871986</v>
      </c>
      <c r="BB77" s="769">
        <v>79.999999999999986</v>
      </c>
      <c r="BC77" s="769">
        <v>3.5352097047275381</v>
      </c>
      <c r="BD77" s="769">
        <v>3.6460815948363741</v>
      </c>
      <c r="BE77" s="769">
        <v>3.760430669339637</v>
      </c>
      <c r="BF77" s="769">
        <v>3.8783659803270951</v>
      </c>
      <c r="BG77" s="769">
        <v>4</v>
      </c>
      <c r="BH77" s="771">
        <v>88.869532624154189</v>
      </c>
      <c r="BI77" s="771">
        <v>90.779239411903518</v>
      </c>
      <c r="BJ77" s="771">
        <v>92.729983661058199</v>
      </c>
      <c r="BK77" s="772">
        <v>93.572233461350564</v>
      </c>
      <c r="BL77" s="772">
        <v>94.414483261642914</v>
      </c>
      <c r="BM77" s="772">
        <v>95.256733061935265</v>
      </c>
      <c r="BN77" s="772">
        <v>96.098982862227629</v>
      </c>
      <c r="BO77" s="772">
        <v>97.094888009459581</v>
      </c>
      <c r="BP77" s="772">
        <v>98.090793156691561</v>
      </c>
      <c r="BQ77" s="772">
        <v>100.85172812251179</v>
      </c>
      <c r="BR77" s="772">
        <v>104.1411931561754</v>
      </c>
      <c r="BS77" s="772">
        <v>105.5855324894016</v>
      </c>
      <c r="BT77" s="772">
        <v>106.37870021920253</v>
      </c>
      <c r="BU77" s="772">
        <v>107.2001002416461</v>
      </c>
      <c r="BV77" s="772">
        <v>108.04126286893953</v>
      </c>
      <c r="BW77" s="771">
        <v>81.719110458992347</v>
      </c>
      <c r="BX77" s="771">
        <v>83.475162677612417</v>
      </c>
      <c r="BY77" s="771">
        <v>85.268950492927061</v>
      </c>
      <c r="BZ77" s="772">
        <v>86.043433067908552</v>
      </c>
      <c r="CA77" s="772">
        <v>86.817915642890014</v>
      </c>
      <c r="CB77" s="772">
        <v>87.592398217871491</v>
      </c>
      <c r="CC77" s="772">
        <v>88.366880792852982</v>
      </c>
      <c r="CD77" s="772">
        <v>89.282655640882354</v>
      </c>
      <c r="CE77" s="772">
        <v>90.198430488911768</v>
      </c>
      <c r="CF77" s="772">
        <v>92.737221262079785</v>
      </c>
      <c r="CG77" s="772">
        <v>95.762016695333685</v>
      </c>
      <c r="CH77" s="772">
        <v>97.090144817840525</v>
      </c>
      <c r="CI77" s="772">
        <v>97.819494454439081</v>
      </c>
      <c r="CJ77" s="772">
        <v>98.574804819904429</v>
      </c>
      <c r="CK77" s="772">
        <v>99.348287695576559</v>
      </c>
      <c r="CL77" s="771">
        <v>4.0859555229496181</v>
      </c>
      <c r="CM77" s="771">
        <v>4.1737581338806216</v>
      </c>
      <c r="CN77" s="771">
        <v>4.2634475246463541</v>
      </c>
      <c r="CO77" s="772">
        <v>4.3021716533954288</v>
      </c>
      <c r="CP77" s="772">
        <v>4.3408957821445018</v>
      </c>
      <c r="CQ77" s="772">
        <v>4.3796199108935756</v>
      </c>
      <c r="CR77" s="772">
        <v>4.4183440396426494</v>
      </c>
      <c r="CS77" s="772">
        <v>4.4641327820441195</v>
      </c>
      <c r="CT77" s="772">
        <v>4.5099215244455895</v>
      </c>
      <c r="CU77" s="772">
        <v>4.6368610631039902</v>
      </c>
      <c r="CV77" s="772">
        <v>4.7881008347666851</v>
      </c>
      <c r="CW77" s="772">
        <v>4.854507240892028</v>
      </c>
      <c r="CX77" s="772">
        <v>4.8909747227219551</v>
      </c>
      <c r="CY77" s="772">
        <v>4.9287402409952232</v>
      </c>
      <c r="CZ77" s="772">
        <v>4.967414384778829</v>
      </c>
      <c r="DA77" s="773">
        <v>0</v>
      </c>
      <c r="DB77" s="773">
        <v>0</v>
      </c>
      <c r="DC77" s="773">
        <v>0</v>
      </c>
      <c r="DD77" s="774">
        <v>0</v>
      </c>
      <c r="DE77" s="774">
        <v>0</v>
      </c>
      <c r="DF77" s="774">
        <v>0</v>
      </c>
      <c r="DG77" s="774">
        <v>0</v>
      </c>
      <c r="DH77" s="774">
        <v>0</v>
      </c>
      <c r="DI77" s="774">
        <v>0</v>
      </c>
      <c r="DJ77" s="774">
        <v>0</v>
      </c>
      <c r="DK77" s="774">
        <v>0</v>
      </c>
      <c r="DL77" s="774">
        <v>0</v>
      </c>
      <c r="DM77" s="774">
        <v>0</v>
      </c>
      <c r="DN77" s="774">
        <v>0</v>
      </c>
      <c r="DO77" s="774">
        <v>0</v>
      </c>
      <c r="DP77" s="773">
        <v>0</v>
      </c>
      <c r="DQ77" s="773">
        <v>0</v>
      </c>
      <c r="DR77" s="773">
        <v>0</v>
      </c>
      <c r="DS77" s="774">
        <v>0</v>
      </c>
      <c r="DT77" s="774">
        <v>0</v>
      </c>
      <c r="DU77" s="774">
        <v>0</v>
      </c>
      <c r="DV77" s="774">
        <v>0</v>
      </c>
      <c r="DW77" s="774">
        <v>0</v>
      </c>
      <c r="DX77" s="774">
        <v>0</v>
      </c>
      <c r="DY77" s="774">
        <v>0</v>
      </c>
      <c r="DZ77" s="774">
        <v>0</v>
      </c>
      <c r="EA77" s="774">
        <v>0</v>
      </c>
      <c r="EB77" s="774">
        <v>0</v>
      </c>
      <c r="EC77" s="774">
        <v>0</v>
      </c>
      <c r="ED77" s="774">
        <v>0</v>
      </c>
    </row>
    <row r="78" spans="1:134" ht="15" x14ac:dyDescent="0.25">
      <c r="A78" s="766">
        <v>129</v>
      </c>
      <c r="B78" s="766">
        <v>84</v>
      </c>
      <c r="C78" s="766" t="s">
        <v>3749</v>
      </c>
      <c r="D78" s="2">
        <v>99705</v>
      </c>
      <c r="E78" s="2">
        <v>99705</v>
      </c>
      <c r="F78" s="767" t="s">
        <v>3676</v>
      </c>
      <c r="G78" s="114">
        <v>295</v>
      </c>
      <c r="H78" s="114">
        <v>134</v>
      </c>
      <c r="I78" s="114">
        <v>127</v>
      </c>
      <c r="J78" s="114">
        <v>7</v>
      </c>
      <c r="K78" s="114">
        <v>6</v>
      </c>
      <c r="L78" s="114">
        <v>53</v>
      </c>
      <c r="M78" s="114">
        <v>59</v>
      </c>
      <c r="N78" s="114">
        <v>0</v>
      </c>
      <c r="O78" s="114">
        <v>0</v>
      </c>
      <c r="P78" s="114">
        <v>0</v>
      </c>
      <c r="Q78" s="114">
        <v>59</v>
      </c>
      <c r="R78" s="114">
        <v>54341.333333333336</v>
      </c>
      <c r="S78" s="114">
        <v>1797.2830188679245</v>
      </c>
      <c r="T78" s="114">
        <v>7140.7457627118647</v>
      </c>
      <c r="U78" s="114">
        <v>0</v>
      </c>
      <c r="V78" s="114">
        <v>0</v>
      </c>
      <c r="W78" s="114">
        <v>0</v>
      </c>
      <c r="X78" s="114">
        <v>7140.7457627118647</v>
      </c>
      <c r="Y78" s="114">
        <v>13.627118644067796</v>
      </c>
      <c r="Z78" s="114">
        <v>120.37288135593221</v>
      </c>
      <c r="AA78" s="114">
        <v>0</v>
      </c>
      <c r="AB78" s="657">
        <v>0</v>
      </c>
      <c r="AC78" s="657">
        <v>0</v>
      </c>
      <c r="AD78" s="768">
        <v>134</v>
      </c>
      <c r="AE78" s="769">
        <v>12.915254237288135</v>
      </c>
      <c r="AF78" s="769">
        <v>114.08474576271188</v>
      </c>
      <c r="AG78" s="770">
        <v>127.00000000000001</v>
      </c>
      <c r="AH78" s="769">
        <v>0</v>
      </c>
      <c r="AI78" s="769">
        <v>12.648033338602913</v>
      </c>
      <c r="AJ78" s="769">
        <v>111.72429449099241</v>
      </c>
      <c r="AK78" s="769">
        <v>124.37232782959532</v>
      </c>
      <c r="AL78" s="769">
        <v>0</v>
      </c>
      <c r="AM78" s="769">
        <v>12.048799310461472</v>
      </c>
      <c r="AN78" s="769">
        <v>106.43106057574303</v>
      </c>
      <c r="AO78" s="769">
        <v>118.47985988620451</v>
      </c>
      <c r="AP78" s="769">
        <v>0</v>
      </c>
      <c r="AQ78" s="769">
        <v>0</v>
      </c>
      <c r="AR78" s="769">
        <v>0</v>
      </c>
      <c r="AS78" s="769">
        <v>115.43638753546514</v>
      </c>
      <c r="AT78" s="769">
        <v>119.82108426326762</v>
      </c>
      <c r="AU78" s="769">
        <v>124.37232782959531</v>
      </c>
      <c r="AV78" s="769">
        <v>129.09644429327159</v>
      </c>
      <c r="AW78" s="769">
        <v>134</v>
      </c>
      <c r="AX78" s="769">
        <v>110.53131652483975</v>
      </c>
      <c r="AY78" s="769">
        <v>114.43659770764218</v>
      </c>
      <c r="AZ78" s="769">
        <v>118.47985988620451</v>
      </c>
      <c r="BA78" s="769">
        <v>122.66597819097181</v>
      </c>
      <c r="BB78" s="769">
        <v>127.00000000000001</v>
      </c>
      <c r="BC78" s="769">
        <v>0</v>
      </c>
      <c r="BD78" s="769">
        <v>0</v>
      </c>
      <c r="BE78" s="769">
        <v>0</v>
      </c>
      <c r="BF78" s="769">
        <v>0</v>
      </c>
      <c r="BG78" s="769">
        <v>0</v>
      </c>
      <c r="BH78" s="771">
        <v>136.8795100188122</v>
      </c>
      <c r="BI78" s="771">
        <v>139.82089748500081</v>
      </c>
      <c r="BJ78" s="771">
        <v>142.82549207565287</v>
      </c>
      <c r="BK78" s="772">
        <v>144.12275038874688</v>
      </c>
      <c r="BL78" s="772">
        <v>145.42000870184083</v>
      </c>
      <c r="BM78" s="772">
        <v>146.71726701493478</v>
      </c>
      <c r="BN78" s="772">
        <v>148.01452532802878</v>
      </c>
      <c r="BO78" s="772">
        <v>149.54844819847801</v>
      </c>
      <c r="BP78" s="772">
        <v>151.08237106892724</v>
      </c>
      <c r="BQ78" s="772">
        <v>155.33484561398367</v>
      </c>
      <c r="BR78" s="772">
        <v>160.40137796468397</v>
      </c>
      <c r="BS78" s="772">
        <v>162.62599256988292</v>
      </c>
      <c r="BT78" s="772">
        <v>163.84765321118553</v>
      </c>
      <c r="BU78" s="772">
        <v>165.11279807333997</v>
      </c>
      <c r="BV78" s="772">
        <v>166.40838189009077</v>
      </c>
      <c r="BW78" s="771">
        <v>129.72908785365038</v>
      </c>
      <c r="BX78" s="771">
        <v>132.51682075070974</v>
      </c>
      <c r="BY78" s="771">
        <v>135.36445890752177</v>
      </c>
      <c r="BZ78" s="772">
        <v>136.59394999530488</v>
      </c>
      <c r="CA78" s="772">
        <v>137.82344108308797</v>
      </c>
      <c r="CB78" s="772">
        <v>139.05293217087103</v>
      </c>
      <c r="CC78" s="772">
        <v>140.28242325865415</v>
      </c>
      <c r="CD78" s="772">
        <v>141.7362158299008</v>
      </c>
      <c r="CE78" s="772">
        <v>143.19000840114748</v>
      </c>
      <c r="CF78" s="772">
        <v>147.22033875355172</v>
      </c>
      <c r="CG78" s="772">
        <v>152.0222015038423</v>
      </c>
      <c r="CH78" s="772">
        <v>154.13060489832191</v>
      </c>
      <c r="CI78" s="772">
        <v>155.28844744642211</v>
      </c>
      <c r="CJ78" s="772">
        <v>156.48750265159836</v>
      </c>
      <c r="CK78" s="772">
        <v>157.71540671672784</v>
      </c>
      <c r="CL78" s="771">
        <v>0</v>
      </c>
      <c r="CM78" s="771">
        <v>0</v>
      </c>
      <c r="CN78" s="771">
        <v>0</v>
      </c>
      <c r="CO78" s="772">
        <v>0</v>
      </c>
      <c r="CP78" s="772">
        <v>0</v>
      </c>
      <c r="CQ78" s="772">
        <v>0</v>
      </c>
      <c r="CR78" s="772">
        <v>0</v>
      </c>
      <c r="CS78" s="772">
        <v>0</v>
      </c>
      <c r="CT78" s="772">
        <v>0</v>
      </c>
      <c r="CU78" s="772">
        <v>0</v>
      </c>
      <c r="CV78" s="772">
        <v>0</v>
      </c>
      <c r="CW78" s="772">
        <v>0</v>
      </c>
      <c r="CX78" s="772">
        <v>0</v>
      </c>
      <c r="CY78" s="772">
        <v>0</v>
      </c>
      <c r="CZ78" s="772">
        <v>0</v>
      </c>
      <c r="DA78" s="773">
        <v>0</v>
      </c>
      <c r="DB78" s="773">
        <v>0</v>
      </c>
      <c r="DC78" s="773">
        <v>0</v>
      </c>
      <c r="DD78" s="774">
        <v>0</v>
      </c>
      <c r="DE78" s="774">
        <v>0</v>
      </c>
      <c r="DF78" s="774">
        <v>0</v>
      </c>
      <c r="DG78" s="774">
        <v>0</v>
      </c>
      <c r="DH78" s="774">
        <v>0</v>
      </c>
      <c r="DI78" s="774">
        <v>0</v>
      </c>
      <c r="DJ78" s="774">
        <v>0</v>
      </c>
      <c r="DK78" s="774">
        <v>0</v>
      </c>
      <c r="DL78" s="774">
        <v>0</v>
      </c>
      <c r="DM78" s="774">
        <v>0</v>
      </c>
      <c r="DN78" s="774">
        <v>0</v>
      </c>
      <c r="DO78" s="774">
        <v>0</v>
      </c>
      <c r="DP78" s="773">
        <v>0</v>
      </c>
      <c r="DQ78" s="773">
        <v>0</v>
      </c>
      <c r="DR78" s="773">
        <v>0</v>
      </c>
      <c r="DS78" s="774">
        <v>0</v>
      </c>
      <c r="DT78" s="774">
        <v>0</v>
      </c>
      <c r="DU78" s="774">
        <v>0</v>
      </c>
      <c r="DV78" s="774">
        <v>0</v>
      </c>
      <c r="DW78" s="774">
        <v>0</v>
      </c>
      <c r="DX78" s="774">
        <v>0</v>
      </c>
      <c r="DY78" s="774">
        <v>0</v>
      </c>
      <c r="DZ78" s="774">
        <v>0</v>
      </c>
      <c r="EA78" s="774">
        <v>0</v>
      </c>
      <c r="EB78" s="774">
        <v>0</v>
      </c>
      <c r="EC78" s="774">
        <v>0</v>
      </c>
      <c r="ED78" s="774">
        <v>0</v>
      </c>
    </row>
    <row r="79" spans="1:134" ht="15" x14ac:dyDescent="0.25">
      <c r="A79" s="766">
        <v>122</v>
      </c>
      <c r="B79" s="766">
        <v>85</v>
      </c>
      <c r="C79" s="766" t="s">
        <v>3750</v>
      </c>
      <c r="D79" s="2">
        <v>99705</v>
      </c>
      <c r="E79" s="2">
        <v>99705</v>
      </c>
      <c r="F79" s="767" t="s">
        <v>3746</v>
      </c>
      <c r="G79" s="114">
        <v>3</v>
      </c>
      <c r="H79" s="114">
        <v>1</v>
      </c>
      <c r="I79" s="114">
        <v>1</v>
      </c>
      <c r="J79" s="114">
        <v>0</v>
      </c>
      <c r="K79" s="114">
        <v>0</v>
      </c>
      <c r="L79" s="114">
        <v>0</v>
      </c>
      <c r="M79" s="114">
        <v>0</v>
      </c>
      <c r="N79" s="114">
        <v>1</v>
      </c>
      <c r="O79" s="114">
        <v>0</v>
      </c>
      <c r="P79" s="114">
        <v>0</v>
      </c>
      <c r="Q79" s="114">
        <v>1</v>
      </c>
      <c r="R79" s="114">
        <v>0</v>
      </c>
      <c r="S79" s="114">
        <v>0</v>
      </c>
      <c r="T79" s="114">
        <v>0</v>
      </c>
      <c r="U79" s="114">
        <v>10931</v>
      </c>
      <c r="V79" s="114">
        <v>0</v>
      </c>
      <c r="W79" s="114">
        <v>0</v>
      </c>
      <c r="X79" s="114">
        <v>10931</v>
      </c>
      <c r="Y79" s="114">
        <v>2.2912335412335411E-2</v>
      </c>
      <c r="Z79" s="114">
        <v>0.97578828828828834</v>
      </c>
      <c r="AA79" s="114">
        <v>1.2993762993762994E-3</v>
      </c>
      <c r="AB79" s="657">
        <v>1</v>
      </c>
      <c r="AC79" s="657">
        <v>0</v>
      </c>
      <c r="AD79" s="768">
        <v>2</v>
      </c>
      <c r="AE79" s="769">
        <v>2.2912335412335411E-2</v>
      </c>
      <c r="AF79" s="769">
        <v>0.97578828828828834</v>
      </c>
      <c r="AG79" s="770">
        <v>0.99870062370062374</v>
      </c>
      <c r="AH79" s="769">
        <v>1.2993762993762994E-3</v>
      </c>
      <c r="AI79" s="769">
        <v>2.1266123068989742E-2</v>
      </c>
      <c r="AJ79" s="769">
        <v>0.90567955883037798</v>
      </c>
      <c r="AK79" s="769">
        <v>0.92694568189936777</v>
      </c>
      <c r="AL79" s="769">
        <v>1.2060183214928021E-3</v>
      </c>
      <c r="AM79" s="769">
        <v>2.1375199128497804E-2</v>
      </c>
      <c r="AN79" s="769">
        <v>0.91032487933067496</v>
      </c>
      <c r="AO79" s="769">
        <v>0.9317000784591728</v>
      </c>
      <c r="AP79" s="769">
        <v>1.2122041093666051E-3</v>
      </c>
      <c r="AQ79" s="769">
        <v>0.94010766733490925</v>
      </c>
      <c r="AR79" s="769">
        <v>0</v>
      </c>
      <c r="AS79" s="769">
        <v>0.86034621066728312</v>
      </c>
      <c r="AT79" s="769">
        <v>0.89302531034485355</v>
      </c>
      <c r="AU79" s="769">
        <v>0.92694568189936777</v>
      </c>
      <c r="AV79" s="769">
        <v>0.96215447338226234</v>
      </c>
      <c r="AW79" s="769">
        <v>0.99870062370062374</v>
      </c>
      <c r="AX79" s="769">
        <v>0.86919444686463387</v>
      </c>
      <c r="AY79" s="769">
        <v>0.8999047362582645</v>
      </c>
      <c r="AZ79" s="769">
        <v>0.93170007845917269</v>
      </c>
      <c r="BA79" s="769">
        <v>0.96461881044228859</v>
      </c>
      <c r="BB79" s="769">
        <v>0.99870062370062374</v>
      </c>
      <c r="BC79" s="769">
        <v>0.88380242618188454</v>
      </c>
      <c r="BD79" s="769">
        <v>0.91152039870909352</v>
      </c>
      <c r="BE79" s="769">
        <v>0.94010766733490925</v>
      </c>
      <c r="BF79" s="769">
        <v>0.96959149508177378</v>
      </c>
      <c r="BG79" s="769">
        <v>1</v>
      </c>
      <c r="BH79" s="771">
        <v>1.0214468128158165</v>
      </c>
      <c r="BI79" s="771">
        <v>1.0447110642081177</v>
      </c>
      <c r="BJ79" s="771">
        <v>1.0685051771517533</v>
      </c>
      <c r="BK79" s="772">
        <v>1.0685051771517533</v>
      </c>
      <c r="BL79" s="772">
        <v>1.0685051771517533</v>
      </c>
      <c r="BM79" s="772">
        <v>1.0685051771517533</v>
      </c>
      <c r="BN79" s="772">
        <v>1.0685051771517533</v>
      </c>
      <c r="BO79" s="772">
        <v>1.0685051771517533</v>
      </c>
      <c r="BP79" s="772">
        <v>1.0685051771517533</v>
      </c>
      <c r="BQ79" s="772">
        <v>1.0685051771517533</v>
      </c>
      <c r="BR79" s="772">
        <v>1.0685051771517533</v>
      </c>
      <c r="BS79" s="772">
        <v>1.0685051771517533</v>
      </c>
      <c r="BT79" s="772">
        <v>1.0685051771517533</v>
      </c>
      <c r="BU79" s="772">
        <v>1.0685051771517533</v>
      </c>
      <c r="BV79" s="772">
        <v>1.0685051771517533</v>
      </c>
      <c r="BW79" s="771">
        <v>1.0214468128158165</v>
      </c>
      <c r="BX79" s="771">
        <v>1.0447110642081177</v>
      </c>
      <c r="BY79" s="771">
        <v>1.0685051771517533</v>
      </c>
      <c r="BZ79" s="772">
        <v>1.0685051771517533</v>
      </c>
      <c r="CA79" s="772">
        <v>1.0685051771517533</v>
      </c>
      <c r="CB79" s="772">
        <v>1.0685051771517533</v>
      </c>
      <c r="CC79" s="772">
        <v>1.0685051771517533</v>
      </c>
      <c r="CD79" s="772">
        <v>1.0685051771517533</v>
      </c>
      <c r="CE79" s="772">
        <v>1.0685051771517533</v>
      </c>
      <c r="CF79" s="772">
        <v>1.0685051771517533</v>
      </c>
      <c r="CG79" s="772">
        <v>1.0685051771517533</v>
      </c>
      <c r="CH79" s="772">
        <v>1.0685051771517533</v>
      </c>
      <c r="CI79" s="772">
        <v>1.0685051771517533</v>
      </c>
      <c r="CJ79" s="772">
        <v>1.0685051771517533</v>
      </c>
      <c r="CK79" s="772">
        <v>1.0685051771517533</v>
      </c>
      <c r="CL79" s="771">
        <v>1.0227757834283793</v>
      </c>
      <c r="CM79" s="771">
        <v>1.0460703031675349</v>
      </c>
      <c r="CN79" s="771">
        <v>1.0698953738433377</v>
      </c>
      <c r="CO79" s="772">
        <v>1.0698953738433377</v>
      </c>
      <c r="CP79" s="772">
        <v>1.0698953738433377</v>
      </c>
      <c r="CQ79" s="772">
        <v>1.0698953738433377</v>
      </c>
      <c r="CR79" s="772">
        <v>1.0698953738433377</v>
      </c>
      <c r="CS79" s="772">
        <v>1.0698953738433377</v>
      </c>
      <c r="CT79" s="772">
        <v>1.0698953738433377</v>
      </c>
      <c r="CU79" s="772">
        <v>1.0698953738433377</v>
      </c>
      <c r="CV79" s="772">
        <v>1.0698953738433377</v>
      </c>
      <c r="CW79" s="772">
        <v>1.0698953738433377</v>
      </c>
      <c r="CX79" s="772">
        <v>1.0698953738433377</v>
      </c>
      <c r="CY79" s="772">
        <v>1.0698953738433377</v>
      </c>
      <c r="CZ79" s="772">
        <v>1.0698953738433377</v>
      </c>
      <c r="DA79" s="773">
        <v>1.3289706125628629E-3</v>
      </c>
      <c r="DB79" s="773">
        <v>1.3592389594172753E-3</v>
      </c>
      <c r="DC79" s="773">
        <v>1.3901966915843785E-3</v>
      </c>
      <c r="DD79" s="774">
        <v>1.3901966915843785E-3</v>
      </c>
      <c r="DE79" s="774">
        <v>1.3901966915843785E-3</v>
      </c>
      <c r="DF79" s="774">
        <v>1.3901966915843785E-3</v>
      </c>
      <c r="DG79" s="774">
        <v>1.3901966915843785E-3</v>
      </c>
      <c r="DH79" s="774">
        <v>1.3901966915843785E-3</v>
      </c>
      <c r="DI79" s="774">
        <v>1.3901966915843785E-3</v>
      </c>
      <c r="DJ79" s="774">
        <v>1.3901966915843785E-3</v>
      </c>
      <c r="DK79" s="774">
        <v>1.3901966915843785E-3</v>
      </c>
      <c r="DL79" s="774">
        <v>1.3901966915843785E-3</v>
      </c>
      <c r="DM79" s="774">
        <v>1.3901966915843785E-3</v>
      </c>
      <c r="DN79" s="774">
        <v>1.3901966915843785E-3</v>
      </c>
      <c r="DO79" s="774">
        <v>1.3901966915843785E-3</v>
      </c>
      <c r="DP79" s="773">
        <v>0</v>
      </c>
      <c r="DQ79" s="773">
        <v>0</v>
      </c>
      <c r="DR79" s="773">
        <v>0</v>
      </c>
      <c r="DS79" s="774">
        <v>0</v>
      </c>
      <c r="DT79" s="774">
        <v>0</v>
      </c>
      <c r="DU79" s="774">
        <v>0</v>
      </c>
      <c r="DV79" s="774">
        <v>0</v>
      </c>
      <c r="DW79" s="774">
        <v>0</v>
      </c>
      <c r="DX79" s="774">
        <v>0</v>
      </c>
      <c r="DY79" s="774">
        <v>0</v>
      </c>
      <c r="DZ79" s="774">
        <v>0</v>
      </c>
      <c r="EA79" s="774">
        <v>0</v>
      </c>
      <c r="EB79" s="774">
        <v>0</v>
      </c>
      <c r="EC79" s="774">
        <v>0</v>
      </c>
      <c r="ED79" s="774">
        <v>0</v>
      </c>
    </row>
    <row r="80" spans="1:134" ht="15" x14ac:dyDescent="0.25">
      <c r="A80" s="766">
        <v>123</v>
      </c>
      <c r="B80" s="766">
        <v>85</v>
      </c>
      <c r="C80" s="766" t="s">
        <v>3751</v>
      </c>
      <c r="D80" s="2">
        <v>99705</v>
      </c>
      <c r="E80" s="2">
        <v>99705</v>
      </c>
      <c r="F80" s="767" t="s">
        <v>3746</v>
      </c>
      <c r="G80" s="114">
        <v>154</v>
      </c>
      <c r="H80" s="114">
        <v>59</v>
      </c>
      <c r="I80" s="114">
        <v>55</v>
      </c>
      <c r="J80" s="114">
        <v>4</v>
      </c>
      <c r="K80" s="114">
        <v>0</v>
      </c>
      <c r="L80" s="114">
        <v>52</v>
      </c>
      <c r="M80" s="114">
        <v>52</v>
      </c>
      <c r="N80" s="114">
        <v>2</v>
      </c>
      <c r="O80" s="114">
        <v>0</v>
      </c>
      <c r="P80" s="114">
        <v>0</v>
      </c>
      <c r="Q80" s="114">
        <v>54</v>
      </c>
      <c r="R80" s="114">
        <v>0</v>
      </c>
      <c r="S80" s="114">
        <v>2155.5961538461538</v>
      </c>
      <c r="T80" s="114">
        <v>2155.5961538461538</v>
      </c>
      <c r="U80" s="114">
        <v>4976</v>
      </c>
      <c r="V80" s="114">
        <v>0</v>
      </c>
      <c r="W80" s="114">
        <v>0</v>
      </c>
      <c r="X80" s="114">
        <v>2260.0555555555557</v>
      </c>
      <c r="Y80" s="114">
        <v>0</v>
      </c>
      <c r="Z80" s="114">
        <v>59</v>
      </c>
      <c r="AA80" s="114">
        <v>0</v>
      </c>
      <c r="AB80" s="657">
        <v>2</v>
      </c>
      <c r="AC80" s="657">
        <v>0</v>
      </c>
      <c r="AD80" s="768">
        <v>61</v>
      </c>
      <c r="AE80" s="769">
        <v>0</v>
      </c>
      <c r="AF80" s="769">
        <v>55</v>
      </c>
      <c r="AG80" s="770">
        <v>55</v>
      </c>
      <c r="AH80" s="769">
        <v>0</v>
      </c>
      <c r="AI80" s="769">
        <v>0</v>
      </c>
      <c r="AJ80" s="769">
        <v>54.760950313030769</v>
      </c>
      <c r="AK80" s="769">
        <v>54.760950313030769</v>
      </c>
      <c r="AL80" s="769">
        <v>0</v>
      </c>
      <c r="AM80" s="769">
        <v>0</v>
      </c>
      <c r="AN80" s="769">
        <v>51.310175541269658</v>
      </c>
      <c r="AO80" s="769">
        <v>51.310175541269658</v>
      </c>
      <c r="AP80" s="769">
        <v>0</v>
      </c>
      <c r="AQ80" s="769">
        <v>1.8802153346698185</v>
      </c>
      <c r="AR80" s="769">
        <v>0</v>
      </c>
      <c r="AS80" s="769">
        <v>50.826469138749573</v>
      </c>
      <c r="AT80" s="769">
        <v>52.757044563677539</v>
      </c>
      <c r="AU80" s="769">
        <v>54.760950313030769</v>
      </c>
      <c r="AV80" s="769">
        <v>56.840971741067335</v>
      </c>
      <c r="AW80" s="769">
        <v>59</v>
      </c>
      <c r="AX80" s="769">
        <v>47.86789298319831</v>
      </c>
      <c r="AY80" s="769">
        <v>49.559156487561566</v>
      </c>
      <c r="AZ80" s="769">
        <v>51.310175541269658</v>
      </c>
      <c r="BA80" s="769">
        <v>53.123061421286998</v>
      </c>
      <c r="BB80" s="769">
        <v>55</v>
      </c>
      <c r="BC80" s="769">
        <v>1.7676048523637691</v>
      </c>
      <c r="BD80" s="769">
        <v>1.823040797418187</v>
      </c>
      <c r="BE80" s="769">
        <v>1.8802153346698185</v>
      </c>
      <c r="BF80" s="769">
        <v>1.9391829901635476</v>
      </c>
      <c r="BG80" s="769">
        <v>2</v>
      </c>
      <c r="BH80" s="771">
        <v>59.245155296935756</v>
      </c>
      <c r="BI80" s="771">
        <v>59.491329256915847</v>
      </c>
      <c r="BJ80" s="771">
        <v>59.73852611266301</v>
      </c>
      <c r="BK80" s="772">
        <v>59.937429141735365</v>
      </c>
      <c r="BL80" s="772">
        <v>60.136332170807727</v>
      </c>
      <c r="BM80" s="772">
        <v>60.335235199880067</v>
      </c>
      <c r="BN80" s="772">
        <v>60.534138228952429</v>
      </c>
      <c r="BO80" s="772">
        <v>60.769328015147011</v>
      </c>
      <c r="BP80" s="772">
        <v>61.004517801341578</v>
      </c>
      <c r="BQ80" s="772">
        <v>61.6565314053612</v>
      </c>
      <c r="BR80" s="772">
        <v>62.433360986081986</v>
      </c>
      <c r="BS80" s="772">
        <v>62.774451560739671</v>
      </c>
      <c r="BT80" s="772">
        <v>62.961763524441032</v>
      </c>
      <c r="BU80" s="772">
        <v>63.155742736412833</v>
      </c>
      <c r="BV80" s="772">
        <v>63.354389022173962</v>
      </c>
      <c r="BW80" s="771">
        <v>55.228534598838422</v>
      </c>
      <c r="BX80" s="771">
        <v>55.458018798819857</v>
      </c>
      <c r="BY80" s="771">
        <v>55.688456545702806</v>
      </c>
      <c r="BZ80" s="772">
        <v>55.873874623651616</v>
      </c>
      <c r="CA80" s="772">
        <v>56.05929270160042</v>
      </c>
      <c r="CB80" s="772">
        <v>56.244710779549216</v>
      </c>
      <c r="CC80" s="772">
        <v>56.430128857498026</v>
      </c>
      <c r="CD80" s="772">
        <v>56.649373573442126</v>
      </c>
      <c r="CE80" s="772">
        <v>56.86861828938622</v>
      </c>
      <c r="CF80" s="772">
        <v>57.476427581268915</v>
      </c>
      <c r="CG80" s="772">
        <v>58.200590749737444</v>
      </c>
      <c r="CH80" s="772">
        <v>58.518556539672574</v>
      </c>
      <c r="CI80" s="772">
        <v>58.693169387190792</v>
      </c>
      <c r="CJ80" s="772">
        <v>58.873997466147557</v>
      </c>
      <c r="CK80" s="772">
        <v>59.059176207111321</v>
      </c>
      <c r="CL80" s="771">
        <v>2.0083103490486698</v>
      </c>
      <c r="CM80" s="771">
        <v>2.0166552290479949</v>
      </c>
      <c r="CN80" s="771">
        <v>2.0250347834801019</v>
      </c>
      <c r="CO80" s="772">
        <v>2.0317772590418768</v>
      </c>
      <c r="CP80" s="772">
        <v>2.0385197346036517</v>
      </c>
      <c r="CQ80" s="772">
        <v>2.0452622101654261</v>
      </c>
      <c r="CR80" s="772">
        <v>2.052004685727201</v>
      </c>
      <c r="CS80" s="772">
        <v>2.0599772208524407</v>
      </c>
      <c r="CT80" s="772">
        <v>2.0679497559776805</v>
      </c>
      <c r="CU80" s="772">
        <v>2.090051912046142</v>
      </c>
      <c r="CV80" s="772">
        <v>2.1163851181722708</v>
      </c>
      <c r="CW80" s="772">
        <v>2.1279475105335481</v>
      </c>
      <c r="CX80" s="772">
        <v>2.1342970686251195</v>
      </c>
      <c r="CY80" s="772">
        <v>2.1408726351326384</v>
      </c>
      <c r="CZ80" s="772">
        <v>2.1476064075313208</v>
      </c>
      <c r="DA80" s="773">
        <v>0</v>
      </c>
      <c r="DB80" s="773">
        <v>0</v>
      </c>
      <c r="DC80" s="773">
        <v>0</v>
      </c>
      <c r="DD80" s="774">
        <v>0</v>
      </c>
      <c r="DE80" s="774">
        <v>0</v>
      </c>
      <c r="DF80" s="774">
        <v>0</v>
      </c>
      <c r="DG80" s="774">
        <v>0</v>
      </c>
      <c r="DH80" s="774">
        <v>0</v>
      </c>
      <c r="DI80" s="774">
        <v>0</v>
      </c>
      <c r="DJ80" s="774">
        <v>0</v>
      </c>
      <c r="DK80" s="774">
        <v>0</v>
      </c>
      <c r="DL80" s="774">
        <v>0</v>
      </c>
      <c r="DM80" s="774">
        <v>0</v>
      </c>
      <c r="DN80" s="774">
        <v>0</v>
      </c>
      <c r="DO80" s="774">
        <v>0</v>
      </c>
      <c r="DP80" s="773">
        <v>0</v>
      </c>
      <c r="DQ80" s="773">
        <v>0</v>
      </c>
      <c r="DR80" s="773">
        <v>0</v>
      </c>
      <c r="DS80" s="774">
        <v>0</v>
      </c>
      <c r="DT80" s="774">
        <v>0</v>
      </c>
      <c r="DU80" s="774">
        <v>0</v>
      </c>
      <c r="DV80" s="774">
        <v>0</v>
      </c>
      <c r="DW80" s="774">
        <v>0</v>
      </c>
      <c r="DX80" s="774">
        <v>0</v>
      </c>
      <c r="DY80" s="774">
        <v>0</v>
      </c>
      <c r="DZ80" s="774">
        <v>0</v>
      </c>
      <c r="EA80" s="774">
        <v>0</v>
      </c>
      <c r="EB80" s="774">
        <v>0</v>
      </c>
      <c r="EC80" s="774">
        <v>0</v>
      </c>
      <c r="ED80" s="774">
        <v>0</v>
      </c>
    </row>
    <row r="81" spans="1:134" ht="15" x14ac:dyDescent="0.25">
      <c r="A81" s="766">
        <v>124</v>
      </c>
      <c r="B81" s="766">
        <v>85</v>
      </c>
      <c r="C81" s="766" t="s">
        <v>3752</v>
      </c>
      <c r="D81" s="2">
        <v>99705</v>
      </c>
      <c r="E81" s="2">
        <v>99705</v>
      </c>
      <c r="F81" s="767" t="s">
        <v>3746</v>
      </c>
      <c r="G81" s="114">
        <v>645</v>
      </c>
      <c r="H81" s="114">
        <v>232</v>
      </c>
      <c r="I81" s="114">
        <v>218</v>
      </c>
      <c r="J81" s="114">
        <v>14</v>
      </c>
      <c r="K81" s="114">
        <v>0</v>
      </c>
      <c r="L81" s="114">
        <v>204</v>
      </c>
      <c r="M81" s="114">
        <v>204</v>
      </c>
      <c r="N81" s="114">
        <v>1</v>
      </c>
      <c r="O81" s="114">
        <v>0</v>
      </c>
      <c r="P81" s="114">
        <v>0</v>
      </c>
      <c r="Q81" s="114">
        <v>205</v>
      </c>
      <c r="R81" s="114">
        <v>0</v>
      </c>
      <c r="S81" s="114">
        <v>2188.6568627450979</v>
      </c>
      <c r="T81" s="114">
        <v>2188.6568627450979</v>
      </c>
      <c r="U81" s="114">
        <v>3060</v>
      </c>
      <c r="V81" s="114">
        <v>0</v>
      </c>
      <c r="W81" s="114">
        <v>0</v>
      </c>
      <c r="X81" s="114">
        <v>2192.9073170731708</v>
      </c>
      <c r="Y81" s="114">
        <v>0</v>
      </c>
      <c r="Z81" s="114">
        <v>232</v>
      </c>
      <c r="AA81" s="114">
        <v>0</v>
      </c>
      <c r="AB81" s="657">
        <v>1</v>
      </c>
      <c r="AC81" s="657">
        <v>0</v>
      </c>
      <c r="AD81" s="768">
        <v>233</v>
      </c>
      <c r="AE81" s="769">
        <v>0</v>
      </c>
      <c r="AF81" s="769">
        <v>218</v>
      </c>
      <c r="AG81" s="770">
        <v>218</v>
      </c>
      <c r="AH81" s="769">
        <v>0</v>
      </c>
      <c r="AI81" s="769">
        <v>0</v>
      </c>
      <c r="AJ81" s="769">
        <v>215.33119445123964</v>
      </c>
      <c r="AK81" s="769">
        <v>215.33119445123964</v>
      </c>
      <c r="AL81" s="769">
        <v>0</v>
      </c>
      <c r="AM81" s="769">
        <v>0</v>
      </c>
      <c r="AN81" s="769">
        <v>203.37487759994156</v>
      </c>
      <c r="AO81" s="769">
        <v>203.37487759994156</v>
      </c>
      <c r="AP81" s="769">
        <v>0</v>
      </c>
      <c r="AQ81" s="769">
        <v>0.94010766733490925</v>
      </c>
      <c r="AR81" s="769">
        <v>0</v>
      </c>
      <c r="AS81" s="769">
        <v>199.86001424050681</v>
      </c>
      <c r="AT81" s="769">
        <v>207.45142947073202</v>
      </c>
      <c r="AU81" s="769">
        <v>215.33119445123964</v>
      </c>
      <c r="AV81" s="769">
        <v>223.51026176148511</v>
      </c>
      <c r="AW81" s="769">
        <v>232</v>
      </c>
      <c r="AX81" s="769">
        <v>189.73092127885877</v>
      </c>
      <c r="AY81" s="769">
        <v>196.43447480524401</v>
      </c>
      <c r="AZ81" s="769">
        <v>203.37487759994156</v>
      </c>
      <c r="BA81" s="769">
        <v>210.56049799710121</v>
      </c>
      <c r="BB81" s="769">
        <v>218</v>
      </c>
      <c r="BC81" s="769">
        <v>0.88380242618188454</v>
      </c>
      <c r="BD81" s="769">
        <v>0.91152039870909352</v>
      </c>
      <c r="BE81" s="769">
        <v>0.94010766733490925</v>
      </c>
      <c r="BF81" s="769">
        <v>0.96959149508177378</v>
      </c>
      <c r="BG81" s="769">
        <v>1</v>
      </c>
      <c r="BH81" s="771">
        <v>236.86409476015379</v>
      </c>
      <c r="BI81" s="771">
        <v>241.83016976959962</v>
      </c>
      <c r="BJ81" s="771">
        <v>246.90036313866608</v>
      </c>
      <c r="BK81" s="772">
        <v>251.53728730088551</v>
      </c>
      <c r="BL81" s="772">
        <v>256.17421146310488</v>
      </c>
      <c r="BM81" s="772">
        <v>260.81113562532425</v>
      </c>
      <c r="BN81" s="772">
        <v>265.44805978754374</v>
      </c>
      <c r="BO81" s="772">
        <v>270.93091848204926</v>
      </c>
      <c r="BP81" s="772">
        <v>276.41377717655485</v>
      </c>
      <c r="BQ81" s="772">
        <v>291.6138354596016</v>
      </c>
      <c r="BR81" s="772">
        <v>309.72366450328451</v>
      </c>
      <c r="BS81" s="772">
        <v>317.67533388967752</v>
      </c>
      <c r="BT81" s="772">
        <v>322.04204149795487</v>
      </c>
      <c r="BU81" s="772">
        <v>326.56417924093097</v>
      </c>
      <c r="BV81" s="772">
        <v>331.19511807819629</v>
      </c>
      <c r="BW81" s="771">
        <v>222.57057180048935</v>
      </c>
      <c r="BX81" s="771">
        <v>227.23696986971001</v>
      </c>
      <c r="BY81" s="771">
        <v>232.0012032940914</v>
      </c>
      <c r="BZ81" s="772">
        <v>236.35831306721138</v>
      </c>
      <c r="CA81" s="772">
        <v>240.71542284033131</v>
      </c>
      <c r="CB81" s="772">
        <v>245.07253261345124</v>
      </c>
      <c r="CC81" s="772">
        <v>249.42964238657126</v>
      </c>
      <c r="CD81" s="772">
        <v>254.58163891847732</v>
      </c>
      <c r="CE81" s="772">
        <v>259.73363545038342</v>
      </c>
      <c r="CF81" s="772">
        <v>274.01644883703943</v>
      </c>
      <c r="CG81" s="772">
        <v>291.03344336946566</v>
      </c>
      <c r="CH81" s="772">
        <v>298.5052706377142</v>
      </c>
      <c r="CI81" s="772">
        <v>302.60847002825068</v>
      </c>
      <c r="CJ81" s="772">
        <v>306.85772014880581</v>
      </c>
      <c r="CK81" s="772">
        <v>311.20920578037408</v>
      </c>
      <c r="CL81" s="771">
        <v>1.0209659256903181</v>
      </c>
      <c r="CM81" s="771">
        <v>1.0423714214206881</v>
      </c>
      <c r="CN81" s="771">
        <v>1.0642257031839055</v>
      </c>
      <c r="CO81" s="772">
        <v>1.0842124452624375</v>
      </c>
      <c r="CP81" s="772">
        <v>1.1041991873409693</v>
      </c>
      <c r="CQ81" s="772">
        <v>1.1241859294195011</v>
      </c>
      <c r="CR81" s="772">
        <v>1.1441726714980334</v>
      </c>
      <c r="CS81" s="772">
        <v>1.1678056831122814</v>
      </c>
      <c r="CT81" s="772">
        <v>1.1914386947265294</v>
      </c>
      <c r="CU81" s="772">
        <v>1.256956187325869</v>
      </c>
      <c r="CV81" s="772">
        <v>1.3350157952727781</v>
      </c>
      <c r="CW81" s="772">
        <v>1.3692902322830929</v>
      </c>
      <c r="CX81" s="772">
        <v>1.3881122478360122</v>
      </c>
      <c r="CY81" s="772">
        <v>1.4076042208660817</v>
      </c>
      <c r="CZ81" s="772">
        <v>1.4275651641301563</v>
      </c>
      <c r="DA81" s="773">
        <v>0</v>
      </c>
      <c r="DB81" s="773">
        <v>0</v>
      </c>
      <c r="DC81" s="773">
        <v>0</v>
      </c>
      <c r="DD81" s="774">
        <v>0</v>
      </c>
      <c r="DE81" s="774">
        <v>0</v>
      </c>
      <c r="DF81" s="774">
        <v>0</v>
      </c>
      <c r="DG81" s="774">
        <v>0</v>
      </c>
      <c r="DH81" s="774">
        <v>0</v>
      </c>
      <c r="DI81" s="774">
        <v>0</v>
      </c>
      <c r="DJ81" s="774">
        <v>0</v>
      </c>
      <c r="DK81" s="774">
        <v>0</v>
      </c>
      <c r="DL81" s="774">
        <v>0</v>
      </c>
      <c r="DM81" s="774">
        <v>0</v>
      </c>
      <c r="DN81" s="774">
        <v>0</v>
      </c>
      <c r="DO81" s="774">
        <v>0</v>
      </c>
      <c r="DP81" s="773">
        <v>0</v>
      </c>
      <c r="DQ81" s="773">
        <v>0</v>
      </c>
      <c r="DR81" s="773">
        <v>0</v>
      </c>
      <c r="DS81" s="774">
        <v>0</v>
      </c>
      <c r="DT81" s="774">
        <v>0</v>
      </c>
      <c r="DU81" s="774">
        <v>0</v>
      </c>
      <c r="DV81" s="774">
        <v>0</v>
      </c>
      <c r="DW81" s="774">
        <v>0</v>
      </c>
      <c r="DX81" s="774">
        <v>0</v>
      </c>
      <c r="DY81" s="774">
        <v>0</v>
      </c>
      <c r="DZ81" s="774">
        <v>0</v>
      </c>
      <c r="EA81" s="774">
        <v>0</v>
      </c>
      <c r="EB81" s="774">
        <v>0</v>
      </c>
      <c r="EC81" s="774">
        <v>0</v>
      </c>
      <c r="ED81" s="774">
        <v>0</v>
      </c>
    </row>
    <row r="82" spans="1:134" ht="15" x14ac:dyDescent="0.25">
      <c r="A82" s="766">
        <v>125</v>
      </c>
      <c r="B82" s="766">
        <v>85</v>
      </c>
      <c r="C82" s="766" t="s">
        <v>3753</v>
      </c>
      <c r="D82" s="2">
        <v>99705</v>
      </c>
      <c r="E82" s="2">
        <v>99705</v>
      </c>
      <c r="F82" s="767" t="s">
        <v>3746</v>
      </c>
      <c r="G82" s="114">
        <v>570</v>
      </c>
      <c r="H82" s="114">
        <v>190</v>
      </c>
      <c r="I82" s="114">
        <v>183</v>
      </c>
      <c r="J82" s="114">
        <v>7</v>
      </c>
      <c r="K82" s="114">
        <v>3</v>
      </c>
      <c r="L82" s="114">
        <v>138</v>
      </c>
      <c r="M82" s="114">
        <v>141</v>
      </c>
      <c r="N82" s="114">
        <v>4</v>
      </c>
      <c r="O82" s="114">
        <v>0</v>
      </c>
      <c r="P82" s="114">
        <v>0</v>
      </c>
      <c r="Q82" s="114">
        <v>145</v>
      </c>
      <c r="R82" s="114">
        <v>3403</v>
      </c>
      <c r="S82" s="114">
        <v>2294.1884057971015</v>
      </c>
      <c r="T82" s="114">
        <v>2317.7801418439717</v>
      </c>
      <c r="U82" s="114">
        <v>7495</v>
      </c>
      <c r="V82" s="114">
        <v>0</v>
      </c>
      <c r="W82" s="114">
        <v>0</v>
      </c>
      <c r="X82" s="114">
        <v>2460.6</v>
      </c>
      <c r="Y82" s="114">
        <v>4.042553191489362</v>
      </c>
      <c r="Z82" s="114">
        <v>185.95744680851064</v>
      </c>
      <c r="AA82" s="114">
        <v>0</v>
      </c>
      <c r="AB82" s="657">
        <v>4</v>
      </c>
      <c r="AC82" s="657">
        <v>0</v>
      </c>
      <c r="AD82" s="768">
        <v>194</v>
      </c>
      <c r="AE82" s="769">
        <v>3.8936170212765959</v>
      </c>
      <c r="AF82" s="769">
        <v>179.10638297872342</v>
      </c>
      <c r="AG82" s="770">
        <v>183</v>
      </c>
      <c r="AH82" s="769">
        <v>0</v>
      </c>
      <c r="AI82" s="769">
        <v>3.752102617914117</v>
      </c>
      <c r="AJ82" s="769">
        <v>172.59672042404938</v>
      </c>
      <c r="AK82" s="769">
        <v>176.3488230419635</v>
      </c>
      <c r="AL82" s="769">
        <v>0</v>
      </c>
      <c r="AM82" s="769">
        <v>3.6324031427668659</v>
      </c>
      <c r="AN82" s="769">
        <v>167.09054456727583</v>
      </c>
      <c r="AO82" s="769">
        <v>170.72294771004269</v>
      </c>
      <c r="AP82" s="769">
        <v>0</v>
      </c>
      <c r="AQ82" s="769">
        <v>3.760430669339637</v>
      </c>
      <c r="AR82" s="769">
        <v>0</v>
      </c>
      <c r="AS82" s="769">
        <v>163.67845993834609</v>
      </c>
      <c r="AT82" s="769">
        <v>169.89556723896155</v>
      </c>
      <c r="AU82" s="769">
        <v>176.3488230419635</v>
      </c>
      <c r="AV82" s="769">
        <v>183.04719713225074</v>
      </c>
      <c r="AW82" s="769">
        <v>190</v>
      </c>
      <c r="AX82" s="769">
        <v>159.26953483500529</v>
      </c>
      <c r="AY82" s="769">
        <v>164.89682976770484</v>
      </c>
      <c r="AZ82" s="769">
        <v>170.72294771004269</v>
      </c>
      <c r="BA82" s="769">
        <v>176.7549134562822</v>
      </c>
      <c r="BB82" s="769">
        <v>183</v>
      </c>
      <c r="BC82" s="769">
        <v>3.5352097047275381</v>
      </c>
      <c r="BD82" s="769">
        <v>3.6460815948363741</v>
      </c>
      <c r="BE82" s="769">
        <v>3.760430669339637</v>
      </c>
      <c r="BF82" s="769">
        <v>3.8783659803270951</v>
      </c>
      <c r="BG82" s="769">
        <v>4</v>
      </c>
      <c r="BH82" s="771">
        <v>191.7639582947387</v>
      </c>
      <c r="BI82" s="771">
        <v>193.5442931624541</v>
      </c>
      <c r="BJ82" s="771">
        <v>195.34115664310278</v>
      </c>
      <c r="BK82" s="772">
        <v>199.00266586367135</v>
      </c>
      <c r="BL82" s="772">
        <v>202.66417508423996</v>
      </c>
      <c r="BM82" s="772">
        <v>206.3256843048085</v>
      </c>
      <c r="BN82" s="772">
        <v>209.98719352537708</v>
      </c>
      <c r="BO82" s="772">
        <v>214.3166880270507</v>
      </c>
      <c r="BP82" s="772">
        <v>218.64618252872438</v>
      </c>
      <c r="BQ82" s="772">
        <v>230.64878416927323</v>
      </c>
      <c r="BR82" s="772">
        <v>244.94906248019285</v>
      </c>
      <c r="BS82" s="772">
        <v>251.22803314234307</v>
      </c>
      <c r="BT82" s="772">
        <v>254.67616807228359</v>
      </c>
      <c r="BU82" s="772">
        <v>258.24703713619834</v>
      </c>
      <c r="BV82" s="772">
        <v>261.90382009389509</v>
      </c>
      <c r="BW82" s="771">
        <v>184.69897035756412</v>
      </c>
      <c r="BX82" s="771">
        <v>186.41371394067949</v>
      </c>
      <c r="BY82" s="771">
        <v>188.14437718783057</v>
      </c>
      <c r="BZ82" s="772">
        <v>191.67098870027294</v>
      </c>
      <c r="CA82" s="772">
        <v>195.19760021271532</v>
      </c>
      <c r="CB82" s="772">
        <v>198.72421172515766</v>
      </c>
      <c r="CC82" s="772">
        <v>202.25082323760003</v>
      </c>
      <c r="CD82" s="772">
        <v>206.42081004710676</v>
      </c>
      <c r="CE82" s="772">
        <v>210.59079685661348</v>
      </c>
      <c r="CF82" s="772">
        <v>222.15119738408947</v>
      </c>
      <c r="CG82" s="772">
        <v>235.92462333618576</v>
      </c>
      <c r="CH82" s="772">
        <v>241.97226350025676</v>
      </c>
      <c r="CI82" s="772">
        <v>245.29336188014682</v>
      </c>
      <c r="CJ82" s="772">
        <v>248.73267261012791</v>
      </c>
      <c r="CK82" s="772">
        <v>252.25473198517264</v>
      </c>
      <c r="CL82" s="771">
        <v>4.0371359640997619</v>
      </c>
      <c r="CM82" s="771">
        <v>4.0746166981569285</v>
      </c>
      <c r="CN82" s="771">
        <v>4.11244540301269</v>
      </c>
      <c r="CO82" s="772">
        <v>4.1895298076562391</v>
      </c>
      <c r="CP82" s="772">
        <v>4.2666142122997881</v>
      </c>
      <c r="CQ82" s="772">
        <v>4.3436986169433371</v>
      </c>
      <c r="CR82" s="772">
        <v>4.4207830215868862</v>
      </c>
      <c r="CS82" s="772">
        <v>4.5119302742536993</v>
      </c>
      <c r="CT82" s="772">
        <v>4.6030775269205133</v>
      </c>
      <c r="CU82" s="772">
        <v>4.8557638772478571</v>
      </c>
      <c r="CV82" s="772">
        <v>5.1568223680040601</v>
      </c>
      <c r="CW82" s="772">
        <v>5.2890112240493279</v>
      </c>
      <c r="CX82" s="772">
        <v>5.3616035383638652</v>
      </c>
      <c r="CY82" s="772">
        <v>5.4367797291831232</v>
      </c>
      <c r="CZ82" s="772">
        <v>5.5137646335556862</v>
      </c>
      <c r="DA82" s="773">
        <v>0</v>
      </c>
      <c r="DB82" s="773">
        <v>0</v>
      </c>
      <c r="DC82" s="773">
        <v>0</v>
      </c>
      <c r="DD82" s="774">
        <v>0</v>
      </c>
      <c r="DE82" s="774">
        <v>0</v>
      </c>
      <c r="DF82" s="774">
        <v>0</v>
      </c>
      <c r="DG82" s="774">
        <v>0</v>
      </c>
      <c r="DH82" s="774">
        <v>0</v>
      </c>
      <c r="DI82" s="774">
        <v>0</v>
      </c>
      <c r="DJ82" s="774">
        <v>0</v>
      </c>
      <c r="DK82" s="774">
        <v>0</v>
      </c>
      <c r="DL82" s="774">
        <v>0</v>
      </c>
      <c r="DM82" s="774">
        <v>0</v>
      </c>
      <c r="DN82" s="774">
        <v>0</v>
      </c>
      <c r="DO82" s="774">
        <v>0</v>
      </c>
      <c r="DP82" s="773">
        <v>0</v>
      </c>
      <c r="DQ82" s="773">
        <v>0</v>
      </c>
      <c r="DR82" s="773">
        <v>0</v>
      </c>
      <c r="DS82" s="774">
        <v>0</v>
      </c>
      <c r="DT82" s="774">
        <v>0</v>
      </c>
      <c r="DU82" s="774">
        <v>0</v>
      </c>
      <c r="DV82" s="774">
        <v>0</v>
      </c>
      <c r="DW82" s="774">
        <v>0</v>
      </c>
      <c r="DX82" s="774">
        <v>0</v>
      </c>
      <c r="DY82" s="774">
        <v>0</v>
      </c>
      <c r="DZ82" s="774">
        <v>0</v>
      </c>
      <c r="EA82" s="774">
        <v>0</v>
      </c>
      <c r="EB82" s="774">
        <v>0</v>
      </c>
      <c r="EC82" s="774">
        <v>0</v>
      </c>
      <c r="ED82" s="774">
        <v>0</v>
      </c>
    </row>
    <row r="83" spans="1:134" ht="15" x14ac:dyDescent="0.25">
      <c r="A83" s="766">
        <v>126</v>
      </c>
      <c r="B83" s="766">
        <v>85</v>
      </c>
      <c r="C83" s="766" t="s">
        <v>3754</v>
      </c>
      <c r="D83" s="2">
        <v>99705</v>
      </c>
      <c r="E83" s="2">
        <v>99705</v>
      </c>
      <c r="F83" s="767" t="s">
        <v>3746</v>
      </c>
      <c r="G83" s="114">
        <v>38</v>
      </c>
      <c r="H83" s="114">
        <v>11</v>
      </c>
      <c r="I83" s="114">
        <v>11</v>
      </c>
      <c r="J83" s="114">
        <v>0</v>
      </c>
      <c r="K83" s="114">
        <v>0</v>
      </c>
      <c r="L83" s="114">
        <v>3</v>
      </c>
      <c r="M83" s="114">
        <v>3</v>
      </c>
      <c r="N83" s="114">
        <v>1</v>
      </c>
      <c r="O83" s="114">
        <v>0</v>
      </c>
      <c r="P83" s="114">
        <v>0</v>
      </c>
      <c r="Q83" s="114">
        <v>4</v>
      </c>
      <c r="R83" s="114">
        <v>0</v>
      </c>
      <c r="S83" s="114">
        <v>4303.333333333333</v>
      </c>
      <c r="T83" s="114">
        <v>4303.333333333333</v>
      </c>
      <c r="U83" s="114">
        <v>10776</v>
      </c>
      <c r="V83" s="114">
        <v>0</v>
      </c>
      <c r="W83" s="114">
        <v>0</v>
      </c>
      <c r="X83" s="114">
        <v>5921.5</v>
      </c>
      <c r="Y83" s="114">
        <v>0</v>
      </c>
      <c r="Z83" s="114">
        <v>11</v>
      </c>
      <c r="AA83" s="114">
        <v>0</v>
      </c>
      <c r="AB83" s="657">
        <v>1</v>
      </c>
      <c r="AC83" s="657">
        <v>0</v>
      </c>
      <c r="AD83" s="768">
        <v>12</v>
      </c>
      <c r="AE83" s="769">
        <v>0</v>
      </c>
      <c r="AF83" s="769">
        <v>11</v>
      </c>
      <c r="AG83" s="770">
        <v>11</v>
      </c>
      <c r="AH83" s="769">
        <v>0</v>
      </c>
      <c r="AI83" s="769">
        <v>0</v>
      </c>
      <c r="AJ83" s="769">
        <v>10.209668702429466</v>
      </c>
      <c r="AK83" s="769">
        <v>10.209668702429466</v>
      </c>
      <c r="AL83" s="769">
        <v>0</v>
      </c>
      <c r="AM83" s="769">
        <v>0</v>
      </c>
      <c r="AN83" s="769">
        <v>10.262035108253933</v>
      </c>
      <c r="AO83" s="769">
        <v>10.262035108253933</v>
      </c>
      <c r="AP83" s="769">
        <v>0</v>
      </c>
      <c r="AQ83" s="769">
        <v>0.94010766733490925</v>
      </c>
      <c r="AR83" s="769">
        <v>0</v>
      </c>
      <c r="AS83" s="769">
        <v>9.4761213648516165</v>
      </c>
      <c r="AT83" s="769">
        <v>9.8360591559398802</v>
      </c>
      <c r="AU83" s="769">
        <v>10.209668702429466</v>
      </c>
      <c r="AV83" s="769">
        <v>10.597469307656622</v>
      </c>
      <c r="AW83" s="769">
        <v>11</v>
      </c>
      <c r="AX83" s="769">
        <v>9.5735785966396634</v>
      </c>
      <c r="AY83" s="769">
        <v>9.9118312975123128</v>
      </c>
      <c r="AZ83" s="769">
        <v>10.262035108253933</v>
      </c>
      <c r="BA83" s="769">
        <v>10.624612284257401</v>
      </c>
      <c r="BB83" s="769">
        <v>11</v>
      </c>
      <c r="BC83" s="769">
        <v>0.88380242618188454</v>
      </c>
      <c r="BD83" s="769">
        <v>0.91152039870909352</v>
      </c>
      <c r="BE83" s="769">
        <v>0.94010766733490925</v>
      </c>
      <c r="BF83" s="769">
        <v>0.96959149508177378</v>
      </c>
      <c r="BG83" s="769">
        <v>1</v>
      </c>
      <c r="BH83" s="771">
        <v>11.088735958264374</v>
      </c>
      <c r="BI83" s="771">
        <v>11.178187741100484</v>
      </c>
      <c r="BJ83" s="771">
        <v>11.268361122997359</v>
      </c>
      <c r="BK83" s="772">
        <v>14.765558338903947</v>
      </c>
      <c r="BL83" s="772">
        <v>18.262755554810532</v>
      </c>
      <c r="BM83" s="772">
        <v>21.759952770717117</v>
      </c>
      <c r="BN83" s="772">
        <v>25.257149986623705</v>
      </c>
      <c r="BO83" s="772">
        <v>29.39235631970644</v>
      </c>
      <c r="BP83" s="772">
        <v>33.527562652789179</v>
      </c>
      <c r="BQ83" s="772">
        <v>44.991541715074604</v>
      </c>
      <c r="BR83" s="772">
        <v>58.650088091170232</v>
      </c>
      <c r="BS83" s="772">
        <v>64.647286895170765</v>
      </c>
      <c r="BT83" s="772">
        <v>67.940685095376807</v>
      </c>
      <c r="BU83" s="772">
        <v>71.351309675683183</v>
      </c>
      <c r="BV83" s="772">
        <v>74.843992722059838</v>
      </c>
      <c r="BW83" s="771">
        <v>11.088735958264374</v>
      </c>
      <c r="BX83" s="771">
        <v>11.178187741100484</v>
      </c>
      <c r="BY83" s="771">
        <v>11.268361122997359</v>
      </c>
      <c r="BZ83" s="772">
        <v>14.765558338903947</v>
      </c>
      <c r="CA83" s="772">
        <v>18.262755554810532</v>
      </c>
      <c r="CB83" s="772">
        <v>21.759952770717117</v>
      </c>
      <c r="CC83" s="772">
        <v>25.257149986623705</v>
      </c>
      <c r="CD83" s="772">
        <v>29.39235631970644</v>
      </c>
      <c r="CE83" s="772">
        <v>33.527562652789179</v>
      </c>
      <c r="CF83" s="772">
        <v>44.991541715074604</v>
      </c>
      <c r="CG83" s="772">
        <v>58.650088091170232</v>
      </c>
      <c r="CH83" s="772">
        <v>64.647286895170765</v>
      </c>
      <c r="CI83" s="772">
        <v>67.940685095376807</v>
      </c>
      <c r="CJ83" s="772">
        <v>71.351309675683183</v>
      </c>
      <c r="CK83" s="772">
        <v>74.843992722059838</v>
      </c>
      <c r="CL83" s="771">
        <v>1.0080669052967612</v>
      </c>
      <c r="CM83" s="771">
        <v>1.0161988855545894</v>
      </c>
      <c r="CN83" s="771">
        <v>1.0243964657270326</v>
      </c>
      <c r="CO83" s="772">
        <v>1.3423234853549042</v>
      </c>
      <c r="CP83" s="772">
        <v>1.6602505049827756</v>
      </c>
      <c r="CQ83" s="772">
        <v>1.978177524610647</v>
      </c>
      <c r="CR83" s="772">
        <v>2.2961045442385184</v>
      </c>
      <c r="CS83" s="772">
        <v>2.6720323927005856</v>
      </c>
      <c r="CT83" s="772">
        <v>3.0479602411626523</v>
      </c>
      <c r="CU83" s="772">
        <v>4.090140155915873</v>
      </c>
      <c r="CV83" s="772">
        <v>5.3318261901063844</v>
      </c>
      <c r="CW83" s="772">
        <v>5.8770260813791602</v>
      </c>
      <c r="CX83" s="772">
        <v>6.1764259177615282</v>
      </c>
      <c r="CY83" s="772">
        <v>6.4864826977893797</v>
      </c>
      <c r="CZ83" s="772">
        <v>6.8039993383690769</v>
      </c>
      <c r="DA83" s="773">
        <v>0</v>
      </c>
      <c r="DB83" s="773">
        <v>0</v>
      </c>
      <c r="DC83" s="773">
        <v>0</v>
      </c>
      <c r="DD83" s="774">
        <v>0</v>
      </c>
      <c r="DE83" s="774">
        <v>0</v>
      </c>
      <c r="DF83" s="774">
        <v>0</v>
      </c>
      <c r="DG83" s="774">
        <v>0</v>
      </c>
      <c r="DH83" s="774">
        <v>0</v>
      </c>
      <c r="DI83" s="774">
        <v>0</v>
      </c>
      <c r="DJ83" s="774">
        <v>0</v>
      </c>
      <c r="DK83" s="774">
        <v>0</v>
      </c>
      <c r="DL83" s="774">
        <v>0</v>
      </c>
      <c r="DM83" s="774">
        <v>0</v>
      </c>
      <c r="DN83" s="774">
        <v>0</v>
      </c>
      <c r="DO83" s="774">
        <v>0</v>
      </c>
      <c r="DP83" s="773">
        <v>0</v>
      </c>
      <c r="DQ83" s="773">
        <v>0</v>
      </c>
      <c r="DR83" s="773">
        <v>0</v>
      </c>
      <c r="DS83" s="774">
        <v>0</v>
      </c>
      <c r="DT83" s="774">
        <v>0</v>
      </c>
      <c r="DU83" s="774">
        <v>0</v>
      </c>
      <c r="DV83" s="774">
        <v>0</v>
      </c>
      <c r="DW83" s="774">
        <v>0</v>
      </c>
      <c r="DX83" s="774">
        <v>0</v>
      </c>
      <c r="DY83" s="774">
        <v>0</v>
      </c>
      <c r="DZ83" s="774">
        <v>0</v>
      </c>
      <c r="EA83" s="774">
        <v>0</v>
      </c>
      <c r="EB83" s="774">
        <v>0</v>
      </c>
      <c r="EC83" s="774">
        <v>0</v>
      </c>
      <c r="ED83" s="774">
        <v>0</v>
      </c>
    </row>
    <row r="84" spans="1:134" ht="15" x14ac:dyDescent="0.25">
      <c r="A84" s="766">
        <v>96</v>
      </c>
      <c r="B84" s="766">
        <v>86</v>
      </c>
      <c r="C84" s="766" t="s">
        <v>3755</v>
      </c>
      <c r="D84" s="2">
        <v>99709</v>
      </c>
      <c r="E84" s="2">
        <v>99709</v>
      </c>
      <c r="F84" s="767" t="s">
        <v>3676</v>
      </c>
      <c r="G84" s="114">
        <v>38</v>
      </c>
      <c r="H84" s="114">
        <v>18</v>
      </c>
      <c r="I84" s="114">
        <v>13</v>
      </c>
      <c r="J84" s="114">
        <v>5</v>
      </c>
      <c r="K84" s="114">
        <v>0</v>
      </c>
      <c r="L84" s="114">
        <v>5</v>
      </c>
      <c r="M84" s="114">
        <v>5</v>
      </c>
      <c r="N84" s="114">
        <v>1</v>
      </c>
      <c r="O84" s="114">
        <v>0</v>
      </c>
      <c r="P84" s="114">
        <v>0</v>
      </c>
      <c r="Q84" s="114">
        <v>6</v>
      </c>
      <c r="R84" s="114">
        <v>0</v>
      </c>
      <c r="S84" s="114">
        <v>2236.6</v>
      </c>
      <c r="T84" s="114">
        <v>2236.6</v>
      </c>
      <c r="U84" s="114">
        <v>2324</v>
      </c>
      <c r="V84" s="114">
        <v>0</v>
      </c>
      <c r="W84" s="114">
        <v>0</v>
      </c>
      <c r="X84" s="114">
        <v>2251.1666666666665</v>
      </c>
      <c r="Y84" s="114">
        <v>0</v>
      </c>
      <c r="Z84" s="114">
        <v>18</v>
      </c>
      <c r="AA84" s="114">
        <v>0</v>
      </c>
      <c r="AB84" s="657">
        <v>1</v>
      </c>
      <c r="AC84" s="657">
        <v>0</v>
      </c>
      <c r="AD84" s="768">
        <v>19</v>
      </c>
      <c r="AE84" s="769">
        <v>0</v>
      </c>
      <c r="AF84" s="769">
        <v>13</v>
      </c>
      <c r="AG84" s="770">
        <v>13</v>
      </c>
      <c r="AH84" s="769">
        <v>0</v>
      </c>
      <c r="AI84" s="769">
        <v>0</v>
      </c>
      <c r="AJ84" s="769">
        <v>17.13885111013931</v>
      </c>
      <c r="AK84" s="769">
        <v>17.13885111013931</v>
      </c>
      <c r="AL84" s="769">
        <v>0</v>
      </c>
      <c r="AM84" s="769">
        <v>0</v>
      </c>
      <c r="AN84" s="769">
        <v>12.401410175673693</v>
      </c>
      <c r="AO84" s="769">
        <v>12.401410175673693</v>
      </c>
      <c r="AP84" s="769">
        <v>0</v>
      </c>
      <c r="AQ84" s="769">
        <v>0.95966573850124082</v>
      </c>
      <c r="AR84" s="769">
        <v>0</v>
      </c>
      <c r="AS84" s="769">
        <v>16.318900965306856</v>
      </c>
      <c r="AT84" s="769">
        <v>16.723851647437645</v>
      </c>
      <c r="AU84" s="769">
        <v>17.13885111013931</v>
      </c>
      <c r="AV84" s="769">
        <v>17.564148712149631</v>
      </c>
      <c r="AW84" s="769">
        <v>18</v>
      </c>
      <c r="AX84" s="769">
        <v>11.830382641946384</v>
      </c>
      <c r="AY84" s="769">
        <v>12.112531844249052</v>
      </c>
      <c r="AZ84" s="769">
        <v>12.401410175673693</v>
      </c>
      <c r="BA84" s="769">
        <v>12.697178122864859</v>
      </c>
      <c r="BB84" s="769">
        <v>13</v>
      </c>
      <c r="BC84" s="769">
        <v>0.92095832965313207</v>
      </c>
      <c r="BD84" s="769">
        <v>0.94011284192667122</v>
      </c>
      <c r="BE84" s="769">
        <v>0.95966573850124082</v>
      </c>
      <c r="BF84" s="769">
        <v>0.97962530515561963</v>
      </c>
      <c r="BG84" s="769">
        <v>1</v>
      </c>
      <c r="BH84" s="771">
        <v>18.168179835822947</v>
      </c>
      <c r="BI84" s="771">
        <v>18.337931030377973</v>
      </c>
      <c r="BJ84" s="771">
        <v>18.50926826537917</v>
      </c>
      <c r="BK84" s="772">
        <v>18.769376163191438</v>
      </c>
      <c r="BL84" s="772">
        <v>19.029484061003707</v>
      </c>
      <c r="BM84" s="772">
        <v>19.289591958815972</v>
      </c>
      <c r="BN84" s="772">
        <v>19.549699856628241</v>
      </c>
      <c r="BO84" s="772">
        <v>19.857260385793108</v>
      </c>
      <c r="BP84" s="772">
        <v>20.164820914957971</v>
      </c>
      <c r="BQ84" s="772">
        <v>21.017466994193146</v>
      </c>
      <c r="BR84" s="772">
        <v>22.033336436413499</v>
      </c>
      <c r="BS84" s="772">
        <v>22.479384708033905</v>
      </c>
      <c r="BT84" s="772">
        <v>22.724334829410527</v>
      </c>
      <c r="BU84" s="772">
        <v>22.978003792023024</v>
      </c>
      <c r="BV84" s="772">
        <v>23.23777594350064</v>
      </c>
      <c r="BW84" s="771">
        <v>13.121463214761016</v>
      </c>
      <c r="BX84" s="771">
        <v>13.244061299717426</v>
      </c>
      <c r="BY84" s="771">
        <v>13.3678048583294</v>
      </c>
      <c r="BZ84" s="772">
        <v>13.555660562304928</v>
      </c>
      <c r="CA84" s="772">
        <v>13.743516266280453</v>
      </c>
      <c r="CB84" s="772">
        <v>13.931371970255981</v>
      </c>
      <c r="CC84" s="772">
        <v>14.119227674231507</v>
      </c>
      <c r="CD84" s="772">
        <v>14.341354723072801</v>
      </c>
      <c r="CE84" s="772">
        <v>14.563481771914089</v>
      </c>
      <c r="CF84" s="772">
        <v>15.179281718028383</v>
      </c>
      <c r="CG84" s="772">
        <v>15.912965204076414</v>
      </c>
      <c r="CH84" s="772">
        <v>16.235111178024486</v>
      </c>
      <c r="CI84" s="772">
        <v>16.412019599018713</v>
      </c>
      <c r="CJ84" s="772">
        <v>16.595224960905519</v>
      </c>
      <c r="CK84" s="772">
        <v>16.782838181417127</v>
      </c>
      <c r="CL84" s="771">
        <v>1.0093433242123859</v>
      </c>
      <c r="CM84" s="771">
        <v>1.0187739461321097</v>
      </c>
      <c r="CN84" s="771">
        <v>1.0282926814099538</v>
      </c>
      <c r="CO84" s="772">
        <v>1.0427431201773021</v>
      </c>
      <c r="CP84" s="772">
        <v>1.0571935589446502</v>
      </c>
      <c r="CQ84" s="772">
        <v>1.0716439977119985</v>
      </c>
      <c r="CR84" s="772">
        <v>1.0860944364793466</v>
      </c>
      <c r="CS84" s="772">
        <v>1.1031811325440615</v>
      </c>
      <c r="CT84" s="772">
        <v>1.1202678286087762</v>
      </c>
      <c r="CU84" s="772">
        <v>1.1676370552329525</v>
      </c>
      <c r="CV84" s="772">
        <v>1.2240742464674164</v>
      </c>
      <c r="CW84" s="772">
        <v>1.2488547060018835</v>
      </c>
      <c r="CX84" s="772">
        <v>1.2624630460783623</v>
      </c>
      <c r="CY84" s="772">
        <v>1.2765557662235012</v>
      </c>
      <c r="CZ84" s="772">
        <v>1.290987552416702</v>
      </c>
      <c r="DA84" s="773">
        <v>0</v>
      </c>
      <c r="DB84" s="773">
        <v>0</v>
      </c>
      <c r="DC84" s="773">
        <v>0</v>
      </c>
      <c r="DD84" s="774">
        <v>0</v>
      </c>
      <c r="DE84" s="774">
        <v>0</v>
      </c>
      <c r="DF84" s="774">
        <v>0</v>
      </c>
      <c r="DG84" s="774">
        <v>0</v>
      </c>
      <c r="DH84" s="774">
        <v>0</v>
      </c>
      <c r="DI84" s="774">
        <v>0</v>
      </c>
      <c r="DJ84" s="774">
        <v>0</v>
      </c>
      <c r="DK84" s="774">
        <v>0</v>
      </c>
      <c r="DL84" s="774">
        <v>0</v>
      </c>
      <c r="DM84" s="774">
        <v>0</v>
      </c>
      <c r="DN84" s="774">
        <v>0</v>
      </c>
      <c r="DO84" s="774">
        <v>0</v>
      </c>
      <c r="DP84" s="773">
        <v>0</v>
      </c>
      <c r="DQ84" s="773">
        <v>0</v>
      </c>
      <c r="DR84" s="773">
        <v>0</v>
      </c>
      <c r="DS84" s="774">
        <v>0</v>
      </c>
      <c r="DT84" s="774">
        <v>0</v>
      </c>
      <c r="DU84" s="774">
        <v>0</v>
      </c>
      <c r="DV84" s="774">
        <v>0</v>
      </c>
      <c r="DW84" s="774">
        <v>0</v>
      </c>
      <c r="DX84" s="774">
        <v>0</v>
      </c>
      <c r="DY84" s="774">
        <v>0</v>
      </c>
      <c r="DZ84" s="774">
        <v>0</v>
      </c>
      <c r="EA84" s="774">
        <v>0</v>
      </c>
      <c r="EB84" s="774">
        <v>0</v>
      </c>
      <c r="EC84" s="774">
        <v>0</v>
      </c>
      <c r="ED84" s="774">
        <v>0</v>
      </c>
    </row>
    <row r="85" spans="1:134" ht="15" x14ac:dyDescent="0.25">
      <c r="A85" s="766">
        <v>122</v>
      </c>
      <c r="B85" s="766">
        <v>86</v>
      </c>
      <c r="C85" s="766" t="s">
        <v>3756</v>
      </c>
      <c r="D85" s="2">
        <v>99705</v>
      </c>
      <c r="E85" s="2">
        <v>99705</v>
      </c>
      <c r="F85" s="767" t="s">
        <v>3746</v>
      </c>
      <c r="G85" s="114">
        <v>659</v>
      </c>
      <c r="H85" s="114">
        <v>256</v>
      </c>
      <c r="I85" s="114">
        <v>234</v>
      </c>
      <c r="J85" s="114">
        <v>22</v>
      </c>
      <c r="K85" s="114">
        <v>1</v>
      </c>
      <c r="L85" s="114">
        <v>206</v>
      </c>
      <c r="M85" s="114">
        <v>207</v>
      </c>
      <c r="N85" s="114">
        <v>5</v>
      </c>
      <c r="O85" s="114">
        <v>0</v>
      </c>
      <c r="P85" s="114">
        <v>0</v>
      </c>
      <c r="Q85" s="114">
        <v>212</v>
      </c>
      <c r="R85" s="114">
        <v>3808</v>
      </c>
      <c r="S85" s="114">
        <v>1952.5776699029127</v>
      </c>
      <c r="T85" s="114">
        <v>1961.5410628019324</v>
      </c>
      <c r="U85" s="114">
        <v>10572.8</v>
      </c>
      <c r="V85" s="114">
        <v>0</v>
      </c>
      <c r="W85" s="114">
        <v>0</v>
      </c>
      <c r="X85" s="114">
        <v>2164.6367924528304</v>
      </c>
      <c r="Y85" s="114">
        <v>1.2367149758454106</v>
      </c>
      <c r="Z85" s="114">
        <v>254.76328502415458</v>
      </c>
      <c r="AA85" s="114">
        <v>0</v>
      </c>
      <c r="AB85" s="657">
        <v>5</v>
      </c>
      <c r="AC85" s="657">
        <v>0</v>
      </c>
      <c r="AD85" s="768">
        <v>261</v>
      </c>
      <c r="AE85" s="769">
        <v>1.1304347826086956</v>
      </c>
      <c r="AF85" s="769">
        <v>232.86956521739131</v>
      </c>
      <c r="AG85" s="770">
        <v>234</v>
      </c>
      <c r="AH85" s="769">
        <v>0</v>
      </c>
      <c r="AI85" s="769">
        <v>1.1478591075195184</v>
      </c>
      <c r="AJ85" s="769">
        <v>236.45897614902077</v>
      </c>
      <c r="AK85" s="769">
        <v>237.60683525654028</v>
      </c>
      <c r="AL85" s="769">
        <v>0</v>
      </c>
      <c r="AM85" s="769">
        <v>1.0545964933383487</v>
      </c>
      <c r="AN85" s="769">
        <v>217.24687762769986</v>
      </c>
      <c r="AO85" s="769">
        <v>218.30147412103821</v>
      </c>
      <c r="AP85" s="769">
        <v>0</v>
      </c>
      <c r="AQ85" s="769">
        <v>4.7005383366745468</v>
      </c>
      <c r="AR85" s="769">
        <v>0</v>
      </c>
      <c r="AS85" s="769">
        <v>220.5351881274558</v>
      </c>
      <c r="AT85" s="769">
        <v>228.91192217460085</v>
      </c>
      <c r="AU85" s="769">
        <v>237.60683525654028</v>
      </c>
      <c r="AV85" s="769">
        <v>246.63201297819046</v>
      </c>
      <c r="AW85" s="769">
        <v>256</v>
      </c>
      <c r="AX85" s="769">
        <v>203.65612651033464</v>
      </c>
      <c r="AY85" s="769">
        <v>210.85168396526194</v>
      </c>
      <c r="AZ85" s="769">
        <v>218.30147412103818</v>
      </c>
      <c r="BA85" s="769">
        <v>226.01447950147559</v>
      </c>
      <c r="BB85" s="769">
        <v>234</v>
      </c>
      <c r="BC85" s="769">
        <v>4.4190121309094232</v>
      </c>
      <c r="BD85" s="769">
        <v>4.5576019935454681</v>
      </c>
      <c r="BE85" s="769">
        <v>4.7005383366745468</v>
      </c>
      <c r="BF85" s="769">
        <v>4.8479574754088688</v>
      </c>
      <c r="BG85" s="769">
        <v>5</v>
      </c>
      <c r="BH85" s="771">
        <v>261.83060055766509</v>
      </c>
      <c r="BI85" s="771">
        <v>267.79399761088894</v>
      </c>
      <c r="BJ85" s="771">
        <v>273.89321570389444</v>
      </c>
      <c r="BK85" s="772">
        <v>276.99148801244428</v>
      </c>
      <c r="BL85" s="772">
        <v>280.08976032099412</v>
      </c>
      <c r="BM85" s="772">
        <v>283.1880326295439</v>
      </c>
      <c r="BN85" s="772">
        <v>286.28630493809374</v>
      </c>
      <c r="BO85" s="772">
        <v>289.94980873297732</v>
      </c>
      <c r="BP85" s="772">
        <v>293.61331252786096</v>
      </c>
      <c r="BQ85" s="772">
        <v>303.76959674109384</v>
      </c>
      <c r="BR85" s="772">
        <v>315.87011421251998</v>
      </c>
      <c r="BS85" s="772">
        <v>321.18321319898541</v>
      </c>
      <c r="BT85" s="772">
        <v>324.10093382346582</v>
      </c>
      <c r="BU85" s="772">
        <v>327.12250882757473</v>
      </c>
      <c r="BV85" s="772">
        <v>330.21678189742363</v>
      </c>
      <c r="BW85" s="771">
        <v>239.32953332224076</v>
      </c>
      <c r="BX85" s="771">
        <v>244.78045094120316</v>
      </c>
      <c r="BY85" s="771">
        <v>250.35551747934102</v>
      </c>
      <c r="BZ85" s="772">
        <v>253.18753201137486</v>
      </c>
      <c r="CA85" s="772">
        <v>256.01954654340869</v>
      </c>
      <c r="CB85" s="772">
        <v>258.85156107544248</v>
      </c>
      <c r="CC85" s="772">
        <v>261.68357560747631</v>
      </c>
      <c r="CD85" s="772">
        <v>265.03224704498712</v>
      </c>
      <c r="CE85" s="772">
        <v>268.38091848249792</v>
      </c>
      <c r="CF85" s="772">
        <v>277.66439702115611</v>
      </c>
      <c r="CG85" s="772">
        <v>288.72502627238151</v>
      </c>
      <c r="CH85" s="772">
        <v>293.5815308146976</v>
      </c>
      <c r="CI85" s="772">
        <v>296.24850982301177</v>
      </c>
      <c r="CJ85" s="772">
        <v>299.01041822520506</v>
      </c>
      <c r="CK85" s="772">
        <v>301.83877720311381</v>
      </c>
      <c r="CL85" s="771">
        <v>5.1138789171418964</v>
      </c>
      <c r="CM85" s="771">
        <v>5.2303515158376745</v>
      </c>
      <c r="CN85" s="771">
        <v>5.3494768692166881</v>
      </c>
      <c r="CO85" s="772">
        <v>5.4099900002430523</v>
      </c>
      <c r="CP85" s="772">
        <v>5.4705031312694157</v>
      </c>
      <c r="CQ85" s="772">
        <v>5.531016262295779</v>
      </c>
      <c r="CR85" s="772">
        <v>5.5915293933221424</v>
      </c>
      <c r="CS85" s="772">
        <v>5.6630822018159632</v>
      </c>
      <c r="CT85" s="772">
        <v>5.7346350103097841</v>
      </c>
      <c r="CU85" s="772">
        <v>5.9329999363494892</v>
      </c>
      <c r="CV85" s="772">
        <v>6.1693381682132804</v>
      </c>
      <c r="CW85" s="772">
        <v>6.273109632792683</v>
      </c>
      <c r="CX85" s="772">
        <v>6.3300963637395666</v>
      </c>
      <c r="CY85" s="772">
        <v>6.3891115005385695</v>
      </c>
      <c r="CZ85" s="772">
        <v>6.4495465214340548</v>
      </c>
      <c r="DA85" s="773">
        <v>0</v>
      </c>
      <c r="DB85" s="773">
        <v>0</v>
      </c>
      <c r="DC85" s="773">
        <v>0</v>
      </c>
      <c r="DD85" s="774">
        <v>0</v>
      </c>
      <c r="DE85" s="774">
        <v>0</v>
      </c>
      <c r="DF85" s="774">
        <v>0</v>
      </c>
      <c r="DG85" s="774">
        <v>0</v>
      </c>
      <c r="DH85" s="774">
        <v>0</v>
      </c>
      <c r="DI85" s="774">
        <v>0</v>
      </c>
      <c r="DJ85" s="774">
        <v>0</v>
      </c>
      <c r="DK85" s="774">
        <v>0</v>
      </c>
      <c r="DL85" s="774">
        <v>0</v>
      </c>
      <c r="DM85" s="774">
        <v>0</v>
      </c>
      <c r="DN85" s="774">
        <v>0</v>
      </c>
      <c r="DO85" s="774">
        <v>0</v>
      </c>
      <c r="DP85" s="773">
        <v>0</v>
      </c>
      <c r="DQ85" s="773">
        <v>0</v>
      </c>
      <c r="DR85" s="773">
        <v>0</v>
      </c>
      <c r="DS85" s="774">
        <v>0</v>
      </c>
      <c r="DT85" s="774">
        <v>0</v>
      </c>
      <c r="DU85" s="774">
        <v>0</v>
      </c>
      <c r="DV85" s="774">
        <v>0</v>
      </c>
      <c r="DW85" s="774">
        <v>0</v>
      </c>
      <c r="DX85" s="774">
        <v>0</v>
      </c>
      <c r="DY85" s="774">
        <v>0</v>
      </c>
      <c r="DZ85" s="774">
        <v>0</v>
      </c>
      <c r="EA85" s="774">
        <v>0</v>
      </c>
      <c r="EB85" s="774">
        <v>0</v>
      </c>
      <c r="EC85" s="774">
        <v>0</v>
      </c>
      <c r="ED85" s="774">
        <v>0</v>
      </c>
    </row>
    <row r="86" spans="1:134" ht="15" x14ac:dyDescent="0.25">
      <c r="A86" s="766">
        <v>123</v>
      </c>
      <c r="B86" s="766">
        <v>86</v>
      </c>
      <c r="C86" s="766" t="s">
        <v>3757</v>
      </c>
      <c r="D86" s="2">
        <v>99705</v>
      </c>
      <c r="E86" s="2">
        <v>99705</v>
      </c>
      <c r="F86" s="767" t="s">
        <v>3746</v>
      </c>
      <c r="G86" s="114">
        <v>772</v>
      </c>
      <c r="H86" s="114">
        <v>358</v>
      </c>
      <c r="I86" s="114">
        <v>338</v>
      </c>
      <c r="J86" s="114">
        <v>20</v>
      </c>
      <c r="K86" s="114">
        <v>25</v>
      </c>
      <c r="L86" s="114">
        <v>154</v>
      </c>
      <c r="M86" s="114">
        <v>179</v>
      </c>
      <c r="N86" s="114">
        <v>7</v>
      </c>
      <c r="O86" s="114">
        <v>0</v>
      </c>
      <c r="P86" s="114">
        <v>0</v>
      </c>
      <c r="Q86" s="114">
        <v>186</v>
      </c>
      <c r="R86" s="114">
        <v>4898.24</v>
      </c>
      <c r="S86" s="114">
        <v>2368.0324675324673</v>
      </c>
      <c r="T86" s="114">
        <v>2721.4134078212287</v>
      </c>
      <c r="U86" s="114">
        <v>12532.285714285714</v>
      </c>
      <c r="V86" s="114">
        <v>0</v>
      </c>
      <c r="W86" s="114">
        <v>0</v>
      </c>
      <c r="X86" s="114">
        <v>3090.6397849462364</v>
      </c>
      <c r="Y86" s="114">
        <v>50</v>
      </c>
      <c r="Z86" s="114">
        <v>308</v>
      </c>
      <c r="AA86" s="114">
        <v>0</v>
      </c>
      <c r="AB86" s="657">
        <v>7</v>
      </c>
      <c r="AC86" s="657">
        <v>0</v>
      </c>
      <c r="AD86" s="768">
        <v>365</v>
      </c>
      <c r="AE86" s="769">
        <v>47.206703910614522</v>
      </c>
      <c r="AF86" s="769">
        <v>290.79329608938548</v>
      </c>
      <c r="AG86" s="770">
        <v>338</v>
      </c>
      <c r="AH86" s="769">
        <v>0</v>
      </c>
      <c r="AI86" s="769">
        <v>46.407585011043025</v>
      </c>
      <c r="AJ86" s="769">
        <v>285.87072366802505</v>
      </c>
      <c r="AK86" s="769">
        <v>332.27830867906806</v>
      </c>
      <c r="AL86" s="769">
        <v>0</v>
      </c>
      <c r="AM86" s="769">
        <v>44.03971389778858</v>
      </c>
      <c r="AN86" s="769">
        <v>271.28463761037767</v>
      </c>
      <c r="AO86" s="769">
        <v>315.32435150816627</v>
      </c>
      <c r="AP86" s="769">
        <v>0</v>
      </c>
      <c r="AQ86" s="769">
        <v>6.5807536713443655</v>
      </c>
      <c r="AR86" s="769">
        <v>0</v>
      </c>
      <c r="AS86" s="769">
        <v>308.40467714698894</v>
      </c>
      <c r="AT86" s="769">
        <v>320.11901616604337</v>
      </c>
      <c r="AU86" s="769">
        <v>332.27830867906806</v>
      </c>
      <c r="AV86" s="769">
        <v>344.89945564918821</v>
      </c>
      <c r="AW86" s="769">
        <v>358</v>
      </c>
      <c r="AX86" s="769">
        <v>294.16996051492782</v>
      </c>
      <c r="AY86" s="769">
        <v>304.56354350537833</v>
      </c>
      <c r="AZ86" s="769">
        <v>315.32435150816627</v>
      </c>
      <c r="BA86" s="769">
        <v>326.46535927990919</v>
      </c>
      <c r="BB86" s="769">
        <v>338</v>
      </c>
      <c r="BC86" s="769">
        <v>6.1866169832731917</v>
      </c>
      <c r="BD86" s="769">
        <v>6.3806427909636545</v>
      </c>
      <c r="BE86" s="769">
        <v>6.5807536713443655</v>
      </c>
      <c r="BF86" s="769">
        <v>6.7871404655724161</v>
      </c>
      <c r="BG86" s="769">
        <v>7</v>
      </c>
      <c r="BH86" s="771">
        <v>364.92604878700394</v>
      </c>
      <c r="BI86" s="771">
        <v>371.98609241143782</v>
      </c>
      <c r="BJ86" s="771">
        <v>379.18272320509311</v>
      </c>
      <c r="BK86" s="772">
        <v>390.14330307466912</v>
      </c>
      <c r="BL86" s="772">
        <v>401.10388294424519</v>
      </c>
      <c r="BM86" s="772">
        <v>412.06446281382114</v>
      </c>
      <c r="BN86" s="772">
        <v>423.02504268339715</v>
      </c>
      <c r="BO86" s="772">
        <v>435.98520949491643</v>
      </c>
      <c r="BP86" s="772">
        <v>448.94537630643566</v>
      </c>
      <c r="BQ86" s="772">
        <v>484.87467922473093</v>
      </c>
      <c r="BR86" s="772">
        <v>527.68198439373487</v>
      </c>
      <c r="BS86" s="772">
        <v>546.47782930233654</v>
      </c>
      <c r="BT86" s="772">
        <v>556.79968185657356</v>
      </c>
      <c r="BU86" s="772">
        <v>567.48893408048536</v>
      </c>
      <c r="BV86" s="772">
        <v>578.43536607316946</v>
      </c>
      <c r="BW86" s="771">
        <v>344.53911868717131</v>
      </c>
      <c r="BX86" s="771">
        <v>351.2047464666648</v>
      </c>
      <c r="BY86" s="771">
        <v>357.99933084726666</v>
      </c>
      <c r="BZ86" s="772">
        <v>368.34758781910102</v>
      </c>
      <c r="CA86" s="772">
        <v>378.69584479093538</v>
      </c>
      <c r="CB86" s="772">
        <v>389.04410176276963</v>
      </c>
      <c r="CC86" s="772">
        <v>399.39235873460399</v>
      </c>
      <c r="CD86" s="772">
        <v>411.62849388067525</v>
      </c>
      <c r="CE86" s="772">
        <v>423.86462902674651</v>
      </c>
      <c r="CF86" s="772">
        <v>457.78670831832136</v>
      </c>
      <c r="CG86" s="772">
        <v>498.20254392481115</v>
      </c>
      <c r="CH86" s="772">
        <v>515.94834163181497</v>
      </c>
      <c r="CI86" s="772">
        <v>525.69355437855268</v>
      </c>
      <c r="CJ86" s="772">
        <v>535.7856416737543</v>
      </c>
      <c r="CK86" s="772">
        <v>546.12054115288061</v>
      </c>
      <c r="CL86" s="771">
        <v>7.1354255349414171</v>
      </c>
      <c r="CM86" s="771">
        <v>7.2734710806705722</v>
      </c>
      <c r="CN86" s="771">
        <v>7.4141873252392507</v>
      </c>
      <c r="CO86" s="772">
        <v>7.6285003394488378</v>
      </c>
      <c r="CP86" s="772">
        <v>7.8428133536584248</v>
      </c>
      <c r="CQ86" s="772">
        <v>8.0571263678680101</v>
      </c>
      <c r="CR86" s="772">
        <v>8.2714393820775971</v>
      </c>
      <c r="CS86" s="772">
        <v>8.5248504649843984</v>
      </c>
      <c r="CT86" s="772">
        <v>8.7782615478911996</v>
      </c>
      <c r="CU86" s="772">
        <v>9.4807898172433429</v>
      </c>
      <c r="CV86" s="772">
        <v>10.317804164123308</v>
      </c>
      <c r="CW86" s="772">
        <v>10.685320684682559</v>
      </c>
      <c r="CX86" s="772">
        <v>10.887144617307305</v>
      </c>
      <c r="CY86" s="772">
        <v>11.096152342355859</v>
      </c>
      <c r="CZ86" s="772">
        <v>11.310188722101078</v>
      </c>
      <c r="DA86" s="773">
        <v>0</v>
      </c>
      <c r="DB86" s="773">
        <v>0</v>
      </c>
      <c r="DC86" s="773">
        <v>0</v>
      </c>
      <c r="DD86" s="774">
        <v>0</v>
      </c>
      <c r="DE86" s="774">
        <v>0</v>
      </c>
      <c r="DF86" s="774">
        <v>0</v>
      </c>
      <c r="DG86" s="774">
        <v>0</v>
      </c>
      <c r="DH86" s="774">
        <v>0</v>
      </c>
      <c r="DI86" s="774">
        <v>0</v>
      </c>
      <c r="DJ86" s="774">
        <v>0</v>
      </c>
      <c r="DK86" s="774">
        <v>0</v>
      </c>
      <c r="DL86" s="774">
        <v>0</v>
      </c>
      <c r="DM86" s="774">
        <v>0</v>
      </c>
      <c r="DN86" s="774">
        <v>0</v>
      </c>
      <c r="DO86" s="774">
        <v>0</v>
      </c>
      <c r="DP86" s="773">
        <v>0</v>
      </c>
      <c r="DQ86" s="773">
        <v>0</v>
      </c>
      <c r="DR86" s="773">
        <v>0</v>
      </c>
      <c r="DS86" s="774">
        <v>0</v>
      </c>
      <c r="DT86" s="774">
        <v>0</v>
      </c>
      <c r="DU86" s="774">
        <v>0</v>
      </c>
      <c r="DV86" s="774">
        <v>0</v>
      </c>
      <c r="DW86" s="774">
        <v>0</v>
      </c>
      <c r="DX86" s="774">
        <v>0</v>
      </c>
      <c r="DY86" s="774">
        <v>0</v>
      </c>
      <c r="DZ86" s="774">
        <v>0</v>
      </c>
      <c r="EA86" s="774">
        <v>0</v>
      </c>
      <c r="EB86" s="774">
        <v>0</v>
      </c>
      <c r="EC86" s="774">
        <v>0</v>
      </c>
      <c r="ED86" s="774">
        <v>0</v>
      </c>
    </row>
    <row r="87" spans="1:134" ht="15" x14ac:dyDescent="0.25">
      <c r="A87" s="766">
        <v>124</v>
      </c>
      <c r="B87" s="766">
        <v>86</v>
      </c>
      <c r="C87" s="766" t="s">
        <v>3758</v>
      </c>
      <c r="D87" s="2">
        <v>99705</v>
      </c>
      <c r="E87" s="2">
        <v>99705</v>
      </c>
      <c r="F87" s="767" t="s">
        <v>3746</v>
      </c>
      <c r="G87" s="114">
        <v>403</v>
      </c>
      <c r="H87" s="114">
        <v>144</v>
      </c>
      <c r="I87" s="114">
        <v>140</v>
      </c>
      <c r="J87" s="114">
        <v>4</v>
      </c>
      <c r="K87" s="114">
        <v>2</v>
      </c>
      <c r="L87" s="114">
        <v>153</v>
      </c>
      <c r="M87" s="114">
        <v>155</v>
      </c>
      <c r="N87" s="114">
        <v>1</v>
      </c>
      <c r="O87" s="114">
        <v>0</v>
      </c>
      <c r="P87" s="114">
        <v>0</v>
      </c>
      <c r="Q87" s="114">
        <v>156</v>
      </c>
      <c r="R87" s="114">
        <v>4080</v>
      </c>
      <c r="S87" s="114">
        <v>2515.9607843137255</v>
      </c>
      <c r="T87" s="114">
        <v>2536.1419354838708</v>
      </c>
      <c r="U87" s="114">
        <v>4172</v>
      </c>
      <c r="V87" s="114">
        <v>0</v>
      </c>
      <c r="W87" s="114">
        <v>0</v>
      </c>
      <c r="X87" s="114">
        <v>2546.6282051282051</v>
      </c>
      <c r="Y87" s="114">
        <v>1.8580645161290323</v>
      </c>
      <c r="Z87" s="114">
        <v>142.14193548387098</v>
      </c>
      <c r="AA87" s="114">
        <v>0</v>
      </c>
      <c r="AB87" s="657">
        <v>1</v>
      </c>
      <c r="AC87" s="657">
        <v>0</v>
      </c>
      <c r="AD87" s="768">
        <v>145</v>
      </c>
      <c r="AE87" s="769">
        <v>1.8064516129032258</v>
      </c>
      <c r="AF87" s="769">
        <v>138.19354838709677</v>
      </c>
      <c r="AG87" s="770">
        <v>140</v>
      </c>
      <c r="AH87" s="769">
        <v>0</v>
      </c>
      <c r="AI87" s="769">
        <v>1.7245657397652119</v>
      </c>
      <c r="AJ87" s="769">
        <v>131.92927909203871</v>
      </c>
      <c r="AK87" s="769">
        <v>133.65384483180392</v>
      </c>
      <c r="AL87" s="769">
        <v>0</v>
      </c>
      <c r="AM87" s="769">
        <v>1.6852608975431678</v>
      </c>
      <c r="AN87" s="769">
        <v>128.92245866205232</v>
      </c>
      <c r="AO87" s="769">
        <v>130.60771955959549</v>
      </c>
      <c r="AP87" s="769">
        <v>0</v>
      </c>
      <c r="AQ87" s="769">
        <v>0.94010766733490925</v>
      </c>
      <c r="AR87" s="769">
        <v>0</v>
      </c>
      <c r="AS87" s="769">
        <v>124.05104332169388</v>
      </c>
      <c r="AT87" s="769">
        <v>128.76295622321297</v>
      </c>
      <c r="AU87" s="769">
        <v>133.65384483180392</v>
      </c>
      <c r="AV87" s="769">
        <v>138.73050730023215</v>
      </c>
      <c r="AW87" s="769">
        <v>144</v>
      </c>
      <c r="AX87" s="769">
        <v>121.84554577541388</v>
      </c>
      <c r="AY87" s="769">
        <v>126.15058015015671</v>
      </c>
      <c r="AZ87" s="769">
        <v>130.60771955959549</v>
      </c>
      <c r="BA87" s="769">
        <v>135.22233816327599</v>
      </c>
      <c r="BB87" s="769">
        <v>140</v>
      </c>
      <c r="BC87" s="769">
        <v>0.88380242618188454</v>
      </c>
      <c r="BD87" s="769">
        <v>0.91152039870909352</v>
      </c>
      <c r="BE87" s="769">
        <v>0.94010766733490925</v>
      </c>
      <c r="BF87" s="769">
        <v>0.96959149508177378</v>
      </c>
      <c r="BG87" s="769">
        <v>1</v>
      </c>
      <c r="BH87" s="771">
        <v>147.0190932994058</v>
      </c>
      <c r="BI87" s="771">
        <v>150.10148468457908</v>
      </c>
      <c r="BJ87" s="771">
        <v>153.24850125848241</v>
      </c>
      <c r="BK87" s="772">
        <v>153.41000789942666</v>
      </c>
      <c r="BL87" s="772">
        <v>153.57151454037086</v>
      </c>
      <c r="BM87" s="772">
        <v>153.73302118131508</v>
      </c>
      <c r="BN87" s="772">
        <v>153.89452782225931</v>
      </c>
      <c r="BO87" s="772">
        <v>154.08549883225263</v>
      </c>
      <c r="BP87" s="772">
        <v>154.27646984224589</v>
      </c>
      <c r="BQ87" s="772">
        <v>154.80589630460935</v>
      </c>
      <c r="BR87" s="772">
        <v>155.43667169678639</v>
      </c>
      <c r="BS87" s="772">
        <v>155.71363275277241</v>
      </c>
      <c r="BT87" s="772">
        <v>155.86572760123784</v>
      </c>
      <c r="BU87" s="772">
        <v>156.02323616752108</v>
      </c>
      <c r="BV87" s="772">
        <v>156.18453433627673</v>
      </c>
      <c r="BW87" s="771">
        <v>142.93522959664452</v>
      </c>
      <c r="BX87" s="771">
        <v>145.93199899889632</v>
      </c>
      <c r="BY87" s="771">
        <v>148.99159844574677</v>
      </c>
      <c r="BZ87" s="772">
        <v>149.14861879110924</v>
      </c>
      <c r="CA87" s="772">
        <v>149.30563913647165</v>
      </c>
      <c r="CB87" s="772">
        <v>149.46265948183409</v>
      </c>
      <c r="CC87" s="772">
        <v>149.61967982719656</v>
      </c>
      <c r="CD87" s="772">
        <v>149.80534608691227</v>
      </c>
      <c r="CE87" s="772">
        <v>149.99101234662794</v>
      </c>
      <c r="CF87" s="772">
        <v>150.50573251837017</v>
      </c>
      <c r="CG87" s="772">
        <v>151.11898637187565</v>
      </c>
      <c r="CH87" s="772">
        <v>151.38825406519538</v>
      </c>
      <c r="CI87" s="772">
        <v>151.53612405675901</v>
      </c>
      <c r="CJ87" s="772">
        <v>151.68925738508992</v>
      </c>
      <c r="CK87" s="772">
        <v>151.84607504915792</v>
      </c>
      <c r="CL87" s="771">
        <v>1.0209659256903181</v>
      </c>
      <c r="CM87" s="771">
        <v>1.0423714214206881</v>
      </c>
      <c r="CN87" s="771">
        <v>1.0642257031839055</v>
      </c>
      <c r="CO87" s="772">
        <v>1.0653472770793517</v>
      </c>
      <c r="CP87" s="772">
        <v>1.0664688509747975</v>
      </c>
      <c r="CQ87" s="772">
        <v>1.0675904248702435</v>
      </c>
      <c r="CR87" s="772">
        <v>1.0687119987656897</v>
      </c>
      <c r="CS87" s="772">
        <v>1.0700381863350876</v>
      </c>
      <c r="CT87" s="772">
        <v>1.0713643739044854</v>
      </c>
      <c r="CU87" s="772">
        <v>1.075040946559787</v>
      </c>
      <c r="CV87" s="772">
        <v>1.0794213312276832</v>
      </c>
      <c r="CW87" s="772">
        <v>1.0813446718942528</v>
      </c>
      <c r="CX87" s="772">
        <v>1.0824008861197072</v>
      </c>
      <c r="CY87" s="772">
        <v>1.0834946956077851</v>
      </c>
      <c r="CZ87" s="772">
        <v>1.0846148217796994</v>
      </c>
      <c r="DA87" s="773">
        <v>0</v>
      </c>
      <c r="DB87" s="773">
        <v>0</v>
      </c>
      <c r="DC87" s="773">
        <v>0</v>
      </c>
      <c r="DD87" s="774">
        <v>0</v>
      </c>
      <c r="DE87" s="774">
        <v>0</v>
      </c>
      <c r="DF87" s="774">
        <v>0</v>
      </c>
      <c r="DG87" s="774">
        <v>0</v>
      </c>
      <c r="DH87" s="774">
        <v>0</v>
      </c>
      <c r="DI87" s="774">
        <v>0</v>
      </c>
      <c r="DJ87" s="774">
        <v>0</v>
      </c>
      <c r="DK87" s="774">
        <v>0</v>
      </c>
      <c r="DL87" s="774">
        <v>0</v>
      </c>
      <c r="DM87" s="774">
        <v>0</v>
      </c>
      <c r="DN87" s="774">
        <v>0</v>
      </c>
      <c r="DO87" s="774">
        <v>0</v>
      </c>
      <c r="DP87" s="773">
        <v>0</v>
      </c>
      <c r="DQ87" s="773">
        <v>0</v>
      </c>
      <c r="DR87" s="773">
        <v>0</v>
      </c>
      <c r="DS87" s="774">
        <v>0</v>
      </c>
      <c r="DT87" s="774">
        <v>0</v>
      </c>
      <c r="DU87" s="774">
        <v>0</v>
      </c>
      <c r="DV87" s="774">
        <v>0</v>
      </c>
      <c r="DW87" s="774">
        <v>0</v>
      </c>
      <c r="DX87" s="774">
        <v>0</v>
      </c>
      <c r="DY87" s="774">
        <v>0</v>
      </c>
      <c r="DZ87" s="774">
        <v>0</v>
      </c>
      <c r="EA87" s="774">
        <v>0</v>
      </c>
      <c r="EB87" s="774">
        <v>0</v>
      </c>
      <c r="EC87" s="774">
        <v>0</v>
      </c>
      <c r="ED87" s="774">
        <v>0</v>
      </c>
    </row>
    <row r="88" spans="1:134" ht="15" x14ac:dyDescent="0.25">
      <c r="A88" s="766">
        <v>125</v>
      </c>
      <c r="B88" s="766">
        <v>86</v>
      </c>
      <c r="C88" s="766" t="s">
        <v>3759</v>
      </c>
      <c r="D88" s="2">
        <v>99705</v>
      </c>
      <c r="E88" s="2">
        <v>99705</v>
      </c>
      <c r="F88" s="767" t="s">
        <v>3746</v>
      </c>
      <c r="G88" s="114">
        <v>493</v>
      </c>
      <c r="H88" s="114">
        <v>158</v>
      </c>
      <c r="I88" s="114">
        <v>152</v>
      </c>
      <c r="J88" s="114">
        <v>6</v>
      </c>
      <c r="K88" s="114">
        <v>0</v>
      </c>
      <c r="L88" s="114">
        <v>134</v>
      </c>
      <c r="M88" s="114">
        <v>134</v>
      </c>
      <c r="N88" s="114">
        <v>2</v>
      </c>
      <c r="O88" s="114">
        <v>0</v>
      </c>
      <c r="P88" s="114">
        <v>0</v>
      </c>
      <c r="Q88" s="114">
        <v>136</v>
      </c>
      <c r="R88" s="114">
        <v>0</v>
      </c>
      <c r="S88" s="114">
        <v>2435.9328358208954</v>
      </c>
      <c r="T88" s="114">
        <v>2435.9328358208954</v>
      </c>
      <c r="U88" s="114">
        <v>2460</v>
      </c>
      <c r="V88" s="114">
        <v>0</v>
      </c>
      <c r="W88" s="114">
        <v>0</v>
      </c>
      <c r="X88" s="114">
        <v>2436.2867647058824</v>
      </c>
      <c r="Y88" s="114">
        <v>0</v>
      </c>
      <c r="Z88" s="114">
        <v>158</v>
      </c>
      <c r="AA88" s="114">
        <v>0</v>
      </c>
      <c r="AB88" s="657">
        <v>2</v>
      </c>
      <c r="AC88" s="657">
        <v>0</v>
      </c>
      <c r="AD88" s="768">
        <v>160</v>
      </c>
      <c r="AE88" s="769">
        <v>0</v>
      </c>
      <c r="AF88" s="769">
        <v>152</v>
      </c>
      <c r="AG88" s="770">
        <v>152</v>
      </c>
      <c r="AH88" s="769">
        <v>0</v>
      </c>
      <c r="AI88" s="769">
        <v>0</v>
      </c>
      <c r="AJ88" s="769">
        <v>146.64796863489596</v>
      </c>
      <c r="AK88" s="769">
        <v>146.64796863489596</v>
      </c>
      <c r="AL88" s="769">
        <v>0</v>
      </c>
      <c r="AM88" s="769">
        <v>0</v>
      </c>
      <c r="AN88" s="769">
        <v>141.80266695041797</v>
      </c>
      <c r="AO88" s="769">
        <v>141.80266695041797</v>
      </c>
      <c r="AP88" s="769">
        <v>0</v>
      </c>
      <c r="AQ88" s="769">
        <v>1.8802153346698185</v>
      </c>
      <c r="AR88" s="769">
        <v>0</v>
      </c>
      <c r="AS88" s="769">
        <v>136.11156142241413</v>
      </c>
      <c r="AT88" s="769">
        <v>141.28157696713646</v>
      </c>
      <c r="AU88" s="769">
        <v>146.64796863489596</v>
      </c>
      <c r="AV88" s="769">
        <v>152.21819550997694</v>
      </c>
      <c r="AW88" s="769">
        <v>158</v>
      </c>
      <c r="AX88" s="769">
        <v>132.28944969902079</v>
      </c>
      <c r="AY88" s="769">
        <v>136.96348702017013</v>
      </c>
      <c r="AZ88" s="769">
        <v>141.80266695041797</v>
      </c>
      <c r="BA88" s="769">
        <v>146.81282429155681</v>
      </c>
      <c r="BB88" s="769">
        <v>152</v>
      </c>
      <c r="BC88" s="769">
        <v>1.7676048523637691</v>
      </c>
      <c r="BD88" s="769">
        <v>1.823040797418187</v>
      </c>
      <c r="BE88" s="769">
        <v>1.8802153346698185</v>
      </c>
      <c r="BF88" s="769">
        <v>1.9391829901635476</v>
      </c>
      <c r="BG88" s="769">
        <v>2</v>
      </c>
      <c r="BH88" s="771">
        <v>159.46687058194058</v>
      </c>
      <c r="BI88" s="771">
        <v>160.94735957719868</v>
      </c>
      <c r="BJ88" s="771">
        <v>162.44159341900126</v>
      </c>
      <c r="BK88" s="772">
        <v>163.46131717251822</v>
      </c>
      <c r="BL88" s="772">
        <v>164.48104092603521</v>
      </c>
      <c r="BM88" s="772">
        <v>165.50076467955222</v>
      </c>
      <c r="BN88" s="772">
        <v>166.52048843306918</v>
      </c>
      <c r="BO88" s="772">
        <v>167.7262448897994</v>
      </c>
      <c r="BP88" s="772">
        <v>168.9320013465296</v>
      </c>
      <c r="BQ88" s="772">
        <v>172.27470438496931</v>
      </c>
      <c r="BR88" s="772">
        <v>176.25730625679634</v>
      </c>
      <c r="BS88" s="772">
        <v>178.00598832916771</v>
      </c>
      <c r="BT88" s="772">
        <v>178.96628772528558</v>
      </c>
      <c r="BU88" s="772">
        <v>179.96076835767553</v>
      </c>
      <c r="BV88" s="772">
        <v>180.97917585545605</v>
      </c>
      <c r="BW88" s="771">
        <v>153.41116663579095</v>
      </c>
      <c r="BX88" s="771">
        <v>154.83543452996329</v>
      </c>
      <c r="BY88" s="771">
        <v>156.27292531448222</v>
      </c>
      <c r="BZ88" s="772">
        <v>157.25392538115676</v>
      </c>
      <c r="CA88" s="772">
        <v>158.23492544783133</v>
      </c>
      <c r="CB88" s="772">
        <v>159.21592551450593</v>
      </c>
      <c r="CC88" s="772">
        <v>160.19692558118047</v>
      </c>
      <c r="CD88" s="772">
        <v>161.35689381803485</v>
      </c>
      <c r="CE88" s="772">
        <v>162.51686205488923</v>
      </c>
      <c r="CF88" s="772">
        <v>165.7326270032616</v>
      </c>
      <c r="CG88" s="772">
        <v>169.56399082932305</v>
      </c>
      <c r="CH88" s="772">
        <v>171.24626725337652</v>
      </c>
      <c r="CI88" s="772">
        <v>172.17009958381905</v>
      </c>
      <c r="CJ88" s="772">
        <v>173.12681512890305</v>
      </c>
      <c r="CK88" s="772">
        <v>174.10654892423619</v>
      </c>
      <c r="CL88" s="771">
        <v>2.018567982049881</v>
      </c>
      <c r="CM88" s="771">
        <v>2.0373083490784643</v>
      </c>
      <c r="CN88" s="771">
        <v>2.056222701506345</v>
      </c>
      <c r="CO88" s="772">
        <v>2.0691305971204836</v>
      </c>
      <c r="CP88" s="772">
        <v>2.0820384927346227</v>
      </c>
      <c r="CQ88" s="772">
        <v>2.0949463883487618</v>
      </c>
      <c r="CR88" s="772">
        <v>2.1078542839629009</v>
      </c>
      <c r="CS88" s="772">
        <v>2.1231170239215111</v>
      </c>
      <c r="CT88" s="772">
        <v>2.1383797638801214</v>
      </c>
      <c r="CU88" s="772">
        <v>2.1806924605692317</v>
      </c>
      <c r="CV88" s="772">
        <v>2.231105142491093</v>
      </c>
      <c r="CW88" s="772">
        <v>2.2532403585970595</v>
      </c>
      <c r="CX88" s="772">
        <v>2.2653960471555137</v>
      </c>
      <c r="CY88" s="772">
        <v>2.2779844095908293</v>
      </c>
      <c r="CZ88" s="772">
        <v>2.2908756437399496</v>
      </c>
      <c r="DA88" s="773">
        <v>0</v>
      </c>
      <c r="DB88" s="773">
        <v>0</v>
      </c>
      <c r="DC88" s="773">
        <v>0</v>
      </c>
      <c r="DD88" s="774">
        <v>0</v>
      </c>
      <c r="DE88" s="774">
        <v>0</v>
      </c>
      <c r="DF88" s="774">
        <v>0</v>
      </c>
      <c r="DG88" s="774">
        <v>0</v>
      </c>
      <c r="DH88" s="774">
        <v>0</v>
      </c>
      <c r="DI88" s="774">
        <v>0</v>
      </c>
      <c r="DJ88" s="774">
        <v>0</v>
      </c>
      <c r="DK88" s="774">
        <v>0</v>
      </c>
      <c r="DL88" s="774">
        <v>0</v>
      </c>
      <c r="DM88" s="774">
        <v>0</v>
      </c>
      <c r="DN88" s="774">
        <v>0</v>
      </c>
      <c r="DO88" s="774">
        <v>0</v>
      </c>
      <c r="DP88" s="773">
        <v>0</v>
      </c>
      <c r="DQ88" s="773">
        <v>0</v>
      </c>
      <c r="DR88" s="773">
        <v>0</v>
      </c>
      <c r="DS88" s="774">
        <v>0</v>
      </c>
      <c r="DT88" s="774">
        <v>0</v>
      </c>
      <c r="DU88" s="774">
        <v>0</v>
      </c>
      <c r="DV88" s="774">
        <v>0</v>
      </c>
      <c r="DW88" s="774">
        <v>0</v>
      </c>
      <c r="DX88" s="774">
        <v>0</v>
      </c>
      <c r="DY88" s="774">
        <v>0</v>
      </c>
      <c r="DZ88" s="774">
        <v>0</v>
      </c>
      <c r="EA88" s="774">
        <v>0</v>
      </c>
      <c r="EB88" s="774">
        <v>0</v>
      </c>
      <c r="EC88" s="774">
        <v>0</v>
      </c>
      <c r="ED88" s="774">
        <v>0</v>
      </c>
    </row>
    <row r="89" spans="1:134" ht="15" x14ac:dyDescent="0.25">
      <c r="A89" s="766">
        <v>126</v>
      </c>
      <c r="B89" s="766">
        <v>86</v>
      </c>
      <c r="C89" s="766" t="s">
        <v>3760</v>
      </c>
      <c r="D89" s="2">
        <v>99705</v>
      </c>
      <c r="E89" s="2">
        <v>99705</v>
      </c>
      <c r="F89" s="767" t="s">
        <v>3746</v>
      </c>
      <c r="G89" s="114">
        <v>284</v>
      </c>
      <c r="H89" s="114">
        <v>110</v>
      </c>
      <c r="I89" s="114">
        <v>98</v>
      </c>
      <c r="J89" s="114">
        <v>12</v>
      </c>
      <c r="K89" s="114">
        <v>0</v>
      </c>
      <c r="L89" s="114">
        <v>130</v>
      </c>
      <c r="M89" s="114">
        <v>130</v>
      </c>
      <c r="N89" s="114">
        <v>0</v>
      </c>
      <c r="O89" s="114">
        <v>0</v>
      </c>
      <c r="P89" s="114">
        <v>0</v>
      </c>
      <c r="Q89" s="114">
        <v>130</v>
      </c>
      <c r="R89" s="114">
        <v>0</v>
      </c>
      <c r="S89" s="114">
        <v>2084.7615384615383</v>
      </c>
      <c r="T89" s="114">
        <v>2084.7615384615383</v>
      </c>
      <c r="U89" s="114">
        <v>0</v>
      </c>
      <c r="V89" s="114">
        <v>0</v>
      </c>
      <c r="W89" s="114">
        <v>0</v>
      </c>
      <c r="X89" s="114">
        <v>2084.7615384615383</v>
      </c>
      <c r="Y89" s="114">
        <v>0</v>
      </c>
      <c r="Z89" s="114">
        <v>110</v>
      </c>
      <c r="AA89" s="114">
        <v>0</v>
      </c>
      <c r="AB89" s="657">
        <v>0</v>
      </c>
      <c r="AC89" s="657">
        <v>0</v>
      </c>
      <c r="AD89" s="768">
        <v>110</v>
      </c>
      <c r="AE89" s="769">
        <v>0</v>
      </c>
      <c r="AF89" s="769">
        <v>98</v>
      </c>
      <c r="AG89" s="770">
        <v>98</v>
      </c>
      <c r="AH89" s="769">
        <v>0</v>
      </c>
      <c r="AI89" s="769">
        <v>0</v>
      </c>
      <c r="AJ89" s="769">
        <v>102.09668702429465</v>
      </c>
      <c r="AK89" s="769">
        <v>102.09668702429465</v>
      </c>
      <c r="AL89" s="769">
        <v>0</v>
      </c>
      <c r="AM89" s="769">
        <v>0</v>
      </c>
      <c r="AN89" s="769">
        <v>91.425403691716852</v>
      </c>
      <c r="AO89" s="769">
        <v>91.425403691716852</v>
      </c>
      <c r="AP89" s="769">
        <v>0</v>
      </c>
      <c r="AQ89" s="769">
        <v>0</v>
      </c>
      <c r="AR89" s="769">
        <v>0</v>
      </c>
      <c r="AS89" s="769">
        <v>94.761213648516161</v>
      </c>
      <c r="AT89" s="769">
        <v>98.360591559398799</v>
      </c>
      <c r="AU89" s="769">
        <v>102.09668702429465</v>
      </c>
      <c r="AV89" s="769">
        <v>105.97469307656623</v>
      </c>
      <c r="AW89" s="769">
        <v>110</v>
      </c>
      <c r="AX89" s="769">
        <v>85.291882042789723</v>
      </c>
      <c r="AY89" s="769">
        <v>88.305406105109697</v>
      </c>
      <c r="AZ89" s="769">
        <v>91.425403691716852</v>
      </c>
      <c r="BA89" s="769">
        <v>94.655636714293209</v>
      </c>
      <c r="BB89" s="769">
        <v>98</v>
      </c>
      <c r="BC89" s="769">
        <v>0</v>
      </c>
      <c r="BD89" s="769">
        <v>0</v>
      </c>
      <c r="BE89" s="769">
        <v>0</v>
      </c>
      <c r="BF89" s="769">
        <v>0</v>
      </c>
      <c r="BG89" s="769">
        <v>0</v>
      </c>
      <c r="BH89" s="771">
        <v>110.88735958264374</v>
      </c>
      <c r="BI89" s="771">
        <v>111.78187741100483</v>
      </c>
      <c r="BJ89" s="771">
        <v>112.68361122997358</v>
      </c>
      <c r="BK89" s="772">
        <v>114.65805670963715</v>
      </c>
      <c r="BL89" s="772">
        <v>116.63250218930072</v>
      </c>
      <c r="BM89" s="772">
        <v>118.60694766896432</v>
      </c>
      <c r="BN89" s="772">
        <v>120.5813931486279</v>
      </c>
      <c r="BO89" s="772">
        <v>122.91604542808615</v>
      </c>
      <c r="BP89" s="772">
        <v>125.25069770754442</v>
      </c>
      <c r="BQ89" s="772">
        <v>131.7230240423404</v>
      </c>
      <c r="BR89" s="772">
        <v>139.43435785800182</v>
      </c>
      <c r="BS89" s="772">
        <v>142.82025271555932</v>
      </c>
      <c r="BT89" s="772">
        <v>144.67963747074344</v>
      </c>
      <c r="BU89" s="772">
        <v>146.60520582439136</v>
      </c>
      <c r="BV89" s="772">
        <v>148.57710269696403</v>
      </c>
      <c r="BW89" s="771">
        <v>98.790556719082602</v>
      </c>
      <c r="BX89" s="771">
        <v>99.587490784349754</v>
      </c>
      <c r="BY89" s="771">
        <v>100.39085364124919</v>
      </c>
      <c r="BZ89" s="772">
        <v>102.14990506858584</v>
      </c>
      <c r="CA89" s="772">
        <v>103.90895649592247</v>
      </c>
      <c r="CB89" s="772">
        <v>105.66800792325913</v>
      </c>
      <c r="CC89" s="772">
        <v>107.42705935059577</v>
      </c>
      <c r="CD89" s="772">
        <v>109.50702229047675</v>
      </c>
      <c r="CE89" s="772">
        <v>111.58698523035777</v>
      </c>
      <c r="CF89" s="772">
        <v>117.35323960135781</v>
      </c>
      <c r="CG89" s="772">
        <v>124.22333700076526</v>
      </c>
      <c r="CH89" s="772">
        <v>127.23986151022559</v>
      </c>
      <c r="CI89" s="772">
        <v>128.8964042921169</v>
      </c>
      <c r="CJ89" s="772">
        <v>130.6119106435487</v>
      </c>
      <c r="CK89" s="772">
        <v>132.36869149365887</v>
      </c>
      <c r="CL89" s="771">
        <v>0</v>
      </c>
      <c r="CM89" s="771">
        <v>0</v>
      </c>
      <c r="CN89" s="771">
        <v>0</v>
      </c>
      <c r="CO89" s="772">
        <v>0</v>
      </c>
      <c r="CP89" s="772">
        <v>0</v>
      </c>
      <c r="CQ89" s="772">
        <v>0</v>
      </c>
      <c r="CR89" s="772">
        <v>0</v>
      </c>
      <c r="CS89" s="772">
        <v>0</v>
      </c>
      <c r="CT89" s="772">
        <v>0</v>
      </c>
      <c r="CU89" s="772">
        <v>0</v>
      </c>
      <c r="CV89" s="772">
        <v>0</v>
      </c>
      <c r="CW89" s="772">
        <v>0</v>
      </c>
      <c r="CX89" s="772">
        <v>0</v>
      </c>
      <c r="CY89" s="772">
        <v>0</v>
      </c>
      <c r="CZ89" s="772">
        <v>0</v>
      </c>
      <c r="DA89" s="773">
        <v>0</v>
      </c>
      <c r="DB89" s="773">
        <v>0</v>
      </c>
      <c r="DC89" s="773">
        <v>0</v>
      </c>
      <c r="DD89" s="774">
        <v>0</v>
      </c>
      <c r="DE89" s="774">
        <v>0</v>
      </c>
      <c r="DF89" s="774">
        <v>0</v>
      </c>
      <c r="DG89" s="774">
        <v>0</v>
      </c>
      <c r="DH89" s="774">
        <v>0</v>
      </c>
      <c r="DI89" s="774">
        <v>0</v>
      </c>
      <c r="DJ89" s="774">
        <v>0</v>
      </c>
      <c r="DK89" s="774">
        <v>0</v>
      </c>
      <c r="DL89" s="774">
        <v>0</v>
      </c>
      <c r="DM89" s="774">
        <v>0</v>
      </c>
      <c r="DN89" s="774">
        <v>0</v>
      </c>
      <c r="DO89" s="774">
        <v>0</v>
      </c>
      <c r="DP89" s="773">
        <v>0</v>
      </c>
      <c r="DQ89" s="773">
        <v>0</v>
      </c>
      <c r="DR89" s="773">
        <v>0</v>
      </c>
      <c r="DS89" s="774">
        <v>0</v>
      </c>
      <c r="DT89" s="774">
        <v>0</v>
      </c>
      <c r="DU89" s="774">
        <v>0</v>
      </c>
      <c r="DV89" s="774">
        <v>0</v>
      </c>
      <c r="DW89" s="774">
        <v>0</v>
      </c>
      <c r="DX89" s="774">
        <v>0</v>
      </c>
      <c r="DY89" s="774">
        <v>0</v>
      </c>
      <c r="DZ89" s="774">
        <v>0</v>
      </c>
      <c r="EA89" s="774">
        <v>0</v>
      </c>
      <c r="EB89" s="774">
        <v>0</v>
      </c>
      <c r="EC89" s="774">
        <v>0</v>
      </c>
      <c r="ED89" s="774">
        <v>0</v>
      </c>
    </row>
    <row r="90" spans="1:134" ht="15" x14ac:dyDescent="0.25">
      <c r="A90" s="766">
        <v>83</v>
      </c>
      <c r="B90" s="766">
        <v>87</v>
      </c>
      <c r="C90" s="766" t="s">
        <v>3761</v>
      </c>
      <c r="D90" s="2">
        <v>99760</v>
      </c>
      <c r="E90" s="2">
        <v>99760</v>
      </c>
      <c r="F90" s="767" t="s">
        <v>3676</v>
      </c>
      <c r="G90" s="114">
        <v>28</v>
      </c>
      <c r="H90" s="114">
        <v>30</v>
      </c>
      <c r="I90" s="114">
        <v>16</v>
      </c>
      <c r="J90" s="114">
        <v>14</v>
      </c>
      <c r="K90" s="114">
        <v>0</v>
      </c>
      <c r="L90" s="114">
        <v>0</v>
      </c>
      <c r="M90" s="114">
        <v>0</v>
      </c>
      <c r="N90" s="114">
        <v>0</v>
      </c>
      <c r="O90" s="114">
        <v>0</v>
      </c>
      <c r="P90" s="114">
        <v>0</v>
      </c>
      <c r="Q90" s="114">
        <v>0</v>
      </c>
      <c r="R90" s="114">
        <v>0</v>
      </c>
      <c r="S90" s="114">
        <v>834.49503068156923</v>
      </c>
      <c r="T90" s="114">
        <v>834.49503068156923</v>
      </c>
      <c r="U90" s="114">
        <v>1408.3846153846155</v>
      </c>
      <c r="V90" s="114">
        <v>0</v>
      </c>
      <c r="W90" s="114">
        <v>0</v>
      </c>
      <c r="X90" s="114">
        <v>1365.173957061457</v>
      </c>
      <c r="Y90" s="114">
        <v>0.68737006237006237</v>
      </c>
      <c r="Z90" s="114">
        <v>29.273648648648649</v>
      </c>
      <c r="AA90" s="114">
        <v>3.8981288981288983E-2</v>
      </c>
      <c r="AB90" s="657">
        <v>0</v>
      </c>
      <c r="AC90" s="657">
        <v>0</v>
      </c>
      <c r="AD90" s="768">
        <v>30</v>
      </c>
      <c r="AE90" s="769">
        <v>0.36659736659736658</v>
      </c>
      <c r="AF90" s="769">
        <v>15.612612612612613</v>
      </c>
      <c r="AG90" s="770">
        <v>15.97920997920998</v>
      </c>
      <c r="AH90" s="769">
        <v>2.0790020790020791E-2</v>
      </c>
      <c r="AI90" s="769">
        <v>0.63486105444328256</v>
      </c>
      <c r="AJ90" s="769">
        <v>27.037400180628946</v>
      </c>
      <c r="AK90" s="769">
        <v>27.672261235072227</v>
      </c>
      <c r="AL90" s="769">
        <v>3.6003462444798635E-2</v>
      </c>
      <c r="AM90" s="769">
        <v>0.34189362157627051</v>
      </c>
      <c r="AN90" s="769">
        <v>14.560531947999619</v>
      </c>
      <c r="AO90" s="769">
        <v>14.90242556957589</v>
      </c>
      <c r="AP90" s="769">
        <v>1.9389052263304566E-2</v>
      </c>
      <c r="AQ90" s="769">
        <v>0</v>
      </c>
      <c r="AR90" s="769">
        <v>0</v>
      </c>
      <c r="AS90" s="769">
        <v>25.558344636007355</v>
      </c>
      <c r="AT90" s="769">
        <v>26.594307464260137</v>
      </c>
      <c r="AU90" s="769">
        <v>27.672261235072227</v>
      </c>
      <c r="AV90" s="769">
        <v>28.793907977907352</v>
      </c>
      <c r="AW90" s="769">
        <v>29.96101871101871</v>
      </c>
      <c r="AX90" s="769">
        <v>13.898201985310489</v>
      </c>
      <c r="AY90" s="769">
        <v>14.391557269351409</v>
      </c>
      <c r="AZ90" s="769">
        <v>14.90242556957589</v>
      </c>
      <c r="BA90" s="769">
        <v>15.431428559138686</v>
      </c>
      <c r="BB90" s="769">
        <v>15.97920997920998</v>
      </c>
      <c r="BC90" s="769">
        <v>0</v>
      </c>
      <c r="BD90" s="769">
        <v>0</v>
      </c>
      <c r="BE90" s="769">
        <v>0</v>
      </c>
      <c r="BF90" s="769">
        <v>0</v>
      </c>
      <c r="BG90" s="769">
        <v>0</v>
      </c>
      <c r="BH90" s="771">
        <v>30.11449789467207</v>
      </c>
      <c r="BI90" s="771">
        <v>30.268763295244227</v>
      </c>
      <c r="BJ90" s="771">
        <v>30.423818940232771</v>
      </c>
      <c r="BK90" s="772">
        <v>30.223795679004695</v>
      </c>
      <c r="BL90" s="772">
        <v>30.025087482959947</v>
      </c>
      <c r="BM90" s="772">
        <v>30.24063354754394</v>
      </c>
      <c r="BN90" s="772">
        <v>30.457726988334045</v>
      </c>
      <c r="BO90" s="772">
        <v>30.676378913735928</v>
      </c>
      <c r="BP90" s="772">
        <v>30.896600511900989</v>
      </c>
      <c r="BQ90" s="772">
        <v>31.118403051298866</v>
      </c>
      <c r="BR90" s="772">
        <v>31.293090097299096</v>
      </c>
      <c r="BS90" s="772">
        <v>31.468757770871701</v>
      </c>
      <c r="BT90" s="772">
        <v>31.645411576892162</v>
      </c>
      <c r="BU90" s="772">
        <v>31.823057051138257</v>
      </c>
      <c r="BV90" s="772">
        <v>32.001699760463538</v>
      </c>
      <c r="BW90" s="771">
        <v>16.061065543825105</v>
      </c>
      <c r="BX90" s="771">
        <v>16.143340424130255</v>
      </c>
      <c r="BY90" s="771">
        <v>16.226036768124146</v>
      </c>
      <c r="BZ90" s="772">
        <v>16.119357695469173</v>
      </c>
      <c r="CA90" s="772">
        <v>16.013379990911975</v>
      </c>
      <c r="CB90" s="772">
        <v>16.128337892023435</v>
      </c>
      <c r="CC90" s="772">
        <v>16.244121060444826</v>
      </c>
      <c r="CD90" s="772">
        <v>16.360735420659164</v>
      </c>
      <c r="CE90" s="772">
        <v>16.47818693968053</v>
      </c>
      <c r="CF90" s="772">
        <v>16.596481627359395</v>
      </c>
      <c r="CG90" s="772">
        <v>16.689648051892853</v>
      </c>
      <c r="CH90" s="772">
        <v>16.783337477798245</v>
      </c>
      <c r="CI90" s="772">
        <v>16.877552841009155</v>
      </c>
      <c r="CJ90" s="772">
        <v>16.972297093940405</v>
      </c>
      <c r="CK90" s="772">
        <v>17.067573205580555</v>
      </c>
      <c r="CL90" s="771">
        <v>0</v>
      </c>
      <c r="CM90" s="771">
        <v>0</v>
      </c>
      <c r="CN90" s="771">
        <v>0</v>
      </c>
      <c r="CO90" s="772">
        <v>0</v>
      </c>
      <c r="CP90" s="772">
        <v>0</v>
      </c>
      <c r="CQ90" s="772">
        <v>0</v>
      </c>
      <c r="CR90" s="772">
        <v>0</v>
      </c>
      <c r="CS90" s="772">
        <v>0</v>
      </c>
      <c r="CT90" s="772">
        <v>0</v>
      </c>
      <c r="CU90" s="772">
        <v>0</v>
      </c>
      <c r="CV90" s="772">
        <v>0</v>
      </c>
      <c r="CW90" s="772">
        <v>0</v>
      </c>
      <c r="CX90" s="772">
        <v>0</v>
      </c>
      <c r="CY90" s="772">
        <v>0</v>
      </c>
      <c r="CZ90" s="772">
        <v>0</v>
      </c>
      <c r="DA90" s="773">
        <v>3.918097566311745E-2</v>
      </c>
      <c r="DB90" s="773">
        <v>3.9381685265735399E-2</v>
      </c>
      <c r="DC90" s="773">
        <v>3.9583423029186535E-2</v>
      </c>
      <c r="DD90" s="774">
        <v>3.9323179389805743E-2</v>
      </c>
      <c r="DE90" s="774">
        <v>3.9064646738173232E-2</v>
      </c>
      <c r="DF90" s="774">
        <v>3.9345086582805021E-2</v>
      </c>
      <c r="DG90" s="774">
        <v>3.9627539667361496E-2</v>
      </c>
      <c r="DH90" s="774">
        <v>3.9912020444621298E-2</v>
      </c>
      <c r="DI90" s="774">
        <v>4.01985434711176E-2</v>
      </c>
      <c r="DJ90" s="774">
        <v>4.0487123407882991E-2</v>
      </c>
      <c r="DK90" s="774">
        <v>4.0714402936897084E-2</v>
      </c>
      <c r="DL90" s="774">
        <v>4.0942958327962145E-2</v>
      </c>
      <c r="DM90" s="774">
        <v>4.117279674328931E-2</v>
      </c>
      <c r="DN90" s="774">
        <v>4.1403925385295678E-2</v>
      </c>
      <c r="DO90" s="774">
        <v>4.1636351496830003E-2</v>
      </c>
      <c r="DP90" s="773">
        <v>0</v>
      </c>
      <c r="DQ90" s="773">
        <v>0</v>
      </c>
      <c r="DR90" s="773">
        <v>0</v>
      </c>
      <c r="DS90" s="774">
        <v>0</v>
      </c>
      <c r="DT90" s="774">
        <v>0</v>
      </c>
      <c r="DU90" s="774">
        <v>0</v>
      </c>
      <c r="DV90" s="774">
        <v>0</v>
      </c>
      <c r="DW90" s="774">
        <v>0</v>
      </c>
      <c r="DX90" s="774">
        <v>0</v>
      </c>
      <c r="DY90" s="774">
        <v>0</v>
      </c>
      <c r="DZ90" s="774">
        <v>0</v>
      </c>
      <c r="EA90" s="774">
        <v>0</v>
      </c>
      <c r="EB90" s="774">
        <v>0</v>
      </c>
      <c r="EC90" s="774">
        <v>0</v>
      </c>
      <c r="ED90" s="774">
        <v>0</v>
      </c>
    </row>
    <row r="91" spans="1:134" ht="15" x14ac:dyDescent="0.25">
      <c r="A91" s="766">
        <v>96</v>
      </c>
      <c r="B91" s="766">
        <v>87</v>
      </c>
      <c r="C91" s="766" t="s">
        <v>3762</v>
      </c>
      <c r="D91" s="2">
        <v>99709</v>
      </c>
      <c r="E91" s="2">
        <v>99709</v>
      </c>
      <c r="F91" s="767" t="s">
        <v>3676</v>
      </c>
      <c r="G91" s="114">
        <v>48</v>
      </c>
      <c r="H91" s="114">
        <v>21</v>
      </c>
      <c r="I91" s="114">
        <v>19</v>
      </c>
      <c r="J91" s="114">
        <v>2</v>
      </c>
      <c r="K91" s="114">
        <v>0</v>
      </c>
      <c r="L91" s="114">
        <v>18</v>
      </c>
      <c r="M91" s="114">
        <v>18</v>
      </c>
      <c r="N91" s="114">
        <v>0</v>
      </c>
      <c r="O91" s="114">
        <v>0</v>
      </c>
      <c r="P91" s="114">
        <v>0</v>
      </c>
      <c r="Q91" s="114">
        <v>18</v>
      </c>
      <c r="R91" s="114">
        <v>0</v>
      </c>
      <c r="S91" s="114">
        <v>1779.7777777777778</v>
      </c>
      <c r="T91" s="114">
        <v>1779.7777777777778</v>
      </c>
      <c r="U91" s="114">
        <v>0</v>
      </c>
      <c r="V91" s="114">
        <v>0</v>
      </c>
      <c r="W91" s="114">
        <v>0</v>
      </c>
      <c r="X91" s="114">
        <v>1779.7777777777778</v>
      </c>
      <c r="Y91" s="114">
        <v>0</v>
      </c>
      <c r="Z91" s="114">
        <v>21</v>
      </c>
      <c r="AA91" s="114">
        <v>0</v>
      </c>
      <c r="AB91" s="657">
        <v>0</v>
      </c>
      <c r="AC91" s="657">
        <v>0</v>
      </c>
      <c r="AD91" s="768">
        <v>21</v>
      </c>
      <c r="AE91" s="769">
        <v>0</v>
      </c>
      <c r="AF91" s="769">
        <v>19</v>
      </c>
      <c r="AG91" s="770">
        <v>19</v>
      </c>
      <c r="AH91" s="769">
        <v>0</v>
      </c>
      <c r="AI91" s="769">
        <v>0</v>
      </c>
      <c r="AJ91" s="769">
        <v>19.995326295162528</v>
      </c>
      <c r="AK91" s="769">
        <v>19.995326295162528</v>
      </c>
      <c r="AL91" s="769">
        <v>0</v>
      </c>
      <c r="AM91" s="769">
        <v>0</v>
      </c>
      <c r="AN91" s="769">
        <v>18.12513794906155</v>
      </c>
      <c r="AO91" s="769">
        <v>18.12513794906155</v>
      </c>
      <c r="AP91" s="769">
        <v>0</v>
      </c>
      <c r="AQ91" s="769">
        <v>0</v>
      </c>
      <c r="AR91" s="769">
        <v>0</v>
      </c>
      <c r="AS91" s="769">
        <v>19.038717792857998</v>
      </c>
      <c r="AT91" s="769">
        <v>19.511160255343917</v>
      </c>
      <c r="AU91" s="769">
        <v>19.995326295162528</v>
      </c>
      <c r="AV91" s="769">
        <v>20.491506830841235</v>
      </c>
      <c r="AW91" s="769">
        <v>21</v>
      </c>
      <c r="AX91" s="769">
        <v>17.290559245921639</v>
      </c>
      <c r="AY91" s="769">
        <v>17.702931156979382</v>
      </c>
      <c r="AZ91" s="769">
        <v>18.12513794906155</v>
      </c>
      <c r="BA91" s="769">
        <v>18.557414179571719</v>
      </c>
      <c r="BB91" s="769">
        <v>19</v>
      </c>
      <c r="BC91" s="769">
        <v>0</v>
      </c>
      <c r="BD91" s="769">
        <v>0</v>
      </c>
      <c r="BE91" s="769">
        <v>0</v>
      </c>
      <c r="BF91" s="769">
        <v>0</v>
      </c>
      <c r="BG91" s="769">
        <v>0</v>
      </c>
      <c r="BH91" s="771">
        <v>21.107575209234632</v>
      </c>
      <c r="BI91" s="771">
        <v>21.215701486356974</v>
      </c>
      <c r="BJ91" s="771">
        <v>21.324381654283371</v>
      </c>
      <c r="BK91" s="772">
        <v>21.379664810701115</v>
      </c>
      <c r="BL91" s="772">
        <v>21.434947967118863</v>
      </c>
      <c r="BM91" s="772">
        <v>21.490231123536606</v>
      </c>
      <c r="BN91" s="772">
        <v>21.54551427995435</v>
      </c>
      <c r="BO91" s="772">
        <v>21.610882986497881</v>
      </c>
      <c r="BP91" s="772">
        <v>21.676251693041419</v>
      </c>
      <c r="BQ91" s="772">
        <v>21.857472513184891</v>
      </c>
      <c r="BR91" s="772">
        <v>22.073384716338403</v>
      </c>
      <c r="BS91" s="772">
        <v>22.168187513859195</v>
      </c>
      <c r="BT91" s="772">
        <v>22.220249046740385</v>
      </c>
      <c r="BU91" s="772">
        <v>22.274163676232163</v>
      </c>
      <c r="BV91" s="772">
        <v>22.329375473351359</v>
      </c>
      <c r="BW91" s="771">
        <v>19.097329951212288</v>
      </c>
      <c r="BX91" s="771">
        <v>19.195158487656311</v>
      </c>
      <c r="BY91" s="771">
        <v>19.293488163399239</v>
      </c>
      <c r="BZ91" s="772">
        <v>19.343506257301009</v>
      </c>
      <c r="CA91" s="772">
        <v>19.393524351202778</v>
      </c>
      <c r="CB91" s="772">
        <v>19.443542445104548</v>
      </c>
      <c r="CC91" s="772">
        <v>19.493560539006317</v>
      </c>
      <c r="CD91" s="772">
        <v>19.552703654450465</v>
      </c>
      <c r="CE91" s="772">
        <v>19.611846769894616</v>
      </c>
      <c r="CF91" s="772">
        <v>19.775808464310138</v>
      </c>
      <c r="CG91" s="772">
        <v>19.971157600496646</v>
      </c>
      <c r="CH91" s="772">
        <v>20.056931560158318</v>
      </c>
      <c r="CI91" s="772">
        <v>20.104034851812727</v>
      </c>
      <c r="CJ91" s="772">
        <v>20.15281475468624</v>
      </c>
      <c r="CK91" s="772">
        <v>20.202768285413132</v>
      </c>
      <c r="CL91" s="771">
        <v>0</v>
      </c>
      <c r="CM91" s="771">
        <v>0</v>
      </c>
      <c r="CN91" s="771">
        <v>0</v>
      </c>
      <c r="CO91" s="772">
        <v>0</v>
      </c>
      <c r="CP91" s="772">
        <v>0</v>
      </c>
      <c r="CQ91" s="772">
        <v>0</v>
      </c>
      <c r="CR91" s="772">
        <v>0</v>
      </c>
      <c r="CS91" s="772">
        <v>0</v>
      </c>
      <c r="CT91" s="772">
        <v>0</v>
      </c>
      <c r="CU91" s="772">
        <v>0</v>
      </c>
      <c r="CV91" s="772">
        <v>0</v>
      </c>
      <c r="CW91" s="772">
        <v>0</v>
      </c>
      <c r="CX91" s="772">
        <v>0</v>
      </c>
      <c r="CY91" s="772">
        <v>0</v>
      </c>
      <c r="CZ91" s="772">
        <v>0</v>
      </c>
      <c r="DA91" s="773">
        <v>0</v>
      </c>
      <c r="DB91" s="773">
        <v>0</v>
      </c>
      <c r="DC91" s="773">
        <v>0</v>
      </c>
      <c r="DD91" s="774">
        <v>0</v>
      </c>
      <c r="DE91" s="774">
        <v>0</v>
      </c>
      <c r="DF91" s="774">
        <v>0</v>
      </c>
      <c r="DG91" s="774">
        <v>0</v>
      </c>
      <c r="DH91" s="774">
        <v>0</v>
      </c>
      <c r="DI91" s="774">
        <v>0</v>
      </c>
      <c r="DJ91" s="774">
        <v>0</v>
      </c>
      <c r="DK91" s="774">
        <v>0</v>
      </c>
      <c r="DL91" s="774">
        <v>0</v>
      </c>
      <c r="DM91" s="774">
        <v>0</v>
      </c>
      <c r="DN91" s="774">
        <v>0</v>
      </c>
      <c r="DO91" s="774">
        <v>0</v>
      </c>
      <c r="DP91" s="773">
        <v>0</v>
      </c>
      <c r="DQ91" s="773">
        <v>0</v>
      </c>
      <c r="DR91" s="773">
        <v>0</v>
      </c>
      <c r="DS91" s="774">
        <v>0</v>
      </c>
      <c r="DT91" s="774">
        <v>0</v>
      </c>
      <c r="DU91" s="774">
        <v>0</v>
      </c>
      <c r="DV91" s="774">
        <v>0</v>
      </c>
      <c r="DW91" s="774">
        <v>0</v>
      </c>
      <c r="DX91" s="774">
        <v>0</v>
      </c>
      <c r="DY91" s="774">
        <v>0</v>
      </c>
      <c r="DZ91" s="774">
        <v>0</v>
      </c>
      <c r="EA91" s="774">
        <v>0</v>
      </c>
      <c r="EB91" s="774">
        <v>0</v>
      </c>
      <c r="EC91" s="774">
        <v>0</v>
      </c>
      <c r="ED91" s="774">
        <v>0</v>
      </c>
    </row>
    <row r="92" spans="1:134" ht="15" x14ac:dyDescent="0.25">
      <c r="A92" s="766">
        <v>98</v>
      </c>
      <c r="B92" s="766">
        <v>87</v>
      </c>
      <c r="C92" s="766" t="s">
        <v>3763</v>
      </c>
      <c r="D92" s="2">
        <v>99709</v>
      </c>
      <c r="E92" s="2">
        <v>99709</v>
      </c>
      <c r="F92" s="767" t="s">
        <v>3676</v>
      </c>
      <c r="G92" s="114">
        <v>296</v>
      </c>
      <c r="H92" s="114">
        <v>147</v>
      </c>
      <c r="I92" s="114">
        <v>128</v>
      </c>
      <c r="J92" s="114">
        <v>19</v>
      </c>
      <c r="K92" s="114">
        <v>0</v>
      </c>
      <c r="L92" s="114">
        <v>20</v>
      </c>
      <c r="M92" s="114">
        <v>20</v>
      </c>
      <c r="N92" s="114">
        <v>0</v>
      </c>
      <c r="O92" s="114">
        <v>0</v>
      </c>
      <c r="P92" s="114">
        <v>0</v>
      </c>
      <c r="Q92" s="114">
        <v>20</v>
      </c>
      <c r="R92" s="114">
        <v>0</v>
      </c>
      <c r="S92" s="114">
        <v>2541.1999999999998</v>
      </c>
      <c r="T92" s="114">
        <v>2541.1999999999998</v>
      </c>
      <c r="U92" s="114">
        <v>0</v>
      </c>
      <c r="V92" s="114">
        <v>0</v>
      </c>
      <c r="W92" s="114">
        <v>0</v>
      </c>
      <c r="X92" s="114">
        <v>2541.1999999999998</v>
      </c>
      <c r="Y92" s="114">
        <v>0</v>
      </c>
      <c r="Z92" s="114">
        <v>147</v>
      </c>
      <c r="AA92" s="114">
        <v>0</v>
      </c>
      <c r="AB92" s="657">
        <v>0</v>
      </c>
      <c r="AC92" s="657">
        <v>0</v>
      </c>
      <c r="AD92" s="768">
        <v>147</v>
      </c>
      <c r="AE92" s="769">
        <v>0</v>
      </c>
      <c r="AF92" s="769">
        <v>128</v>
      </c>
      <c r="AG92" s="770">
        <v>128</v>
      </c>
      <c r="AH92" s="769">
        <v>0</v>
      </c>
      <c r="AI92" s="769">
        <v>0</v>
      </c>
      <c r="AJ92" s="769">
        <v>139.96728406613769</v>
      </c>
      <c r="AK92" s="769">
        <v>139.96728406613769</v>
      </c>
      <c r="AL92" s="769">
        <v>0</v>
      </c>
      <c r="AM92" s="769">
        <v>0</v>
      </c>
      <c r="AN92" s="769">
        <v>122.10619249894097</v>
      </c>
      <c r="AO92" s="769">
        <v>122.10619249894097</v>
      </c>
      <c r="AP92" s="769">
        <v>0</v>
      </c>
      <c r="AQ92" s="769">
        <v>0</v>
      </c>
      <c r="AR92" s="769">
        <v>0</v>
      </c>
      <c r="AS92" s="769">
        <v>133.27102455000599</v>
      </c>
      <c r="AT92" s="769">
        <v>136.57812178740744</v>
      </c>
      <c r="AU92" s="769">
        <v>139.96728406613769</v>
      </c>
      <c r="AV92" s="769">
        <v>143.44054781588866</v>
      </c>
      <c r="AW92" s="769">
        <v>147</v>
      </c>
      <c r="AX92" s="769">
        <v>116.48376755147208</v>
      </c>
      <c r="AY92" s="769">
        <v>119.26185200491373</v>
      </c>
      <c r="AZ92" s="769">
        <v>122.10619249894097</v>
      </c>
      <c r="BA92" s="769">
        <v>125.01836920974631</v>
      </c>
      <c r="BB92" s="769">
        <v>128</v>
      </c>
      <c r="BC92" s="769">
        <v>0</v>
      </c>
      <c r="BD92" s="769">
        <v>0</v>
      </c>
      <c r="BE92" s="769">
        <v>0</v>
      </c>
      <c r="BF92" s="769">
        <v>0</v>
      </c>
      <c r="BG92" s="769">
        <v>0</v>
      </c>
      <c r="BH92" s="771">
        <v>148.37346865922072</v>
      </c>
      <c r="BI92" s="771">
        <v>149.75977008142013</v>
      </c>
      <c r="BJ92" s="771">
        <v>151.1590241672632</v>
      </c>
      <c r="BK92" s="772">
        <v>153.2832386660634</v>
      </c>
      <c r="BL92" s="772">
        <v>155.40745316486357</v>
      </c>
      <c r="BM92" s="772">
        <v>157.53166766366377</v>
      </c>
      <c r="BN92" s="772">
        <v>159.65588216246394</v>
      </c>
      <c r="BO92" s="772">
        <v>162.16762648397702</v>
      </c>
      <c r="BP92" s="772">
        <v>164.67937080549007</v>
      </c>
      <c r="BQ92" s="772">
        <v>171.642647119244</v>
      </c>
      <c r="BR92" s="772">
        <v>179.9389142307102</v>
      </c>
      <c r="BS92" s="772">
        <v>183.58164178227688</v>
      </c>
      <c r="BT92" s="772">
        <v>185.58206777351927</v>
      </c>
      <c r="BU92" s="772">
        <v>187.65369763485469</v>
      </c>
      <c r="BV92" s="772">
        <v>189.77517020525519</v>
      </c>
      <c r="BW92" s="771">
        <v>129.1959454991854</v>
      </c>
      <c r="BX92" s="771">
        <v>130.40306510491004</v>
      </c>
      <c r="BY92" s="771">
        <v>131.62146322047408</v>
      </c>
      <c r="BZ92" s="772">
        <v>133.47111938269467</v>
      </c>
      <c r="CA92" s="772">
        <v>135.32077554491522</v>
      </c>
      <c r="CB92" s="772">
        <v>137.1704317071358</v>
      </c>
      <c r="CC92" s="772">
        <v>139.02008786935636</v>
      </c>
      <c r="CD92" s="772">
        <v>141.20718496563987</v>
      </c>
      <c r="CE92" s="772">
        <v>143.39428206192335</v>
      </c>
      <c r="CF92" s="772">
        <v>149.45754306981792</v>
      </c>
      <c r="CG92" s="772">
        <v>156.68150354782929</v>
      </c>
      <c r="CH92" s="772">
        <v>159.85340236824109</v>
      </c>
      <c r="CI92" s="772">
        <v>161.59526989803038</v>
      </c>
      <c r="CJ92" s="772">
        <v>163.39913807660815</v>
      </c>
      <c r="CK92" s="772">
        <v>165.24640670933786</v>
      </c>
      <c r="CL92" s="771">
        <v>0</v>
      </c>
      <c r="CM92" s="771">
        <v>0</v>
      </c>
      <c r="CN92" s="771">
        <v>0</v>
      </c>
      <c r="CO92" s="772">
        <v>0</v>
      </c>
      <c r="CP92" s="772">
        <v>0</v>
      </c>
      <c r="CQ92" s="772">
        <v>0</v>
      </c>
      <c r="CR92" s="772">
        <v>0</v>
      </c>
      <c r="CS92" s="772">
        <v>0</v>
      </c>
      <c r="CT92" s="772">
        <v>0</v>
      </c>
      <c r="CU92" s="772">
        <v>0</v>
      </c>
      <c r="CV92" s="772">
        <v>0</v>
      </c>
      <c r="CW92" s="772">
        <v>0</v>
      </c>
      <c r="CX92" s="772">
        <v>0</v>
      </c>
      <c r="CY92" s="772">
        <v>0</v>
      </c>
      <c r="CZ92" s="772">
        <v>0</v>
      </c>
      <c r="DA92" s="773">
        <v>0</v>
      </c>
      <c r="DB92" s="773">
        <v>0</v>
      </c>
      <c r="DC92" s="773">
        <v>0</v>
      </c>
      <c r="DD92" s="774">
        <v>0</v>
      </c>
      <c r="DE92" s="774">
        <v>0</v>
      </c>
      <c r="DF92" s="774">
        <v>0</v>
      </c>
      <c r="DG92" s="774">
        <v>0</v>
      </c>
      <c r="DH92" s="774">
        <v>0</v>
      </c>
      <c r="DI92" s="774">
        <v>0</v>
      </c>
      <c r="DJ92" s="774">
        <v>0</v>
      </c>
      <c r="DK92" s="774">
        <v>0</v>
      </c>
      <c r="DL92" s="774">
        <v>0</v>
      </c>
      <c r="DM92" s="774">
        <v>0</v>
      </c>
      <c r="DN92" s="774">
        <v>0</v>
      </c>
      <c r="DO92" s="774">
        <v>0</v>
      </c>
      <c r="DP92" s="773">
        <v>0</v>
      </c>
      <c r="DQ92" s="773">
        <v>0</v>
      </c>
      <c r="DR92" s="773">
        <v>0</v>
      </c>
      <c r="DS92" s="774">
        <v>0</v>
      </c>
      <c r="DT92" s="774">
        <v>0</v>
      </c>
      <c r="DU92" s="774">
        <v>0</v>
      </c>
      <c r="DV92" s="774">
        <v>0</v>
      </c>
      <c r="DW92" s="774">
        <v>0</v>
      </c>
      <c r="DX92" s="774">
        <v>0</v>
      </c>
      <c r="DY92" s="774">
        <v>0</v>
      </c>
      <c r="DZ92" s="774">
        <v>0</v>
      </c>
      <c r="EA92" s="774">
        <v>0</v>
      </c>
      <c r="EB92" s="774">
        <v>0</v>
      </c>
      <c r="EC92" s="774">
        <v>0</v>
      </c>
      <c r="ED92" s="774">
        <v>0</v>
      </c>
    </row>
    <row r="93" spans="1:134" ht="15" x14ac:dyDescent="0.25">
      <c r="A93" s="766">
        <v>120</v>
      </c>
      <c r="B93" s="766">
        <v>87</v>
      </c>
      <c r="C93" s="766" t="s">
        <v>3764</v>
      </c>
      <c r="D93" s="2">
        <v>99705</v>
      </c>
      <c r="E93" s="2">
        <v>99705</v>
      </c>
      <c r="F93" s="767" t="s">
        <v>3746</v>
      </c>
      <c r="G93" s="114">
        <v>222</v>
      </c>
      <c r="H93" s="114">
        <v>110</v>
      </c>
      <c r="I93" s="114">
        <v>89</v>
      </c>
      <c r="J93" s="114">
        <v>21</v>
      </c>
      <c r="K93" s="114">
        <v>0</v>
      </c>
      <c r="L93" s="114">
        <v>1</v>
      </c>
      <c r="M93" s="114">
        <v>1</v>
      </c>
      <c r="N93" s="114">
        <v>0</v>
      </c>
      <c r="O93" s="114">
        <v>0</v>
      </c>
      <c r="P93" s="114">
        <v>0</v>
      </c>
      <c r="Q93" s="114">
        <v>1</v>
      </c>
      <c r="R93" s="114">
        <v>0</v>
      </c>
      <c r="S93" s="114">
        <v>3407</v>
      </c>
      <c r="T93" s="114">
        <v>3407</v>
      </c>
      <c r="U93" s="114">
        <v>0</v>
      </c>
      <c r="V93" s="114">
        <v>0</v>
      </c>
      <c r="W93" s="114">
        <v>0</v>
      </c>
      <c r="X93" s="114">
        <v>3407</v>
      </c>
      <c r="Y93" s="114">
        <v>0</v>
      </c>
      <c r="Z93" s="114">
        <v>110</v>
      </c>
      <c r="AA93" s="114">
        <v>0</v>
      </c>
      <c r="AB93" s="657">
        <v>0</v>
      </c>
      <c r="AC93" s="657">
        <v>0</v>
      </c>
      <c r="AD93" s="768">
        <v>110</v>
      </c>
      <c r="AE93" s="769">
        <v>0</v>
      </c>
      <c r="AF93" s="769">
        <v>89</v>
      </c>
      <c r="AG93" s="770">
        <v>89</v>
      </c>
      <c r="AH93" s="769">
        <v>0</v>
      </c>
      <c r="AI93" s="769">
        <v>0</v>
      </c>
      <c r="AJ93" s="769">
        <v>102.09668702429465</v>
      </c>
      <c r="AK93" s="769">
        <v>102.09668702429465</v>
      </c>
      <c r="AL93" s="769">
        <v>0</v>
      </c>
      <c r="AM93" s="769">
        <v>0</v>
      </c>
      <c r="AN93" s="769">
        <v>83.029193148600001</v>
      </c>
      <c r="AO93" s="769">
        <v>83.029193148600001</v>
      </c>
      <c r="AP93" s="769">
        <v>0</v>
      </c>
      <c r="AQ93" s="769">
        <v>0</v>
      </c>
      <c r="AR93" s="769">
        <v>0</v>
      </c>
      <c r="AS93" s="769">
        <v>94.761213648516161</v>
      </c>
      <c r="AT93" s="769">
        <v>98.360591559398799</v>
      </c>
      <c r="AU93" s="769">
        <v>102.09668702429465</v>
      </c>
      <c r="AV93" s="769">
        <v>105.97469307656623</v>
      </c>
      <c r="AW93" s="769">
        <v>110</v>
      </c>
      <c r="AX93" s="769">
        <v>77.45895410008454</v>
      </c>
      <c r="AY93" s="769">
        <v>80.195725952599616</v>
      </c>
      <c r="AZ93" s="769">
        <v>83.029193148600001</v>
      </c>
      <c r="BA93" s="769">
        <v>85.962772118082597</v>
      </c>
      <c r="BB93" s="769">
        <v>89</v>
      </c>
      <c r="BC93" s="769">
        <v>0</v>
      </c>
      <c r="BD93" s="769">
        <v>0</v>
      </c>
      <c r="BE93" s="769">
        <v>0</v>
      </c>
      <c r="BF93" s="769">
        <v>0</v>
      </c>
      <c r="BG93" s="769">
        <v>0</v>
      </c>
      <c r="BH93" s="771">
        <v>111.13011494749193</v>
      </c>
      <c r="BI93" s="771">
        <v>112.27184043857062</v>
      </c>
      <c r="BJ93" s="771">
        <v>113.4252957573166</v>
      </c>
      <c r="BK93" s="772">
        <v>113.4252957573166</v>
      </c>
      <c r="BL93" s="772">
        <v>113.4252957573166</v>
      </c>
      <c r="BM93" s="772">
        <v>113.4252957573166</v>
      </c>
      <c r="BN93" s="772">
        <v>113.4252957573166</v>
      </c>
      <c r="BO93" s="772">
        <v>113.4252957573166</v>
      </c>
      <c r="BP93" s="772">
        <v>113.4252957573166</v>
      </c>
      <c r="BQ93" s="772">
        <v>113.4252957573166</v>
      </c>
      <c r="BR93" s="772">
        <v>113.4252957573166</v>
      </c>
      <c r="BS93" s="772">
        <v>113.4252957573166</v>
      </c>
      <c r="BT93" s="772">
        <v>113.4252957573166</v>
      </c>
      <c r="BU93" s="772">
        <v>113.4252957573166</v>
      </c>
      <c r="BV93" s="772">
        <v>113.4252957573166</v>
      </c>
      <c r="BW93" s="771">
        <v>89.914365730243475</v>
      </c>
      <c r="BX93" s="771">
        <v>90.838125445752596</v>
      </c>
      <c r="BY93" s="771">
        <v>91.771375658192525</v>
      </c>
      <c r="BZ93" s="772">
        <v>91.771375658192525</v>
      </c>
      <c r="CA93" s="772">
        <v>91.771375658192525</v>
      </c>
      <c r="CB93" s="772">
        <v>91.771375658192525</v>
      </c>
      <c r="CC93" s="772">
        <v>91.771375658192525</v>
      </c>
      <c r="CD93" s="772">
        <v>91.771375658192525</v>
      </c>
      <c r="CE93" s="772">
        <v>91.771375658192525</v>
      </c>
      <c r="CF93" s="772">
        <v>91.771375658192525</v>
      </c>
      <c r="CG93" s="772">
        <v>91.771375658192525</v>
      </c>
      <c r="CH93" s="772">
        <v>91.771375658192525</v>
      </c>
      <c r="CI93" s="772">
        <v>91.771375658192525</v>
      </c>
      <c r="CJ93" s="772">
        <v>91.771375658192525</v>
      </c>
      <c r="CK93" s="772">
        <v>91.771375658192525</v>
      </c>
      <c r="CL93" s="771">
        <v>0</v>
      </c>
      <c r="CM93" s="771">
        <v>0</v>
      </c>
      <c r="CN93" s="771">
        <v>0</v>
      </c>
      <c r="CO93" s="772">
        <v>0</v>
      </c>
      <c r="CP93" s="772">
        <v>0</v>
      </c>
      <c r="CQ93" s="772">
        <v>0</v>
      </c>
      <c r="CR93" s="772">
        <v>0</v>
      </c>
      <c r="CS93" s="772">
        <v>0</v>
      </c>
      <c r="CT93" s="772">
        <v>0</v>
      </c>
      <c r="CU93" s="772">
        <v>0</v>
      </c>
      <c r="CV93" s="772">
        <v>0</v>
      </c>
      <c r="CW93" s="772">
        <v>0</v>
      </c>
      <c r="CX93" s="772">
        <v>0</v>
      </c>
      <c r="CY93" s="772">
        <v>0</v>
      </c>
      <c r="CZ93" s="772">
        <v>0</v>
      </c>
      <c r="DA93" s="773">
        <v>0</v>
      </c>
      <c r="DB93" s="773">
        <v>0</v>
      </c>
      <c r="DC93" s="773">
        <v>0</v>
      </c>
      <c r="DD93" s="774">
        <v>0</v>
      </c>
      <c r="DE93" s="774">
        <v>0</v>
      </c>
      <c r="DF93" s="774">
        <v>0</v>
      </c>
      <c r="DG93" s="774">
        <v>0</v>
      </c>
      <c r="DH93" s="774">
        <v>0</v>
      </c>
      <c r="DI93" s="774">
        <v>0</v>
      </c>
      <c r="DJ93" s="774">
        <v>0</v>
      </c>
      <c r="DK93" s="774">
        <v>0</v>
      </c>
      <c r="DL93" s="774">
        <v>0</v>
      </c>
      <c r="DM93" s="774">
        <v>0</v>
      </c>
      <c r="DN93" s="774">
        <v>0</v>
      </c>
      <c r="DO93" s="774">
        <v>0</v>
      </c>
      <c r="DP93" s="773">
        <v>0</v>
      </c>
      <c r="DQ93" s="773">
        <v>0</v>
      </c>
      <c r="DR93" s="773">
        <v>0</v>
      </c>
      <c r="DS93" s="774">
        <v>0</v>
      </c>
      <c r="DT93" s="774">
        <v>0</v>
      </c>
      <c r="DU93" s="774">
        <v>0</v>
      </c>
      <c r="DV93" s="774">
        <v>0</v>
      </c>
      <c r="DW93" s="774">
        <v>0</v>
      </c>
      <c r="DX93" s="774">
        <v>0</v>
      </c>
      <c r="DY93" s="774">
        <v>0</v>
      </c>
      <c r="DZ93" s="774">
        <v>0</v>
      </c>
      <c r="EA93" s="774">
        <v>0</v>
      </c>
      <c r="EB93" s="774">
        <v>0</v>
      </c>
      <c r="EC93" s="774">
        <v>0</v>
      </c>
      <c r="ED93" s="774">
        <v>0</v>
      </c>
    </row>
    <row r="94" spans="1:134" ht="15" x14ac:dyDescent="0.25">
      <c r="A94" s="766">
        <v>121</v>
      </c>
      <c r="B94" s="766">
        <v>87</v>
      </c>
      <c r="C94" s="766" t="s">
        <v>3765</v>
      </c>
      <c r="D94" s="2">
        <v>99705</v>
      </c>
      <c r="E94" s="2">
        <v>99705</v>
      </c>
      <c r="F94" s="767" t="s">
        <v>3746</v>
      </c>
      <c r="G94" s="114">
        <v>118</v>
      </c>
      <c r="H94" s="114">
        <v>46</v>
      </c>
      <c r="I94" s="114">
        <v>39</v>
      </c>
      <c r="J94" s="114">
        <v>7</v>
      </c>
      <c r="K94" s="114">
        <v>0</v>
      </c>
      <c r="L94" s="114">
        <v>57</v>
      </c>
      <c r="M94" s="114">
        <v>57</v>
      </c>
      <c r="N94" s="114">
        <v>7</v>
      </c>
      <c r="O94" s="114">
        <v>0</v>
      </c>
      <c r="P94" s="114">
        <v>0</v>
      </c>
      <c r="Q94" s="114">
        <v>64</v>
      </c>
      <c r="R94" s="114">
        <v>0</v>
      </c>
      <c r="S94" s="114">
        <v>1870.0877192982457</v>
      </c>
      <c r="T94" s="114">
        <v>1870.0877192982457</v>
      </c>
      <c r="U94" s="114">
        <v>4787</v>
      </c>
      <c r="V94" s="114">
        <v>0</v>
      </c>
      <c r="W94" s="114">
        <v>0</v>
      </c>
      <c r="X94" s="114">
        <v>2189.125</v>
      </c>
      <c r="Y94" s="114">
        <v>0</v>
      </c>
      <c r="Z94" s="114">
        <v>46</v>
      </c>
      <c r="AA94" s="114">
        <v>0</v>
      </c>
      <c r="AB94" s="657">
        <v>7</v>
      </c>
      <c r="AC94" s="657">
        <v>0</v>
      </c>
      <c r="AD94" s="768">
        <v>53</v>
      </c>
      <c r="AE94" s="769">
        <v>0</v>
      </c>
      <c r="AF94" s="769">
        <v>39</v>
      </c>
      <c r="AG94" s="770">
        <v>39</v>
      </c>
      <c r="AH94" s="769">
        <v>0</v>
      </c>
      <c r="AI94" s="769">
        <v>0</v>
      </c>
      <c r="AJ94" s="769">
        <v>42.694978210159583</v>
      </c>
      <c r="AK94" s="769">
        <v>42.694978210159583</v>
      </c>
      <c r="AL94" s="769">
        <v>0</v>
      </c>
      <c r="AM94" s="769">
        <v>0</v>
      </c>
      <c r="AN94" s="769">
        <v>36.38357902017303</v>
      </c>
      <c r="AO94" s="769">
        <v>36.38357902017303</v>
      </c>
      <c r="AP94" s="769">
        <v>0</v>
      </c>
      <c r="AQ94" s="769">
        <v>6.5807536713443655</v>
      </c>
      <c r="AR94" s="769">
        <v>0</v>
      </c>
      <c r="AS94" s="769">
        <v>39.627416616652212</v>
      </c>
      <c r="AT94" s="769">
        <v>41.132611015748587</v>
      </c>
      <c r="AU94" s="769">
        <v>42.694978210159583</v>
      </c>
      <c r="AV94" s="769">
        <v>44.316689832018604</v>
      </c>
      <c r="AW94" s="769">
        <v>46</v>
      </c>
      <c r="AX94" s="769">
        <v>33.942687751722438</v>
      </c>
      <c r="AY94" s="769">
        <v>35.141947327543654</v>
      </c>
      <c r="AZ94" s="769">
        <v>36.38357902017303</v>
      </c>
      <c r="BA94" s="769">
        <v>37.669079916912601</v>
      </c>
      <c r="BB94" s="769">
        <v>39</v>
      </c>
      <c r="BC94" s="769">
        <v>6.1866169832731917</v>
      </c>
      <c r="BD94" s="769">
        <v>6.3806427909636545</v>
      </c>
      <c r="BE94" s="769">
        <v>6.5807536713443655</v>
      </c>
      <c r="BF94" s="769">
        <v>6.7871404655724161</v>
      </c>
      <c r="BG94" s="769">
        <v>7</v>
      </c>
      <c r="BH94" s="771">
        <v>47.047686037705446</v>
      </c>
      <c r="BI94" s="771">
        <v>48.119233945706604</v>
      </c>
      <c r="BJ94" s="771">
        <v>49.215187196793529</v>
      </c>
      <c r="BK94" s="772">
        <v>50.449552045002186</v>
      </c>
      <c r="BL94" s="772">
        <v>51.683916893210842</v>
      </c>
      <c r="BM94" s="772">
        <v>52.918281741419499</v>
      </c>
      <c r="BN94" s="772">
        <v>54.152646589628162</v>
      </c>
      <c r="BO94" s="772">
        <v>55.612202062917071</v>
      </c>
      <c r="BP94" s="772">
        <v>57.071757536205965</v>
      </c>
      <c r="BQ94" s="772">
        <v>61.118064307446161</v>
      </c>
      <c r="BR94" s="772">
        <v>65.938961867239541</v>
      </c>
      <c r="BS94" s="772">
        <v>68.0557230718141</v>
      </c>
      <c r="BT94" s="772">
        <v>69.218155362162975</v>
      </c>
      <c r="BU94" s="772">
        <v>70.421963678496439</v>
      </c>
      <c r="BV94" s="772">
        <v>71.654735213019151</v>
      </c>
      <c r="BW94" s="771">
        <v>39.888255553706792</v>
      </c>
      <c r="BX94" s="771">
        <v>40.796741823533864</v>
      </c>
      <c r="BY94" s="771">
        <v>41.725919579890167</v>
      </c>
      <c r="BZ94" s="772">
        <v>42.772446299023592</v>
      </c>
      <c r="CA94" s="772">
        <v>43.818973018157024</v>
      </c>
      <c r="CB94" s="772">
        <v>44.865499737290449</v>
      </c>
      <c r="CC94" s="772">
        <v>45.912026456423874</v>
      </c>
      <c r="CD94" s="772">
        <v>47.149475662038384</v>
      </c>
      <c r="CE94" s="772">
        <v>48.386924867652887</v>
      </c>
      <c r="CF94" s="772">
        <v>51.817489304139137</v>
      </c>
      <c r="CG94" s="772">
        <v>55.904772017877001</v>
      </c>
      <c r="CH94" s="772">
        <v>57.699417386972819</v>
      </c>
      <c r="CI94" s="772">
        <v>58.684957807051219</v>
      </c>
      <c r="CJ94" s="772">
        <v>59.705577901333946</v>
      </c>
      <c r="CK94" s="772">
        <v>60.750753767559715</v>
      </c>
      <c r="CL94" s="771">
        <v>7.1594304839986549</v>
      </c>
      <c r="CM94" s="771">
        <v>7.3224921221727444</v>
      </c>
      <c r="CN94" s="771">
        <v>7.4892676169033638</v>
      </c>
      <c r="CO94" s="772">
        <v>7.6771057459785945</v>
      </c>
      <c r="CP94" s="772">
        <v>7.8649438750538252</v>
      </c>
      <c r="CQ94" s="772">
        <v>8.052782004129055</v>
      </c>
      <c r="CR94" s="772">
        <v>8.2406201332042865</v>
      </c>
      <c r="CS94" s="772">
        <v>8.4627264008786849</v>
      </c>
      <c r="CT94" s="772">
        <v>8.6848326685530832</v>
      </c>
      <c r="CU94" s="772">
        <v>9.300575003307026</v>
      </c>
      <c r="CV94" s="772">
        <v>10.034189849362539</v>
      </c>
      <c r="CW94" s="772">
        <v>10.356305684841276</v>
      </c>
      <c r="CX94" s="772">
        <v>10.533197555111759</v>
      </c>
      <c r="CY94" s="772">
        <v>10.716385777162504</v>
      </c>
      <c r="CZ94" s="772">
        <v>10.903981445459436</v>
      </c>
      <c r="DA94" s="773">
        <v>0</v>
      </c>
      <c r="DB94" s="773">
        <v>0</v>
      </c>
      <c r="DC94" s="773">
        <v>0</v>
      </c>
      <c r="DD94" s="774">
        <v>0</v>
      </c>
      <c r="DE94" s="774">
        <v>0</v>
      </c>
      <c r="DF94" s="774">
        <v>0</v>
      </c>
      <c r="DG94" s="774">
        <v>0</v>
      </c>
      <c r="DH94" s="774">
        <v>0</v>
      </c>
      <c r="DI94" s="774">
        <v>0</v>
      </c>
      <c r="DJ94" s="774">
        <v>0</v>
      </c>
      <c r="DK94" s="774">
        <v>0</v>
      </c>
      <c r="DL94" s="774">
        <v>0</v>
      </c>
      <c r="DM94" s="774">
        <v>0</v>
      </c>
      <c r="DN94" s="774">
        <v>0</v>
      </c>
      <c r="DO94" s="774">
        <v>0</v>
      </c>
      <c r="DP94" s="773">
        <v>0</v>
      </c>
      <c r="DQ94" s="773">
        <v>0</v>
      </c>
      <c r="DR94" s="773">
        <v>0</v>
      </c>
      <c r="DS94" s="774">
        <v>0</v>
      </c>
      <c r="DT94" s="774">
        <v>0</v>
      </c>
      <c r="DU94" s="774">
        <v>0</v>
      </c>
      <c r="DV94" s="774">
        <v>0</v>
      </c>
      <c r="DW94" s="774">
        <v>0</v>
      </c>
      <c r="DX94" s="774">
        <v>0</v>
      </c>
      <c r="DY94" s="774">
        <v>0</v>
      </c>
      <c r="DZ94" s="774">
        <v>0</v>
      </c>
      <c r="EA94" s="774">
        <v>0</v>
      </c>
      <c r="EB94" s="774">
        <v>0</v>
      </c>
      <c r="EC94" s="774">
        <v>0</v>
      </c>
      <c r="ED94" s="774">
        <v>0</v>
      </c>
    </row>
    <row r="95" spans="1:134" ht="15" x14ac:dyDescent="0.25">
      <c r="A95" s="766">
        <v>122</v>
      </c>
      <c r="B95" s="766">
        <v>87</v>
      </c>
      <c r="C95" s="766" t="s">
        <v>3766</v>
      </c>
      <c r="D95" s="2">
        <v>99705</v>
      </c>
      <c r="E95" s="2">
        <v>99705</v>
      </c>
      <c r="F95" s="767" t="s">
        <v>3746</v>
      </c>
      <c r="G95" s="114">
        <v>545</v>
      </c>
      <c r="H95" s="114">
        <v>241</v>
      </c>
      <c r="I95" s="114">
        <v>206</v>
      </c>
      <c r="J95" s="114">
        <v>35</v>
      </c>
      <c r="K95" s="114">
        <v>5</v>
      </c>
      <c r="L95" s="114">
        <v>147</v>
      </c>
      <c r="M95" s="114">
        <v>152</v>
      </c>
      <c r="N95" s="114">
        <v>39</v>
      </c>
      <c r="O95" s="114">
        <v>0</v>
      </c>
      <c r="P95" s="114">
        <v>0</v>
      </c>
      <c r="Q95" s="114">
        <v>191</v>
      </c>
      <c r="R95" s="114">
        <v>9196.4</v>
      </c>
      <c r="S95" s="114">
        <v>2370.2176870748299</v>
      </c>
      <c r="T95" s="114">
        <v>2594.7631578947367</v>
      </c>
      <c r="U95" s="114">
        <v>9219.6923076923085</v>
      </c>
      <c r="V95" s="114">
        <v>0</v>
      </c>
      <c r="W95" s="114">
        <v>0</v>
      </c>
      <c r="X95" s="114">
        <v>3947.4973821989529</v>
      </c>
      <c r="Y95" s="114">
        <v>7.9276315789473681</v>
      </c>
      <c r="Z95" s="114">
        <v>233.07236842105263</v>
      </c>
      <c r="AA95" s="114">
        <v>0</v>
      </c>
      <c r="AB95" s="657">
        <v>39</v>
      </c>
      <c r="AC95" s="657">
        <v>0</v>
      </c>
      <c r="AD95" s="768">
        <v>280</v>
      </c>
      <c r="AE95" s="769">
        <v>6.7763157894736841</v>
      </c>
      <c r="AF95" s="769">
        <v>199.2236842105263</v>
      </c>
      <c r="AG95" s="770">
        <v>205.99999999999997</v>
      </c>
      <c r="AH95" s="769">
        <v>0</v>
      </c>
      <c r="AI95" s="769">
        <v>7.3580447287245851</v>
      </c>
      <c r="AJ95" s="769">
        <v>216.32651502450281</v>
      </c>
      <c r="AK95" s="769">
        <v>223.6845597532274</v>
      </c>
      <c r="AL95" s="769">
        <v>0</v>
      </c>
      <c r="AM95" s="769">
        <v>6.3217082305631278</v>
      </c>
      <c r="AN95" s="769">
        <v>185.85822197855595</v>
      </c>
      <c r="AO95" s="769">
        <v>192.17993020911908</v>
      </c>
      <c r="AP95" s="769">
        <v>0</v>
      </c>
      <c r="AQ95" s="769">
        <v>36.664199026061461</v>
      </c>
      <c r="AR95" s="769">
        <v>0</v>
      </c>
      <c r="AS95" s="769">
        <v>207.61320444811267</v>
      </c>
      <c r="AT95" s="769">
        <v>215.49911423468282</v>
      </c>
      <c r="AU95" s="769">
        <v>223.68455975322738</v>
      </c>
      <c r="AV95" s="769">
        <v>232.18091846774962</v>
      </c>
      <c r="AW95" s="769">
        <v>241</v>
      </c>
      <c r="AX95" s="769">
        <v>179.28701735525183</v>
      </c>
      <c r="AY95" s="769">
        <v>185.62156793523056</v>
      </c>
      <c r="AZ95" s="769">
        <v>192.17993020911908</v>
      </c>
      <c r="BA95" s="769">
        <v>198.97001186882036</v>
      </c>
      <c r="BB95" s="769">
        <v>205.99999999999997</v>
      </c>
      <c r="BC95" s="769">
        <v>34.468294621093499</v>
      </c>
      <c r="BD95" s="769">
        <v>35.549295549654651</v>
      </c>
      <c r="BE95" s="769">
        <v>36.664199026061461</v>
      </c>
      <c r="BF95" s="769">
        <v>37.814068308189178</v>
      </c>
      <c r="BG95" s="769">
        <v>39</v>
      </c>
      <c r="BH95" s="771">
        <v>245.66250770298308</v>
      </c>
      <c r="BI95" s="771">
        <v>250.41521863451541</v>
      </c>
      <c r="BJ95" s="771">
        <v>255.25987791180847</v>
      </c>
      <c r="BK95" s="772">
        <v>257.03186054594187</v>
      </c>
      <c r="BL95" s="772">
        <v>258.80384318007526</v>
      </c>
      <c r="BM95" s="772">
        <v>260.57582581420871</v>
      </c>
      <c r="BN95" s="772">
        <v>262.34780844834211</v>
      </c>
      <c r="BO95" s="772">
        <v>264.44306169212615</v>
      </c>
      <c r="BP95" s="772">
        <v>266.53831493591025</v>
      </c>
      <c r="BQ95" s="772">
        <v>272.34695841876652</v>
      </c>
      <c r="BR95" s="772">
        <v>279.26755954353689</v>
      </c>
      <c r="BS95" s="772">
        <v>282.30625924448577</v>
      </c>
      <c r="BT95" s="772">
        <v>283.97497966765997</v>
      </c>
      <c r="BU95" s="772">
        <v>285.7030971156446</v>
      </c>
      <c r="BV95" s="772">
        <v>287.47279248099653</v>
      </c>
      <c r="BW95" s="771">
        <v>209.98538002827596</v>
      </c>
      <c r="BX95" s="771">
        <v>214.04786323116252</v>
      </c>
      <c r="BY95" s="771">
        <v>218.1889412856122</v>
      </c>
      <c r="BZ95" s="772">
        <v>219.70358204341917</v>
      </c>
      <c r="CA95" s="772">
        <v>221.21822280122612</v>
      </c>
      <c r="CB95" s="772">
        <v>222.73286355903315</v>
      </c>
      <c r="CC95" s="772">
        <v>224.24750431684009</v>
      </c>
      <c r="CD95" s="772">
        <v>226.03846767044806</v>
      </c>
      <c r="CE95" s="772">
        <v>227.82943102405608</v>
      </c>
      <c r="CF95" s="772">
        <v>232.79449557786677</v>
      </c>
      <c r="CG95" s="772">
        <v>238.71003014924727</v>
      </c>
      <c r="CH95" s="772">
        <v>241.30742491437371</v>
      </c>
      <c r="CI95" s="772">
        <v>242.73380004787529</v>
      </c>
      <c r="CJ95" s="772">
        <v>244.21094608225221</v>
      </c>
      <c r="CK95" s="772">
        <v>245.72363174724182</v>
      </c>
      <c r="CL95" s="771">
        <v>39.754513694673612</v>
      </c>
      <c r="CM95" s="771">
        <v>40.523624592307478</v>
      </c>
      <c r="CN95" s="771">
        <v>41.307615097761534</v>
      </c>
      <c r="CO95" s="772">
        <v>41.594367474239554</v>
      </c>
      <c r="CP95" s="772">
        <v>41.881119850717567</v>
      </c>
      <c r="CQ95" s="772">
        <v>42.167872227195595</v>
      </c>
      <c r="CR95" s="772">
        <v>42.454624603673615</v>
      </c>
      <c r="CS95" s="772">
        <v>42.79369048129842</v>
      </c>
      <c r="CT95" s="772">
        <v>43.132756358923238</v>
      </c>
      <c r="CU95" s="772">
        <v>44.072744308431091</v>
      </c>
      <c r="CV95" s="772">
        <v>45.19267561077983</v>
      </c>
      <c r="CW95" s="772">
        <v>45.684415396410557</v>
      </c>
      <c r="CX95" s="772">
        <v>45.954457290617164</v>
      </c>
      <c r="CY95" s="772">
        <v>46.234111151494353</v>
      </c>
      <c r="CZ95" s="772">
        <v>46.520493389040929</v>
      </c>
      <c r="DA95" s="773">
        <v>0</v>
      </c>
      <c r="DB95" s="773">
        <v>0</v>
      </c>
      <c r="DC95" s="773">
        <v>0</v>
      </c>
      <c r="DD95" s="774">
        <v>0</v>
      </c>
      <c r="DE95" s="774">
        <v>0</v>
      </c>
      <c r="DF95" s="774">
        <v>0</v>
      </c>
      <c r="DG95" s="774">
        <v>0</v>
      </c>
      <c r="DH95" s="774">
        <v>0</v>
      </c>
      <c r="DI95" s="774">
        <v>0</v>
      </c>
      <c r="DJ95" s="774">
        <v>0</v>
      </c>
      <c r="DK95" s="774">
        <v>0</v>
      </c>
      <c r="DL95" s="774">
        <v>0</v>
      </c>
      <c r="DM95" s="774">
        <v>0</v>
      </c>
      <c r="DN95" s="774">
        <v>0</v>
      </c>
      <c r="DO95" s="774">
        <v>0</v>
      </c>
      <c r="DP95" s="773">
        <v>0</v>
      </c>
      <c r="DQ95" s="773">
        <v>0</v>
      </c>
      <c r="DR95" s="773">
        <v>0</v>
      </c>
      <c r="DS95" s="774">
        <v>0</v>
      </c>
      <c r="DT95" s="774">
        <v>0</v>
      </c>
      <c r="DU95" s="774">
        <v>0</v>
      </c>
      <c r="DV95" s="774">
        <v>0</v>
      </c>
      <c r="DW95" s="774">
        <v>0</v>
      </c>
      <c r="DX95" s="774">
        <v>0</v>
      </c>
      <c r="DY95" s="774">
        <v>0</v>
      </c>
      <c r="DZ95" s="774">
        <v>0</v>
      </c>
      <c r="EA95" s="774">
        <v>0</v>
      </c>
      <c r="EB95" s="774">
        <v>0</v>
      </c>
      <c r="EC95" s="774">
        <v>0</v>
      </c>
      <c r="ED95" s="774">
        <v>0</v>
      </c>
    </row>
    <row r="96" spans="1:134" ht="15" x14ac:dyDescent="0.25">
      <c r="A96" s="766">
        <v>123</v>
      </c>
      <c r="B96" s="766">
        <v>87</v>
      </c>
      <c r="C96" s="766" t="s">
        <v>3767</v>
      </c>
      <c r="D96" s="2">
        <v>99705</v>
      </c>
      <c r="E96" s="2">
        <v>99705</v>
      </c>
      <c r="F96" s="767" t="s">
        <v>3746</v>
      </c>
      <c r="G96" s="114">
        <v>478</v>
      </c>
      <c r="H96" s="114">
        <v>199</v>
      </c>
      <c r="I96" s="114">
        <v>188</v>
      </c>
      <c r="J96" s="114">
        <v>11</v>
      </c>
      <c r="K96" s="114">
        <v>8</v>
      </c>
      <c r="L96" s="114">
        <v>178</v>
      </c>
      <c r="M96" s="114">
        <v>186</v>
      </c>
      <c r="N96" s="114">
        <v>9</v>
      </c>
      <c r="O96" s="114">
        <v>0</v>
      </c>
      <c r="P96" s="114">
        <v>0</v>
      </c>
      <c r="Q96" s="114">
        <v>195</v>
      </c>
      <c r="R96" s="114">
        <v>13122.75</v>
      </c>
      <c r="S96" s="114">
        <v>2458.2584269662921</v>
      </c>
      <c r="T96" s="114">
        <v>2916.9462365591398</v>
      </c>
      <c r="U96" s="114">
        <v>5029.2222222222226</v>
      </c>
      <c r="V96" s="114">
        <v>0</v>
      </c>
      <c r="W96" s="114">
        <v>0</v>
      </c>
      <c r="X96" s="114">
        <v>3014.4358974358975</v>
      </c>
      <c r="Y96" s="114">
        <v>8.5591397849462361</v>
      </c>
      <c r="Z96" s="114">
        <v>190.44086021505376</v>
      </c>
      <c r="AA96" s="114">
        <v>0</v>
      </c>
      <c r="AB96" s="657">
        <v>9</v>
      </c>
      <c r="AC96" s="657">
        <v>0</v>
      </c>
      <c r="AD96" s="768">
        <v>208</v>
      </c>
      <c r="AE96" s="769">
        <v>8.086021505376344</v>
      </c>
      <c r="AF96" s="769">
        <v>179.91397849462365</v>
      </c>
      <c r="AG96" s="770">
        <v>188</v>
      </c>
      <c r="AH96" s="769">
        <v>0</v>
      </c>
      <c r="AI96" s="769">
        <v>7.944180143825859</v>
      </c>
      <c r="AJ96" s="769">
        <v>176.75800820012537</v>
      </c>
      <c r="AK96" s="769">
        <v>184.70218834395124</v>
      </c>
      <c r="AL96" s="769">
        <v>0</v>
      </c>
      <c r="AM96" s="769">
        <v>7.5435487794789413</v>
      </c>
      <c r="AN96" s="769">
        <v>167.84396034340645</v>
      </c>
      <c r="AO96" s="769">
        <v>175.3875091228854</v>
      </c>
      <c r="AP96" s="769">
        <v>0</v>
      </c>
      <c r="AQ96" s="769">
        <v>8.4609690060141833</v>
      </c>
      <c r="AR96" s="769">
        <v>0</v>
      </c>
      <c r="AS96" s="769">
        <v>171.43165014595195</v>
      </c>
      <c r="AT96" s="769">
        <v>177.94325200291237</v>
      </c>
      <c r="AU96" s="769">
        <v>184.70218834395124</v>
      </c>
      <c r="AV96" s="769">
        <v>191.71785383851525</v>
      </c>
      <c r="AW96" s="769">
        <v>199</v>
      </c>
      <c r="AX96" s="769">
        <v>163.6211614698415</v>
      </c>
      <c r="AY96" s="769">
        <v>169.40220763021043</v>
      </c>
      <c r="AZ96" s="769">
        <v>175.38750912288538</v>
      </c>
      <c r="BA96" s="769">
        <v>181.5842826763992</v>
      </c>
      <c r="BB96" s="769">
        <v>188</v>
      </c>
      <c r="BC96" s="769">
        <v>7.9542218356369609</v>
      </c>
      <c r="BD96" s="769">
        <v>8.2036835883818426</v>
      </c>
      <c r="BE96" s="769">
        <v>8.4609690060141833</v>
      </c>
      <c r="BF96" s="769">
        <v>8.7263234557359635</v>
      </c>
      <c r="BG96" s="769">
        <v>9</v>
      </c>
      <c r="BH96" s="771">
        <v>202.84995449333456</v>
      </c>
      <c r="BI96" s="771">
        <v>206.77439215049199</v>
      </c>
      <c r="BJ96" s="771">
        <v>210.77475396037298</v>
      </c>
      <c r="BK96" s="772">
        <v>211.80716600266339</v>
      </c>
      <c r="BL96" s="772">
        <v>212.83957804495381</v>
      </c>
      <c r="BM96" s="772">
        <v>213.87199008724428</v>
      </c>
      <c r="BN96" s="772">
        <v>214.9044021295347</v>
      </c>
      <c r="BO96" s="772">
        <v>216.12516165553799</v>
      </c>
      <c r="BP96" s="772">
        <v>217.34592118154134</v>
      </c>
      <c r="BQ96" s="772">
        <v>220.73021703498546</v>
      </c>
      <c r="BR96" s="772">
        <v>224.76237389898091</v>
      </c>
      <c r="BS96" s="772">
        <v>226.53281459277372</v>
      </c>
      <c r="BT96" s="772">
        <v>227.50506286818842</v>
      </c>
      <c r="BU96" s="772">
        <v>228.5119176925102</v>
      </c>
      <c r="BV96" s="772">
        <v>229.54299710106682</v>
      </c>
      <c r="BW96" s="771">
        <v>191.63714293842665</v>
      </c>
      <c r="BX96" s="771">
        <v>195.34465188086679</v>
      </c>
      <c r="BY96" s="771">
        <v>199.12388816356844</v>
      </c>
      <c r="BZ96" s="772">
        <v>200.09923220352121</v>
      </c>
      <c r="CA96" s="772">
        <v>201.07457624347396</v>
      </c>
      <c r="CB96" s="772">
        <v>202.04992028342676</v>
      </c>
      <c r="CC96" s="772">
        <v>203.02526432337953</v>
      </c>
      <c r="CD96" s="772">
        <v>204.17854467960373</v>
      </c>
      <c r="CE96" s="772">
        <v>205.33182503582802</v>
      </c>
      <c r="CF96" s="772">
        <v>208.52904925918224</v>
      </c>
      <c r="CG96" s="772">
        <v>212.33832308044427</v>
      </c>
      <c r="CH96" s="772">
        <v>214.01090021829879</v>
      </c>
      <c r="CI96" s="772">
        <v>214.92940612673078</v>
      </c>
      <c r="CJ96" s="772">
        <v>215.88060565925585</v>
      </c>
      <c r="CK96" s="772">
        <v>216.85469072864606</v>
      </c>
      <c r="CL96" s="771">
        <v>9.1741185449246796</v>
      </c>
      <c r="CM96" s="771">
        <v>9.3516056751478782</v>
      </c>
      <c r="CN96" s="771">
        <v>9.5325265610218928</v>
      </c>
      <c r="CO96" s="772">
        <v>9.5792185629345248</v>
      </c>
      <c r="CP96" s="772">
        <v>9.6259105648471568</v>
      </c>
      <c r="CQ96" s="772">
        <v>9.6726025667597906</v>
      </c>
      <c r="CR96" s="772">
        <v>9.7192945686724226</v>
      </c>
      <c r="CS96" s="772">
        <v>9.7745047984916678</v>
      </c>
      <c r="CT96" s="772">
        <v>9.8297150283109147</v>
      </c>
      <c r="CU96" s="772">
        <v>9.9827736347480851</v>
      </c>
      <c r="CV96" s="772">
        <v>10.165132487893608</v>
      </c>
      <c r="CW96" s="772">
        <v>10.245202670024941</v>
      </c>
      <c r="CX96" s="772">
        <v>10.28917369755626</v>
      </c>
      <c r="CY96" s="772">
        <v>10.334709845389908</v>
      </c>
      <c r="CZ96" s="772">
        <v>10.381341577435183</v>
      </c>
      <c r="DA96" s="773">
        <v>0</v>
      </c>
      <c r="DB96" s="773">
        <v>0</v>
      </c>
      <c r="DC96" s="773">
        <v>0</v>
      </c>
      <c r="DD96" s="774">
        <v>0</v>
      </c>
      <c r="DE96" s="774">
        <v>0</v>
      </c>
      <c r="DF96" s="774">
        <v>0</v>
      </c>
      <c r="DG96" s="774">
        <v>0</v>
      </c>
      <c r="DH96" s="774">
        <v>0</v>
      </c>
      <c r="DI96" s="774">
        <v>0</v>
      </c>
      <c r="DJ96" s="774">
        <v>0</v>
      </c>
      <c r="DK96" s="774">
        <v>0</v>
      </c>
      <c r="DL96" s="774">
        <v>0</v>
      </c>
      <c r="DM96" s="774">
        <v>0</v>
      </c>
      <c r="DN96" s="774">
        <v>0</v>
      </c>
      <c r="DO96" s="774">
        <v>0</v>
      </c>
      <c r="DP96" s="773">
        <v>0</v>
      </c>
      <c r="DQ96" s="773">
        <v>0</v>
      </c>
      <c r="DR96" s="773">
        <v>0</v>
      </c>
      <c r="DS96" s="774">
        <v>0</v>
      </c>
      <c r="DT96" s="774">
        <v>0</v>
      </c>
      <c r="DU96" s="774">
        <v>0</v>
      </c>
      <c r="DV96" s="774">
        <v>0</v>
      </c>
      <c r="DW96" s="774">
        <v>0</v>
      </c>
      <c r="DX96" s="774">
        <v>0</v>
      </c>
      <c r="DY96" s="774">
        <v>0</v>
      </c>
      <c r="DZ96" s="774">
        <v>0</v>
      </c>
      <c r="EA96" s="774">
        <v>0</v>
      </c>
      <c r="EB96" s="774">
        <v>0</v>
      </c>
      <c r="EC96" s="774">
        <v>0</v>
      </c>
      <c r="ED96" s="774">
        <v>0</v>
      </c>
    </row>
    <row r="97" spans="1:134" ht="15" x14ac:dyDescent="0.25">
      <c r="A97" s="766">
        <v>124</v>
      </c>
      <c r="B97" s="766">
        <v>87</v>
      </c>
      <c r="C97" s="766" t="s">
        <v>3768</v>
      </c>
      <c r="D97" s="2">
        <v>99705</v>
      </c>
      <c r="E97" s="2">
        <v>99705</v>
      </c>
      <c r="F97" s="767" t="s">
        <v>3746</v>
      </c>
      <c r="G97" s="114">
        <v>931</v>
      </c>
      <c r="H97" s="114">
        <v>349</v>
      </c>
      <c r="I97" s="114">
        <v>330</v>
      </c>
      <c r="J97" s="114">
        <v>19</v>
      </c>
      <c r="K97" s="114">
        <v>3</v>
      </c>
      <c r="L97" s="114">
        <v>211</v>
      </c>
      <c r="M97" s="114">
        <v>214</v>
      </c>
      <c r="N97" s="114">
        <v>2</v>
      </c>
      <c r="O97" s="114">
        <v>0</v>
      </c>
      <c r="P97" s="114">
        <v>0</v>
      </c>
      <c r="Q97" s="114">
        <v>216</v>
      </c>
      <c r="R97" s="114">
        <v>3358.6666666666665</v>
      </c>
      <c r="S97" s="114">
        <v>2376.4075829383883</v>
      </c>
      <c r="T97" s="114">
        <v>2390.1775700934577</v>
      </c>
      <c r="U97" s="114">
        <v>3396</v>
      </c>
      <c r="V97" s="114">
        <v>0</v>
      </c>
      <c r="W97" s="114">
        <v>0</v>
      </c>
      <c r="X97" s="114">
        <v>2399.4907407407409</v>
      </c>
      <c r="Y97" s="114">
        <v>4.8925233644859816</v>
      </c>
      <c r="Z97" s="114">
        <v>344.10747663551405</v>
      </c>
      <c r="AA97" s="114">
        <v>0</v>
      </c>
      <c r="AB97" s="657">
        <v>2</v>
      </c>
      <c r="AC97" s="657">
        <v>0</v>
      </c>
      <c r="AD97" s="768">
        <v>351</v>
      </c>
      <c r="AE97" s="769">
        <v>4.6261682242990663</v>
      </c>
      <c r="AF97" s="769">
        <v>325.37383177570092</v>
      </c>
      <c r="AG97" s="770">
        <v>330</v>
      </c>
      <c r="AH97" s="769">
        <v>0</v>
      </c>
      <c r="AI97" s="769">
        <v>4.541003879117949</v>
      </c>
      <c r="AJ97" s="769">
        <v>319.38393949796239</v>
      </c>
      <c r="AK97" s="769">
        <v>323.92494337708035</v>
      </c>
      <c r="AL97" s="769">
        <v>0</v>
      </c>
      <c r="AM97" s="769">
        <v>4.3158091576768882</v>
      </c>
      <c r="AN97" s="769">
        <v>303.54524408994109</v>
      </c>
      <c r="AO97" s="769">
        <v>307.86105324761797</v>
      </c>
      <c r="AP97" s="769">
        <v>0</v>
      </c>
      <c r="AQ97" s="769">
        <v>1.8802153346698185</v>
      </c>
      <c r="AR97" s="769">
        <v>0</v>
      </c>
      <c r="AS97" s="769">
        <v>300.65148693938306</v>
      </c>
      <c r="AT97" s="769">
        <v>312.07133140209254</v>
      </c>
      <c r="AU97" s="769">
        <v>323.9249433770803</v>
      </c>
      <c r="AV97" s="769">
        <v>336.22879894292373</v>
      </c>
      <c r="AW97" s="769">
        <v>349</v>
      </c>
      <c r="AX97" s="769">
        <v>287.2073578991899</v>
      </c>
      <c r="AY97" s="769">
        <v>297.35493892536937</v>
      </c>
      <c r="AZ97" s="769">
        <v>307.86105324761797</v>
      </c>
      <c r="BA97" s="769">
        <v>318.738368527722</v>
      </c>
      <c r="BB97" s="769">
        <v>330</v>
      </c>
      <c r="BC97" s="769">
        <v>1.7676048523637691</v>
      </c>
      <c r="BD97" s="769">
        <v>1.823040797418187</v>
      </c>
      <c r="BE97" s="769">
        <v>1.8802153346698185</v>
      </c>
      <c r="BF97" s="769">
        <v>1.9391829901635476</v>
      </c>
      <c r="BG97" s="769">
        <v>2</v>
      </c>
      <c r="BH97" s="771">
        <v>352.24011286770423</v>
      </c>
      <c r="BI97" s="771">
        <v>355.51030691419203</v>
      </c>
      <c r="BJ97" s="771">
        <v>358.81086141285721</v>
      </c>
      <c r="BK97" s="772">
        <v>360.63019034812822</v>
      </c>
      <c r="BL97" s="772">
        <v>362.4495192833993</v>
      </c>
      <c r="BM97" s="772">
        <v>364.26884821867037</v>
      </c>
      <c r="BN97" s="772">
        <v>366.08817715394139</v>
      </c>
      <c r="BO97" s="772">
        <v>368.23941429346416</v>
      </c>
      <c r="BP97" s="772">
        <v>370.39065143298683</v>
      </c>
      <c r="BQ97" s="772">
        <v>376.35449834630725</v>
      </c>
      <c r="BR97" s="772">
        <v>383.46001373524439</v>
      </c>
      <c r="BS97" s="772">
        <v>386.57990564899291</v>
      </c>
      <c r="BT97" s="772">
        <v>388.2932132696647</v>
      </c>
      <c r="BU97" s="772">
        <v>390.06750496762066</v>
      </c>
      <c r="BV97" s="772">
        <v>391.88448551967582</v>
      </c>
      <c r="BW97" s="771">
        <v>333.06371703823038</v>
      </c>
      <c r="BX97" s="771">
        <v>336.15587759794658</v>
      </c>
      <c r="BY97" s="771">
        <v>339.27674574854694</v>
      </c>
      <c r="BZ97" s="772">
        <v>340.997028122872</v>
      </c>
      <c r="CA97" s="772">
        <v>342.71731049719705</v>
      </c>
      <c r="CB97" s="772">
        <v>344.43759287152216</v>
      </c>
      <c r="CC97" s="772">
        <v>346.15787524584721</v>
      </c>
      <c r="CD97" s="772">
        <v>348.19199632333289</v>
      </c>
      <c r="CE97" s="772">
        <v>350.22611740081851</v>
      </c>
      <c r="CF97" s="772">
        <v>355.8652849692877</v>
      </c>
      <c r="CG97" s="772">
        <v>362.58396714220817</v>
      </c>
      <c r="CH97" s="772">
        <v>365.53400820678416</v>
      </c>
      <c r="CI97" s="772">
        <v>367.15404120054257</v>
      </c>
      <c r="CJ97" s="772">
        <v>368.83173822153248</v>
      </c>
      <c r="CK97" s="772">
        <v>370.54980006158462</v>
      </c>
      <c r="CL97" s="771">
        <v>2.018567982049881</v>
      </c>
      <c r="CM97" s="771">
        <v>2.0373083490784643</v>
      </c>
      <c r="CN97" s="771">
        <v>2.056222701506345</v>
      </c>
      <c r="CO97" s="772">
        <v>2.0666486552901331</v>
      </c>
      <c r="CP97" s="772">
        <v>2.0770746090739216</v>
      </c>
      <c r="CQ97" s="772">
        <v>2.0875005628577101</v>
      </c>
      <c r="CR97" s="772">
        <v>2.0979265166414982</v>
      </c>
      <c r="CS97" s="772">
        <v>2.1102545231717142</v>
      </c>
      <c r="CT97" s="772">
        <v>2.1225825297019303</v>
      </c>
      <c r="CU97" s="772">
        <v>2.1567593028441676</v>
      </c>
      <c r="CV97" s="772">
        <v>2.1974785887406556</v>
      </c>
      <c r="CW97" s="772">
        <v>2.2153576254956615</v>
      </c>
      <c r="CX97" s="772">
        <v>2.2251760072760152</v>
      </c>
      <c r="CY97" s="772">
        <v>2.2353438680092874</v>
      </c>
      <c r="CZ97" s="772">
        <v>2.2457563640096034</v>
      </c>
      <c r="DA97" s="773">
        <v>0</v>
      </c>
      <c r="DB97" s="773">
        <v>0</v>
      </c>
      <c r="DC97" s="773">
        <v>0</v>
      </c>
      <c r="DD97" s="774">
        <v>0</v>
      </c>
      <c r="DE97" s="774">
        <v>0</v>
      </c>
      <c r="DF97" s="774">
        <v>0</v>
      </c>
      <c r="DG97" s="774">
        <v>0</v>
      </c>
      <c r="DH97" s="774">
        <v>0</v>
      </c>
      <c r="DI97" s="774">
        <v>0</v>
      </c>
      <c r="DJ97" s="774">
        <v>0</v>
      </c>
      <c r="DK97" s="774">
        <v>0</v>
      </c>
      <c r="DL97" s="774">
        <v>0</v>
      </c>
      <c r="DM97" s="774">
        <v>0</v>
      </c>
      <c r="DN97" s="774">
        <v>0</v>
      </c>
      <c r="DO97" s="774">
        <v>0</v>
      </c>
      <c r="DP97" s="773">
        <v>0</v>
      </c>
      <c r="DQ97" s="773">
        <v>0</v>
      </c>
      <c r="DR97" s="773">
        <v>0</v>
      </c>
      <c r="DS97" s="774">
        <v>0</v>
      </c>
      <c r="DT97" s="774">
        <v>0</v>
      </c>
      <c r="DU97" s="774">
        <v>0</v>
      </c>
      <c r="DV97" s="774">
        <v>0</v>
      </c>
      <c r="DW97" s="774">
        <v>0</v>
      </c>
      <c r="DX97" s="774">
        <v>0</v>
      </c>
      <c r="DY97" s="774">
        <v>0</v>
      </c>
      <c r="DZ97" s="774">
        <v>0</v>
      </c>
      <c r="EA97" s="774">
        <v>0</v>
      </c>
      <c r="EB97" s="774">
        <v>0</v>
      </c>
      <c r="EC97" s="774">
        <v>0</v>
      </c>
      <c r="ED97" s="774">
        <v>0</v>
      </c>
    </row>
    <row r="98" spans="1:134" ht="15" x14ac:dyDescent="0.25">
      <c r="A98" s="766">
        <v>125</v>
      </c>
      <c r="B98" s="766">
        <v>87</v>
      </c>
      <c r="C98" s="766" t="s">
        <v>3769</v>
      </c>
      <c r="D98" s="2">
        <v>99705</v>
      </c>
      <c r="E98" s="2">
        <v>99705</v>
      </c>
      <c r="F98" s="767" t="s">
        <v>3746</v>
      </c>
      <c r="G98" s="114">
        <v>634</v>
      </c>
      <c r="H98" s="114">
        <v>218</v>
      </c>
      <c r="I98" s="114">
        <v>209</v>
      </c>
      <c r="J98" s="114">
        <v>9</v>
      </c>
      <c r="K98" s="114">
        <v>0</v>
      </c>
      <c r="L98" s="114">
        <v>172</v>
      </c>
      <c r="M98" s="114">
        <v>172</v>
      </c>
      <c r="N98" s="114">
        <v>2</v>
      </c>
      <c r="O98" s="114">
        <v>0</v>
      </c>
      <c r="P98" s="114">
        <v>0</v>
      </c>
      <c r="Q98" s="114">
        <v>174</v>
      </c>
      <c r="R98" s="114">
        <v>0</v>
      </c>
      <c r="S98" s="114">
        <v>2376.3023255813955</v>
      </c>
      <c r="T98" s="114">
        <v>2376.3023255813955</v>
      </c>
      <c r="U98" s="114">
        <v>1576</v>
      </c>
      <c r="V98" s="114">
        <v>0</v>
      </c>
      <c r="W98" s="114">
        <v>0</v>
      </c>
      <c r="X98" s="114">
        <v>2367.1034482758619</v>
      </c>
      <c r="Y98" s="114">
        <v>0</v>
      </c>
      <c r="Z98" s="114">
        <v>218</v>
      </c>
      <c r="AA98" s="114">
        <v>0</v>
      </c>
      <c r="AB98" s="657">
        <v>2</v>
      </c>
      <c r="AC98" s="657">
        <v>0</v>
      </c>
      <c r="AD98" s="768">
        <v>220</v>
      </c>
      <c r="AE98" s="769">
        <v>0</v>
      </c>
      <c r="AF98" s="769">
        <v>209</v>
      </c>
      <c r="AG98" s="770">
        <v>209</v>
      </c>
      <c r="AH98" s="769">
        <v>0</v>
      </c>
      <c r="AI98" s="769">
        <v>0</v>
      </c>
      <c r="AJ98" s="769">
        <v>202.3370706481476</v>
      </c>
      <c r="AK98" s="769">
        <v>202.3370706481476</v>
      </c>
      <c r="AL98" s="769">
        <v>0</v>
      </c>
      <c r="AM98" s="769">
        <v>0</v>
      </c>
      <c r="AN98" s="769">
        <v>194.97866705682472</v>
      </c>
      <c r="AO98" s="769">
        <v>194.97866705682472</v>
      </c>
      <c r="AP98" s="769">
        <v>0</v>
      </c>
      <c r="AQ98" s="769">
        <v>1.8802153346698185</v>
      </c>
      <c r="AR98" s="769">
        <v>0</v>
      </c>
      <c r="AS98" s="769">
        <v>187.79949613978658</v>
      </c>
      <c r="AT98" s="769">
        <v>194.93280872680853</v>
      </c>
      <c r="AU98" s="769">
        <v>202.3370706481476</v>
      </c>
      <c r="AV98" s="769">
        <v>210.02257355174032</v>
      </c>
      <c r="AW98" s="769">
        <v>218</v>
      </c>
      <c r="AX98" s="769">
        <v>181.89799333615358</v>
      </c>
      <c r="AY98" s="769">
        <v>188.32479465273394</v>
      </c>
      <c r="AZ98" s="769">
        <v>194.97866705682472</v>
      </c>
      <c r="BA98" s="769">
        <v>201.86763340089061</v>
      </c>
      <c r="BB98" s="769">
        <v>209</v>
      </c>
      <c r="BC98" s="769">
        <v>1.7676048523637691</v>
      </c>
      <c r="BD98" s="769">
        <v>1.823040797418187</v>
      </c>
      <c r="BE98" s="769">
        <v>1.8802153346698185</v>
      </c>
      <c r="BF98" s="769">
        <v>1.9391829901635476</v>
      </c>
      <c r="BG98" s="769">
        <v>2</v>
      </c>
      <c r="BH98" s="771">
        <v>220.02391004343701</v>
      </c>
      <c r="BI98" s="771">
        <v>222.06661004955259</v>
      </c>
      <c r="BJ98" s="771">
        <v>224.12827446419161</v>
      </c>
      <c r="BK98" s="772">
        <v>225.72240413950439</v>
      </c>
      <c r="BL98" s="772">
        <v>227.31653381481718</v>
      </c>
      <c r="BM98" s="772">
        <v>228.91066349012996</v>
      </c>
      <c r="BN98" s="772">
        <v>230.50479316544278</v>
      </c>
      <c r="BO98" s="772">
        <v>232.38974695046966</v>
      </c>
      <c r="BP98" s="772">
        <v>234.27470073549651</v>
      </c>
      <c r="BQ98" s="772">
        <v>239.50033374733573</v>
      </c>
      <c r="BR98" s="772">
        <v>245.72631780129066</v>
      </c>
      <c r="BS98" s="772">
        <v>248.4600248220797</v>
      </c>
      <c r="BT98" s="772">
        <v>249.96125665987563</v>
      </c>
      <c r="BU98" s="772">
        <v>251.51592387454915</v>
      </c>
      <c r="BV98" s="772">
        <v>253.10799585303712</v>
      </c>
      <c r="BW98" s="771">
        <v>210.94035412421258</v>
      </c>
      <c r="BX98" s="771">
        <v>212.89872247869951</v>
      </c>
      <c r="BY98" s="771">
        <v>214.87527230741304</v>
      </c>
      <c r="BZ98" s="772">
        <v>216.40358928970832</v>
      </c>
      <c r="CA98" s="772">
        <v>217.93190627200363</v>
      </c>
      <c r="CB98" s="772">
        <v>219.46022325429891</v>
      </c>
      <c r="CC98" s="772">
        <v>220.98854023659419</v>
      </c>
      <c r="CD98" s="772">
        <v>222.79567482866128</v>
      </c>
      <c r="CE98" s="772">
        <v>224.60280942072831</v>
      </c>
      <c r="CF98" s="772">
        <v>229.61270528987691</v>
      </c>
      <c r="CG98" s="772">
        <v>235.58165330490709</v>
      </c>
      <c r="CH98" s="772">
        <v>238.2025008615351</v>
      </c>
      <c r="CI98" s="772">
        <v>239.64175523813762</v>
      </c>
      <c r="CJ98" s="772">
        <v>241.13223894394849</v>
      </c>
      <c r="CK98" s="772">
        <v>242.65858318020528</v>
      </c>
      <c r="CL98" s="771">
        <v>2.018567982049881</v>
      </c>
      <c r="CM98" s="771">
        <v>2.0373083490784643</v>
      </c>
      <c r="CN98" s="771">
        <v>2.056222701506345</v>
      </c>
      <c r="CO98" s="772">
        <v>2.0708477443991229</v>
      </c>
      <c r="CP98" s="772">
        <v>2.0854727872919008</v>
      </c>
      <c r="CQ98" s="772">
        <v>2.1000978301846787</v>
      </c>
      <c r="CR98" s="772">
        <v>2.1147228730774565</v>
      </c>
      <c r="CS98" s="772">
        <v>2.1320160270685289</v>
      </c>
      <c r="CT98" s="772">
        <v>2.1493091810596012</v>
      </c>
      <c r="CU98" s="772">
        <v>2.1972507683241811</v>
      </c>
      <c r="CV98" s="772">
        <v>2.2543698880852352</v>
      </c>
      <c r="CW98" s="772">
        <v>2.2794497690099056</v>
      </c>
      <c r="CX98" s="772">
        <v>2.2932225381639966</v>
      </c>
      <c r="CY98" s="772">
        <v>2.3074855401334786</v>
      </c>
      <c r="CZ98" s="772">
        <v>2.3220917050737349</v>
      </c>
      <c r="DA98" s="773">
        <v>0</v>
      </c>
      <c r="DB98" s="773">
        <v>0</v>
      </c>
      <c r="DC98" s="773">
        <v>0</v>
      </c>
      <c r="DD98" s="774">
        <v>0</v>
      </c>
      <c r="DE98" s="774">
        <v>0</v>
      </c>
      <c r="DF98" s="774">
        <v>0</v>
      </c>
      <c r="DG98" s="774">
        <v>0</v>
      </c>
      <c r="DH98" s="774">
        <v>0</v>
      </c>
      <c r="DI98" s="774">
        <v>0</v>
      </c>
      <c r="DJ98" s="774">
        <v>0</v>
      </c>
      <c r="DK98" s="774">
        <v>0</v>
      </c>
      <c r="DL98" s="774">
        <v>0</v>
      </c>
      <c r="DM98" s="774">
        <v>0</v>
      </c>
      <c r="DN98" s="774">
        <v>0</v>
      </c>
      <c r="DO98" s="774">
        <v>0</v>
      </c>
      <c r="DP98" s="773">
        <v>0</v>
      </c>
      <c r="DQ98" s="773">
        <v>0</v>
      </c>
      <c r="DR98" s="773">
        <v>0</v>
      </c>
      <c r="DS98" s="774">
        <v>0</v>
      </c>
      <c r="DT98" s="774">
        <v>0</v>
      </c>
      <c r="DU98" s="774">
        <v>0</v>
      </c>
      <c r="DV98" s="774">
        <v>0</v>
      </c>
      <c r="DW98" s="774">
        <v>0</v>
      </c>
      <c r="DX98" s="774">
        <v>0</v>
      </c>
      <c r="DY98" s="774">
        <v>0</v>
      </c>
      <c r="DZ98" s="774">
        <v>0</v>
      </c>
      <c r="EA98" s="774">
        <v>0</v>
      </c>
      <c r="EB98" s="774">
        <v>0</v>
      </c>
      <c r="EC98" s="774">
        <v>0</v>
      </c>
      <c r="ED98" s="774">
        <v>0</v>
      </c>
    </row>
    <row r="99" spans="1:134" ht="15" x14ac:dyDescent="0.25">
      <c r="A99" s="766">
        <v>126</v>
      </c>
      <c r="B99" s="766">
        <v>87</v>
      </c>
      <c r="C99" s="766" t="s">
        <v>3770</v>
      </c>
      <c r="D99" s="2">
        <v>99705</v>
      </c>
      <c r="E99" s="2">
        <v>99705</v>
      </c>
      <c r="F99" s="767" t="s">
        <v>3746</v>
      </c>
      <c r="G99" s="114">
        <v>288</v>
      </c>
      <c r="H99" s="114">
        <v>124</v>
      </c>
      <c r="I99" s="114">
        <v>111</v>
      </c>
      <c r="J99" s="114">
        <v>13</v>
      </c>
      <c r="K99" s="114">
        <v>0</v>
      </c>
      <c r="L99" s="114">
        <v>143</v>
      </c>
      <c r="M99" s="114">
        <v>143</v>
      </c>
      <c r="N99" s="114">
        <v>0</v>
      </c>
      <c r="O99" s="114">
        <v>0</v>
      </c>
      <c r="P99" s="114">
        <v>0</v>
      </c>
      <c r="Q99" s="114">
        <v>143</v>
      </c>
      <c r="R99" s="114">
        <v>0</v>
      </c>
      <c r="S99" s="114">
        <v>2043.4685314685314</v>
      </c>
      <c r="T99" s="114">
        <v>2043.4685314685314</v>
      </c>
      <c r="U99" s="114">
        <v>0</v>
      </c>
      <c r="V99" s="114">
        <v>0</v>
      </c>
      <c r="W99" s="114">
        <v>0</v>
      </c>
      <c r="X99" s="114">
        <v>2043.4685314685314</v>
      </c>
      <c r="Y99" s="114">
        <v>0</v>
      </c>
      <c r="Z99" s="114">
        <v>124</v>
      </c>
      <c r="AA99" s="114">
        <v>0</v>
      </c>
      <c r="AB99" s="657">
        <v>0</v>
      </c>
      <c r="AC99" s="657">
        <v>0</v>
      </c>
      <c r="AD99" s="768">
        <v>124</v>
      </c>
      <c r="AE99" s="769">
        <v>0</v>
      </c>
      <c r="AF99" s="769">
        <v>111</v>
      </c>
      <c r="AG99" s="770">
        <v>111</v>
      </c>
      <c r="AH99" s="769">
        <v>0</v>
      </c>
      <c r="AI99" s="769">
        <v>0</v>
      </c>
      <c r="AJ99" s="769">
        <v>115.0908108273867</v>
      </c>
      <c r="AK99" s="769">
        <v>115.0908108273867</v>
      </c>
      <c r="AL99" s="769">
        <v>0</v>
      </c>
      <c r="AM99" s="769">
        <v>0</v>
      </c>
      <c r="AN99" s="769">
        <v>103.55326336510787</v>
      </c>
      <c r="AO99" s="769">
        <v>103.55326336510787</v>
      </c>
      <c r="AP99" s="769">
        <v>0</v>
      </c>
      <c r="AQ99" s="769">
        <v>0</v>
      </c>
      <c r="AR99" s="769">
        <v>0</v>
      </c>
      <c r="AS99" s="769">
        <v>106.82173174923639</v>
      </c>
      <c r="AT99" s="769">
        <v>110.87921230332228</v>
      </c>
      <c r="AU99" s="769">
        <v>115.0908108273867</v>
      </c>
      <c r="AV99" s="769">
        <v>119.46238128631101</v>
      </c>
      <c r="AW99" s="769">
        <v>124</v>
      </c>
      <c r="AX99" s="769">
        <v>96.606111293363867</v>
      </c>
      <c r="AY99" s="769">
        <v>100.01938854762425</v>
      </c>
      <c r="AZ99" s="769">
        <v>103.55326336510787</v>
      </c>
      <c r="BA99" s="769">
        <v>107.2119966865974</v>
      </c>
      <c r="BB99" s="769">
        <v>111</v>
      </c>
      <c r="BC99" s="769">
        <v>0</v>
      </c>
      <c r="BD99" s="769">
        <v>0</v>
      </c>
      <c r="BE99" s="769">
        <v>0</v>
      </c>
      <c r="BF99" s="769">
        <v>0</v>
      </c>
      <c r="BG99" s="769">
        <v>0</v>
      </c>
      <c r="BH99" s="771">
        <v>125.00029625679839</v>
      </c>
      <c r="BI99" s="771">
        <v>126.00866180876908</v>
      </c>
      <c r="BJ99" s="771">
        <v>127.02516175015204</v>
      </c>
      <c r="BK99" s="772">
        <v>127.94484593563359</v>
      </c>
      <c r="BL99" s="772">
        <v>128.86453012111517</v>
      </c>
      <c r="BM99" s="772">
        <v>129.78421430659671</v>
      </c>
      <c r="BN99" s="772">
        <v>130.70389849207828</v>
      </c>
      <c r="BO99" s="772">
        <v>131.79136472101769</v>
      </c>
      <c r="BP99" s="772">
        <v>132.87883094995709</v>
      </c>
      <c r="BQ99" s="772">
        <v>135.8935995190046</v>
      </c>
      <c r="BR99" s="772">
        <v>139.48548991672854</v>
      </c>
      <c r="BS99" s="772">
        <v>141.06261827315674</v>
      </c>
      <c r="BT99" s="772">
        <v>141.92870790271678</v>
      </c>
      <c r="BU99" s="772">
        <v>142.82562543280508</v>
      </c>
      <c r="BV99" s="772">
        <v>143.74412249326309</v>
      </c>
      <c r="BW99" s="771">
        <v>111.8954264879405</v>
      </c>
      <c r="BX99" s="771">
        <v>112.79807629655942</v>
      </c>
      <c r="BY99" s="771">
        <v>113.70800769570062</v>
      </c>
      <c r="BZ99" s="772">
        <v>114.53127337786556</v>
      </c>
      <c r="CA99" s="772">
        <v>115.3545390600305</v>
      </c>
      <c r="CB99" s="772">
        <v>116.17780474219546</v>
      </c>
      <c r="CC99" s="772">
        <v>117.00107042436041</v>
      </c>
      <c r="CD99" s="772">
        <v>117.97452809704004</v>
      </c>
      <c r="CE99" s="772">
        <v>118.94798576971966</v>
      </c>
      <c r="CF99" s="772">
        <v>121.64668989201219</v>
      </c>
      <c r="CG99" s="772">
        <v>124.86201113513603</v>
      </c>
      <c r="CH99" s="772">
        <v>126.27379538968064</v>
      </c>
      <c r="CI99" s="772">
        <v>127.04908530001259</v>
      </c>
      <c r="CJ99" s="772">
        <v>127.85197115355939</v>
      </c>
      <c r="CK99" s="772">
        <v>128.67417416735645</v>
      </c>
      <c r="CL99" s="771">
        <v>0</v>
      </c>
      <c r="CM99" s="771">
        <v>0</v>
      </c>
      <c r="CN99" s="771">
        <v>0</v>
      </c>
      <c r="CO99" s="772">
        <v>0</v>
      </c>
      <c r="CP99" s="772">
        <v>0</v>
      </c>
      <c r="CQ99" s="772">
        <v>0</v>
      </c>
      <c r="CR99" s="772">
        <v>0</v>
      </c>
      <c r="CS99" s="772">
        <v>0</v>
      </c>
      <c r="CT99" s="772">
        <v>0</v>
      </c>
      <c r="CU99" s="772">
        <v>0</v>
      </c>
      <c r="CV99" s="772">
        <v>0</v>
      </c>
      <c r="CW99" s="772">
        <v>0</v>
      </c>
      <c r="CX99" s="772">
        <v>0</v>
      </c>
      <c r="CY99" s="772">
        <v>0</v>
      </c>
      <c r="CZ99" s="772">
        <v>0</v>
      </c>
      <c r="DA99" s="773">
        <v>0</v>
      </c>
      <c r="DB99" s="773">
        <v>0</v>
      </c>
      <c r="DC99" s="773">
        <v>0</v>
      </c>
      <c r="DD99" s="774">
        <v>0</v>
      </c>
      <c r="DE99" s="774">
        <v>0</v>
      </c>
      <c r="DF99" s="774">
        <v>0</v>
      </c>
      <c r="DG99" s="774">
        <v>0</v>
      </c>
      <c r="DH99" s="774">
        <v>0</v>
      </c>
      <c r="DI99" s="774">
        <v>0</v>
      </c>
      <c r="DJ99" s="774">
        <v>0</v>
      </c>
      <c r="DK99" s="774">
        <v>0</v>
      </c>
      <c r="DL99" s="774">
        <v>0</v>
      </c>
      <c r="DM99" s="774">
        <v>0</v>
      </c>
      <c r="DN99" s="774">
        <v>0</v>
      </c>
      <c r="DO99" s="774">
        <v>0</v>
      </c>
      <c r="DP99" s="773">
        <v>0</v>
      </c>
      <c r="DQ99" s="773">
        <v>0</v>
      </c>
      <c r="DR99" s="773">
        <v>0</v>
      </c>
      <c r="DS99" s="774">
        <v>0</v>
      </c>
      <c r="DT99" s="774">
        <v>0</v>
      </c>
      <c r="DU99" s="774">
        <v>0</v>
      </c>
      <c r="DV99" s="774">
        <v>0</v>
      </c>
      <c r="DW99" s="774">
        <v>0</v>
      </c>
      <c r="DX99" s="774">
        <v>0</v>
      </c>
      <c r="DY99" s="774">
        <v>0</v>
      </c>
      <c r="DZ99" s="774">
        <v>0</v>
      </c>
      <c r="EA99" s="774">
        <v>0</v>
      </c>
      <c r="EB99" s="774">
        <v>0</v>
      </c>
      <c r="EC99" s="774">
        <v>0</v>
      </c>
      <c r="ED99" s="774">
        <v>0</v>
      </c>
    </row>
    <row r="100" spans="1:134" ht="15" x14ac:dyDescent="0.25">
      <c r="A100" s="766">
        <v>95</v>
      </c>
      <c r="B100" s="766">
        <v>88</v>
      </c>
      <c r="C100" s="766" t="s">
        <v>3771</v>
      </c>
      <c r="D100" s="2">
        <v>99709</v>
      </c>
      <c r="E100" s="2">
        <v>99709</v>
      </c>
      <c r="F100" s="767" t="s">
        <v>3676</v>
      </c>
      <c r="G100" s="114">
        <v>68</v>
      </c>
      <c r="H100" s="114">
        <v>25</v>
      </c>
      <c r="I100" s="114">
        <v>24</v>
      </c>
      <c r="J100" s="114">
        <v>1</v>
      </c>
      <c r="K100" s="114">
        <v>0</v>
      </c>
      <c r="L100" s="114">
        <v>0</v>
      </c>
      <c r="M100" s="114">
        <v>0</v>
      </c>
      <c r="N100" s="114">
        <v>0</v>
      </c>
      <c r="O100" s="114">
        <v>0</v>
      </c>
      <c r="P100" s="114">
        <v>0</v>
      </c>
      <c r="Q100" s="114">
        <v>0</v>
      </c>
      <c r="R100" s="114">
        <v>0</v>
      </c>
      <c r="S100" s="114">
        <v>834.49503068156923</v>
      </c>
      <c r="T100" s="114">
        <v>834.49503068156923</v>
      </c>
      <c r="U100" s="114">
        <v>1408.3846153846155</v>
      </c>
      <c r="V100" s="114">
        <v>0</v>
      </c>
      <c r="W100" s="114">
        <v>0</v>
      </c>
      <c r="X100" s="114">
        <v>1365.173957061457</v>
      </c>
      <c r="Y100" s="114">
        <v>0.57280838530838529</v>
      </c>
      <c r="Z100" s="114">
        <v>24.394707207207208</v>
      </c>
      <c r="AA100" s="114">
        <v>3.2484407484407486E-2</v>
      </c>
      <c r="AB100" s="657">
        <v>0</v>
      </c>
      <c r="AC100" s="657">
        <v>0</v>
      </c>
      <c r="AD100" s="768">
        <v>25</v>
      </c>
      <c r="AE100" s="769">
        <v>0.5498960498960499</v>
      </c>
      <c r="AF100" s="769">
        <v>23.418918918918919</v>
      </c>
      <c r="AG100" s="770">
        <v>23.968814968814968</v>
      </c>
      <c r="AH100" s="769">
        <v>3.118503118503119E-2</v>
      </c>
      <c r="AI100" s="769">
        <v>0.54540431280220691</v>
      </c>
      <c r="AJ100" s="769">
        <v>23.227625261098147</v>
      </c>
      <c r="AK100" s="769">
        <v>23.773029573900356</v>
      </c>
      <c r="AL100" s="769">
        <v>3.0930301293130829E-2</v>
      </c>
      <c r="AM100" s="769">
        <v>0.52457588221104934</v>
      </c>
      <c r="AN100" s="769">
        <v>22.340586106489095</v>
      </c>
      <c r="AO100" s="769">
        <v>22.865161988700144</v>
      </c>
      <c r="AP100" s="769">
        <v>2.9749104851288247E-2</v>
      </c>
      <c r="AQ100" s="769">
        <v>0</v>
      </c>
      <c r="AR100" s="769">
        <v>0</v>
      </c>
      <c r="AS100" s="769">
        <v>22.635689683556482</v>
      </c>
      <c r="AT100" s="769">
        <v>23.197390376350942</v>
      </c>
      <c r="AU100" s="769">
        <v>23.773029573900352</v>
      </c>
      <c r="AV100" s="769">
        <v>24.362953157769923</v>
      </c>
      <c r="AW100" s="769">
        <v>24.967515592515593</v>
      </c>
      <c r="AX100" s="769">
        <v>21.812327119622555</v>
      </c>
      <c r="AY100" s="769">
        <v>22.332541121437281</v>
      </c>
      <c r="AZ100" s="769">
        <v>22.865161988700141</v>
      </c>
      <c r="BA100" s="769">
        <v>23.41048561946409</v>
      </c>
      <c r="BB100" s="769">
        <v>23.968814968814968</v>
      </c>
      <c r="BC100" s="769">
        <v>0</v>
      </c>
      <c r="BD100" s="769">
        <v>0</v>
      </c>
      <c r="BE100" s="769">
        <v>0</v>
      </c>
      <c r="BF100" s="769">
        <v>0</v>
      </c>
      <c r="BG100" s="769">
        <v>0</v>
      </c>
      <c r="BH100" s="771">
        <v>25.095414912226726</v>
      </c>
      <c r="BI100" s="771">
        <v>25.223969412703525</v>
      </c>
      <c r="BJ100" s="771">
        <v>25.353182450193977</v>
      </c>
      <c r="BK100" s="772">
        <v>25.418910215425573</v>
      </c>
      <c r="BL100" s="772">
        <v>25.484637980657169</v>
      </c>
      <c r="BM100" s="772">
        <v>25.550365745888765</v>
      </c>
      <c r="BN100" s="772">
        <v>25.616093511120361</v>
      </c>
      <c r="BO100" s="772">
        <v>25.693812282543611</v>
      </c>
      <c r="BP100" s="772">
        <v>25.771531053966864</v>
      </c>
      <c r="BQ100" s="772">
        <v>25.986989799329752</v>
      </c>
      <c r="BR100" s="772">
        <v>26.243694146894018</v>
      </c>
      <c r="BS100" s="772">
        <v>26.356407971908997</v>
      </c>
      <c r="BT100" s="772">
        <v>26.418305454479537</v>
      </c>
      <c r="BU100" s="772">
        <v>26.48240613793195</v>
      </c>
      <c r="BV100" s="772">
        <v>26.548049062001677</v>
      </c>
      <c r="BW100" s="771">
        <v>24.091598315737656</v>
      </c>
      <c r="BX100" s="771">
        <v>24.21501063619538</v>
      </c>
      <c r="BY100" s="771">
        <v>24.339055152186216</v>
      </c>
      <c r="BZ100" s="772">
        <v>24.402153806808549</v>
      </c>
      <c r="CA100" s="772">
        <v>24.465252461430882</v>
      </c>
      <c r="CB100" s="772">
        <v>24.528351116053212</v>
      </c>
      <c r="CC100" s="772">
        <v>24.591449770675545</v>
      </c>
      <c r="CD100" s="772">
        <v>24.666059791241864</v>
      </c>
      <c r="CE100" s="772">
        <v>24.740669811808186</v>
      </c>
      <c r="CF100" s="772">
        <v>24.947510207356562</v>
      </c>
      <c r="CG100" s="772">
        <v>25.193946381018257</v>
      </c>
      <c r="CH100" s="772">
        <v>25.302151653032634</v>
      </c>
      <c r="CI100" s="772">
        <v>25.361573236300352</v>
      </c>
      <c r="CJ100" s="772">
        <v>25.423109892414672</v>
      </c>
      <c r="CK100" s="772">
        <v>25.48612709952161</v>
      </c>
      <c r="CL100" s="771">
        <v>0</v>
      </c>
      <c r="CM100" s="771">
        <v>0</v>
      </c>
      <c r="CN100" s="771">
        <v>0</v>
      </c>
      <c r="CO100" s="772">
        <v>0</v>
      </c>
      <c r="CP100" s="772">
        <v>0</v>
      </c>
      <c r="CQ100" s="772">
        <v>0</v>
      </c>
      <c r="CR100" s="772">
        <v>0</v>
      </c>
      <c r="CS100" s="772">
        <v>0</v>
      </c>
      <c r="CT100" s="772">
        <v>0</v>
      </c>
      <c r="CU100" s="772">
        <v>0</v>
      </c>
      <c r="CV100" s="772">
        <v>0</v>
      </c>
      <c r="CW100" s="772">
        <v>0</v>
      </c>
      <c r="CX100" s="772">
        <v>0</v>
      </c>
      <c r="CY100" s="772">
        <v>0</v>
      </c>
      <c r="CZ100" s="772">
        <v>0</v>
      </c>
      <c r="DA100" s="773">
        <v>3.2650813052597878E-2</v>
      </c>
      <c r="DB100" s="773">
        <v>3.2818071054779505E-2</v>
      </c>
      <c r="DC100" s="773">
        <v>3.2986185857655448E-2</v>
      </c>
      <c r="DD100" s="774">
        <v>3.3071702075755362E-2</v>
      </c>
      <c r="DE100" s="774">
        <v>3.3157218293855283E-2</v>
      </c>
      <c r="DF100" s="774">
        <v>3.3242734511955196E-2</v>
      </c>
      <c r="DG100" s="774">
        <v>3.3328250730055117E-2</v>
      </c>
      <c r="DH100" s="774">
        <v>3.3429368049106963E-2</v>
      </c>
      <c r="DI100" s="774">
        <v>3.3530485368158815E-2</v>
      </c>
      <c r="DJ100" s="774">
        <v>3.3810811604644483E-2</v>
      </c>
      <c r="DK100" s="774">
        <v>3.4144801127887092E-2</v>
      </c>
      <c r="DL100" s="774">
        <v>3.4291449351950297E-2</v>
      </c>
      <c r="DM100" s="774">
        <v>3.4371982116158648E-2</v>
      </c>
      <c r="DN100" s="774">
        <v>3.4455381392053022E-2</v>
      </c>
      <c r="DO100" s="774">
        <v>3.4540787226127606E-2</v>
      </c>
      <c r="DP100" s="773">
        <v>0</v>
      </c>
      <c r="DQ100" s="773">
        <v>0</v>
      </c>
      <c r="DR100" s="773">
        <v>0</v>
      </c>
      <c r="DS100" s="774">
        <v>0</v>
      </c>
      <c r="DT100" s="774">
        <v>0</v>
      </c>
      <c r="DU100" s="774">
        <v>0</v>
      </c>
      <c r="DV100" s="774">
        <v>0</v>
      </c>
      <c r="DW100" s="774">
        <v>0</v>
      </c>
      <c r="DX100" s="774">
        <v>0</v>
      </c>
      <c r="DY100" s="774">
        <v>0</v>
      </c>
      <c r="DZ100" s="774">
        <v>0</v>
      </c>
      <c r="EA100" s="774">
        <v>0</v>
      </c>
      <c r="EB100" s="774">
        <v>0</v>
      </c>
      <c r="EC100" s="774">
        <v>0</v>
      </c>
      <c r="ED100" s="774">
        <v>0</v>
      </c>
    </row>
    <row r="101" spans="1:134" ht="15" x14ac:dyDescent="0.25">
      <c r="A101" s="766">
        <v>97</v>
      </c>
      <c r="B101" s="766">
        <v>88</v>
      </c>
      <c r="C101" s="766" t="s">
        <v>3772</v>
      </c>
      <c r="D101" s="2">
        <v>99709</v>
      </c>
      <c r="E101" s="2">
        <v>99709</v>
      </c>
      <c r="F101" s="767" t="s">
        <v>3676</v>
      </c>
      <c r="G101" s="114">
        <v>43</v>
      </c>
      <c r="H101" s="114">
        <v>18</v>
      </c>
      <c r="I101" s="114">
        <v>16</v>
      </c>
      <c r="J101" s="114">
        <v>2</v>
      </c>
      <c r="K101" s="114">
        <v>0</v>
      </c>
      <c r="L101" s="114">
        <v>23</v>
      </c>
      <c r="M101" s="114">
        <v>23</v>
      </c>
      <c r="N101" s="114">
        <v>0</v>
      </c>
      <c r="O101" s="114">
        <v>0</v>
      </c>
      <c r="P101" s="114">
        <v>0</v>
      </c>
      <c r="Q101" s="114">
        <v>23</v>
      </c>
      <c r="R101" s="114">
        <v>0</v>
      </c>
      <c r="S101" s="114">
        <v>1447.6521739130435</v>
      </c>
      <c r="T101" s="114">
        <v>1447.6521739130435</v>
      </c>
      <c r="U101" s="114">
        <v>0</v>
      </c>
      <c r="V101" s="114">
        <v>0</v>
      </c>
      <c r="W101" s="114">
        <v>0</v>
      </c>
      <c r="X101" s="114">
        <v>1447.6521739130435</v>
      </c>
      <c r="Y101" s="114">
        <v>0</v>
      </c>
      <c r="Z101" s="114">
        <v>18</v>
      </c>
      <c r="AA101" s="114">
        <v>0</v>
      </c>
      <c r="AB101" s="657">
        <v>0</v>
      </c>
      <c r="AC101" s="657">
        <v>0</v>
      </c>
      <c r="AD101" s="768">
        <v>18</v>
      </c>
      <c r="AE101" s="769">
        <v>0</v>
      </c>
      <c r="AF101" s="769">
        <v>16</v>
      </c>
      <c r="AG101" s="770">
        <v>16</v>
      </c>
      <c r="AH101" s="769">
        <v>0</v>
      </c>
      <c r="AI101" s="769">
        <v>0</v>
      </c>
      <c r="AJ101" s="769">
        <v>17.13885111013931</v>
      </c>
      <c r="AK101" s="769">
        <v>17.13885111013931</v>
      </c>
      <c r="AL101" s="769">
        <v>0</v>
      </c>
      <c r="AM101" s="769">
        <v>0</v>
      </c>
      <c r="AN101" s="769">
        <v>15.263274062367621</v>
      </c>
      <c r="AO101" s="769">
        <v>15.263274062367621</v>
      </c>
      <c r="AP101" s="769">
        <v>0</v>
      </c>
      <c r="AQ101" s="769">
        <v>0</v>
      </c>
      <c r="AR101" s="769">
        <v>0</v>
      </c>
      <c r="AS101" s="769">
        <v>16.318900965306856</v>
      </c>
      <c r="AT101" s="769">
        <v>16.723851647437645</v>
      </c>
      <c r="AU101" s="769">
        <v>17.13885111013931</v>
      </c>
      <c r="AV101" s="769">
        <v>17.564148712149631</v>
      </c>
      <c r="AW101" s="769">
        <v>18</v>
      </c>
      <c r="AX101" s="769">
        <v>14.560470943934011</v>
      </c>
      <c r="AY101" s="769">
        <v>14.907731500614217</v>
      </c>
      <c r="AZ101" s="769">
        <v>15.263274062367621</v>
      </c>
      <c r="BA101" s="769">
        <v>15.627296151218289</v>
      </c>
      <c r="BB101" s="769">
        <v>16</v>
      </c>
      <c r="BC101" s="769">
        <v>0</v>
      </c>
      <c r="BD101" s="769">
        <v>0</v>
      </c>
      <c r="BE101" s="769">
        <v>0</v>
      </c>
      <c r="BF101" s="769">
        <v>0</v>
      </c>
      <c r="BG101" s="769">
        <v>0</v>
      </c>
      <c r="BH101" s="771">
        <v>18.168179835822947</v>
      </c>
      <c r="BI101" s="771">
        <v>18.337931030377973</v>
      </c>
      <c r="BJ101" s="771">
        <v>18.50926826537917</v>
      </c>
      <c r="BK101" s="772">
        <v>18.769376163191438</v>
      </c>
      <c r="BL101" s="772">
        <v>19.029484061003707</v>
      </c>
      <c r="BM101" s="772">
        <v>19.289591958815972</v>
      </c>
      <c r="BN101" s="772">
        <v>19.549699856628241</v>
      </c>
      <c r="BO101" s="772">
        <v>19.857260385793108</v>
      </c>
      <c r="BP101" s="772">
        <v>20.164820914957971</v>
      </c>
      <c r="BQ101" s="772">
        <v>21.017466994193146</v>
      </c>
      <c r="BR101" s="772">
        <v>22.033336436413499</v>
      </c>
      <c r="BS101" s="772">
        <v>22.479384708033905</v>
      </c>
      <c r="BT101" s="772">
        <v>22.724334829410527</v>
      </c>
      <c r="BU101" s="772">
        <v>22.978003792023024</v>
      </c>
      <c r="BV101" s="772">
        <v>23.23777594350064</v>
      </c>
      <c r="BW101" s="771">
        <v>16.149493187398175</v>
      </c>
      <c r="BX101" s="771">
        <v>16.300383138113755</v>
      </c>
      <c r="BY101" s="771">
        <v>16.45268290255926</v>
      </c>
      <c r="BZ101" s="772">
        <v>16.683889922836833</v>
      </c>
      <c r="CA101" s="772">
        <v>16.915096943114403</v>
      </c>
      <c r="CB101" s="772">
        <v>17.146303963391976</v>
      </c>
      <c r="CC101" s="772">
        <v>17.377510983669545</v>
      </c>
      <c r="CD101" s="772">
        <v>17.650898120704984</v>
      </c>
      <c r="CE101" s="772">
        <v>17.924285257740419</v>
      </c>
      <c r="CF101" s="772">
        <v>18.68219288372724</v>
      </c>
      <c r="CG101" s="772">
        <v>19.585187943478662</v>
      </c>
      <c r="CH101" s="772">
        <v>19.981675296030136</v>
      </c>
      <c r="CI101" s="772">
        <v>20.199408737253798</v>
      </c>
      <c r="CJ101" s="772">
        <v>20.424892259576019</v>
      </c>
      <c r="CK101" s="772">
        <v>20.655800838667233</v>
      </c>
      <c r="CL101" s="771">
        <v>0</v>
      </c>
      <c r="CM101" s="771">
        <v>0</v>
      </c>
      <c r="CN101" s="771">
        <v>0</v>
      </c>
      <c r="CO101" s="772">
        <v>0</v>
      </c>
      <c r="CP101" s="772">
        <v>0</v>
      </c>
      <c r="CQ101" s="772">
        <v>0</v>
      </c>
      <c r="CR101" s="772">
        <v>0</v>
      </c>
      <c r="CS101" s="772">
        <v>0</v>
      </c>
      <c r="CT101" s="772">
        <v>0</v>
      </c>
      <c r="CU101" s="772">
        <v>0</v>
      </c>
      <c r="CV101" s="772">
        <v>0</v>
      </c>
      <c r="CW101" s="772">
        <v>0</v>
      </c>
      <c r="CX101" s="772">
        <v>0</v>
      </c>
      <c r="CY101" s="772">
        <v>0</v>
      </c>
      <c r="CZ101" s="772">
        <v>0</v>
      </c>
      <c r="DA101" s="773">
        <v>0</v>
      </c>
      <c r="DB101" s="773">
        <v>0</v>
      </c>
      <c r="DC101" s="773">
        <v>0</v>
      </c>
      <c r="DD101" s="774">
        <v>0</v>
      </c>
      <c r="DE101" s="774">
        <v>0</v>
      </c>
      <c r="DF101" s="774">
        <v>0</v>
      </c>
      <c r="DG101" s="774">
        <v>0</v>
      </c>
      <c r="DH101" s="774">
        <v>0</v>
      </c>
      <c r="DI101" s="774">
        <v>0</v>
      </c>
      <c r="DJ101" s="774">
        <v>0</v>
      </c>
      <c r="DK101" s="774">
        <v>0</v>
      </c>
      <c r="DL101" s="774">
        <v>0</v>
      </c>
      <c r="DM101" s="774">
        <v>0</v>
      </c>
      <c r="DN101" s="774">
        <v>0</v>
      </c>
      <c r="DO101" s="774">
        <v>0</v>
      </c>
      <c r="DP101" s="773">
        <v>0</v>
      </c>
      <c r="DQ101" s="773">
        <v>0</v>
      </c>
      <c r="DR101" s="773">
        <v>0</v>
      </c>
      <c r="DS101" s="774">
        <v>0</v>
      </c>
      <c r="DT101" s="774">
        <v>0</v>
      </c>
      <c r="DU101" s="774">
        <v>0</v>
      </c>
      <c r="DV101" s="774">
        <v>0</v>
      </c>
      <c r="DW101" s="774">
        <v>0</v>
      </c>
      <c r="DX101" s="774">
        <v>0</v>
      </c>
      <c r="DY101" s="774">
        <v>0</v>
      </c>
      <c r="DZ101" s="774">
        <v>0</v>
      </c>
      <c r="EA101" s="774">
        <v>0</v>
      </c>
      <c r="EB101" s="774">
        <v>0</v>
      </c>
      <c r="EC101" s="774">
        <v>0</v>
      </c>
      <c r="ED101" s="774">
        <v>0</v>
      </c>
    </row>
    <row r="102" spans="1:134" ht="15" x14ac:dyDescent="0.25">
      <c r="A102" s="766">
        <v>98</v>
      </c>
      <c r="B102" s="766">
        <v>88</v>
      </c>
      <c r="C102" s="766" t="s">
        <v>3773</v>
      </c>
      <c r="D102" s="2">
        <v>99709</v>
      </c>
      <c r="E102" s="2">
        <v>99709</v>
      </c>
      <c r="F102" s="767" t="s">
        <v>3676</v>
      </c>
      <c r="G102" s="114">
        <v>60</v>
      </c>
      <c r="H102" s="114">
        <v>31</v>
      </c>
      <c r="I102" s="114">
        <v>27</v>
      </c>
      <c r="J102" s="114">
        <v>4</v>
      </c>
      <c r="K102" s="114">
        <v>0</v>
      </c>
      <c r="L102" s="114">
        <v>48</v>
      </c>
      <c r="M102" s="114">
        <v>48</v>
      </c>
      <c r="N102" s="114">
        <v>0</v>
      </c>
      <c r="O102" s="114">
        <v>0</v>
      </c>
      <c r="P102" s="114">
        <v>0</v>
      </c>
      <c r="Q102" s="114">
        <v>48</v>
      </c>
      <c r="R102" s="114">
        <v>0</v>
      </c>
      <c r="S102" s="114">
        <v>1689.0416666666667</v>
      </c>
      <c r="T102" s="114">
        <v>1689.0416666666667</v>
      </c>
      <c r="U102" s="114">
        <v>0</v>
      </c>
      <c r="V102" s="114">
        <v>0</v>
      </c>
      <c r="W102" s="114">
        <v>0</v>
      </c>
      <c r="X102" s="114">
        <v>1689.0416666666667</v>
      </c>
      <c r="Y102" s="114">
        <v>0</v>
      </c>
      <c r="Z102" s="114">
        <v>31</v>
      </c>
      <c r="AA102" s="114">
        <v>0</v>
      </c>
      <c r="AB102" s="657">
        <v>0</v>
      </c>
      <c r="AC102" s="657">
        <v>0</v>
      </c>
      <c r="AD102" s="768">
        <v>31</v>
      </c>
      <c r="AE102" s="769">
        <v>0</v>
      </c>
      <c r="AF102" s="769">
        <v>27</v>
      </c>
      <c r="AG102" s="770">
        <v>27</v>
      </c>
      <c r="AH102" s="769">
        <v>0</v>
      </c>
      <c r="AI102" s="769">
        <v>0</v>
      </c>
      <c r="AJ102" s="769">
        <v>29.51691024523992</v>
      </c>
      <c r="AK102" s="769">
        <v>29.51691024523992</v>
      </c>
      <c r="AL102" s="769">
        <v>0</v>
      </c>
      <c r="AM102" s="769">
        <v>0</v>
      </c>
      <c r="AN102" s="769">
        <v>25.75677498024536</v>
      </c>
      <c r="AO102" s="769">
        <v>25.75677498024536</v>
      </c>
      <c r="AP102" s="769">
        <v>0</v>
      </c>
      <c r="AQ102" s="769">
        <v>0</v>
      </c>
      <c r="AR102" s="769">
        <v>0</v>
      </c>
      <c r="AS102" s="769">
        <v>28.104773884695138</v>
      </c>
      <c r="AT102" s="769">
        <v>28.802188948364833</v>
      </c>
      <c r="AU102" s="769">
        <v>29.51691024523992</v>
      </c>
      <c r="AV102" s="769">
        <v>30.249367226479919</v>
      </c>
      <c r="AW102" s="769">
        <v>31</v>
      </c>
      <c r="AX102" s="769">
        <v>24.570794717888642</v>
      </c>
      <c r="AY102" s="769">
        <v>25.156796907286491</v>
      </c>
      <c r="AZ102" s="769">
        <v>25.75677498024536</v>
      </c>
      <c r="BA102" s="769">
        <v>26.37106225518086</v>
      </c>
      <c r="BB102" s="769">
        <v>27</v>
      </c>
      <c r="BC102" s="769">
        <v>0</v>
      </c>
      <c r="BD102" s="769">
        <v>0</v>
      </c>
      <c r="BE102" s="769">
        <v>0</v>
      </c>
      <c r="BF102" s="769">
        <v>0</v>
      </c>
      <c r="BG102" s="769">
        <v>0</v>
      </c>
      <c r="BH102" s="771">
        <v>31.289643050583965</v>
      </c>
      <c r="BI102" s="771">
        <v>31.5819923300954</v>
      </c>
      <c r="BJ102" s="771">
        <v>31.877073123708566</v>
      </c>
      <c r="BK102" s="772">
        <v>32.325036725496361</v>
      </c>
      <c r="BL102" s="772">
        <v>32.773000327284159</v>
      </c>
      <c r="BM102" s="772">
        <v>33.220963929071949</v>
      </c>
      <c r="BN102" s="772">
        <v>33.668927530859747</v>
      </c>
      <c r="BO102" s="772">
        <v>34.198615108865901</v>
      </c>
      <c r="BP102" s="772">
        <v>34.728302686872055</v>
      </c>
      <c r="BQ102" s="772">
        <v>36.196748712221527</v>
      </c>
      <c r="BR102" s="772">
        <v>37.946301640489907</v>
      </c>
      <c r="BS102" s="772">
        <v>38.714495886058387</v>
      </c>
      <c r="BT102" s="772">
        <v>39.136354428429236</v>
      </c>
      <c r="BU102" s="772">
        <v>39.573228752928536</v>
      </c>
      <c r="BV102" s="772">
        <v>40.020614124917763</v>
      </c>
      <c r="BW102" s="771">
        <v>27.252269753734421</v>
      </c>
      <c r="BX102" s="771">
        <v>27.506896545566963</v>
      </c>
      <c r="BY102" s="771">
        <v>27.763902398068751</v>
      </c>
      <c r="BZ102" s="772">
        <v>28.154064244787154</v>
      </c>
      <c r="CA102" s="772">
        <v>28.544226091505553</v>
      </c>
      <c r="CB102" s="772">
        <v>28.934387938223956</v>
      </c>
      <c r="CC102" s="772">
        <v>29.324549784942359</v>
      </c>
      <c r="CD102" s="772">
        <v>29.78589057868966</v>
      </c>
      <c r="CE102" s="772">
        <v>30.247231372436953</v>
      </c>
      <c r="CF102" s="772">
        <v>31.526200491289718</v>
      </c>
      <c r="CG102" s="772">
        <v>33.050004654620246</v>
      </c>
      <c r="CH102" s="772">
        <v>33.71907706205085</v>
      </c>
      <c r="CI102" s="772">
        <v>34.086502244115785</v>
      </c>
      <c r="CJ102" s="772">
        <v>34.467005688034533</v>
      </c>
      <c r="CK102" s="772">
        <v>34.856663915250955</v>
      </c>
      <c r="CL102" s="771">
        <v>0</v>
      </c>
      <c r="CM102" s="771">
        <v>0</v>
      </c>
      <c r="CN102" s="771">
        <v>0</v>
      </c>
      <c r="CO102" s="772">
        <v>0</v>
      </c>
      <c r="CP102" s="772">
        <v>0</v>
      </c>
      <c r="CQ102" s="772">
        <v>0</v>
      </c>
      <c r="CR102" s="772">
        <v>0</v>
      </c>
      <c r="CS102" s="772">
        <v>0</v>
      </c>
      <c r="CT102" s="772">
        <v>0</v>
      </c>
      <c r="CU102" s="772">
        <v>0</v>
      </c>
      <c r="CV102" s="772">
        <v>0</v>
      </c>
      <c r="CW102" s="772">
        <v>0</v>
      </c>
      <c r="CX102" s="772">
        <v>0</v>
      </c>
      <c r="CY102" s="772">
        <v>0</v>
      </c>
      <c r="CZ102" s="772">
        <v>0</v>
      </c>
      <c r="DA102" s="773">
        <v>0</v>
      </c>
      <c r="DB102" s="773">
        <v>0</v>
      </c>
      <c r="DC102" s="773">
        <v>0</v>
      </c>
      <c r="DD102" s="774">
        <v>0</v>
      </c>
      <c r="DE102" s="774">
        <v>0</v>
      </c>
      <c r="DF102" s="774">
        <v>0</v>
      </c>
      <c r="DG102" s="774">
        <v>0</v>
      </c>
      <c r="DH102" s="774">
        <v>0</v>
      </c>
      <c r="DI102" s="774">
        <v>0</v>
      </c>
      <c r="DJ102" s="774">
        <v>0</v>
      </c>
      <c r="DK102" s="774">
        <v>0</v>
      </c>
      <c r="DL102" s="774">
        <v>0</v>
      </c>
      <c r="DM102" s="774">
        <v>0</v>
      </c>
      <c r="DN102" s="774">
        <v>0</v>
      </c>
      <c r="DO102" s="774">
        <v>0</v>
      </c>
      <c r="DP102" s="773">
        <v>0</v>
      </c>
      <c r="DQ102" s="773">
        <v>0</v>
      </c>
      <c r="DR102" s="773">
        <v>0</v>
      </c>
      <c r="DS102" s="774">
        <v>0</v>
      </c>
      <c r="DT102" s="774">
        <v>0</v>
      </c>
      <c r="DU102" s="774">
        <v>0</v>
      </c>
      <c r="DV102" s="774">
        <v>0</v>
      </c>
      <c r="DW102" s="774">
        <v>0</v>
      </c>
      <c r="DX102" s="774">
        <v>0</v>
      </c>
      <c r="DY102" s="774">
        <v>0</v>
      </c>
      <c r="DZ102" s="774">
        <v>0</v>
      </c>
      <c r="EA102" s="774">
        <v>0</v>
      </c>
      <c r="EB102" s="774">
        <v>0</v>
      </c>
      <c r="EC102" s="774">
        <v>0</v>
      </c>
      <c r="ED102" s="774">
        <v>0</v>
      </c>
    </row>
    <row r="103" spans="1:134" ht="15" x14ac:dyDescent="0.25">
      <c r="A103" s="766">
        <v>119</v>
      </c>
      <c r="B103" s="766">
        <v>88</v>
      </c>
      <c r="C103" s="766" t="s">
        <v>3774</v>
      </c>
      <c r="D103" s="2">
        <v>99705</v>
      </c>
      <c r="E103" s="2">
        <v>99705</v>
      </c>
      <c r="F103" s="767" t="s">
        <v>3746</v>
      </c>
      <c r="G103" s="114">
        <v>16</v>
      </c>
      <c r="H103" s="114">
        <v>6</v>
      </c>
      <c r="I103" s="114">
        <v>6</v>
      </c>
      <c r="J103" s="114">
        <v>0</v>
      </c>
      <c r="K103" s="114">
        <v>0</v>
      </c>
      <c r="L103" s="114">
        <v>14</v>
      </c>
      <c r="M103" s="114">
        <v>14</v>
      </c>
      <c r="N103" s="114">
        <v>7</v>
      </c>
      <c r="O103" s="114">
        <v>0</v>
      </c>
      <c r="P103" s="114">
        <v>0</v>
      </c>
      <c r="Q103" s="114">
        <v>21</v>
      </c>
      <c r="R103" s="114">
        <v>0</v>
      </c>
      <c r="S103" s="114">
        <v>1348.9285714285713</v>
      </c>
      <c r="T103" s="114">
        <v>1348.9285714285713</v>
      </c>
      <c r="U103" s="114">
        <v>3902.8571428571427</v>
      </c>
      <c r="V103" s="114">
        <v>0</v>
      </c>
      <c r="W103" s="114">
        <v>0</v>
      </c>
      <c r="X103" s="114">
        <v>2200.2380952380954</v>
      </c>
      <c r="Y103" s="114">
        <v>0</v>
      </c>
      <c r="Z103" s="114">
        <v>6</v>
      </c>
      <c r="AA103" s="114">
        <v>0</v>
      </c>
      <c r="AB103" s="657">
        <v>7</v>
      </c>
      <c r="AC103" s="657">
        <v>0</v>
      </c>
      <c r="AD103" s="768">
        <v>13</v>
      </c>
      <c r="AE103" s="769">
        <v>0</v>
      </c>
      <c r="AF103" s="769">
        <v>6</v>
      </c>
      <c r="AG103" s="770">
        <v>6</v>
      </c>
      <c r="AH103" s="769">
        <v>0</v>
      </c>
      <c r="AI103" s="769">
        <v>0</v>
      </c>
      <c r="AJ103" s="769">
        <v>5.5689102013251635</v>
      </c>
      <c r="AK103" s="769">
        <v>5.5689102013251635</v>
      </c>
      <c r="AL103" s="769">
        <v>0</v>
      </c>
      <c r="AM103" s="769">
        <v>0</v>
      </c>
      <c r="AN103" s="769">
        <v>5.5974736954112361</v>
      </c>
      <c r="AO103" s="769">
        <v>5.5974736954112361</v>
      </c>
      <c r="AP103" s="769">
        <v>0</v>
      </c>
      <c r="AQ103" s="769">
        <v>6.5807536713443655</v>
      </c>
      <c r="AR103" s="769">
        <v>0</v>
      </c>
      <c r="AS103" s="769">
        <v>5.1687934717372448</v>
      </c>
      <c r="AT103" s="769">
        <v>5.3651231759672076</v>
      </c>
      <c r="AU103" s="769">
        <v>5.5689102013251635</v>
      </c>
      <c r="AV103" s="769">
        <v>5.7804378041763389</v>
      </c>
      <c r="AW103" s="769">
        <v>6</v>
      </c>
      <c r="AX103" s="769">
        <v>5.2219519618034527</v>
      </c>
      <c r="AY103" s="769">
        <v>5.4064534350067159</v>
      </c>
      <c r="AZ103" s="769">
        <v>5.5974736954112361</v>
      </c>
      <c r="BA103" s="769">
        <v>5.7952430641403998</v>
      </c>
      <c r="BB103" s="769">
        <v>6</v>
      </c>
      <c r="BC103" s="769">
        <v>6.1866169832731917</v>
      </c>
      <c r="BD103" s="769">
        <v>6.3806427909636545</v>
      </c>
      <c r="BE103" s="769">
        <v>6.5807536713443655</v>
      </c>
      <c r="BF103" s="769">
        <v>6.7871404655724161</v>
      </c>
      <c r="BG103" s="769">
        <v>7</v>
      </c>
      <c r="BH103" s="771">
        <v>6.0616426334995595</v>
      </c>
      <c r="BI103" s="771">
        <v>6.1239185693765794</v>
      </c>
      <c r="BJ103" s="771">
        <v>6.1868343140354511</v>
      </c>
      <c r="BK103" s="772">
        <v>6.1868343140354511</v>
      </c>
      <c r="BL103" s="772">
        <v>6.1868343140354511</v>
      </c>
      <c r="BM103" s="772">
        <v>6.1868343140354511</v>
      </c>
      <c r="BN103" s="772">
        <v>6.1868343140354511</v>
      </c>
      <c r="BO103" s="772">
        <v>6.1868343140354511</v>
      </c>
      <c r="BP103" s="772">
        <v>6.1868343140354511</v>
      </c>
      <c r="BQ103" s="772">
        <v>6.1868343140354511</v>
      </c>
      <c r="BR103" s="772">
        <v>6.1868343140354511</v>
      </c>
      <c r="BS103" s="772">
        <v>6.1868343140354511</v>
      </c>
      <c r="BT103" s="772">
        <v>6.1868343140354511</v>
      </c>
      <c r="BU103" s="772">
        <v>6.1868343140354511</v>
      </c>
      <c r="BV103" s="772">
        <v>6.1868343140354511</v>
      </c>
      <c r="BW103" s="771">
        <v>6.0616426334995595</v>
      </c>
      <c r="BX103" s="771">
        <v>6.1239185693765794</v>
      </c>
      <c r="BY103" s="771">
        <v>6.1868343140354511</v>
      </c>
      <c r="BZ103" s="772">
        <v>6.1868343140354511</v>
      </c>
      <c r="CA103" s="772">
        <v>6.1868343140354511</v>
      </c>
      <c r="CB103" s="772">
        <v>6.1868343140354511</v>
      </c>
      <c r="CC103" s="772">
        <v>6.1868343140354511</v>
      </c>
      <c r="CD103" s="772">
        <v>6.1868343140354511</v>
      </c>
      <c r="CE103" s="772">
        <v>6.1868343140354511</v>
      </c>
      <c r="CF103" s="772">
        <v>6.1868343140354511</v>
      </c>
      <c r="CG103" s="772">
        <v>6.1868343140354511</v>
      </c>
      <c r="CH103" s="772">
        <v>6.1868343140354511</v>
      </c>
      <c r="CI103" s="772">
        <v>6.1868343140354511</v>
      </c>
      <c r="CJ103" s="772">
        <v>6.1868343140354511</v>
      </c>
      <c r="CK103" s="772">
        <v>6.1868343140354511</v>
      </c>
      <c r="CL103" s="771">
        <v>7.0719164057494863</v>
      </c>
      <c r="CM103" s="771">
        <v>7.144571664272676</v>
      </c>
      <c r="CN103" s="771">
        <v>7.217973366374693</v>
      </c>
      <c r="CO103" s="772">
        <v>7.217973366374693</v>
      </c>
      <c r="CP103" s="772">
        <v>7.217973366374693</v>
      </c>
      <c r="CQ103" s="772">
        <v>7.217973366374693</v>
      </c>
      <c r="CR103" s="772">
        <v>7.217973366374693</v>
      </c>
      <c r="CS103" s="772">
        <v>7.217973366374693</v>
      </c>
      <c r="CT103" s="772">
        <v>7.217973366374693</v>
      </c>
      <c r="CU103" s="772">
        <v>7.217973366374693</v>
      </c>
      <c r="CV103" s="772">
        <v>7.217973366374693</v>
      </c>
      <c r="CW103" s="772">
        <v>7.217973366374693</v>
      </c>
      <c r="CX103" s="772">
        <v>7.217973366374693</v>
      </c>
      <c r="CY103" s="772">
        <v>7.217973366374693</v>
      </c>
      <c r="CZ103" s="772">
        <v>7.217973366374693</v>
      </c>
      <c r="DA103" s="773">
        <v>0</v>
      </c>
      <c r="DB103" s="773">
        <v>0</v>
      </c>
      <c r="DC103" s="773">
        <v>0</v>
      </c>
      <c r="DD103" s="774">
        <v>0</v>
      </c>
      <c r="DE103" s="774">
        <v>0</v>
      </c>
      <c r="DF103" s="774">
        <v>0</v>
      </c>
      <c r="DG103" s="774">
        <v>0</v>
      </c>
      <c r="DH103" s="774">
        <v>0</v>
      </c>
      <c r="DI103" s="774">
        <v>0</v>
      </c>
      <c r="DJ103" s="774">
        <v>0</v>
      </c>
      <c r="DK103" s="774">
        <v>0</v>
      </c>
      <c r="DL103" s="774">
        <v>0</v>
      </c>
      <c r="DM103" s="774">
        <v>0</v>
      </c>
      <c r="DN103" s="774">
        <v>0</v>
      </c>
      <c r="DO103" s="774">
        <v>0</v>
      </c>
      <c r="DP103" s="773">
        <v>0</v>
      </c>
      <c r="DQ103" s="773">
        <v>0</v>
      </c>
      <c r="DR103" s="773">
        <v>0</v>
      </c>
      <c r="DS103" s="774">
        <v>0</v>
      </c>
      <c r="DT103" s="774">
        <v>0</v>
      </c>
      <c r="DU103" s="774">
        <v>0</v>
      </c>
      <c r="DV103" s="774">
        <v>0</v>
      </c>
      <c r="DW103" s="774">
        <v>0</v>
      </c>
      <c r="DX103" s="774">
        <v>0</v>
      </c>
      <c r="DY103" s="774">
        <v>0</v>
      </c>
      <c r="DZ103" s="774">
        <v>0</v>
      </c>
      <c r="EA103" s="774">
        <v>0</v>
      </c>
      <c r="EB103" s="774">
        <v>0</v>
      </c>
      <c r="EC103" s="774">
        <v>0</v>
      </c>
      <c r="ED103" s="774">
        <v>0</v>
      </c>
    </row>
    <row r="104" spans="1:134" ht="15" x14ac:dyDescent="0.25">
      <c r="A104" s="766">
        <v>120</v>
      </c>
      <c r="B104" s="766">
        <v>88</v>
      </c>
      <c r="C104" s="766" t="s">
        <v>3775</v>
      </c>
      <c r="D104" s="2">
        <v>99705</v>
      </c>
      <c r="E104" s="2">
        <v>99705</v>
      </c>
      <c r="F104" s="767" t="s">
        <v>3746</v>
      </c>
      <c r="G104" s="114">
        <v>59</v>
      </c>
      <c r="H104" s="114">
        <v>34</v>
      </c>
      <c r="I104" s="114">
        <v>21</v>
      </c>
      <c r="J104" s="114">
        <v>13</v>
      </c>
      <c r="K104" s="114">
        <v>0</v>
      </c>
      <c r="L104" s="114">
        <v>44</v>
      </c>
      <c r="M104" s="114">
        <v>44</v>
      </c>
      <c r="N104" s="114">
        <v>6</v>
      </c>
      <c r="O104" s="114">
        <v>0</v>
      </c>
      <c r="P104" s="114">
        <v>0</v>
      </c>
      <c r="Q104" s="114">
        <v>50</v>
      </c>
      <c r="R104" s="114">
        <v>0</v>
      </c>
      <c r="S104" s="114">
        <v>2236.7954545454545</v>
      </c>
      <c r="T104" s="114">
        <v>2236.7954545454545</v>
      </c>
      <c r="U104" s="114">
        <v>3832.5</v>
      </c>
      <c r="V104" s="114">
        <v>0</v>
      </c>
      <c r="W104" s="114">
        <v>0</v>
      </c>
      <c r="X104" s="114">
        <v>2428.2800000000002</v>
      </c>
      <c r="Y104" s="114">
        <v>0</v>
      </c>
      <c r="Z104" s="114">
        <v>34</v>
      </c>
      <c r="AA104" s="114">
        <v>0</v>
      </c>
      <c r="AB104" s="657">
        <v>6</v>
      </c>
      <c r="AC104" s="657">
        <v>0</v>
      </c>
      <c r="AD104" s="768">
        <v>40</v>
      </c>
      <c r="AE104" s="769">
        <v>0</v>
      </c>
      <c r="AF104" s="769">
        <v>21</v>
      </c>
      <c r="AG104" s="770">
        <v>21</v>
      </c>
      <c r="AH104" s="769">
        <v>0</v>
      </c>
      <c r="AI104" s="769">
        <v>0</v>
      </c>
      <c r="AJ104" s="769">
        <v>31.557157807509256</v>
      </c>
      <c r="AK104" s="769">
        <v>31.557157807509256</v>
      </c>
      <c r="AL104" s="769">
        <v>0</v>
      </c>
      <c r="AM104" s="769">
        <v>0</v>
      </c>
      <c r="AN104" s="769">
        <v>19.591157933939325</v>
      </c>
      <c r="AO104" s="769">
        <v>19.591157933939325</v>
      </c>
      <c r="AP104" s="769">
        <v>0</v>
      </c>
      <c r="AQ104" s="769">
        <v>5.6406460040094561</v>
      </c>
      <c r="AR104" s="769">
        <v>0</v>
      </c>
      <c r="AS104" s="769">
        <v>29.289829673177721</v>
      </c>
      <c r="AT104" s="769">
        <v>30.402364663814176</v>
      </c>
      <c r="AU104" s="769">
        <v>31.557157807509256</v>
      </c>
      <c r="AV104" s="769">
        <v>32.755814223665922</v>
      </c>
      <c r="AW104" s="769">
        <v>34</v>
      </c>
      <c r="AX104" s="769">
        <v>18.276831866312083</v>
      </c>
      <c r="AY104" s="769">
        <v>18.922587022523505</v>
      </c>
      <c r="AZ104" s="769">
        <v>19.591157933939325</v>
      </c>
      <c r="BA104" s="769">
        <v>20.283350724491399</v>
      </c>
      <c r="BB104" s="769">
        <v>21</v>
      </c>
      <c r="BC104" s="769">
        <v>5.302814557091307</v>
      </c>
      <c r="BD104" s="769">
        <v>5.4691223922545618</v>
      </c>
      <c r="BE104" s="769">
        <v>5.6406460040094561</v>
      </c>
      <c r="BF104" s="769">
        <v>5.8175489704906429</v>
      </c>
      <c r="BG104" s="769">
        <v>6</v>
      </c>
      <c r="BH104" s="771">
        <v>34.349308256497508</v>
      </c>
      <c r="BI104" s="771">
        <v>34.702205226467285</v>
      </c>
      <c r="BJ104" s="771">
        <v>35.058727779534223</v>
      </c>
      <c r="BK104" s="772">
        <v>36.981410478054784</v>
      </c>
      <c r="BL104" s="772">
        <v>38.904093176575337</v>
      </c>
      <c r="BM104" s="772">
        <v>40.82677587509589</v>
      </c>
      <c r="BN104" s="772">
        <v>42.749458573616444</v>
      </c>
      <c r="BO104" s="772">
        <v>45.022904759398607</v>
      </c>
      <c r="BP104" s="772">
        <v>47.296350945180762</v>
      </c>
      <c r="BQ104" s="772">
        <v>53.598996417676439</v>
      </c>
      <c r="BR104" s="772">
        <v>61.108167100077296</v>
      </c>
      <c r="BS104" s="772">
        <v>64.405296106012102</v>
      </c>
      <c r="BT104" s="772">
        <v>66.215934553873652</v>
      </c>
      <c r="BU104" s="772">
        <v>68.091021506899281</v>
      </c>
      <c r="BV104" s="772">
        <v>70.011222413539812</v>
      </c>
      <c r="BW104" s="771">
        <v>21.215749217248458</v>
      </c>
      <c r="BX104" s="771">
        <v>21.433714992818029</v>
      </c>
      <c r="BY104" s="771">
        <v>21.653920099124079</v>
      </c>
      <c r="BZ104" s="772">
        <v>22.841459412916187</v>
      </c>
      <c r="CA104" s="772">
        <v>24.028998726708299</v>
      </c>
      <c r="CB104" s="772">
        <v>25.216538040500403</v>
      </c>
      <c r="CC104" s="772">
        <v>26.404077354292511</v>
      </c>
      <c r="CD104" s="772">
        <v>27.808264704334434</v>
      </c>
      <c r="CE104" s="772">
        <v>29.212452054376353</v>
      </c>
      <c r="CF104" s="772">
        <v>33.105262493270743</v>
      </c>
      <c r="CG104" s="772">
        <v>37.743279679459505</v>
      </c>
      <c r="CH104" s="772">
        <v>39.77974171253689</v>
      </c>
      <c r="CI104" s="772">
        <v>40.898077224451377</v>
      </c>
      <c r="CJ104" s="772">
        <v>42.056219166026032</v>
      </c>
      <c r="CK104" s="772">
        <v>43.242225608362823</v>
      </c>
      <c r="CL104" s="771">
        <v>6.0616426334995595</v>
      </c>
      <c r="CM104" s="771">
        <v>6.1239185693765794</v>
      </c>
      <c r="CN104" s="771">
        <v>6.1868343140354511</v>
      </c>
      <c r="CO104" s="772">
        <v>6.5261312608331963</v>
      </c>
      <c r="CP104" s="772">
        <v>6.8654282076309423</v>
      </c>
      <c r="CQ104" s="772">
        <v>7.2047251544286866</v>
      </c>
      <c r="CR104" s="772">
        <v>7.5440221012264317</v>
      </c>
      <c r="CS104" s="772">
        <v>7.9452184869526947</v>
      </c>
      <c r="CT104" s="772">
        <v>8.3464148726789578</v>
      </c>
      <c r="CU104" s="772">
        <v>9.4586464266487837</v>
      </c>
      <c r="CV104" s="772">
        <v>10.783794194131287</v>
      </c>
      <c r="CW104" s="772">
        <v>11.365640489296254</v>
      </c>
      <c r="CX104" s="772">
        <v>11.685164921271822</v>
      </c>
      <c r="CY104" s="772">
        <v>12.016062618864579</v>
      </c>
      <c r="CZ104" s="772">
        <v>12.354921602389378</v>
      </c>
      <c r="DA104" s="773">
        <v>0</v>
      </c>
      <c r="DB104" s="773">
        <v>0</v>
      </c>
      <c r="DC104" s="773">
        <v>0</v>
      </c>
      <c r="DD104" s="774">
        <v>0</v>
      </c>
      <c r="DE104" s="774">
        <v>0</v>
      </c>
      <c r="DF104" s="774">
        <v>0</v>
      </c>
      <c r="DG104" s="774">
        <v>0</v>
      </c>
      <c r="DH104" s="774">
        <v>0</v>
      </c>
      <c r="DI104" s="774">
        <v>0</v>
      </c>
      <c r="DJ104" s="774">
        <v>0</v>
      </c>
      <c r="DK104" s="774">
        <v>0</v>
      </c>
      <c r="DL104" s="774">
        <v>0</v>
      </c>
      <c r="DM104" s="774">
        <v>0</v>
      </c>
      <c r="DN104" s="774">
        <v>0</v>
      </c>
      <c r="DO104" s="774">
        <v>0</v>
      </c>
      <c r="DP104" s="773">
        <v>0</v>
      </c>
      <c r="DQ104" s="773">
        <v>0</v>
      </c>
      <c r="DR104" s="773">
        <v>0</v>
      </c>
      <c r="DS104" s="774">
        <v>0</v>
      </c>
      <c r="DT104" s="774">
        <v>0</v>
      </c>
      <c r="DU104" s="774">
        <v>0</v>
      </c>
      <c r="DV104" s="774">
        <v>0</v>
      </c>
      <c r="DW104" s="774">
        <v>0</v>
      </c>
      <c r="DX104" s="774">
        <v>0</v>
      </c>
      <c r="DY104" s="774">
        <v>0</v>
      </c>
      <c r="DZ104" s="774">
        <v>0</v>
      </c>
      <c r="EA104" s="774">
        <v>0</v>
      </c>
      <c r="EB104" s="774">
        <v>0</v>
      </c>
      <c r="EC104" s="774">
        <v>0</v>
      </c>
      <c r="ED104" s="774">
        <v>0</v>
      </c>
    </row>
    <row r="105" spans="1:134" ht="15" x14ac:dyDescent="0.25">
      <c r="A105" s="766">
        <v>121</v>
      </c>
      <c r="B105" s="766">
        <v>88</v>
      </c>
      <c r="C105" s="766" t="s">
        <v>3776</v>
      </c>
      <c r="D105" s="2">
        <v>99705</v>
      </c>
      <c r="E105" s="2">
        <v>99705</v>
      </c>
      <c r="F105" s="767" t="s">
        <v>3746</v>
      </c>
      <c r="G105" s="114">
        <v>57</v>
      </c>
      <c r="H105" s="114">
        <v>24</v>
      </c>
      <c r="I105" s="114">
        <v>23</v>
      </c>
      <c r="J105" s="114">
        <v>1</v>
      </c>
      <c r="K105" s="114">
        <v>0</v>
      </c>
      <c r="L105" s="114">
        <v>55</v>
      </c>
      <c r="M105" s="114">
        <v>55</v>
      </c>
      <c r="N105" s="114">
        <v>6</v>
      </c>
      <c r="O105" s="114">
        <v>0</v>
      </c>
      <c r="P105" s="114">
        <v>0</v>
      </c>
      <c r="Q105" s="114">
        <v>61</v>
      </c>
      <c r="R105" s="114">
        <v>0</v>
      </c>
      <c r="S105" s="114">
        <v>1767.5454545454545</v>
      </c>
      <c r="T105" s="114">
        <v>1767.5454545454545</v>
      </c>
      <c r="U105" s="114">
        <v>5690.5</v>
      </c>
      <c r="V105" s="114">
        <v>0</v>
      </c>
      <c r="W105" s="114">
        <v>0</v>
      </c>
      <c r="X105" s="114">
        <v>2153.4098360655739</v>
      </c>
      <c r="Y105" s="114">
        <v>0</v>
      </c>
      <c r="Z105" s="114">
        <v>24</v>
      </c>
      <c r="AA105" s="114">
        <v>0</v>
      </c>
      <c r="AB105" s="657">
        <v>6</v>
      </c>
      <c r="AC105" s="657">
        <v>0</v>
      </c>
      <c r="AD105" s="768">
        <v>30</v>
      </c>
      <c r="AE105" s="769">
        <v>0</v>
      </c>
      <c r="AF105" s="769">
        <v>23</v>
      </c>
      <c r="AG105" s="770">
        <v>23</v>
      </c>
      <c r="AH105" s="769">
        <v>0</v>
      </c>
      <c r="AI105" s="769">
        <v>0</v>
      </c>
      <c r="AJ105" s="769">
        <v>22.275640805300654</v>
      </c>
      <c r="AK105" s="769">
        <v>22.275640805300654</v>
      </c>
      <c r="AL105" s="769">
        <v>0</v>
      </c>
      <c r="AM105" s="769">
        <v>0</v>
      </c>
      <c r="AN105" s="769">
        <v>21.456982499076403</v>
      </c>
      <c r="AO105" s="769">
        <v>21.456982499076403</v>
      </c>
      <c r="AP105" s="769">
        <v>0</v>
      </c>
      <c r="AQ105" s="769">
        <v>5.6406460040094561</v>
      </c>
      <c r="AR105" s="769">
        <v>0</v>
      </c>
      <c r="AS105" s="769">
        <v>20.675173886948979</v>
      </c>
      <c r="AT105" s="769">
        <v>21.46049270386883</v>
      </c>
      <c r="AU105" s="769">
        <v>22.275640805300654</v>
      </c>
      <c r="AV105" s="769">
        <v>23.121751216705356</v>
      </c>
      <c r="AW105" s="769">
        <v>24</v>
      </c>
      <c r="AX105" s="769">
        <v>20.017482520246567</v>
      </c>
      <c r="AY105" s="769">
        <v>20.724738167525746</v>
      </c>
      <c r="AZ105" s="769">
        <v>21.456982499076403</v>
      </c>
      <c r="BA105" s="769">
        <v>22.2150984125382</v>
      </c>
      <c r="BB105" s="769">
        <v>23</v>
      </c>
      <c r="BC105" s="769">
        <v>5.302814557091307</v>
      </c>
      <c r="BD105" s="769">
        <v>5.4691223922545618</v>
      </c>
      <c r="BE105" s="769">
        <v>5.6406460040094561</v>
      </c>
      <c r="BF105" s="769">
        <v>5.8175489704906429</v>
      </c>
      <c r="BG105" s="769">
        <v>6</v>
      </c>
      <c r="BH105" s="771">
        <v>24.676508898528645</v>
      </c>
      <c r="BI105" s="771">
        <v>25.372087142465141</v>
      </c>
      <c r="BJ105" s="771">
        <v>26.087272256053552</v>
      </c>
      <c r="BK105" s="772">
        <v>41.299126840288956</v>
      </c>
      <c r="BL105" s="772">
        <v>56.51098142452436</v>
      </c>
      <c r="BM105" s="772">
        <v>71.722836008759771</v>
      </c>
      <c r="BN105" s="772">
        <v>86.934690592995167</v>
      </c>
      <c r="BO105" s="772">
        <v>104.92171092131748</v>
      </c>
      <c r="BP105" s="772">
        <v>122.90873124963979</v>
      </c>
      <c r="BQ105" s="772">
        <v>172.77391519151769</v>
      </c>
      <c r="BR105" s="772">
        <v>232.18486872887516</v>
      </c>
      <c r="BS105" s="772">
        <v>258.27104874304894</v>
      </c>
      <c r="BT105" s="772">
        <v>272.59643316279193</v>
      </c>
      <c r="BU105" s="772">
        <v>287.43172038109941</v>
      </c>
      <c r="BV105" s="772">
        <v>302.62393955840224</v>
      </c>
      <c r="BW105" s="771">
        <v>23.648321027756619</v>
      </c>
      <c r="BX105" s="771">
        <v>24.314916844862427</v>
      </c>
      <c r="BY105" s="771">
        <v>25.000302578717985</v>
      </c>
      <c r="BZ105" s="772">
        <v>39.578329888610241</v>
      </c>
      <c r="CA105" s="772">
        <v>54.156357198502505</v>
      </c>
      <c r="CB105" s="772">
        <v>68.734384508394768</v>
      </c>
      <c r="CC105" s="772">
        <v>83.312411818287032</v>
      </c>
      <c r="CD105" s="772">
        <v>100.54997296626259</v>
      </c>
      <c r="CE105" s="772">
        <v>117.78753411423813</v>
      </c>
      <c r="CF105" s="772">
        <v>165.57500205853779</v>
      </c>
      <c r="CG105" s="772">
        <v>222.51049919850533</v>
      </c>
      <c r="CH105" s="772">
        <v>247.50975504542185</v>
      </c>
      <c r="CI105" s="772">
        <v>261.23824844767557</v>
      </c>
      <c r="CJ105" s="772">
        <v>275.45539869855361</v>
      </c>
      <c r="CK105" s="772">
        <v>290.01460874346878</v>
      </c>
      <c r="CL105" s="771">
        <v>6.1691272246321613</v>
      </c>
      <c r="CM105" s="771">
        <v>6.3430217856162852</v>
      </c>
      <c r="CN105" s="771">
        <v>6.521818064013388</v>
      </c>
      <c r="CO105" s="772">
        <v>10.324781710072239</v>
      </c>
      <c r="CP105" s="772">
        <v>14.12774535613109</v>
      </c>
      <c r="CQ105" s="772">
        <v>17.930709002189943</v>
      </c>
      <c r="CR105" s="772">
        <v>21.733672648248792</v>
      </c>
      <c r="CS105" s="772">
        <v>26.230427730329371</v>
      </c>
      <c r="CT105" s="772">
        <v>30.727182812409946</v>
      </c>
      <c r="CU105" s="772">
        <v>43.193478797879422</v>
      </c>
      <c r="CV105" s="772">
        <v>58.04621718221879</v>
      </c>
      <c r="CW105" s="772">
        <v>64.567762185762234</v>
      </c>
      <c r="CX105" s="772">
        <v>68.149108290697981</v>
      </c>
      <c r="CY105" s="772">
        <v>71.857930095274853</v>
      </c>
      <c r="CZ105" s="772">
        <v>75.65598488960056</v>
      </c>
      <c r="DA105" s="773">
        <v>0</v>
      </c>
      <c r="DB105" s="773">
        <v>0</v>
      </c>
      <c r="DC105" s="773">
        <v>0</v>
      </c>
      <c r="DD105" s="774">
        <v>0</v>
      </c>
      <c r="DE105" s="774">
        <v>0</v>
      </c>
      <c r="DF105" s="774">
        <v>0</v>
      </c>
      <c r="DG105" s="774">
        <v>0</v>
      </c>
      <c r="DH105" s="774">
        <v>0</v>
      </c>
      <c r="DI105" s="774">
        <v>0</v>
      </c>
      <c r="DJ105" s="774">
        <v>0</v>
      </c>
      <c r="DK105" s="774">
        <v>0</v>
      </c>
      <c r="DL105" s="774">
        <v>0</v>
      </c>
      <c r="DM105" s="774">
        <v>0</v>
      </c>
      <c r="DN105" s="774">
        <v>0</v>
      </c>
      <c r="DO105" s="774">
        <v>0</v>
      </c>
      <c r="DP105" s="773">
        <v>0</v>
      </c>
      <c r="DQ105" s="773">
        <v>0</v>
      </c>
      <c r="DR105" s="773">
        <v>0</v>
      </c>
      <c r="DS105" s="774">
        <v>0</v>
      </c>
      <c r="DT105" s="774">
        <v>0</v>
      </c>
      <c r="DU105" s="774">
        <v>0</v>
      </c>
      <c r="DV105" s="774">
        <v>0</v>
      </c>
      <c r="DW105" s="774">
        <v>0</v>
      </c>
      <c r="DX105" s="774">
        <v>0</v>
      </c>
      <c r="DY105" s="774">
        <v>0</v>
      </c>
      <c r="DZ105" s="774">
        <v>0</v>
      </c>
      <c r="EA105" s="774">
        <v>0</v>
      </c>
      <c r="EB105" s="774">
        <v>0</v>
      </c>
      <c r="EC105" s="774">
        <v>0</v>
      </c>
      <c r="ED105" s="774">
        <v>0</v>
      </c>
    </row>
    <row r="106" spans="1:134" ht="15" x14ac:dyDescent="0.25">
      <c r="A106" s="766">
        <v>122</v>
      </c>
      <c r="B106" s="766">
        <v>88</v>
      </c>
      <c r="C106" s="766" t="s">
        <v>3777</v>
      </c>
      <c r="D106" s="2">
        <v>99705</v>
      </c>
      <c r="E106" s="2">
        <v>99705</v>
      </c>
      <c r="F106" s="767" t="s">
        <v>3746</v>
      </c>
      <c r="G106" s="114">
        <v>304</v>
      </c>
      <c r="H106" s="114">
        <v>136</v>
      </c>
      <c r="I106" s="114">
        <v>114</v>
      </c>
      <c r="J106" s="114">
        <v>22</v>
      </c>
      <c r="K106" s="114">
        <v>7</v>
      </c>
      <c r="L106" s="114">
        <v>41</v>
      </c>
      <c r="M106" s="114">
        <v>48</v>
      </c>
      <c r="N106" s="114">
        <v>11</v>
      </c>
      <c r="O106" s="114">
        <v>0</v>
      </c>
      <c r="P106" s="114">
        <v>0</v>
      </c>
      <c r="Q106" s="114">
        <v>59</v>
      </c>
      <c r="R106" s="114">
        <v>6557.5714285714284</v>
      </c>
      <c r="S106" s="114">
        <v>1965.7073170731708</v>
      </c>
      <c r="T106" s="114">
        <v>2635.3541666666665</v>
      </c>
      <c r="U106" s="114">
        <v>7188.545454545455</v>
      </c>
      <c r="V106" s="114">
        <v>0</v>
      </c>
      <c r="W106" s="114">
        <v>0</v>
      </c>
      <c r="X106" s="114">
        <v>3484.2542372881358</v>
      </c>
      <c r="Y106" s="114">
        <v>19.833333333333332</v>
      </c>
      <c r="Z106" s="114">
        <v>116.16666666666667</v>
      </c>
      <c r="AA106" s="114">
        <v>0</v>
      </c>
      <c r="AB106" s="657">
        <v>11</v>
      </c>
      <c r="AC106" s="657">
        <v>0</v>
      </c>
      <c r="AD106" s="768">
        <v>147</v>
      </c>
      <c r="AE106" s="769">
        <v>16.625</v>
      </c>
      <c r="AF106" s="769">
        <v>97.375</v>
      </c>
      <c r="AG106" s="770">
        <v>114</v>
      </c>
      <c r="AH106" s="769">
        <v>0</v>
      </c>
      <c r="AI106" s="769">
        <v>18.408342054380398</v>
      </c>
      <c r="AJ106" s="769">
        <v>107.82028917565664</v>
      </c>
      <c r="AK106" s="769">
        <v>126.22863123003704</v>
      </c>
      <c r="AL106" s="769">
        <v>0</v>
      </c>
      <c r="AM106" s="769">
        <v>15.509666697701965</v>
      </c>
      <c r="AN106" s="769">
        <v>90.84233351511152</v>
      </c>
      <c r="AO106" s="769">
        <v>106.35200021281348</v>
      </c>
      <c r="AP106" s="769">
        <v>0</v>
      </c>
      <c r="AQ106" s="769">
        <v>10.341184340684002</v>
      </c>
      <c r="AR106" s="769">
        <v>0</v>
      </c>
      <c r="AS106" s="769">
        <v>117.15931869271088</v>
      </c>
      <c r="AT106" s="769">
        <v>121.6094586552567</v>
      </c>
      <c r="AU106" s="769">
        <v>126.22863123003702</v>
      </c>
      <c r="AV106" s="769">
        <v>131.02325689466369</v>
      </c>
      <c r="AW106" s="769">
        <v>136</v>
      </c>
      <c r="AX106" s="769">
        <v>99.217087274265594</v>
      </c>
      <c r="AY106" s="769">
        <v>102.7226152651276</v>
      </c>
      <c r="AZ106" s="769">
        <v>106.35200021281348</v>
      </c>
      <c r="BA106" s="769">
        <v>110.10961821866761</v>
      </c>
      <c r="BB106" s="769">
        <v>114</v>
      </c>
      <c r="BC106" s="769">
        <v>9.7218266880007302</v>
      </c>
      <c r="BD106" s="769">
        <v>10.02672438580003</v>
      </c>
      <c r="BE106" s="769">
        <v>10.341184340684002</v>
      </c>
      <c r="BF106" s="769">
        <v>10.665506445899512</v>
      </c>
      <c r="BG106" s="769">
        <v>11</v>
      </c>
      <c r="BH106" s="771">
        <v>139.83355042499565</v>
      </c>
      <c r="BI106" s="771">
        <v>143.77516047396912</v>
      </c>
      <c r="BJ106" s="771">
        <v>147.82787611763678</v>
      </c>
      <c r="BK106" s="772">
        <v>150.39787936150515</v>
      </c>
      <c r="BL106" s="772">
        <v>152.96788260537352</v>
      </c>
      <c r="BM106" s="772">
        <v>155.53788584924192</v>
      </c>
      <c r="BN106" s="772">
        <v>158.10788909311029</v>
      </c>
      <c r="BO106" s="772">
        <v>161.14674936720343</v>
      </c>
      <c r="BP106" s="772">
        <v>164.18560964129657</v>
      </c>
      <c r="BQ106" s="772">
        <v>172.61020269647403</v>
      </c>
      <c r="BR106" s="772">
        <v>182.64752868239006</v>
      </c>
      <c r="BS106" s="772">
        <v>187.05472090772457</v>
      </c>
      <c r="BT106" s="772">
        <v>189.47495732429894</v>
      </c>
      <c r="BU106" s="772">
        <v>191.98134049169272</v>
      </c>
      <c r="BV106" s="772">
        <v>194.54802638466003</v>
      </c>
      <c r="BW106" s="771">
        <v>117.21341726801107</v>
      </c>
      <c r="BX106" s="771">
        <v>120.51741392670942</v>
      </c>
      <c r="BY106" s="771">
        <v>123.91454321625436</v>
      </c>
      <c r="BZ106" s="772">
        <v>126.06881064126168</v>
      </c>
      <c r="CA106" s="772">
        <v>128.22307806626898</v>
      </c>
      <c r="CB106" s="772">
        <v>130.37734549127632</v>
      </c>
      <c r="CC106" s="772">
        <v>132.53161291628362</v>
      </c>
      <c r="CD106" s="772">
        <v>135.07889285192053</v>
      </c>
      <c r="CE106" s="772">
        <v>137.62617278755741</v>
      </c>
      <c r="CF106" s="772">
        <v>144.6879640249856</v>
      </c>
      <c r="CG106" s="772">
        <v>153.10160492494461</v>
      </c>
      <c r="CH106" s="772">
        <v>156.7958689961809</v>
      </c>
      <c r="CI106" s="772">
        <v>158.82459658066236</v>
      </c>
      <c r="CJ106" s="772">
        <v>160.92553541215418</v>
      </c>
      <c r="CK106" s="772">
        <v>163.07702211655328</v>
      </c>
      <c r="CL106" s="771">
        <v>11.310066578492297</v>
      </c>
      <c r="CM106" s="771">
        <v>11.628873273629857</v>
      </c>
      <c r="CN106" s="771">
        <v>11.956666450691211</v>
      </c>
      <c r="CO106" s="772">
        <v>12.164534360121742</v>
      </c>
      <c r="CP106" s="772">
        <v>12.372402269552271</v>
      </c>
      <c r="CQ106" s="772">
        <v>12.580270178982802</v>
      </c>
      <c r="CR106" s="772">
        <v>12.788138088413334</v>
      </c>
      <c r="CS106" s="772">
        <v>13.033928257641456</v>
      </c>
      <c r="CT106" s="772">
        <v>13.279718426869575</v>
      </c>
      <c r="CU106" s="772">
        <v>13.961119335744225</v>
      </c>
      <c r="CV106" s="772">
        <v>14.772961878722727</v>
      </c>
      <c r="CW106" s="772">
        <v>15.129425955771842</v>
      </c>
      <c r="CX106" s="772">
        <v>15.325180371818298</v>
      </c>
      <c r="CY106" s="772">
        <v>15.527902539769265</v>
      </c>
      <c r="CZ106" s="772">
        <v>15.735502134053387</v>
      </c>
      <c r="DA106" s="773">
        <v>0</v>
      </c>
      <c r="DB106" s="773">
        <v>0</v>
      </c>
      <c r="DC106" s="773">
        <v>0</v>
      </c>
      <c r="DD106" s="774">
        <v>0</v>
      </c>
      <c r="DE106" s="774">
        <v>0</v>
      </c>
      <c r="DF106" s="774">
        <v>0</v>
      </c>
      <c r="DG106" s="774">
        <v>0</v>
      </c>
      <c r="DH106" s="774">
        <v>0</v>
      </c>
      <c r="DI106" s="774">
        <v>0</v>
      </c>
      <c r="DJ106" s="774">
        <v>0</v>
      </c>
      <c r="DK106" s="774">
        <v>0</v>
      </c>
      <c r="DL106" s="774">
        <v>0</v>
      </c>
      <c r="DM106" s="774">
        <v>0</v>
      </c>
      <c r="DN106" s="774">
        <v>0</v>
      </c>
      <c r="DO106" s="774">
        <v>0</v>
      </c>
      <c r="DP106" s="773">
        <v>0</v>
      </c>
      <c r="DQ106" s="773">
        <v>0</v>
      </c>
      <c r="DR106" s="773">
        <v>0</v>
      </c>
      <c r="DS106" s="774">
        <v>0</v>
      </c>
      <c r="DT106" s="774">
        <v>0</v>
      </c>
      <c r="DU106" s="774">
        <v>0</v>
      </c>
      <c r="DV106" s="774">
        <v>0</v>
      </c>
      <c r="DW106" s="774">
        <v>0</v>
      </c>
      <c r="DX106" s="774">
        <v>0</v>
      </c>
      <c r="DY106" s="774">
        <v>0</v>
      </c>
      <c r="DZ106" s="774">
        <v>0</v>
      </c>
      <c r="EA106" s="774">
        <v>0</v>
      </c>
      <c r="EB106" s="774">
        <v>0</v>
      </c>
      <c r="EC106" s="774">
        <v>0</v>
      </c>
      <c r="ED106" s="774">
        <v>0</v>
      </c>
    </row>
    <row r="107" spans="1:134" ht="15" x14ac:dyDescent="0.25">
      <c r="A107" s="766">
        <v>123</v>
      </c>
      <c r="B107" s="766">
        <v>88</v>
      </c>
      <c r="C107" s="766" t="s">
        <v>3778</v>
      </c>
      <c r="D107" s="2">
        <v>99705</v>
      </c>
      <c r="E107" s="2">
        <v>99705</v>
      </c>
      <c r="F107" s="767" t="s">
        <v>3746</v>
      </c>
      <c r="G107" s="114">
        <v>601</v>
      </c>
      <c r="H107" s="114">
        <v>205</v>
      </c>
      <c r="I107" s="114">
        <v>190</v>
      </c>
      <c r="J107" s="114">
        <v>15</v>
      </c>
      <c r="K107" s="114">
        <v>1</v>
      </c>
      <c r="L107" s="114">
        <v>167</v>
      </c>
      <c r="M107" s="114">
        <v>168</v>
      </c>
      <c r="N107" s="114">
        <v>1</v>
      </c>
      <c r="O107" s="114">
        <v>0</v>
      </c>
      <c r="P107" s="114">
        <v>0</v>
      </c>
      <c r="Q107" s="114">
        <v>169</v>
      </c>
      <c r="R107" s="114">
        <v>18192</v>
      </c>
      <c r="S107" s="114">
        <v>2794.1197604790418</v>
      </c>
      <c r="T107" s="114">
        <v>2885.7738095238096</v>
      </c>
      <c r="U107" s="114">
        <v>4980</v>
      </c>
      <c r="V107" s="114">
        <v>0</v>
      </c>
      <c r="W107" s="114">
        <v>0</v>
      </c>
      <c r="X107" s="114">
        <v>2898.165680473373</v>
      </c>
      <c r="Y107" s="114">
        <v>1.2202380952380953</v>
      </c>
      <c r="Z107" s="114">
        <v>203.7797619047619</v>
      </c>
      <c r="AA107" s="114">
        <v>0</v>
      </c>
      <c r="AB107" s="657">
        <v>1</v>
      </c>
      <c r="AC107" s="657">
        <v>0</v>
      </c>
      <c r="AD107" s="768">
        <v>206</v>
      </c>
      <c r="AE107" s="769">
        <v>1.1309523809523809</v>
      </c>
      <c r="AF107" s="769">
        <v>188.86904761904762</v>
      </c>
      <c r="AG107" s="770">
        <v>190</v>
      </c>
      <c r="AH107" s="769">
        <v>0</v>
      </c>
      <c r="AI107" s="769">
        <v>1.1325660627695024</v>
      </c>
      <c r="AJ107" s="769">
        <v>189.13853248250689</v>
      </c>
      <c r="AK107" s="769">
        <v>190.2710985452764</v>
      </c>
      <c r="AL107" s="769">
        <v>0</v>
      </c>
      <c r="AM107" s="769">
        <v>1.0550793671906098</v>
      </c>
      <c r="AN107" s="769">
        <v>176.19825432083186</v>
      </c>
      <c r="AO107" s="769">
        <v>177.25333368802248</v>
      </c>
      <c r="AP107" s="769">
        <v>0</v>
      </c>
      <c r="AQ107" s="769">
        <v>0.94010766733490925</v>
      </c>
      <c r="AR107" s="769">
        <v>0</v>
      </c>
      <c r="AS107" s="769">
        <v>176.60044361768919</v>
      </c>
      <c r="AT107" s="769">
        <v>183.30837517887957</v>
      </c>
      <c r="AU107" s="769">
        <v>190.2710985452764</v>
      </c>
      <c r="AV107" s="769">
        <v>197.49829164269158</v>
      </c>
      <c r="AW107" s="769">
        <v>205</v>
      </c>
      <c r="AX107" s="769">
        <v>165.36181212377599</v>
      </c>
      <c r="AY107" s="769">
        <v>171.20435877521268</v>
      </c>
      <c r="AZ107" s="769">
        <v>177.25333368802245</v>
      </c>
      <c r="BA107" s="769">
        <v>183.51603036444601</v>
      </c>
      <c r="BB107" s="769">
        <v>190</v>
      </c>
      <c r="BC107" s="769">
        <v>0.88380242618188454</v>
      </c>
      <c r="BD107" s="769">
        <v>0.91152039870909352</v>
      </c>
      <c r="BE107" s="769">
        <v>0.94010766733490925</v>
      </c>
      <c r="BF107" s="769">
        <v>0.96959149508177378</v>
      </c>
      <c r="BG107" s="769">
        <v>1</v>
      </c>
      <c r="BH107" s="771">
        <v>209.54797612861344</v>
      </c>
      <c r="BI107" s="771">
        <v>214.19685024194121</v>
      </c>
      <c r="BJ107" s="771">
        <v>218.94886078693898</v>
      </c>
      <c r="BK107" s="772">
        <v>222.26575964388422</v>
      </c>
      <c r="BL107" s="772">
        <v>225.58265850082947</v>
      </c>
      <c r="BM107" s="772">
        <v>228.89955735777477</v>
      </c>
      <c r="BN107" s="772">
        <v>232.21645621472001</v>
      </c>
      <c r="BO107" s="772">
        <v>236.13847156376841</v>
      </c>
      <c r="BP107" s="772">
        <v>240.0604869128168</v>
      </c>
      <c r="BQ107" s="772">
        <v>250.9334393659376</v>
      </c>
      <c r="BR107" s="772">
        <v>263.88781799129657</v>
      </c>
      <c r="BS107" s="772">
        <v>269.57583059961792</v>
      </c>
      <c r="BT107" s="772">
        <v>272.69943731989179</v>
      </c>
      <c r="BU107" s="772">
        <v>275.9342268022902</v>
      </c>
      <c r="BV107" s="772">
        <v>279.2468442181758</v>
      </c>
      <c r="BW107" s="771">
        <v>194.21519738749538</v>
      </c>
      <c r="BX107" s="771">
        <v>198.52390998033576</v>
      </c>
      <c r="BY107" s="771">
        <v>202.92821243667515</v>
      </c>
      <c r="BZ107" s="772">
        <v>206.00241137725854</v>
      </c>
      <c r="CA107" s="772">
        <v>209.07661031784195</v>
      </c>
      <c r="CB107" s="772">
        <v>212.1508092584254</v>
      </c>
      <c r="CC107" s="772">
        <v>215.22500819900878</v>
      </c>
      <c r="CD107" s="772">
        <v>218.86004681519998</v>
      </c>
      <c r="CE107" s="772">
        <v>222.49508543139117</v>
      </c>
      <c r="CF107" s="772">
        <v>232.57245599769826</v>
      </c>
      <c r="CG107" s="772">
        <v>244.57895326022611</v>
      </c>
      <c r="CH107" s="772">
        <v>249.85076982403609</v>
      </c>
      <c r="CI107" s="772">
        <v>252.74581995502169</v>
      </c>
      <c r="CJ107" s="772">
        <v>255.74391752407385</v>
      </c>
      <c r="CK107" s="772">
        <v>258.81414829977274</v>
      </c>
      <c r="CL107" s="771">
        <v>1.0221852494078705</v>
      </c>
      <c r="CM107" s="771">
        <v>1.0448626841070303</v>
      </c>
      <c r="CN107" s="771">
        <v>1.0680432233509218</v>
      </c>
      <c r="CO107" s="772">
        <v>1.084223217775045</v>
      </c>
      <c r="CP107" s="772">
        <v>1.100403212199168</v>
      </c>
      <c r="CQ107" s="772">
        <v>1.1165832066232915</v>
      </c>
      <c r="CR107" s="772">
        <v>1.1327632010474147</v>
      </c>
      <c r="CS107" s="772">
        <v>1.1518949832378946</v>
      </c>
      <c r="CT107" s="772">
        <v>1.1710267654283746</v>
      </c>
      <c r="CU107" s="772">
        <v>1.2240655578826225</v>
      </c>
      <c r="CV107" s="772">
        <v>1.2872576487380321</v>
      </c>
      <c r="CW107" s="772">
        <v>1.3150040517054531</v>
      </c>
      <c r="CX107" s="772">
        <v>1.3302411576580089</v>
      </c>
      <c r="CY107" s="772">
        <v>1.346020618547757</v>
      </c>
      <c r="CZ107" s="772">
        <v>1.3621797278935406</v>
      </c>
      <c r="DA107" s="773">
        <v>0</v>
      </c>
      <c r="DB107" s="773">
        <v>0</v>
      </c>
      <c r="DC107" s="773">
        <v>0</v>
      </c>
      <c r="DD107" s="774">
        <v>0</v>
      </c>
      <c r="DE107" s="774">
        <v>0</v>
      </c>
      <c r="DF107" s="774">
        <v>0</v>
      </c>
      <c r="DG107" s="774">
        <v>0</v>
      </c>
      <c r="DH107" s="774">
        <v>0</v>
      </c>
      <c r="DI107" s="774">
        <v>0</v>
      </c>
      <c r="DJ107" s="774">
        <v>0</v>
      </c>
      <c r="DK107" s="774">
        <v>0</v>
      </c>
      <c r="DL107" s="774">
        <v>0</v>
      </c>
      <c r="DM107" s="774">
        <v>0</v>
      </c>
      <c r="DN107" s="774">
        <v>0</v>
      </c>
      <c r="DO107" s="774">
        <v>0</v>
      </c>
      <c r="DP107" s="773">
        <v>0</v>
      </c>
      <c r="DQ107" s="773">
        <v>0</v>
      </c>
      <c r="DR107" s="773">
        <v>0</v>
      </c>
      <c r="DS107" s="774">
        <v>0</v>
      </c>
      <c r="DT107" s="774">
        <v>0</v>
      </c>
      <c r="DU107" s="774">
        <v>0</v>
      </c>
      <c r="DV107" s="774">
        <v>0</v>
      </c>
      <c r="DW107" s="774">
        <v>0</v>
      </c>
      <c r="DX107" s="774">
        <v>0</v>
      </c>
      <c r="DY107" s="774">
        <v>0</v>
      </c>
      <c r="DZ107" s="774">
        <v>0</v>
      </c>
      <c r="EA107" s="774">
        <v>0</v>
      </c>
      <c r="EB107" s="774">
        <v>0</v>
      </c>
      <c r="EC107" s="774">
        <v>0</v>
      </c>
      <c r="ED107" s="774">
        <v>0</v>
      </c>
    </row>
    <row r="108" spans="1:134" ht="15" x14ac:dyDescent="0.25">
      <c r="A108" s="766">
        <v>124</v>
      </c>
      <c r="B108" s="766">
        <v>88</v>
      </c>
      <c r="C108" s="766" t="s">
        <v>3779</v>
      </c>
      <c r="D108" s="2">
        <v>99705</v>
      </c>
      <c r="E108" s="2">
        <v>99705</v>
      </c>
      <c r="F108" s="767" t="s">
        <v>3746</v>
      </c>
      <c r="G108" s="114">
        <v>580</v>
      </c>
      <c r="H108" s="114">
        <v>222</v>
      </c>
      <c r="I108" s="114">
        <v>200</v>
      </c>
      <c r="J108" s="114">
        <v>22</v>
      </c>
      <c r="K108" s="114">
        <v>3</v>
      </c>
      <c r="L108" s="114">
        <v>163</v>
      </c>
      <c r="M108" s="114">
        <v>166</v>
      </c>
      <c r="N108" s="114">
        <v>2</v>
      </c>
      <c r="O108" s="114">
        <v>0</v>
      </c>
      <c r="P108" s="114">
        <v>0</v>
      </c>
      <c r="Q108" s="114">
        <v>168</v>
      </c>
      <c r="R108" s="114">
        <v>4097.333333333333</v>
      </c>
      <c r="S108" s="114">
        <v>1908.0368098159508</v>
      </c>
      <c r="T108" s="114">
        <v>1947.6024096385543</v>
      </c>
      <c r="U108" s="114">
        <v>3980</v>
      </c>
      <c r="V108" s="114">
        <v>0</v>
      </c>
      <c r="W108" s="114">
        <v>0</v>
      </c>
      <c r="X108" s="114">
        <v>1971.797619047619</v>
      </c>
      <c r="Y108" s="114">
        <v>4.0120481927710845</v>
      </c>
      <c r="Z108" s="114">
        <v>217.98795180722891</v>
      </c>
      <c r="AA108" s="114">
        <v>0</v>
      </c>
      <c r="AB108" s="657">
        <v>2</v>
      </c>
      <c r="AC108" s="657">
        <v>0</v>
      </c>
      <c r="AD108" s="768">
        <v>224</v>
      </c>
      <c r="AE108" s="769">
        <v>3.6144578313253017</v>
      </c>
      <c r="AF108" s="769">
        <v>196.38554216867468</v>
      </c>
      <c r="AG108" s="770">
        <v>199.99999999999997</v>
      </c>
      <c r="AH108" s="769">
        <v>0</v>
      </c>
      <c r="AI108" s="769">
        <v>3.723789351488513</v>
      </c>
      <c r="AJ108" s="769">
        <v>202.3258880975425</v>
      </c>
      <c r="AK108" s="769">
        <v>206.04967744903101</v>
      </c>
      <c r="AL108" s="769">
        <v>0</v>
      </c>
      <c r="AM108" s="769">
        <v>3.3719721056694194</v>
      </c>
      <c r="AN108" s="769">
        <v>183.21048440803841</v>
      </c>
      <c r="AO108" s="769">
        <v>186.58245651370783</v>
      </c>
      <c r="AP108" s="769">
        <v>0</v>
      </c>
      <c r="AQ108" s="769">
        <v>1.8802153346698185</v>
      </c>
      <c r="AR108" s="769">
        <v>0</v>
      </c>
      <c r="AS108" s="769">
        <v>191.24535845427806</v>
      </c>
      <c r="AT108" s="769">
        <v>198.50955751078666</v>
      </c>
      <c r="AU108" s="769">
        <v>206.04967744903104</v>
      </c>
      <c r="AV108" s="769">
        <v>213.87619875452455</v>
      </c>
      <c r="AW108" s="769">
        <v>222</v>
      </c>
      <c r="AX108" s="769">
        <v>174.06506539344838</v>
      </c>
      <c r="AY108" s="769">
        <v>180.21511450022385</v>
      </c>
      <c r="AZ108" s="769">
        <v>186.58245651370783</v>
      </c>
      <c r="BA108" s="769">
        <v>193.17476880467999</v>
      </c>
      <c r="BB108" s="769">
        <v>199.99999999999997</v>
      </c>
      <c r="BC108" s="769">
        <v>1.7676048523637691</v>
      </c>
      <c r="BD108" s="769">
        <v>1.823040797418187</v>
      </c>
      <c r="BE108" s="769">
        <v>1.8802153346698185</v>
      </c>
      <c r="BF108" s="769">
        <v>1.9391829901635476</v>
      </c>
      <c r="BG108" s="769">
        <v>2</v>
      </c>
      <c r="BH108" s="771">
        <v>226.92512536854724</v>
      </c>
      <c r="BI108" s="771">
        <v>231.95951587176074</v>
      </c>
      <c r="BJ108" s="771">
        <v>237.10559558390466</v>
      </c>
      <c r="BK108" s="772">
        <v>238.14829832377831</v>
      </c>
      <c r="BL108" s="772">
        <v>239.19100106365195</v>
      </c>
      <c r="BM108" s="772">
        <v>240.23370380352566</v>
      </c>
      <c r="BN108" s="772">
        <v>241.2764065433993</v>
      </c>
      <c r="BO108" s="772">
        <v>242.50933414434687</v>
      </c>
      <c r="BP108" s="772">
        <v>243.7422617452944</v>
      </c>
      <c r="BQ108" s="772">
        <v>247.16029099561234</v>
      </c>
      <c r="BR108" s="772">
        <v>251.23263889302839</v>
      </c>
      <c r="BS108" s="772">
        <v>253.02072667831428</v>
      </c>
      <c r="BT108" s="772">
        <v>254.00266596135805</v>
      </c>
      <c r="BU108" s="772">
        <v>255.01955673846106</v>
      </c>
      <c r="BV108" s="772">
        <v>256.0609135614057</v>
      </c>
      <c r="BW108" s="771">
        <v>204.43704988157407</v>
      </c>
      <c r="BX108" s="771">
        <v>208.97253682140604</v>
      </c>
      <c r="BY108" s="771">
        <v>213.60864467018433</v>
      </c>
      <c r="BZ108" s="772">
        <v>214.54801650790833</v>
      </c>
      <c r="CA108" s="772">
        <v>215.48738834563235</v>
      </c>
      <c r="CB108" s="772">
        <v>216.42676018335641</v>
      </c>
      <c r="CC108" s="772">
        <v>217.36613202108043</v>
      </c>
      <c r="CD108" s="772">
        <v>218.47687760751964</v>
      </c>
      <c r="CE108" s="772">
        <v>219.58762319395888</v>
      </c>
      <c r="CF108" s="772">
        <v>222.66692882487595</v>
      </c>
      <c r="CG108" s="772">
        <v>226.33571071443993</v>
      </c>
      <c r="CH108" s="772">
        <v>227.94660061109388</v>
      </c>
      <c r="CI108" s="772">
        <v>228.831230595818</v>
      </c>
      <c r="CJ108" s="772">
        <v>229.74734841302794</v>
      </c>
      <c r="CK108" s="772">
        <v>230.68550771297805</v>
      </c>
      <c r="CL108" s="771">
        <v>2.044370498815741</v>
      </c>
      <c r="CM108" s="771">
        <v>2.0897253682140606</v>
      </c>
      <c r="CN108" s="771">
        <v>2.1360864467018437</v>
      </c>
      <c r="CO108" s="772">
        <v>2.1454801650790838</v>
      </c>
      <c r="CP108" s="772">
        <v>2.1548738834563239</v>
      </c>
      <c r="CQ108" s="772">
        <v>2.1642676018335645</v>
      </c>
      <c r="CR108" s="772">
        <v>2.1736613202108046</v>
      </c>
      <c r="CS108" s="772">
        <v>2.1847687760751966</v>
      </c>
      <c r="CT108" s="772">
        <v>2.195876231939589</v>
      </c>
      <c r="CU108" s="772">
        <v>2.2266692882487598</v>
      </c>
      <c r="CV108" s="772">
        <v>2.2633571071443996</v>
      </c>
      <c r="CW108" s="772">
        <v>2.2794660061109395</v>
      </c>
      <c r="CX108" s="772">
        <v>2.2883123059581805</v>
      </c>
      <c r="CY108" s="772">
        <v>2.29747348413028</v>
      </c>
      <c r="CZ108" s="772">
        <v>2.3068550771297809</v>
      </c>
      <c r="DA108" s="773">
        <v>0</v>
      </c>
      <c r="DB108" s="773">
        <v>0</v>
      </c>
      <c r="DC108" s="773">
        <v>0</v>
      </c>
      <c r="DD108" s="774">
        <v>0</v>
      </c>
      <c r="DE108" s="774">
        <v>0</v>
      </c>
      <c r="DF108" s="774">
        <v>0</v>
      </c>
      <c r="DG108" s="774">
        <v>0</v>
      </c>
      <c r="DH108" s="774">
        <v>0</v>
      </c>
      <c r="DI108" s="774">
        <v>0</v>
      </c>
      <c r="DJ108" s="774">
        <v>0</v>
      </c>
      <c r="DK108" s="774">
        <v>0</v>
      </c>
      <c r="DL108" s="774">
        <v>0</v>
      </c>
      <c r="DM108" s="774">
        <v>0</v>
      </c>
      <c r="DN108" s="774">
        <v>0</v>
      </c>
      <c r="DO108" s="774">
        <v>0</v>
      </c>
      <c r="DP108" s="773">
        <v>0</v>
      </c>
      <c r="DQ108" s="773">
        <v>0</v>
      </c>
      <c r="DR108" s="773">
        <v>0</v>
      </c>
      <c r="DS108" s="774">
        <v>0</v>
      </c>
      <c r="DT108" s="774">
        <v>0</v>
      </c>
      <c r="DU108" s="774">
        <v>0</v>
      </c>
      <c r="DV108" s="774">
        <v>0</v>
      </c>
      <c r="DW108" s="774">
        <v>0</v>
      </c>
      <c r="DX108" s="774">
        <v>0</v>
      </c>
      <c r="DY108" s="774">
        <v>0</v>
      </c>
      <c r="DZ108" s="774">
        <v>0</v>
      </c>
      <c r="EA108" s="774">
        <v>0</v>
      </c>
      <c r="EB108" s="774">
        <v>0</v>
      </c>
      <c r="EC108" s="774">
        <v>0</v>
      </c>
      <c r="ED108" s="774">
        <v>0</v>
      </c>
    </row>
    <row r="109" spans="1:134" ht="15" x14ac:dyDescent="0.25">
      <c r="A109" s="766">
        <v>125</v>
      </c>
      <c r="B109" s="766">
        <v>88</v>
      </c>
      <c r="C109" s="766" t="s">
        <v>3780</v>
      </c>
      <c r="D109" s="2">
        <v>99705</v>
      </c>
      <c r="E109" s="2">
        <v>99705</v>
      </c>
      <c r="F109" s="767" t="s">
        <v>3746</v>
      </c>
      <c r="G109" s="114">
        <v>456</v>
      </c>
      <c r="H109" s="114">
        <v>153</v>
      </c>
      <c r="I109" s="114">
        <v>144</v>
      </c>
      <c r="J109" s="114">
        <v>9</v>
      </c>
      <c r="K109" s="114">
        <v>0</v>
      </c>
      <c r="L109" s="114">
        <v>134</v>
      </c>
      <c r="M109" s="114">
        <v>134</v>
      </c>
      <c r="N109" s="114">
        <v>1</v>
      </c>
      <c r="O109" s="114">
        <v>0</v>
      </c>
      <c r="P109" s="114">
        <v>0</v>
      </c>
      <c r="Q109" s="114">
        <v>135</v>
      </c>
      <c r="R109" s="114">
        <v>0</v>
      </c>
      <c r="S109" s="114">
        <v>2169.7462686567164</v>
      </c>
      <c r="T109" s="114">
        <v>2169.7462686567164</v>
      </c>
      <c r="U109" s="114">
        <v>1500</v>
      </c>
      <c r="V109" s="114">
        <v>0</v>
      </c>
      <c r="W109" s="114">
        <v>0</v>
      </c>
      <c r="X109" s="114">
        <v>2164.7851851851851</v>
      </c>
      <c r="Y109" s="114">
        <v>0</v>
      </c>
      <c r="Z109" s="114">
        <v>153</v>
      </c>
      <c r="AA109" s="114">
        <v>0</v>
      </c>
      <c r="AB109" s="657">
        <v>1</v>
      </c>
      <c r="AC109" s="657">
        <v>0</v>
      </c>
      <c r="AD109" s="768">
        <v>154</v>
      </c>
      <c r="AE109" s="769">
        <v>0</v>
      </c>
      <c r="AF109" s="769">
        <v>144</v>
      </c>
      <c r="AG109" s="770">
        <v>144</v>
      </c>
      <c r="AH109" s="769">
        <v>0</v>
      </c>
      <c r="AI109" s="769">
        <v>0</v>
      </c>
      <c r="AJ109" s="769">
        <v>142.00721013379166</v>
      </c>
      <c r="AK109" s="769">
        <v>142.00721013379166</v>
      </c>
      <c r="AL109" s="769">
        <v>0</v>
      </c>
      <c r="AM109" s="769">
        <v>0</v>
      </c>
      <c r="AN109" s="769">
        <v>134.33936868986964</v>
      </c>
      <c r="AO109" s="769">
        <v>134.33936868986964</v>
      </c>
      <c r="AP109" s="769">
        <v>0</v>
      </c>
      <c r="AQ109" s="769">
        <v>0.94010766733490925</v>
      </c>
      <c r="AR109" s="769">
        <v>0</v>
      </c>
      <c r="AS109" s="769">
        <v>131.80423352929975</v>
      </c>
      <c r="AT109" s="769">
        <v>136.81064098716379</v>
      </c>
      <c r="AU109" s="769">
        <v>142.00721013379166</v>
      </c>
      <c r="AV109" s="769">
        <v>147.40116400649666</v>
      </c>
      <c r="AW109" s="769">
        <v>153</v>
      </c>
      <c r="AX109" s="769">
        <v>125.32684708328286</v>
      </c>
      <c r="AY109" s="769">
        <v>129.7548824401612</v>
      </c>
      <c r="AZ109" s="769">
        <v>134.33936868986964</v>
      </c>
      <c r="BA109" s="769">
        <v>139.08583353936962</v>
      </c>
      <c r="BB109" s="769">
        <v>144</v>
      </c>
      <c r="BC109" s="769">
        <v>0.88380242618188454</v>
      </c>
      <c r="BD109" s="769">
        <v>0.91152039870909352</v>
      </c>
      <c r="BE109" s="769">
        <v>0.94010766733490925</v>
      </c>
      <c r="BF109" s="769">
        <v>0.96959149508177378</v>
      </c>
      <c r="BG109" s="769">
        <v>1</v>
      </c>
      <c r="BH109" s="771">
        <v>154.23423651040446</v>
      </c>
      <c r="BI109" s="771">
        <v>155.47842948985218</v>
      </c>
      <c r="BJ109" s="771">
        <v>156.73265925623599</v>
      </c>
      <c r="BK109" s="772">
        <v>156.99099730692109</v>
      </c>
      <c r="BL109" s="772">
        <v>157.24933535760618</v>
      </c>
      <c r="BM109" s="772">
        <v>157.50767340829134</v>
      </c>
      <c r="BN109" s="772">
        <v>157.76601145897644</v>
      </c>
      <c r="BO109" s="772">
        <v>158.07147925999448</v>
      </c>
      <c r="BP109" s="772">
        <v>158.37694706101252</v>
      </c>
      <c r="BQ109" s="772">
        <v>159.22379149705841</v>
      </c>
      <c r="BR109" s="772">
        <v>160.2327486785247</v>
      </c>
      <c r="BS109" s="772">
        <v>160.6757619125367</v>
      </c>
      <c r="BT109" s="772">
        <v>160.91904532455055</v>
      </c>
      <c r="BU109" s="772">
        <v>161.17098825235789</v>
      </c>
      <c r="BV109" s="772">
        <v>161.42899284122063</v>
      </c>
      <c r="BW109" s="771">
        <v>145.16163436273362</v>
      </c>
      <c r="BX109" s="771">
        <v>146.33263951986086</v>
      </c>
      <c r="BY109" s="771">
        <v>147.5130910646927</v>
      </c>
      <c r="BZ109" s="772">
        <v>147.75623275945514</v>
      </c>
      <c r="CA109" s="772">
        <v>147.99937445421759</v>
      </c>
      <c r="CB109" s="772">
        <v>148.24251614898009</v>
      </c>
      <c r="CC109" s="772">
        <v>148.48565784374253</v>
      </c>
      <c r="CD109" s="772">
        <v>148.77315695058303</v>
      </c>
      <c r="CE109" s="772">
        <v>149.06065605742353</v>
      </c>
      <c r="CF109" s="772">
        <v>149.8576861148785</v>
      </c>
      <c r="CG109" s="772">
        <v>150.80729287390562</v>
      </c>
      <c r="CH109" s="772">
        <v>151.22424650591691</v>
      </c>
      <c r="CI109" s="772">
        <v>151.45321912898876</v>
      </c>
      <c r="CJ109" s="772">
        <v>151.69034188457212</v>
      </c>
      <c r="CK109" s="772">
        <v>151.93316973291354</v>
      </c>
      <c r="CL109" s="771">
        <v>1.0080669052967612</v>
      </c>
      <c r="CM109" s="771">
        <v>1.0161988855545894</v>
      </c>
      <c r="CN109" s="771">
        <v>1.0243964657270326</v>
      </c>
      <c r="CO109" s="772">
        <v>1.0260849497184386</v>
      </c>
      <c r="CP109" s="772">
        <v>1.0277734337098443</v>
      </c>
      <c r="CQ109" s="772">
        <v>1.0294619177012505</v>
      </c>
      <c r="CR109" s="772">
        <v>1.0311504016926563</v>
      </c>
      <c r="CS109" s="772">
        <v>1.0331469232679376</v>
      </c>
      <c r="CT109" s="772">
        <v>1.0351434448432189</v>
      </c>
      <c r="CU109" s="772">
        <v>1.0406783757977673</v>
      </c>
      <c r="CV109" s="772">
        <v>1.0472728671799001</v>
      </c>
      <c r="CW109" s="772">
        <v>1.0501683785133118</v>
      </c>
      <c r="CX109" s="772">
        <v>1.0517584661735329</v>
      </c>
      <c r="CY109" s="772">
        <v>1.0534051519761953</v>
      </c>
      <c r="CZ109" s="772">
        <v>1.0550914564785661</v>
      </c>
      <c r="DA109" s="773">
        <v>0</v>
      </c>
      <c r="DB109" s="773">
        <v>0</v>
      </c>
      <c r="DC109" s="773">
        <v>0</v>
      </c>
      <c r="DD109" s="774">
        <v>0</v>
      </c>
      <c r="DE109" s="774">
        <v>0</v>
      </c>
      <c r="DF109" s="774">
        <v>0</v>
      </c>
      <c r="DG109" s="774">
        <v>0</v>
      </c>
      <c r="DH109" s="774">
        <v>0</v>
      </c>
      <c r="DI109" s="774">
        <v>0</v>
      </c>
      <c r="DJ109" s="774">
        <v>0</v>
      </c>
      <c r="DK109" s="774">
        <v>0</v>
      </c>
      <c r="DL109" s="774">
        <v>0</v>
      </c>
      <c r="DM109" s="774">
        <v>0</v>
      </c>
      <c r="DN109" s="774">
        <v>0</v>
      </c>
      <c r="DO109" s="774">
        <v>0</v>
      </c>
      <c r="DP109" s="773">
        <v>0</v>
      </c>
      <c r="DQ109" s="773">
        <v>0</v>
      </c>
      <c r="DR109" s="773">
        <v>0</v>
      </c>
      <c r="DS109" s="774">
        <v>0</v>
      </c>
      <c r="DT109" s="774">
        <v>0</v>
      </c>
      <c r="DU109" s="774">
        <v>0</v>
      </c>
      <c r="DV109" s="774">
        <v>0</v>
      </c>
      <c r="DW109" s="774">
        <v>0</v>
      </c>
      <c r="DX109" s="774">
        <v>0</v>
      </c>
      <c r="DY109" s="774">
        <v>0</v>
      </c>
      <c r="DZ109" s="774">
        <v>0</v>
      </c>
      <c r="EA109" s="774">
        <v>0</v>
      </c>
      <c r="EB109" s="774">
        <v>0</v>
      </c>
      <c r="EC109" s="774">
        <v>0</v>
      </c>
      <c r="ED109" s="774">
        <v>0</v>
      </c>
    </row>
    <row r="110" spans="1:134" ht="15" x14ac:dyDescent="0.25">
      <c r="A110" s="766">
        <v>126</v>
      </c>
      <c r="B110" s="766">
        <v>88</v>
      </c>
      <c r="C110" s="766" t="s">
        <v>3781</v>
      </c>
      <c r="D110" s="2">
        <v>99705</v>
      </c>
      <c r="E110" s="2">
        <v>99705</v>
      </c>
      <c r="F110" s="767" t="s">
        <v>3746</v>
      </c>
      <c r="G110" s="114">
        <v>220</v>
      </c>
      <c r="H110" s="114">
        <v>76</v>
      </c>
      <c r="I110" s="114">
        <v>73</v>
      </c>
      <c r="J110" s="114">
        <v>3</v>
      </c>
      <c r="K110" s="114">
        <v>1</v>
      </c>
      <c r="L110" s="114">
        <v>171</v>
      </c>
      <c r="M110" s="114">
        <v>172</v>
      </c>
      <c r="N110" s="114">
        <v>1</v>
      </c>
      <c r="O110" s="114">
        <v>0</v>
      </c>
      <c r="P110" s="114">
        <v>0</v>
      </c>
      <c r="Q110" s="114">
        <v>173</v>
      </c>
      <c r="R110" s="114">
        <v>3216</v>
      </c>
      <c r="S110" s="114">
        <v>2358.9356725146199</v>
      </c>
      <c r="T110" s="114">
        <v>2363.9186046511627</v>
      </c>
      <c r="U110" s="114">
        <v>192</v>
      </c>
      <c r="V110" s="114">
        <v>0</v>
      </c>
      <c r="W110" s="114">
        <v>0</v>
      </c>
      <c r="X110" s="114">
        <v>2351.3641618497109</v>
      </c>
      <c r="Y110" s="114">
        <v>0.44186046511627908</v>
      </c>
      <c r="Z110" s="114">
        <v>75.558139534883722</v>
      </c>
      <c r="AA110" s="114">
        <v>0</v>
      </c>
      <c r="AB110" s="657">
        <v>1</v>
      </c>
      <c r="AC110" s="657">
        <v>0</v>
      </c>
      <c r="AD110" s="768">
        <v>77</v>
      </c>
      <c r="AE110" s="769">
        <v>0.42441860465116277</v>
      </c>
      <c r="AF110" s="769">
        <v>72.575581395348834</v>
      </c>
      <c r="AG110" s="770">
        <v>73</v>
      </c>
      <c r="AH110" s="769">
        <v>0</v>
      </c>
      <c r="AI110" s="769">
        <v>0.41011354195805466</v>
      </c>
      <c r="AJ110" s="769">
        <v>70.129415674827342</v>
      </c>
      <c r="AK110" s="769">
        <v>70.539529216785397</v>
      </c>
      <c r="AL110" s="769">
        <v>0</v>
      </c>
      <c r="AM110" s="769">
        <v>0.39594532922967074</v>
      </c>
      <c r="AN110" s="769">
        <v>67.706651298273698</v>
      </c>
      <c r="AO110" s="769">
        <v>68.102596627503374</v>
      </c>
      <c r="AP110" s="769">
        <v>0</v>
      </c>
      <c r="AQ110" s="769">
        <v>0.94010766733490925</v>
      </c>
      <c r="AR110" s="769">
        <v>0</v>
      </c>
      <c r="AS110" s="769">
        <v>65.471383975338441</v>
      </c>
      <c r="AT110" s="769">
        <v>67.95822689558463</v>
      </c>
      <c r="AU110" s="769">
        <v>70.539529216785397</v>
      </c>
      <c r="AV110" s="769">
        <v>73.218878852900303</v>
      </c>
      <c r="AW110" s="769">
        <v>76</v>
      </c>
      <c r="AX110" s="769">
        <v>63.533748868608669</v>
      </c>
      <c r="AY110" s="769">
        <v>65.778516792581712</v>
      </c>
      <c r="AZ110" s="769">
        <v>68.102596627503374</v>
      </c>
      <c r="BA110" s="769">
        <v>70.5087906137082</v>
      </c>
      <c r="BB110" s="769">
        <v>73</v>
      </c>
      <c r="BC110" s="769">
        <v>0.88380242618188454</v>
      </c>
      <c r="BD110" s="769">
        <v>0.91152039870909352</v>
      </c>
      <c r="BE110" s="769">
        <v>0.94010766733490925</v>
      </c>
      <c r="BF110" s="769">
        <v>0.96959149508177378</v>
      </c>
      <c r="BG110" s="769">
        <v>1</v>
      </c>
      <c r="BH110" s="771">
        <v>76.613084802553857</v>
      </c>
      <c r="BI110" s="771">
        <v>77.231115302148794</v>
      </c>
      <c r="BJ110" s="771">
        <v>77.85413139525447</v>
      </c>
      <c r="BK110" s="772">
        <v>78.441964793397332</v>
      </c>
      <c r="BL110" s="772">
        <v>79.029798191540209</v>
      </c>
      <c r="BM110" s="772">
        <v>79.6176315896831</v>
      </c>
      <c r="BN110" s="772">
        <v>80.205464987825962</v>
      </c>
      <c r="BO110" s="772">
        <v>80.900539426219581</v>
      </c>
      <c r="BP110" s="772">
        <v>81.595613864613171</v>
      </c>
      <c r="BQ110" s="772">
        <v>83.522559745094497</v>
      </c>
      <c r="BR110" s="772">
        <v>85.818383867747215</v>
      </c>
      <c r="BS110" s="772">
        <v>86.826435039771297</v>
      </c>
      <c r="BT110" s="772">
        <v>87.3800124721961</v>
      </c>
      <c r="BU110" s="772">
        <v>87.953294135498382</v>
      </c>
      <c r="BV110" s="772">
        <v>88.54036876041495</v>
      </c>
      <c r="BW110" s="771">
        <v>73.588884086663569</v>
      </c>
      <c r="BX110" s="771">
        <v>74.182518645485018</v>
      </c>
      <c r="BY110" s="771">
        <v>74.780941998073374</v>
      </c>
      <c r="BZ110" s="772">
        <v>75.34557144628954</v>
      </c>
      <c r="CA110" s="772">
        <v>75.910200894505735</v>
      </c>
      <c r="CB110" s="772">
        <v>76.474830342721916</v>
      </c>
      <c r="CC110" s="772">
        <v>77.039459790938096</v>
      </c>
      <c r="CD110" s="772">
        <v>77.707097080447753</v>
      </c>
      <c r="CE110" s="772">
        <v>78.374734369957395</v>
      </c>
      <c r="CF110" s="772">
        <v>80.225616597261819</v>
      </c>
      <c r="CG110" s="772">
        <v>82.430816083494037</v>
      </c>
      <c r="CH110" s="772">
        <v>83.399075761885584</v>
      </c>
      <c r="CI110" s="772">
        <v>83.930801453556782</v>
      </c>
      <c r="CJ110" s="772">
        <v>84.481453577518181</v>
      </c>
      <c r="CK110" s="772">
        <v>85.045354204082784</v>
      </c>
      <c r="CL110" s="771">
        <v>1.0080669052967612</v>
      </c>
      <c r="CM110" s="771">
        <v>1.0161988855545894</v>
      </c>
      <c r="CN110" s="771">
        <v>1.0243964657270326</v>
      </c>
      <c r="CO110" s="772">
        <v>1.0321311157025965</v>
      </c>
      <c r="CP110" s="772">
        <v>1.0398657656781609</v>
      </c>
      <c r="CQ110" s="772">
        <v>1.0476004156537251</v>
      </c>
      <c r="CR110" s="772">
        <v>1.055335065629289</v>
      </c>
      <c r="CS110" s="772">
        <v>1.0644807819239419</v>
      </c>
      <c r="CT110" s="772">
        <v>1.0736264982185943</v>
      </c>
      <c r="CU110" s="772">
        <v>1.0989810492775591</v>
      </c>
      <c r="CV110" s="772">
        <v>1.1291892614177266</v>
      </c>
      <c r="CW110" s="772">
        <v>1.1424530926285696</v>
      </c>
      <c r="CX110" s="772">
        <v>1.1497370062131067</v>
      </c>
      <c r="CY110" s="772">
        <v>1.1572801859933999</v>
      </c>
      <c r="CZ110" s="772">
        <v>1.165004852110723</v>
      </c>
      <c r="DA110" s="773">
        <v>0</v>
      </c>
      <c r="DB110" s="773">
        <v>0</v>
      </c>
      <c r="DC110" s="773">
        <v>0</v>
      </c>
      <c r="DD110" s="774">
        <v>0</v>
      </c>
      <c r="DE110" s="774">
        <v>0</v>
      </c>
      <c r="DF110" s="774">
        <v>0</v>
      </c>
      <c r="DG110" s="774">
        <v>0</v>
      </c>
      <c r="DH110" s="774">
        <v>0</v>
      </c>
      <c r="DI110" s="774">
        <v>0</v>
      </c>
      <c r="DJ110" s="774">
        <v>0</v>
      </c>
      <c r="DK110" s="774">
        <v>0</v>
      </c>
      <c r="DL110" s="774">
        <v>0</v>
      </c>
      <c r="DM110" s="774">
        <v>0</v>
      </c>
      <c r="DN110" s="774">
        <v>0</v>
      </c>
      <c r="DO110" s="774">
        <v>0</v>
      </c>
      <c r="DP110" s="773">
        <v>0</v>
      </c>
      <c r="DQ110" s="773">
        <v>0</v>
      </c>
      <c r="DR110" s="773">
        <v>0</v>
      </c>
      <c r="DS110" s="774">
        <v>0</v>
      </c>
      <c r="DT110" s="774">
        <v>0</v>
      </c>
      <c r="DU110" s="774">
        <v>0</v>
      </c>
      <c r="DV110" s="774">
        <v>0</v>
      </c>
      <c r="DW110" s="774">
        <v>0</v>
      </c>
      <c r="DX110" s="774">
        <v>0</v>
      </c>
      <c r="DY110" s="774">
        <v>0</v>
      </c>
      <c r="DZ110" s="774">
        <v>0</v>
      </c>
      <c r="EA110" s="774">
        <v>0</v>
      </c>
      <c r="EB110" s="774">
        <v>0</v>
      </c>
      <c r="EC110" s="774">
        <v>0</v>
      </c>
      <c r="ED110" s="774">
        <v>0</v>
      </c>
    </row>
    <row r="111" spans="1:134" ht="15" x14ac:dyDescent="0.25">
      <c r="A111" s="766">
        <v>129</v>
      </c>
      <c r="B111" s="766">
        <v>88</v>
      </c>
      <c r="C111" s="766" t="s">
        <v>3782</v>
      </c>
      <c r="D111" s="2">
        <v>99705</v>
      </c>
      <c r="E111" s="2">
        <v>99705</v>
      </c>
      <c r="F111" s="767" t="s">
        <v>3676</v>
      </c>
      <c r="G111" s="114">
        <v>7</v>
      </c>
      <c r="H111" s="114">
        <v>3</v>
      </c>
      <c r="I111" s="114">
        <v>3</v>
      </c>
      <c r="J111" s="114">
        <v>0</v>
      </c>
      <c r="K111" s="114">
        <v>0</v>
      </c>
      <c r="L111" s="114">
        <v>0</v>
      </c>
      <c r="M111" s="114">
        <v>0</v>
      </c>
      <c r="N111" s="114">
        <v>0</v>
      </c>
      <c r="O111" s="114">
        <v>0</v>
      </c>
      <c r="P111" s="114">
        <v>0</v>
      </c>
      <c r="Q111" s="114">
        <v>0</v>
      </c>
      <c r="R111" s="114">
        <v>0</v>
      </c>
      <c r="S111" s="114">
        <v>834.49503068156923</v>
      </c>
      <c r="T111" s="114">
        <v>834.49503068156923</v>
      </c>
      <c r="U111" s="114">
        <v>1408.3846153846155</v>
      </c>
      <c r="V111" s="114">
        <v>0</v>
      </c>
      <c r="W111" s="114">
        <v>0</v>
      </c>
      <c r="X111" s="114">
        <v>1365.173957061457</v>
      </c>
      <c r="Y111" s="114">
        <v>6.8737006237006237E-2</v>
      </c>
      <c r="Z111" s="114">
        <v>2.9273648648648649</v>
      </c>
      <c r="AA111" s="114">
        <v>3.8981288981288983E-3</v>
      </c>
      <c r="AB111" s="657">
        <v>0</v>
      </c>
      <c r="AC111" s="657">
        <v>0</v>
      </c>
      <c r="AD111" s="768">
        <v>3</v>
      </c>
      <c r="AE111" s="769">
        <v>6.8737006237006237E-2</v>
      </c>
      <c r="AF111" s="769">
        <v>2.9273648648648649</v>
      </c>
      <c r="AG111" s="770">
        <v>2.996101871101871</v>
      </c>
      <c r="AH111" s="769">
        <v>3.8981288981288983E-3</v>
      </c>
      <c r="AI111" s="769">
        <v>6.3798369206969227E-2</v>
      </c>
      <c r="AJ111" s="769">
        <v>2.7170386764911338</v>
      </c>
      <c r="AK111" s="769">
        <v>2.7808370456981031</v>
      </c>
      <c r="AL111" s="769">
        <v>3.6180549644784068E-3</v>
      </c>
      <c r="AM111" s="769">
        <v>6.4125597385493407E-2</v>
      </c>
      <c r="AN111" s="769">
        <v>2.7309746379920248</v>
      </c>
      <c r="AO111" s="769">
        <v>2.7951002353775181</v>
      </c>
      <c r="AP111" s="769">
        <v>3.6366123280998155E-3</v>
      </c>
      <c r="AQ111" s="769">
        <v>0</v>
      </c>
      <c r="AR111" s="769">
        <v>0</v>
      </c>
      <c r="AS111" s="769">
        <v>2.5810386320018495</v>
      </c>
      <c r="AT111" s="769">
        <v>2.6790759310345602</v>
      </c>
      <c r="AU111" s="769">
        <v>2.7808370456981031</v>
      </c>
      <c r="AV111" s="769">
        <v>2.8864634201467867</v>
      </c>
      <c r="AW111" s="769">
        <v>2.996101871101871</v>
      </c>
      <c r="AX111" s="769">
        <v>2.6075833405939015</v>
      </c>
      <c r="AY111" s="769">
        <v>2.6997142087747932</v>
      </c>
      <c r="AZ111" s="769">
        <v>2.7951002353775181</v>
      </c>
      <c r="BA111" s="769">
        <v>2.8938564313268653</v>
      </c>
      <c r="BB111" s="769">
        <v>2.996101871101871</v>
      </c>
      <c r="BC111" s="769">
        <v>0</v>
      </c>
      <c r="BD111" s="769">
        <v>0</v>
      </c>
      <c r="BE111" s="769">
        <v>0</v>
      </c>
      <c r="BF111" s="769">
        <v>0</v>
      </c>
      <c r="BG111" s="769">
        <v>0</v>
      </c>
      <c r="BH111" s="771">
        <v>3.020271141155499</v>
      </c>
      <c r="BI111" s="771">
        <v>3.0446353824217414</v>
      </c>
      <c r="BJ111" s="771">
        <v>3.0691961677149058</v>
      </c>
      <c r="BK111" s="772">
        <v>3.0691961677149058</v>
      </c>
      <c r="BL111" s="772">
        <v>3.0691961677149058</v>
      </c>
      <c r="BM111" s="772">
        <v>3.0691961677149058</v>
      </c>
      <c r="BN111" s="772">
        <v>3.0691961677149058</v>
      </c>
      <c r="BO111" s="772">
        <v>3.0691961677149058</v>
      </c>
      <c r="BP111" s="772">
        <v>3.0691961677149058</v>
      </c>
      <c r="BQ111" s="772">
        <v>3.0691961677149058</v>
      </c>
      <c r="BR111" s="772">
        <v>3.0691961677149058</v>
      </c>
      <c r="BS111" s="772">
        <v>3.0691961677149058</v>
      </c>
      <c r="BT111" s="772">
        <v>3.0691961677149058</v>
      </c>
      <c r="BU111" s="772">
        <v>3.0691961677149058</v>
      </c>
      <c r="BV111" s="772">
        <v>3.0691961677149058</v>
      </c>
      <c r="BW111" s="771">
        <v>3.020271141155499</v>
      </c>
      <c r="BX111" s="771">
        <v>3.0446353824217414</v>
      </c>
      <c r="BY111" s="771">
        <v>3.0691961677149058</v>
      </c>
      <c r="BZ111" s="772">
        <v>3.0691961677149058</v>
      </c>
      <c r="CA111" s="772">
        <v>3.0691961677149058</v>
      </c>
      <c r="CB111" s="772">
        <v>3.0691961677149058</v>
      </c>
      <c r="CC111" s="772">
        <v>3.0691961677149058</v>
      </c>
      <c r="CD111" s="772">
        <v>3.0691961677149058</v>
      </c>
      <c r="CE111" s="772">
        <v>3.0691961677149058</v>
      </c>
      <c r="CF111" s="772">
        <v>3.0691961677149058</v>
      </c>
      <c r="CG111" s="772">
        <v>3.0691961677149058</v>
      </c>
      <c r="CH111" s="772">
        <v>3.0691961677149058</v>
      </c>
      <c r="CI111" s="772">
        <v>3.0691961677149058</v>
      </c>
      <c r="CJ111" s="772">
        <v>3.0691961677149058</v>
      </c>
      <c r="CK111" s="772">
        <v>3.0691961677149058</v>
      </c>
      <c r="CL111" s="771">
        <v>0</v>
      </c>
      <c r="CM111" s="771">
        <v>0</v>
      </c>
      <c r="CN111" s="771">
        <v>0</v>
      </c>
      <c r="CO111" s="772">
        <v>0</v>
      </c>
      <c r="CP111" s="772">
        <v>0</v>
      </c>
      <c r="CQ111" s="772">
        <v>0</v>
      </c>
      <c r="CR111" s="772">
        <v>0</v>
      </c>
      <c r="CS111" s="772">
        <v>0</v>
      </c>
      <c r="CT111" s="772">
        <v>0</v>
      </c>
      <c r="CU111" s="772">
        <v>0</v>
      </c>
      <c r="CV111" s="772">
        <v>0</v>
      </c>
      <c r="CW111" s="772">
        <v>0</v>
      </c>
      <c r="CX111" s="772">
        <v>0</v>
      </c>
      <c r="CY111" s="772">
        <v>0</v>
      </c>
      <c r="CZ111" s="772">
        <v>0</v>
      </c>
      <c r="DA111" s="773">
        <v>3.9295747347846723E-3</v>
      </c>
      <c r="DB111" s="773">
        <v>3.9612742420267258E-3</v>
      </c>
      <c r="DC111" s="773">
        <v>3.9932294661916556E-3</v>
      </c>
      <c r="DD111" s="774">
        <v>3.9932294661916556E-3</v>
      </c>
      <c r="DE111" s="774">
        <v>3.9932294661916556E-3</v>
      </c>
      <c r="DF111" s="774">
        <v>3.9932294661916556E-3</v>
      </c>
      <c r="DG111" s="774">
        <v>3.9932294661916556E-3</v>
      </c>
      <c r="DH111" s="774">
        <v>3.9932294661916556E-3</v>
      </c>
      <c r="DI111" s="774">
        <v>3.9932294661916556E-3</v>
      </c>
      <c r="DJ111" s="774">
        <v>3.9932294661916556E-3</v>
      </c>
      <c r="DK111" s="774">
        <v>3.9932294661916556E-3</v>
      </c>
      <c r="DL111" s="774">
        <v>3.9932294661916556E-3</v>
      </c>
      <c r="DM111" s="774">
        <v>3.9932294661916556E-3</v>
      </c>
      <c r="DN111" s="774">
        <v>3.9932294661916556E-3</v>
      </c>
      <c r="DO111" s="774">
        <v>3.9932294661916556E-3</v>
      </c>
      <c r="DP111" s="773">
        <v>0</v>
      </c>
      <c r="DQ111" s="773">
        <v>0</v>
      </c>
      <c r="DR111" s="773">
        <v>0</v>
      </c>
      <c r="DS111" s="774">
        <v>0</v>
      </c>
      <c r="DT111" s="774">
        <v>0</v>
      </c>
      <c r="DU111" s="774">
        <v>0</v>
      </c>
      <c r="DV111" s="774">
        <v>0</v>
      </c>
      <c r="DW111" s="774">
        <v>0</v>
      </c>
      <c r="DX111" s="774">
        <v>0</v>
      </c>
      <c r="DY111" s="774">
        <v>0</v>
      </c>
      <c r="DZ111" s="774">
        <v>0</v>
      </c>
      <c r="EA111" s="774">
        <v>0</v>
      </c>
      <c r="EB111" s="774">
        <v>0</v>
      </c>
      <c r="EC111" s="774">
        <v>0</v>
      </c>
      <c r="ED111" s="774">
        <v>0</v>
      </c>
    </row>
    <row r="112" spans="1:134" ht="15" x14ac:dyDescent="0.25">
      <c r="A112" s="766">
        <v>98</v>
      </c>
      <c r="B112" s="766">
        <v>89</v>
      </c>
      <c r="C112" s="766" t="s">
        <v>3783</v>
      </c>
      <c r="D112" s="2">
        <v>99709</v>
      </c>
      <c r="E112" s="2">
        <v>99709</v>
      </c>
      <c r="F112" s="767" t="s">
        <v>3676</v>
      </c>
      <c r="G112" s="114">
        <v>89</v>
      </c>
      <c r="H112" s="114">
        <v>47</v>
      </c>
      <c r="I112" s="114">
        <v>43</v>
      </c>
      <c r="J112" s="114">
        <v>4</v>
      </c>
      <c r="K112" s="114">
        <v>0</v>
      </c>
      <c r="L112" s="114">
        <v>83</v>
      </c>
      <c r="M112" s="114">
        <v>83</v>
      </c>
      <c r="N112" s="114">
        <v>0</v>
      </c>
      <c r="O112" s="114">
        <v>0</v>
      </c>
      <c r="P112" s="114">
        <v>0</v>
      </c>
      <c r="Q112" s="114">
        <v>83</v>
      </c>
      <c r="R112" s="114">
        <v>0</v>
      </c>
      <c r="S112" s="114">
        <v>1835.1084337349398</v>
      </c>
      <c r="T112" s="114">
        <v>1835.1084337349398</v>
      </c>
      <c r="U112" s="114">
        <v>0</v>
      </c>
      <c r="V112" s="114">
        <v>0</v>
      </c>
      <c r="W112" s="114">
        <v>0</v>
      </c>
      <c r="X112" s="114">
        <v>1835.1084337349398</v>
      </c>
      <c r="Y112" s="114">
        <v>0</v>
      </c>
      <c r="Z112" s="114">
        <v>47</v>
      </c>
      <c r="AA112" s="114">
        <v>0</v>
      </c>
      <c r="AB112" s="657">
        <v>0</v>
      </c>
      <c r="AC112" s="657">
        <v>0</v>
      </c>
      <c r="AD112" s="768">
        <v>47</v>
      </c>
      <c r="AE112" s="769">
        <v>0</v>
      </c>
      <c r="AF112" s="769">
        <v>43</v>
      </c>
      <c r="AG112" s="770">
        <v>43</v>
      </c>
      <c r="AH112" s="769">
        <v>0</v>
      </c>
      <c r="AI112" s="769">
        <v>0</v>
      </c>
      <c r="AJ112" s="769">
        <v>44.751444565363748</v>
      </c>
      <c r="AK112" s="769">
        <v>44.751444565363748</v>
      </c>
      <c r="AL112" s="769">
        <v>0</v>
      </c>
      <c r="AM112" s="769">
        <v>0</v>
      </c>
      <c r="AN112" s="769">
        <v>41.020049042612982</v>
      </c>
      <c r="AO112" s="769">
        <v>41.020049042612982</v>
      </c>
      <c r="AP112" s="769">
        <v>0</v>
      </c>
      <c r="AQ112" s="769">
        <v>0</v>
      </c>
      <c r="AR112" s="769">
        <v>0</v>
      </c>
      <c r="AS112" s="769">
        <v>42.610463631634566</v>
      </c>
      <c r="AT112" s="769">
        <v>43.667834857198294</v>
      </c>
      <c r="AU112" s="769">
        <v>44.751444565363748</v>
      </c>
      <c r="AV112" s="769">
        <v>45.861943859501814</v>
      </c>
      <c r="AW112" s="769">
        <v>47</v>
      </c>
      <c r="AX112" s="769">
        <v>39.131265661822653</v>
      </c>
      <c r="AY112" s="769">
        <v>40.06452840790071</v>
      </c>
      <c r="AZ112" s="769">
        <v>41.020049042612982</v>
      </c>
      <c r="BA112" s="769">
        <v>41.998358406399149</v>
      </c>
      <c r="BB112" s="769">
        <v>43</v>
      </c>
      <c r="BC112" s="769">
        <v>0</v>
      </c>
      <c r="BD112" s="769">
        <v>0</v>
      </c>
      <c r="BE112" s="769">
        <v>0</v>
      </c>
      <c r="BF112" s="769">
        <v>0</v>
      </c>
      <c r="BG112" s="769">
        <v>0</v>
      </c>
      <c r="BH112" s="771">
        <v>47.43913623798214</v>
      </c>
      <c r="BI112" s="771">
        <v>47.882375468209155</v>
      </c>
      <c r="BJ112" s="771">
        <v>48.32975602626783</v>
      </c>
      <c r="BK112" s="772">
        <v>48.47120597669371</v>
      </c>
      <c r="BL112" s="772">
        <v>48.612655927119597</v>
      </c>
      <c r="BM112" s="772">
        <v>48.75410587754547</v>
      </c>
      <c r="BN112" s="772">
        <v>48.89555582797135</v>
      </c>
      <c r="BO112" s="772">
        <v>49.062811116908129</v>
      </c>
      <c r="BP112" s="772">
        <v>49.230066405844909</v>
      </c>
      <c r="BQ112" s="772">
        <v>49.693746081291309</v>
      </c>
      <c r="BR112" s="772">
        <v>50.246188677036514</v>
      </c>
      <c r="BS112" s="772">
        <v>50.488755344327004</v>
      </c>
      <c r="BT112" s="772">
        <v>50.62196230504199</v>
      </c>
      <c r="BU112" s="772">
        <v>50.759910681419314</v>
      </c>
      <c r="BV112" s="772">
        <v>50.901178048760293</v>
      </c>
      <c r="BW112" s="771">
        <v>43.401762941132596</v>
      </c>
      <c r="BX112" s="771">
        <v>43.807279683680719</v>
      </c>
      <c r="BY112" s="771">
        <v>44.216585300628012</v>
      </c>
      <c r="BZ112" s="772">
        <v>44.345996957400629</v>
      </c>
      <c r="CA112" s="772">
        <v>44.47540861417324</v>
      </c>
      <c r="CB112" s="772">
        <v>44.604820270945851</v>
      </c>
      <c r="CC112" s="772">
        <v>44.734231927718469</v>
      </c>
      <c r="CD112" s="772">
        <v>44.887252723979778</v>
      </c>
      <c r="CE112" s="772">
        <v>45.040273520241087</v>
      </c>
      <c r="CF112" s="772">
        <v>45.464491095649493</v>
      </c>
      <c r="CG112" s="772">
        <v>45.969917300267447</v>
      </c>
      <c r="CH112" s="772">
        <v>46.191839995873636</v>
      </c>
      <c r="CI112" s="772">
        <v>46.313710193974586</v>
      </c>
      <c r="CJ112" s="772">
        <v>46.439918283000651</v>
      </c>
      <c r="CK112" s="772">
        <v>46.56916289567431</v>
      </c>
      <c r="CL112" s="771">
        <v>0</v>
      </c>
      <c r="CM112" s="771">
        <v>0</v>
      </c>
      <c r="CN112" s="771">
        <v>0</v>
      </c>
      <c r="CO112" s="772">
        <v>0</v>
      </c>
      <c r="CP112" s="772">
        <v>0</v>
      </c>
      <c r="CQ112" s="772">
        <v>0</v>
      </c>
      <c r="CR112" s="772">
        <v>0</v>
      </c>
      <c r="CS112" s="772">
        <v>0</v>
      </c>
      <c r="CT112" s="772">
        <v>0</v>
      </c>
      <c r="CU112" s="772">
        <v>0</v>
      </c>
      <c r="CV112" s="772">
        <v>0</v>
      </c>
      <c r="CW112" s="772">
        <v>0</v>
      </c>
      <c r="CX112" s="772">
        <v>0</v>
      </c>
      <c r="CY112" s="772">
        <v>0</v>
      </c>
      <c r="CZ112" s="772">
        <v>0</v>
      </c>
      <c r="DA112" s="773">
        <v>0</v>
      </c>
      <c r="DB112" s="773">
        <v>0</v>
      </c>
      <c r="DC112" s="773">
        <v>0</v>
      </c>
      <c r="DD112" s="774">
        <v>0</v>
      </c>
      <c r="DE112" s="774">
        <v>0</v>
      </c>
      <c r="DF112" s="774">
        <v>0</v>
      </c>
      <c r="DG112" s="774">
        <v>0</v>
      </c>
      <c r="DH112" s="774">
        <v>0</v>
      </c>
      <c r="DI112" s="774">
        <v>0</v>
      </c>
      <c r="DJ112" s="774">
        <v>0</v>
      </c>
      <c r="DK112" s="774">
        <v>0</v>
      </c>
      <c r="DL112" s="774">
        <v>0</v>
      </c>
      <c r="DM112" s="774">
        <v>0</v>
      </c>
      <c r="DN112" s="774">
        <v>0</v>
      </c>
      <c r="DO112" s="774">
        <v>0</v>
      </c>
      <c r="DP112" s="773">
        <v>0</v>
      </c>
      <c r="DQ112" s="773">
        <v>0</v>
      </c>
      <c r="DR112" s="773">
        <v>0</v>
      </c>
      <c r="DS112" s="774">
        <v>0</v>
      </c>
      <c r="DT112" s="774">
        <v>0</v>
      </c>
      <c r="DU112" s="774">
        <v>0</v>
      </c>
      <c r="DV112" s="774">
        <v>0</v>
      </c>
      <c r="DW112" s="774">
        <v>0</v>
      </c>
      <c r="DX112" s="774">
        <v>0</v>
      </c>
      <c r="DY112" s="774">
        <v>0</v>
      </c>
      <c r="DZ112" s="774">
        <v>0</v>
      </c>
      <c r="EA112" s="774">
        <v>0</v>
      </c>
      <c r="EB112" s="774">
        <v>0</v>
      </c>
      <c r="EC112" s="774">
        <v>0</v>
      </c>
      <c r="ED112" s="774">
        <v>0</v>
      </c>
    </row>
    <row r="113" spans="1:134" ht="15" x14ac:dyDescent="0.25">
      <c r="A113" s="766">
        <v>99</v>
      </c>
      <c r="B113" s="766">
        <v>89</v>
      </c>
      <c r="C113" s="766" t="s">
        <v>3784</v>
      </c>
      <c r="D113" s="2">
        <v>99709</v>
      </c>
      <c r="E113" s="2">
        <v>99709</v>
      </c>
      <c r="F113" s="767" t="s">
        <v>3746</v>
      </c>
      <c r="G113" s="114">
        <v>111</v>
      </c>
      <c r="H113" s="114">
        <v>58</v>
      </c>
      <c r="I113" s="114">
        <v>49</v>
      </c>
      <c r="J113" s="114">
        <v>9</v>
      </c>
      <c r="K113" s="114">
        <v>0</v>
      </c>
      <c r="L113" s="114">
        <v>76</v>
      </c>
      <c r="M113" s="114">
        <v>76</v>
      </c>
      <c r="N113" s="114">
        <v>0</v>
      </c>
      <c r="O113" s="114">
        <v>0</v>
      </c>
      <c r="P113" s="114">
        <v>0</v>
      </c>
      <c r="Q113" s="114">
        <v>76</v>
      </c>
      <c r="R113" s="114">
        <v>0</v>
      </c>
      <c r="S113" s="114">
        <v>1872.5394736842106</v>
      </c>
      <c r="T113" s="114">
        <v>1872.5394736842106</v>
      </c>
      <c r="U113" s="114">
        <v>0</v>
      </c>
      <c r="V113" s="114">
        <v>0</v>
      </c>
      <c r="W113" s="114">
        <v>0</v>
      </c>
      <c r="X113" s="114">
        <v>1872.5394736842106</v>
      </c>
      <c r="Y113" s="114">
        <v>0</v>
      </c>
      <c r="Z113" s="114">
        <v>58</v>
      </c>
      <c r="AA113" s="114">
        <v>0</v>
      </c>
      <c r="AB113" s="657">
        <v>0</v>
      </c>
      <c r="AC113" s="657">
        <v>0</v>
      </c>
      <c r="AD113" s="768">
        <v>58</v>
      </c>
      <c r="AE113" s="769">
        <v>0</v>
      </c>
      <c r="AF113" s="769">
        <v>49</v>
      </c>
      <c r="AG113" s="770">
        <v>49</v>
      </c>
      <c r="AH113" s="769">
        <v>0</v>
      </c>
      <c r="AI113" s="769">
        <v>0</v>
      </c>
      <c r="AJ113" s="769">
        <v>55.225186910448883</v>
      </c>
      <c r="AK113" s="769">
        <v>55.225186910448883</v>
      </c>
      <c r="AL113" s="769">
        <v>0</v>
      </c>
      <c r="AM113" s="769">
        <v>0</v>
      </c>
      <c r="AN113" s="769">
        <v>46.743776816000839</v>
      </c>
      <c r="AO113" s="769">
        <v>46.743776816000839</v>
      </c>
      <c r="AP113" s="769">
        <v>0</v>
      </c>
      <c r="AQ113" s="769">
        <v>0</v>
      </c>
      <c r="AR113" s="769">
        <v>0</v>
      </c>
      <c r="AS113" s="769">
        <v>52.58312533265542</v>
      </c>
      <c r="AT113" s="769">
        <v>53.887966419521298</v>
      </c>
      <c r="AU113" s="769">
        <v>55.225186910448883</v>
      </c>
      <c r="AV113" s="769">
        <v>56.595590294704365</v>
      </c>
      <c r="AW113" s="769">
        <v>58</v>
      </c>
      <c r="AX113" s="769">
        <v>44.591442265797909</v>
      </c>
      <c r="AY113" s="769">
        <v>45.654927720631036</v>
      </c>
      <c r="AZ113" s="769">
        <v>46.743776816000839</v>
      </c>
      <c r="BA113" s="769">
        <v>47.858594463106009</v>
      </c>
      <c r="BB113" s="769">
        <v>49</v>
      </c>
      <c r="BC113" s="769">
        <v>0</v>
      </c>
      <c r="BD113" s="769">
        <v>0</v>
      </c>
      <c r="BE113" s="769">
        <v>0</v>
      </c>
      <c r="BF113" s="769">
        <v>0</v>
      </c>
      <c r="BG113" s="769">
        <v>0</v>
      </c>
      <c r="BH113" s="771">
        <v>58.541912804318386</v>
      </c>
      <c r="BI113" s="771">
        <v>59.088888875662363</v>
      </c>
      <c r="BJ113" s="771">
        <v>59.640975521777321</v>
      </c>
      <c r="BK113" s="772">
        <v>60.093436424212491</v>
      </c>
      <c r="BL113" s="772">
        <v>60.545897326647662</v>
      </c>
      <c r="BM113" s="772">
        <v>60.998358229082847</v>
      </c>
      <c r="BN113" s="772">
        <v>61.450819131518017</v>
      </c>
      <c r="BO113" s="772">
        <v>61.985824472570023</v>
      </c>
      <c r="BP113" s="772">
        <v>62.520829813622044</v>
      </c>
      <c r="BQ113" s="772">
        <v>64.004018204721945</v>
      </c>
      <c r="BR113" s="772">
        <v>65.771135652709177</v>
      </c>
      <c r="BS113" s="772">
        <v>66.547042133075564</v>
      </c>
      <c r="BT113" s="772">
        <v>66.973135896094121</v>
      </c>
      <c r="BU113" s="772">
        <v>67.414396191182433</v>
      </c>
      <c r="BV113" s="772">
        <v>67.866273058719614</v>
      </c>
      <c r="BW113" s="771">
        <v>49.457822886406909</v>
      </c>
      <c r="BX113" s="771">
        <v>49.919923360473376</v>
      </c>
      <c r="BY113" s="771">
        <v>50.386341389087733</v>
      </c>
      <c r="BZ113" s="772">
        <v>50.768592841145029</v>
      </c>
      <c r="CA113" s="772">
        <v>51.150844293202333</v>
      </c>
      <c r="CB113" s="772">
        <v>51.533095745259644</v>
      </c>
      <c r="CC113" s="772">
        <v>51.91534719731694</v>
      </c>
      <c r="CD113" s="772">
        <v>52.367334468205705</v>
      </c>
      <c r="CE113" s="772">
        <v>52.819321739094484</v>
      </c>
      <c r="CF113" s="772">
        <v>54.072360207437505</v>
      </c>
      <c r="CG113" s="772">
        <v>55.565269775564644</v>
      </c>
      <c r="CH113" s="772">
        <v>56.220776974494875</v>
      </c>
      <c r="CI113" s="772">
        <v>56.580752739803643</v>
      </c>
      <c r="CJ113" s="772">
        <v>56.953541609792055</v>
      </c>
      <c r="CK113" s="772">
        <v>57.335299653056225</v>
      </c>
      <c r="CL113" s="771">
        <v>0</v>
      </c>
      <c r="CM113" s="771">
        <v>0</v>
      </c>
      <c r="CN113" s="771">
        <v>0</v>
      </c>
      <c r="CO113" s="772">
        <v>0</v>
      </c>
      <c r="CP113" s="772">
        <v>0</v>
      </c>
      <c r="CQ113" s="772">
        <v>0</v>
      </c>
      <c r="CR113" s="772">
        <v>0</v>
      </c>
      <c r="CS113" s="772">
        <v>0</v>
      </c>
      <c r="CT113" s="772">
        <v>0</v>
      </c>
      <c r="CU113" s="772">
        <v>0</v>
      </c>
      <c r="CV113" s="772">
        <v>0</v>
      </c>
      <c r="CW113" s="772">
        <v>0</v>
      </c>
      <c r="CX113" s="772">
        <v>0</v>
      </c>
      <c r="CY113" s="772">
        <v>0</v>
      </c>
      <c r="CZ113" s="772">
        <v>0</v>
      </c>
      <c r="DA113" s="773">
        <v>0</v>
      </c>
      <c r="DB113" s="773">
        <v>0</v>
      </c>
      <c r="DC113" s="773">
        <v>0</v>
      </c>
      <c r="DD113" s="774">
        <v>0</v>
      </c>
      <c r="DE113" s="774">
        <v>0</v>
      </c>
      <c r="DF113" s="774">
        <v>0</v>
      </c>
      <c r="DG113" s="774">
        <v>0</v>
      </c>
      <c r="DH113" s="774">
        <v>0</v>
      </c>
      <c r="DI113" s="774">
        <v>0</v>
      </c>
      <c r="DJ113" s="774">
        <v>0</v>
      </c>
      <c r="DK113" s="774">
        <v>0</v>
      </c>
      <c r="DL113" s="774">
        <v>0</v>
      </c>
      <c r="DM113" s="774">
        <v>0</v>
      </c>
      <c r="DN113" s="774">
        <v>0</v>
      </c>
      <c r="DO113" s="774">
        <v>0</v>
      </c>
      <c r="DP113" s="773">
        <v>0</v>
      </c>
      <c r="DQ113" s="773">
        <v>0</v>
      </c>
      <c r="DR113" s="773">
        <v>0</v>
      </c>
      <c r="DS113" s="774">
        <v>0</v>
      </c>
      <c r="DT113" s="774">
        <v>0</v>
      </c>
      <c r="DU113" s="774">
        <v>0</v>
      </c>
      <c r="DV113" s="774">
        <v>0</v>
      </c>
      <c r="DW113" s="774">
        <v>0</v>
      </c>
      <c r="DX113" s="774">
        <v>0</v>
      </c>
      <c r="DY113" s="774">
        <v>0</v>
      </c>
      <c r="DZ113" s="774">
        <v>0</v>
      </c>
      <c r="EA113" s="774">
        <v>0</v>
      </c>
      <c r="EB113" s="774">
        <v>0</v>
      </c>
      <c r="EC113" s="774">
        <v>0</v>
      </c>
      <c r="ED113" s="774">
        <v>0</v>
      </c>
    </row>
    <row r="114" spans="1:134" ht="15" x14ac:dyDescent="0.25">
      <c r="A114" s="766">
        <v>100</v>
      </c>
      <c r="B114" s="766">
        <v>89</v>
      </c>
      <c r="C114" s="766" t="s">
        <v>3785</v>
      </c>
      <c r="D114" s="2">
        <v>99709</v>
      </c>
      <c r="E114" s="2">
        <v>99709</v>
      </c>
      <c r="F114" s="767" t="s">
        <v>3746</v>
      </c>
      <c r="G114" s="114">
        <v>32</v>
      </c>
      <c r="H114" s="114">
        <v>19</v>
      </c>
      <c r="I114" s="114">
        <v>13</v>
      </c>
      <c r="J114" s="114">
        <v>6</v>
      </c>
      <c r="K114" s="114">
        <v>0</v>
      </c>
      <c r="L114" s="114">
        <v>44</v>
      </c>
      <c r="M114" s="114">
        <v>44</v>
      </c>
      <c r="N114" s="114">
        <v>0</v>
      </c>
      <c r="O114" s="114">
        <v>0</v>
      </c>
      <c r="P114" s="114">
        <v>0</v>
      </c>
      <c r="Q114" s="114">
        <v>44</v>
      </c>
      <c r="R114" s="114">
        <v>0</v>
      </c>
      <c r="S114" s="114">
        <v>1936.340909090909</v>
      </c>
      <c r="T114" s="114">
        <v>1936.340909090909</v>
      </c>
      <c r="U114" s="114">
        <v>0</v>
      </c>
      <c r="V114" s="114">
        <v>0</v>
      </c>
      <c r="W114" s="114">
        <v>0</v>
      </c>
      <c r="X114" s="114">
        <v>1936.340909090909</v>
      </c>
      <c r="Y114" s="114">
        <v>0</v>
      </c>
      <c r="Z114" s="114">
        <v>19</v>
      </c>
      <c r="AA114" s="114">
        <v>0</v>
      </c>
      <c r="AB114" s="657">
        <v>0</v>
      </c>
      <c r="AC114" s="657">
        <v>0</v>
      </c>
      <c r="AD114" s="768">
        <v>19</v>
      </c>
      <c r="AE114" s="769">
        <v>0</v>
      </c>
      <c r="AF114" s="769">
        <v>13</v>
      </c>
      <c r="AG114" s="770">
        <v>13</v>
      </c>
      <c r="AH114" s="769">
        <v>0</v>
      </c>
      <c r="AI114" s="769">
        <v>0</v>
      </c>
      <c r="AJ114" s="769">
        <v>18.091009505147049</v>
      </c>
      <c r="AK114" s="769">
        <v>18.091009505147049</v>
      </c>
      <c r="AL114" s="769">
        <v>0</v>
      </c>
      <c r="AM114" s="769">
        <v>0</v>
      </c>
      <c r="AN114" s="769">
        <v>12.401410175673693</v>
      </c>
      <c r="AO114" s="769">
        <v>12.401410175673693</v>
      </c>
      <c r="AP114" s="769">
        <v>0</v>
      </c>
      <c r="AQ114" s="769">
        <v>0</v>
      </c>
      <c r="AR114" s="769">
        <v>0</v>
      </c>
      <c r="AS114" s="769">
        <v>17.22550657449057</v>
      </c>
      <c r="AT114" s="769">
        <v>17.652954516739737</v>
      </c>
      <c r="AU114" s="769">
        <v>18.091009505147049</v>
      </c>
      <c r="AV114" s="769">
        <v>18.539934751713499</v>
      </c>
      <c r="AW114" s="769">
        <v>19</v>
      </c>
      <c r="AX114" s="769">
        <v>11.830382641946384</v>
      </c>
      <c r="AY114" s="769">
        <v>12.112531844249052</v>
      </c>
      <c r="AZ114" s="769">
        <v>12.401410175673693</v>
      </c>
      <c r="BA114" s="769">
        <v>12.697178122864859</v>
      </c>
      <c r="BB114" s="769">
        <v>13</v>
      </c>
      <c r="BC114" s="769">
        <v>0</v>
      </c>
      <c r="BD114" s="769">
        <v>0</v>
      </c>
      <c r="BE114" s="769">
        <v>0</v>
      </c>
      <c r="BF114" s="769">
        <v>0</v>
      </c>
      <c r="BG114" s="769">
        <v>0</v>
      </c>
      <c r="BH114" s="771">
        <v>19.177523160035332</v>
      </c>
      <c r="BI114" s="771">
        <v>19.356704976510084</v>
      </c>
      <c r="BJ114" s="771">
        <v>19.537560946789121</v>
      </c>
      <c r="BK114" s="772">
        <v>19.699504314723004</v>
      </c>
      <c r="BL114" s="772">
        <v>19.861447682656884</v>
      </c>
      <c r="BM114" s="772">
        <v>20.023391050590771</v>
      </c>
      <c r="BN114" s="772">
        <v>20.185334418524654</v>
      </c>
      <c r="BO114" s="772">
        <v>20.376821829539118</v>
      </c>
      <c r="BP114" s="772">
        <v>20.568309240553582</v>
      </c>
      <c r="BQ114" s="772">
        <v>21.099167314792538</v>
      </c>
      <c r="BR114" s="772">
        <v>21.731648374529584</v>
      </c>
      <c r="BS114" s="772">
        <v>22.009358355559964</v>
      </c>
      <c r="BT114" s="772">
        <v>22.161864480768717</v>
      </c>
      <c r="BU114" s="772">
        <v>22.319798962925088</v>
      </c>
      <c r="BV114" s="772">
        <v>22.481533294944786</v>
      </c>
      <c r="BW114" s="771">
        <v>13.121463214761016</v>
      </c>
      <c r="BX114" s="771">
        <v>13.244061299717426</v>
      </c>
      <c r="BY114" s="771">
        <v>13.3678048583294</v>
      </c>
      <c r="BZ114" s="772">
        <v>13.478608215336793</v>
      </c>
      <c r="CA114" s="772">
        <v>13.589411572344186</v>
      </c>
      <c r="CB114" s="772">
        <v>13.700214929351581</v>
      </c>
      <c r="CC114" s="772">
        <v>13.811018286358975</v>
      </c>
      <c r="CD114" s="772">
        <v>13.94203598863203</v>
      </c>
      <c r="CE114" s="772">
        <v>14.073053690905084</v>
      </c>
      <c r="CF114" s="772">
        <v>14.436272373279108</v>
      </c>
      <c r="CG114" s="772">
        <v>14.869022572046561</v>
      </c>
      <c r="CH114" s="772">
        <v>15.059034664330502</v>
      </c>
      <c r="CI114" s="772">
        <v>15.163380960525966</v>
      </c>
      <c r="CJ114" s="772">
        <v>15.271441395685589</v>
      </c>
      <c r="CK114" s="772">
        <v>15.382101728120119</v>
      </c>
      <c r="CL114" s="771">
        <v>0</v>
      </c>
      <c r="CM114" s="771">
        <v>0</v>
      </c>
      <c r="CN114" s="771">
        <v>0</v>
      </c>
      <c r="CO114" s="772">
        <v>0</v>
      </c>
      <c r="CP114" s="772">
        <v>0</v>
      </c>
      <c r="CQ114" s="772">
        <v>0</v>
      </c>
      <c r="CR114" s="772">
        <v>0</v>
      </c>
      <c r="CS114" s="772">
        <v>0</v>
      </c>
      <c r="CT114" s="772">
        <v>0</v>
      </c>
      <c r="CU114" s="772">
        <v>0</v>
      </c>
      <c r="CV114" s="772">
        <v>0</v>
      </c>
      <c r="CW114" s="772">
        <v>0</v>
      </c>
      <c r="CX114" s="772">
        <v>0</v>
      </c>
      <c r="CY114" s="772">
        <v>0</v>
      </c>
      <c r="CZ114" s="772">
        <v>0</v>
      </c>
      <c r="DA114" s="773">
        <v>0</v>
      </c>
      <c r="DB114" s="773">
        <v>0</v>
      </c>
      <c r="DC114" s="773">
        <v>0</v>
      </c>
      <c r="DD114" s="774">
        <v>0</v>
      </c>
      <c r="DE114" s="774">
        <v>0</v>
      </c>
      <c r="DF114" s="774">
        <v>0</v>
      </c>
      <c r="DG114" s="774">
        <v>0</v>
      </c>
      <c r="DH114" s="774">
        <v>0</v>
      </c>
      <c r="DI114" s="774">
        <v>0</v>
      </c>
      <c r="DJ114" s="774">
        <v>0</v>
      </c>
      <c r="DK114" s="774">
        <v>0</v>
      </c>
      <c r="DL114" s="774">
        <v>0</v>
      </c>
      <c r="DM114" s="774">
        <v>0</v>
      </c>
      <c r="DN114" s="774">
        <v>0</v>
      </c>
      <c r="DO114" s="774">
        <v>0</v>
      </c>
      <c r="DP114" s="773">
        <v>0</v>
      </c>
      <c r="DQ114" s="773">
        <v>0</v>
      </c>
      <c r="DR114" s="773">
        <v>0</v>
      </c>
      <c r="DS114" s="774">
        <v>0</v>
      </c>
      <c r="DT114" s="774">
        <v>0</v>
      </c>
      <c r="DU114" s="774">
        <v>0</v>
      </c>
      <c r="DV114" s="774">
        <v>0</v>
      </c>
      <c r="DW114" s="774">
        <v>0</v>
      </c>
      <c r="DX114" s="774">
        <v>0</v>
      </c>
      <c r="DY114" s="774">
        <v>0</v>
      </c>
      <c r="DZ114" s="774">
        <v>0</v>
      </c>
      <c r="EA114" s="774">
        <v>0</v>
      </c>
      <c r="EB114" s="774">
        <v>0</v>
      </c>
      <c r="EC114" s="774">
        <v>0</v>
      </c>
      <c r="ED114" s="774">
        <v>0</v>
      </c>
    </row>
    <row r="115" spans="1:134" ht="15" x14ac:dyDescent="0.25">
      <c r="A115" s="766">
        <v>116</v>
      </c>
      <c r="B115" s="766">
        <v>89</v>
      </c>
      <c r="C115" s="766" t="s">
        <v>3786</v>
      </c>
      <c r="D115" s="2">
        <v>99705</v>
      </c>
      <c r="E115" s="2">
        <v>99705</v>
      </c>
      <c r="F115" s="767" t="s">
        <v>3746</v>
      </c>
      <c r="G115" s="114">
        <v>132</v>
      </c>
      <c r="H115" s="114">
        <v>61</v>
      </c>
      <c r="I115" s="114">
        <v>56</v>
      </c>
      <c r="J115" s="114">
        <v>5</v>
      </c>
      <c r="K115" s="114">
        <v>1</v>
      </c>
      <c r="L115" s="114">
        <v>30</v>
      </c>
      <c r="M115" s="114">
        <v>31</v>
      </c>
      <c r="N115" s="114">
        <v>0</v>
      </c>
      <c r="O115" s="114">
        <v>0</v>
      </c>
      <c r="P115" s="114">
        <v>0</v>
      </c>
      <c r="Q115" s="114">
        <v>31</v>
      </c>
      <c r="R115" s="114">
        <v>5824</v>
      </c>
      <c r="S115" s="114">
        <v>1614.9</v>
      </c>
      <c r="T115" s="114">
        <v>1750.6774193548388</v>
      </c>
      <c r="U115" s="114">
        <v>0</v>
      </c>
      <c r="V115" s="114">
        <v>0</v>
      </c>
      <c r="W115" s="114">
        <v>0</v>
      </c>
      <c r="X115" s="114">
        <v>1750.6774193548388</v>
      </c>
      <c r="Y115" s="114">
        <v>1.967741935483871</v>
      </c>
      <c r="Z115" s="114">
        <v>59.032258064516128</v>
      </c>
      <c r="AA115" s="114">
        <v>0</v>
      </c>
      <c r="AB115" s="657">
        <v>0</v>
      </c>
      <c r="AC115" s="657">
        <v>0</v>
      </c>
      <c r="AD115" s="768">
        <v>61</v>
      </c>
      <c r="AE115" s="769">
        <v>1.8064516129032258</v>
      </c>
      <c r="AF115" s="769">
        <v>54.193548387096776</v>
      </c>
      <c r="AG115" s="770">
        <v>56</v>
      </c>
      <c r="AH115" s="769">
        <v>0</v>
      </c>
      <c r="AI115" s="769">
        <v>1.8263630230152417</v>
      </c>
      <c r="AJ115" s="769">
        <v>54.790890690457246</v>
      </c>
      <c r="AK115" s="769">
        <v>56.617253713472486</v>
      </c>
      <c r="AL115" s="769">
        <v>0</v>
      </c>
      <c r="AM115" s="769">
        <v>1.6852608975431678</v>
      </c>
      <c r="AN115" s="769">
        <v>50.557826926295036</v>
      </c>
      <c r="AO115" s="769">
        <v>52.243087823838202</v>
      </c>
      <c r="AP115" s="769">
        <v>0</v>
      </c>
      <c r="AQ115" s="769">
        <v>0</v>
      </c>
      <c r="AR115" s="769">
        <v>0</v>
      </c>
      <c r="AS115" s="769">
        <v>52.549400295995326</v>
      </c>
      <c r="AT115" s="769">
        <v>54.545418955666605</v>
      </c>
      <c r="AU115" s="769">
        <v>56.617253713472493</v>
      </c>
      <c r="AV115" s="769">
        <v>58.76778434245945</v>
      </c>
      <c r="AW115" s="769">
        <v>61</v>
      </c>
      <c r="AX115" s="769">
        <v>48.738218310165557</v>
      </c>
      <c r="AY115" s="769">
        <v>50.460232060062687</v>
      </c>
      <c r="AZ115" s="769">
        <v>52.243087823838202</v>
      </c>
      <c r="BA115" s="769">
        <v>54.088935265310404</v>
      </c>
      <c r="BB115" s="769">
        <v>56</v>
      </c>
      <c r="BC115" s="769">
        <v>0</v>
      </c>
      <c r="BD115" s="769">
        <v>0</v>
      </c>
      <c r="BE115" s="769">
        <v>0</v>
      </c>
      <c r="BF115" s="769">
        <v>0</v>
      </c>
      <c r="BG115" s="769">
        <v>0</v>
      </c>
      <c r="BH115" s="771">
        <v>61.626700107245526</v>
      </c>
      <c r="BI115" s="771">
        <v>62.259838788661888</v>
      </c>
      <c r="BJ115" s="771">
        <v>62.899482192693753</v>
      </c>
      <c r="BK115" s="772">
        <v>63.668717544062879</v>
      </c>
      <c r="BL115" s="772">
        <v>64.437952895432005</v>
      </c>
      <c r="BM115" s="772">
        <v>65.20718824680111</v>
      </c>
      <c r="BN115" s="772">
        <v>65.976423598170243</v>
      </c>
      <c r="BO115" s="772">
        <v>66.885993948433736</v>
      </c>
      <c r="BP115" s="772">
        <v>67.795564298697244</v>
      </c>
      <c r="BQ115" s="772">
        <v>70.317154422913134</v>
      </c>
      <c r="BR115" s="772">
        <v>73.321456460275826</v>
      </c>
      <c r="BS115" s="772">
        <v>74.640586336121245</v>
      </c>
      <c r="BT115" s="772">
        <v>75.364994530835304</v>
      </c>
      <c r="BU115" s="772">
        <v>76.115187566986407</v>
      </c>
      <c r="BV115" s="772">
        <v>76.883429992143434</v>
      </c>
      <c r="BW115" s="771">
        <v>56.575331245995891</v>
      </c>
      <c r="BX115" s="771">
        <v>57.156573314181408</v>
      </c>
      <c r="BY115" s="771">
        <v>57.743786930997544</v>
      </c>
      <c r="BZ115" s="772">
        <v>58.449970204385593</v>
      </c>
      <c r="CA115" s="772">
        <v>59.156153477773643</v>
      </c>
      <c r="CB115" s="772">
        <v>59.862336751161678</v>
      </c>
      <c r="CC115" s="772">
        <v>60.568520024549727</v>
      </c>
      <c r="CD115" s="772">
        <v>61.40353542807032</v>
      </c>
      <c r="CE115" s="772">
        <v>62.238550831590914</v>
      </c>
      <c r="CF115" s="772">
        <v>64.553453240707142</v>
      </c>
      <c r="CG115" s="772">
        <v>67.311501012712242</v>
      </c>
      <c r="CH115" s="772">
        <v>68.52250548889819</v>
      </c>
      <c r="CI115" s="772">
        <v>69.187535962734046</v>
      </c>
      <c r="CJ115" s="772">
        <v>69.876237766413752</v>
      </c>
      <c r="CK115" s="772">
        <v>70.58150950098414</v>
      </c>
      <c r="CL115" s="771">
        <v>0</v>
      </c>
      <c r="CM115" s="771">
        <v>0</v>
      </c>
      <c r="CN115" s="771">
        <v>0</v>
      </c>
      <c r="CO115" s="772">
        <v>0</v>
      </c>
      <c r="CP115" s="772">
        <v>0</v>
      </c>
      <c r="CQ115" s="772">
        <v>0</v>
      </c>
      <c r="CR115" s="772">
        <v>0</v>
      </c>
      <c r="CS115" s="772">
        <v>0</v>
      </c>
      <c r="CT115" s="772">
        <v>0</v>
      </c>
      <c r="CU115" s="772">
        <v>0</v>
      </c>
      <c r="CV115" s="772">
        <v>0</v>
      </c>
      <c r="CW115" s="772">
        <v>0</v>
      </c>
      <c r="CX115" s="772">
        <v>0</v>
      </c>
      <c r="CY115" s="772">
        <v>0</v>
      </c>
      <c r="CZ115" s="772">
        <v>0</v>
      </c>
      <c r="DA115" s="773">
        <v>0</v>
      </c>
      <c r="DB115" s="773">
        <v>0</v>
      </c>
      <c r="DC115" s="773">
        <v>0</v>
      </c>
      <c r="DD115" s="774">
        <v>0</v>
      </c>
      <c r="DE115" s="774">
        <v>0</v>
      </c>
      <c r="DF115" s="774">
        <v>0</v>
      </c>
      <c r="DG115" s="774">
        <v>0</v>
      </c>
      <c r="DH115" s="774">
        <v>0</v>
      </c>
      <c r="DI115" s="774">
        <v>0</v>
      </c>
      <c r="DJ115" s="774">
        <v>0</v>
      </c>
      <c r="DK115" s="774">
        <v>0</v>
      </c>
      <c r="DL115" s="774">
        <v>0</v>
      </c>
      <c r="DM115" s="774">
        <v>0</v>
      </c>
      <c r="DN115" s="774">
        <v>0</v>
      </c>
      <c r="DO115" s="774">
        <v>0</v>
      </c>
      <c r="DP115" s="773">
        <v>0</v>
      </c>
      <c r="DQ115" s="773">
        <v>0</v>
      </c>
      <c r="DR115" s="773">
        <v>0</v>
      </c>
      <c r="DS115" s="774">
        <v>0</v>
      </c>
      <c r="DT115" s="774">
        <v>0</v>
      </c>
      <c r="DU115" s="774">
        <v>0</v>
      </c>
      <c r="DV115" s="774">
        <v>0</v>
      </c>
      <c r="DW115" s="774">
        <v>0</v>
      </c>
      <c r="DX115" s="774">
        <v>0</v>
      </c>
      <c r="DY115" s="774">
        <v>0</v>
      </c>
      <c r="DZ115" s="774">
        <v>0</v>
      </c>
      <c r="EA115" s="774">
        <v>0</v>
      </c>
      <c r="EB115" s="774">
        <v>0</v>
      </c>
      <c r="EC115" s="774">
        <v>0</v>
      </c>
      <c r="ED115" s="774">
        <v>0</v>
      </c>
    </row>
    <row r="116" spans="1:134" ht="15" x14ac:dyDescent="0.25">
      <c r="A116" s="766">
        <v>117</v>
      </c>
      <c r="B116" s="766">
        <v>89</v>
      </c>
      <c r="C116" s="766" t="s">
        <v>3787</v>
      </c>
      <c r="D116" s="2">
        <v>99705</v>
      </c>
      <c r="E116" s="2">
        <v>99705</v>
      </c>
      <c r="F116" s="767" t="s">
        <v>3746</v>
      </c>
      <c r="G116" s="114">
        <v>46</v>
      </c>
      <c r="H116" s="114">
        <v>15</v>
      </c>
      <c r="I116" s="114">
        <v>12</v>
      </c>
      <c r="J116" s="114">
        <v>3</v>
      </c>
      <c r="K116" s="114">
        <v>0</v>
      </c>
      <c r="L116" s="114">
        <v>18</v>
      </c>
      <c r="M116" s="114">
        <v>18</v>
      </c>
      <c r="N116" s="114">
        <v>5</v>
      </c>
      <c r="O116" s="114">
        <v>0</v>
      </c>
      <c r="P116" s="114">
        <v>0</v>
      </c>
      <c r="Q116" s="114">
        <v>23</v>
      </c>
      <c r="R116" s="114">
        <v>0</v>
      </c>
      <c r="S116" s="114">
        <v>1696.7222222222222</v>
      </c>
      <c r="T116" s="114">
        <v>1696.7222222222222</v>
      </c>
      <c r="U116" s="114">
        <v>10182.200000000001</v>
      </c>
      <c r="V116" s="114">
        <v>0</v>
      </c>
      <c r="W116" s="114">
        <v>0</v>
      </c>
      <c r="X116" s="114">
        <v>3541.391304347826</v>
      </c>
      <c r="Y116" s="114">
        <v>0</v>
      </c>
      <c r="Z116" s="114">
        <v>15</v>
      </c>
      <c r="AA116" s="114">
        <v>0</v>
      </c>
      <c r="AB116" s="657">
        <v>5</v>
      </c>
      <c r="AC116" s="657">
        <v>0</v>
      </c>
      <c r="AD116" s="768">
        <v>20</v>
      </c>
      <c r="AE116" s="769">
        <v>0</v>
      </c>
      <c r="AF116" s="769">
        <v>12</v>
      </c>
      <c r="AG116" s="770">
        <v>12</v>
      </c>
      <c r="AH116" s="769">
        <v>0</v>
      </c>
      <c r="AI116" s="769">
        <v>0</v>
      </c>
      <c r="AJ116" s="769">
        <v>13.922275503312909</v>
      </c>
      <c r="AK116" s="769">
        <v>13.922275503312909</v>
      </c>
      <c r="AL116" s="769">
        <v>0</v>
      </c>
      <c r="AM116" s="769">
        <v>0</v>
      </c>
      <c r="AN116" s="769">
        <v>11.194947390822472</v>
      </c>
      <c r="AO116" s="769">
        <v>11.194947390822472</v>
      </c>
      <c r="AP116" s="769">
        <v>0</v>
      </c>
      <c r="AQ116" s="769">
        <v>4.7005383366745468</v>
      </c>
      <c r="AR116" s="769">
        <v>0</v>
      </c>
      <c r="AS116" s="769">
        <v>12.921983679343112</v>
      </c>
      <c r="AT116" s="769">
        <v>13.412807939918018</v>
      </c>
      <c r="AU116" s="769">
        <v>13.922275503312909</v>
      </c>
      <c r="AV116" s="769">
        <v>14.451094510440848</v>
      </c>
      <c r="AW116" s="769">
        <v>15</v>
      </c>
      <c r="AX116" s="769">
        <v>10.443903923606905</v>
      </c>
      <c r="AY116" s="769">
        <v>10.812906870013432</v>
      </c>
      <c r="AZ116" s="769">
        <v>11.194947390822472</v>
      </c>
      <c r="BA116" s="769">
        <v>11.5904861282808</v>
      </c>
      <c r="BB116" s="769">
        <v>12</v>
      </c>
      <c r="BC116" s="769">
        <v>4.4190121309094232</v>
      </c>
      <c r="BD116" s="769">
        <v>4.5576019935454681</v>
      </c>
      <c r="BE116" s="769">
        <v>4.7005383366745468</v>
      </c>
      <c r="BF116" s="769">
        <v>4.8479574754088688</v>
      </c>
      <c r="BG116" s="769">
        <v>5</v>
      </c>
      <c r="BH116" s="771">
        <v>15.1541065837489</v>
      </c>
      <c r="BI116" s="771">
        <v>15.309796423441448</v>
      </c>
      <c r="BJ116" s="771">
        <v>15.467085785088628</v>
      </c>
      <c r="BK116" s="772">
        <v>15.568106079809789</v>
      </c>
      <c r="BL116" s="772">
        <v>15.669126374530951</v>
      </c>
      <c r="BM116" s="772">
        <v>15.770146669252107</v>
      </c>
      <c r="BN116" s="772">
        <v>15.871166963973268</v>
      </c>
      <c r="BO116" s="772">
        <v>15.990616836745895</v>
      </c>
      <c r="BP116" s="772">
        <v>16.11006670951852</v>
      </c>
      <c r="BQ116" s="772">
        <v>16.441216047703346</v>
      </c>
      <c r="BR116" s="772">
        <v>16.835757817924367</v>
      </c>
      <c r="BS116" s="772">
        <v>17.008993341481897</v>
      </c>
      <c r="BT116" s="772">
        <v>17.104126682920494</v>
      </c>
      <c r="BU116" s="772">
        <v>17.202646234153889</v>
      </c>
      <c r="BV116" s="772">
        <v>17.303536132243636</v>
      </c>
      <c r="BW116" s="771">
        <v>12.123285266999119</v>
      </c>
      <c r="BX116" s="771">
        <v>12.247837138753159</v>
      </c>
      <c r="BY116" s="771">
        <v>12.373668628070902</v>
      </c>
      <c r="BZ116" s="772">
        <v>12.454484863847831</v>
      </c>
      <c r="CA116" s="772">
        <v>12.53530109962476</v>
      </c>
      <c r="CB116" s="772">
        <v>12.616117335401686</v>
      </c>
      <c r="CC116" s="772">
        <v>12.696933571178615</v>
      </c>
      <c r="CD116" s="772">
        <v>12.792493469396716</v>
      </c>
      <c r="CE116" s="772">
        <v>12.888053367614818</v>
      </c>
      <c r="CF116" s="772">
        <v>13.152972838162675</v>
      </c>
      <c r="CG116" s="772">
        <v>13.468606254339493</v>
      </c>
      <c r="CH116" s="772">
        <v>13.607194673185518</v>
      </c>
      <c r="CI116" s="772">
        <v>13.683301346336396</v>
      </c>
      <c r="CJ116" s="772">
        <v>13.762116987323111</v>
      </c>
      <c r="CK116" s="772">
        <v>13.84282890579491</v>
      </c>
      <c r="CL116" s="771">
        <v>5.0513688612496335</v>
      </c>
      <c r="CM116" s="771">
        <v>5.1032654744804828</v>
      </c>
      <c r="CN116" s="771">
        <v>5.1556952616962093</v>
      </c>
      <c r="CO116" s="772">
        <v>5.1893686932699294</v>
      </c>
      <c r="CP116" s="772">
        <v>5.2230421248436496</v>
      </c>
      <c r="CQ116" s="772">
        <v>5.2567155564173689</v>
      </c>
      <c r="CR116" s="772">
        <v>5.290388987991089</v>
      </c>
      <c r="CS116" s="772">
        <v>5.3302056122486317</v>
      </c>
      <c r="CT116" s="772">
        <v>5.3700222365061734</v>
      </c>
      <c r="CU116" s="772">
        <v>5.4804053492344478</v>
      </c>
      <c r="CV116" s="772">
        <v>5.6119192726414555</v>
      </c>
      <c r="CW116" s="772">
        <v>5.669664447160633</v>
      </c>
      <c r="CX116" s="772">
        <v>5.7013755609734984</v>
      </c>
      <c r="CY116" s="772">
        <v>5.7342154113846293</v>
      </c>
      <c r="CZ116" s="772">
        <v>5.7678453774145453</v>
      </c>
      <c r="DA116" s="773">
        <v>0</v>
      </c>
      <c r="DB116" s="773">
        <v>0</v>
      </c>
      <c r="DC116" s="773">
        <v>0</v>
      </c>
      <c r="DD116" s="774">
        <v>0</v>
      </c>
      <c r="DE116" s="774">
        <v>0</v>
      </c>
      <c r="DF116" s="774">
        <v>0</v>
      </c>
      <c r="DG116" s="774">
        <v>0</v>
      </c>
      <c r="DH116" s="774">
        <v>0</v>
      </c>
      <c r="DI116" s="774">
        <v>0</v>
      </c>
      <c r="DJ116" s="774">
        <v>0</v>
      </c>
      <c r="DK116" s="774">
        <v>0</v>
      </c>
      <c r="DL116" s="774">
        <v>0</v>
      </c>
      <c r="DM116" s="774">
        <v>0</v>
      </c>
      <c r="DN116" s="774">
        <v>0</v>
      </c>
      <c r="DO116" s="774">
        <v>0</v>
      </c>
      <c r="DP116" s="773">
        <v>0</v>
      </c>
      <c r="DQ116" s="773">
        <v>0</v>
      </c>
      <c r="DR116" s="773">
        <v>0</v>
      </c>
      <c r="DS116" s="774">
        <v>0</v>
      </c>
      <c r="DT116" s="774">
        <v>0</v>
      </c>
      <c r="DU116" s="774">
        <v>0</v>
      </c>
      <c r="DV116" s="774">
        <v>0</v>
      </c>
      <c r="DW116" s="774">
        <v>0</v>
      </c>
      <c r="DX116" s="774">
        <v>0</v>
      </c>
      <c r="DY116" s="774">
        <v>0</v>
      </c>
      <c r="DZ116" s="774">
        <v>0</v>
      </c>
      <c r="EA116" s="774">
        <v>0</v>
      </c>
      <c r="EB116" s="774">
        <v>0</v>
      </c>
      <c r="EC116" s="774">
        <v>0</v>
      </c>
      <c r="ED116" s="774">
        <v>0</v>
      </c>
    </row>
    <row r="117" spans="1:134" ht="15" x14ac:dyDescent="0.25">
      <c r="A117" s="766">
        <v>118</v>
      </c>
      <c r="B117" s="766">
        <v>89</v>
      </c>
      <c r="C117" s="766" t="s">
        <v>3788</v>
      </c>
      <c r="D117" s="2">
        <v>99705</v>
      </c>
      <c r="E117" s="2">
        <v>99705</v>
      </c>
      <c r="F117" s="767" t="s">
        <v>3746</v>
      </c>
      <c r="G117" s="114">
        <v>3</v>
      </c>
      <c r="H117" s="114">
        <v>2</v>
      </c>
      <c r="I117" s="114">
        <v>2</v>
      </c>
      <c r="J117" s="114">
        <v>0</v>
      </c>
      <c r="K117" s="114">
        <v>0</v>
      </c>
      <c r="L117" s="114">
        <v>8</v>
      </c>
      <c r="M117" s="114">
        <v>8</v>
      </c>
      <c r="N117" s="114">
        <v>11</v>
      </c>
      <c r="O117" s="114">
        <v>0</v>
      </c>
      <c r="P117" s="114">
        <v>0</v>
      </c>
      <c r="Q117" s="114">
        <v>19</v>
      </c>
      <c r="R117" s="114">
        <v>0</v>
      </c>
      <c r="S117" s="114">
        <v>1998.125</v>
      </c>
      <c r="T117" s="114">
        <v>1998.125</v>
      </c>
      <c r="U117" s="114">
        <v>10060.454545454546</v>
      </c>
      <c r="V117" s="114">
        <v>0</v>
      </c>
      <c r="W117" s="114">
        <v>0</v>
      </c>
      <c r="X117" s="114">
        <v>6665.7894736842109</v>
      </c>
      <c r="Y117" s="114">
        <v>0</v>
      </c>
      <c r="Z117" s="114">
        <v>2</v>
      </c>
      <c r="AA117" s="114">
        <v>0</v>
      </c>
      <c r="AB117" s="657">
        <v>11</v>
      </c>
      <c r="AC117" s="657">
        <v>0</v>
      </c>
      <c r="AD117" s="768">
        <v>13</v>
      </c>
      <c r="AE117" s="769">
        <v>0</v>
      </c>
      <c r="AF117" s="769">
        <v>2</v>
      </c>
      <c r="AG117" s="770">
        <v>2</v>
      </c>
      <c r="AH117" s="769">
        <v>0</v>
      </c>
      <c r="AI117" s="769">
        <v>0</v>
      </c>
      <c r="AJ117" s="769">
        <v>1.8563034004417209</v>
      </c>
      <c r="AK117" s="769">
        <v>1.8563034004417209</v>
      </c>
      <c r="AL117" s="769">
        <v>0</v>
      </c>
      <c r="AM117" s="769">
        <v>0</v>
      </c>
      <c r="AN117" s="769">
        <v>1.8658245651370786</v>
      </c>
      <c r="AO117" s="769">
        <v>1.8658245651370786</v>
      </c>
      <c r="AP117" s="769">
        <v>0</v>
      </c>
      <c r="AQ117" s="769">
        <v>10.341184340684002</v>
      </c>
      <c r="AR117" s="769">
        <v>0</v>
      </c>
      <c r="AS117" s="769">
        <v>1.7229311572457484</v>
      </c>
      <c r="AT117" s="769">
        <v>1.7883743919890691</v>
      </c>
      <c r="AU117" s="769">
        <v>1.8563034004417209</v>
      </c>
      <c r="AV117" s="769">
        <v>1.926812601392113</v>
      </c>
      <c r="AW117" s="769">
        <v>2</v>
      </c>
      <c r="AX117" s="769">
        <v>1.7406506539344841</v>
      </c>
      <c r="AY117" s="769">
        <v>1.8021511450022387</v>
      </c>
      <c r="AZ117" s="769">
        <v>1.8658245651370786</v>
      </c>
      <c r="BA117" s="769">
        <v>1.9317476880468001</v>
      </c>
      <c r="BB117" s="769">
        <v>2</v>
      </c>
      <c r="BC117" s="769">
        <v>9.7218266880007302</v>
      </c>
      <c r="BD117" s="769">
        <v>10.02672438580003</v>
      </c>
      <c r="BE117" s="769">
        <v>10.341184340684002</v>
      </c>
      <c r="BF117" s="769">
        <v>10.665506445899512</v>
      </c>
      <c r="BG117" s="769">
        <v>11</v>
      </c>
      <c r="BH117" s="771">
        <v>2.0205475444998533</v>
      </c>
      <c r="BI117" s="771">
        <v>2.0413061897921931</v>
      </c>
      <c r="BJ117" s="771">
        <v>2.0622781046784837</v>
      </c>
      <c r="BK117" s="772">
        <v>2.1753770869443989</v>
      </c>
      <c r="BL117" s="772">
        <v>2.2884760692103141</v>
      </c>
      <c r="BM117" s="772">
        <v>2.4015750514762289</v>
      </c>
      <c r="BN117" s="772">
        <v>2.514674033742144</v>
      </c>
      <c r="BO117" s="772">
        <v>2.6484061623175652</v>
      </c>
      <c r="BP117" s="772">
        <v>2.7821382908929859</v>
      </c>
      <c r="BQ117" s="772">
        <v>3.152882142216261</v>
      </c>
      <c r="BR117" s="772">
        <v>3.5945980647104294</v>
      </c>
      <c r="BS117" s="772">
        <v>3.7885468297654179</v>
      </c>
      <c r="BT117" s="772">
        <v>3.8950549737572739</v>
      </c>
      <c r="BU117" s="772">
        <v>4.0053542062881933</v>
      </c>
      <c r="BV117" s="772">
        <v>4.1183072007964592</v>
      </c>
      <c r="BW117" s="771">
        <v>2.0205475444998533</v>
      </c>
      <c r="BX117" s="771">
        <v>2.0413061897921931</v>
      </c>
      <c r="BY117" s="771">
        <v>2.0622781046784837</v>
      </c>
      <c r="BZ117" s="772">
        <v>2.1753770869443989</v>
      </c>
      <c r="CA117" s="772">
        <v>2.2884760692103141</v>
      </c>
      <c r="CB117" s="772">
        <v>2.4015750514762289</v>
      </c>
      <c r="CC117" s="772">
        <v>2.514674033742144</v>
      </c>
      <c r="CD117" s="772">
        <v>2.6484061623175652</v>
      </c>
      <c r="CE117" s="772">
        <v>2.7821382908929859</v>
      </c>
      <c r="CF117" s="772">
        <v>3.152882142216261</v>
      </c>
      <c r="CG117" s="772">
        <v>3.5945980647104294</v>
      </c>
      <c r="CH117" s="772">
        <v>3.7885468297654179</v>
      </c>
      <c r="CI117" s="772">
        <v>3.8950549737572739</v>
      </c>
      <c r="CJ117" s="772">
        <v>4.0053542062881933</v>
      </c>
      <c r="CK117" s="772">
        <v>4.1183072007964592</v>
      </c>
      <c r="CL117" s="771">
        <v>11.113011494749193</v>
      </c>
      <c r="CM117" s="771">
        <v>11.227184043857061</v>
      </c>
      <c r="CN117" s="771">
        <v>11.34252957573166</v>
      </c>
      <c r="CO117" s="772">
        <v>11.964573978194194</v>
      </c>
      <c r="CP117" s="772">
        <v>12.586618380656727</v>
      </c>
      <c r="CQ117" s="772">
        <v>13.208662783119259</v>
      </c>
      <c r="CR117" s="772">
        <v>13.830707185581792</v>
      </c>
      <c r="CS117" s="772">
        <v>14.566233892746608</v>
      </c>
      <c r="CT117" s="772">
        <v>15.301760599911423</v>
      </c>
      <c r="CU117" s="772">
        <v>17.340851782189436</v>
      </c>
      <c r="CV117" s="772">
        <v>19.770289355907362</v>
      </c>
      <c r="CW117" s="772">
        <v>20.837007563709797</v>
      </c>
      <c r="CX117" s="772">
        <v>21.422802355665006</v>
      </c>
      <c r="CY117" s="772">
        <v>22.029448134585063</v>
      </c>
      <c r="CZ117" s="772">
        <v>22.650689604380528</v>
      </c>
      <c r="DA117" s="773">
        <v>0</v>
      </c>
      <c r="DB117" s="773">
        <v>0</v>
      </c>
      <c r="DC117" s="773">
        <v>0</v>
      </c>
      <c r="DD117" s="774">
        <v>0</v>
      </c>
      <c r="DE117" s="774">
        <v>0</v>
      </c>
      <c r="DF117" s="774">
        <v>0</v>
      </c>
      <c r="DG117" s="774">
        <v>0</v>
      </c>
      <c r="DH117" s="774">
        <v>0</v>
      </c>
      <c r="DI117" s="774">
        <v>0</v>
      </c>
      <c r="DJ117" s="774">
        <v>0</v>
      </c>
      <c r="DK117" s="774">
        <v>0</v>
      </c>
      <c r="DL117" s="774">
        <v>0</v>
      </c>
      <c r="DM117" s="774">
        <v>0</v>
      </c>
      <c r="DN117" s="774">
        <v>0</v>
      </c>
      <c r="DO117" s="774">
        <v>0</v>
      </c>
      <c r="DP117" s="773">
        <v>0</v>
      </c>
      <c r="DQ117" s="773">
        <v>0</v>
      </c>
      <c r="DR117" s="773">
        <v>0</v>
      </c>
      <c r="DS117" s="774">
        <v>0</v>
      </c>
      <c r="DT117" s="774">
        <v>0</v>
      </c>
      <c r="DU117" s="774">
        <v>0</v>
      </c>
      <c r="DV117" s="774">
        <v>0</v>
      </c>
      <c r="DW117" s="774">
        <v>0</v>
      </c>
      <c r="DX117" s="774">
        <v>0</v>
      </c>
      <c r="DY117" s="774">
        <v>0</v>
      </c>
      <c r="DZ117" s="774">
        <v>0</v>
      </c>
      <c r="EA117" s="774">
        <v>0</v>
      </c>
      <c r="EB117" s="774">
        <v>0</v>
      </c>
      <c r="EC117" s="774">
        <v>0</v>
      </c>
      <c r="ED117" s="774">
        <v>0</v>
      </c>
    </row>
    <row r="118" spans="1:134" ht="15" x14ac:dyDescent="0.25">
      <c r="A118" s="766">
        <v>120</v>
      </c>
      <c r="B118" s="766">
        <v>89</v>
      </c>
      <c r="C118" s="766" t="s">
        <v>3789</v>
      </c>
      <c r="D118" s="2">
        <v>99705</v>
      </c>
      <c r="E118" s="2">
        <v>99705</v>
      </c>
      <c r="F118" s="767" t="s">
        <v>3746</v>
      </c>
      <c r="G118" s="114">
        <v>13</v>
      </c>
      <c r="H118" s="114">
        <v>12</v>
      </c>
      <c r="I118" s="114">
        <v>8</v>
      </c>
      <c r="J118" s="114">
        <v>4</v>
      </c>
      <c r="K118" s="114">
        <v>0</v>
      </c>
      <c r="L118" s="114">
        <v>1</v>
      </c>
      <c r="M118" s="114">
        <v>1</v>
      </c>
      <c r="N118" s="114">
        <v>0</v>
      </c>
      <c r="O118" s="114">
        <v>0</v>
      </c>
      <c r="P118" s="114">
        <v>0</v>
      </c>
      <c r="Q118" s="114">
        <v>1</v>
      </c>
      <c r="R118" s="114">
        <v>0</v>
      </c>
      <c r="S118" s="114">
        <v>2688</v>
      </c>
      <c r="T118" s="114">
        <v>2688</v>
      </c>
      <c r="U118" s="114">
        <v>0</v>
      </c>
      <c r="V118" s="114">
        <v>0</v>
      </c>
      <c r="W118" s="114">
        <v>0</v>
      </c>
      <c r="X118" s="114">
        <v>2688</v>
      </c>
      <c r="Y118" s="114">
        <v>0</v>
      </c>
      <c r="Z118" s="114">
        <v>12</v>
      </c>
      <c r="AA118" s="114">
        <v>0</v>
      </c>
      <c r="AB118" s="657">
        <v>0</v>
      </c>
      <c r="AC118" s="657">
        <v>0</v>
      </c>
      <c r="AD118" s="768">
        <v>12</v>
      </c>
      <c r="AE118" s="769">
        <v>0</v>
      </c>
      <c r="AF118" s="769">
        <v>8</v>
      </c>
      <c r="AG118" s="770">
        <v>8</v>
      </c>
      <c r="AH118" s="769">
        <v>0</v>
      </c>
      <c r="AI118" s="769">
        <v>0</v>
      </c>
      <c r="AJ118" s="769">
        <v>11.137820402650327</v>
      </c>
      <c r="AK118" s="769">
        <v>11.137820402650327</v>
      </c>
      <c r="AL118" s="769">
        <v>0</v>
      </c>
      <c r="AM118" s="769">
        <v>0</v>
      </c>
      <c r="AN118" s="769">
        <v>7.4632982605483145</v>
      </c>
      <c r="AO118" s="769">
        <v>7.4632982605483145</v>
      </c>
      <c r="AP118" s="769">
        <v>0</v>
      </c>
      <c r="AQ118" s="769">
        <v>0</v>
      </c>
      <c r="AR118" s="769">
        <v>0</v>
      </c>
      <c r="AS118" s="769">
        <v>10.33758694347449</v>
      </c>
      <c r="AT118" s="769">
        <v>10.730246351934415</v>
      </c>
      <c r="AU118" s="769">
        <v>11.137820402650327</v>
      </c>
      <c r="AV118" s="769">
        <v>11.560875608352678</v>
      </c>
      <c r="AW118" s="769">
        <v>12</v>
      </c>
      <c r="AX118" s="769">
        <v>6.9626026157379366</v>
      </c>
      <c r="AY118" s="769">
        <v>7.2086045800089549</v>
      </c>
      <c r="AZ118" s="769">
        <v>7.4632982605483145</v>
      </c>
      <c r="BA118" s="769">
        <v>7.7269907521872003</v>
      </c>
      <c r="BB118" s="769">
        <v>8</v>
      </c>
      <c r="BC118" s="769">
        <v>0</v>
      </c>
      <c r="BD118" s="769">
        <v>0</v>
      </c>
      <c r="BE118" s="769">
        <v>0</v>
      </c>
      <c r="BF118" s="769">
        <v>0</v>
      </c>
      <c r="BG118" s="769">
        <v>0</v>
      </c>
      <c r="BH118" s="771">
        <v>12.338254449264323</v>
      </c>
      <c r="BI118" s="771">
        <v>12.68604357123257</v>
      </c>
      <c r="BJ118" s="771">
        <v>13.043636128026776</v>
      </c>
      <c r="BK118" s="772">
        <v>13.173254457320169</v>
      </c>
      <c r="BL118" s="772">
        <v>13.302872786613564</v>
      </c>
      <c r="BM118" s="772">
        <v>13.432491115906958</v>
      </c>
      <c r="BN118" s="772">
        <v>13.562109445200353</v>
      </c>
      <c r="BO118" s="772">
        <v>13.715374618162208</v>
      </c>
      <c r="BP118" s="772">
        <v>13.868639791124066</v>
      </c>
      <c r="BQ118" s="772">
        <v>14.293534848900409</v>
      </c>
      <c r="BR118" s="772">
        <v>14.799768227388022</v>
      </c>
      <c r="BS118" s="772">
        <v>15.022045337148722</v>
      </c>
      <c r="BT118" s="772">
        <v>15.144110163938285</v>
      </c>
      <c r="BU118" s="772">
        <v>15.270519809335335</v>
      </c>
      <c r="BV118" s="772">
        <v>15.399970827757622</v>
      </c>
      <c r="BW118" s="771">
        <v>8.2255029661762151</v>
      </c>
      <c r="BX118" s="771">
        <v>8.4573623808217135</v>
      </c>
      <c r="BY118" s="771">
        <v>8.6957574186845168</v>
      </c>
      <c r="BZ118" s="772">
        <v>8.7821696382134462</v>
      </c>
      <c r="CA118" s="772">
        <v>8.8685818577423756</v>
      </c>
      <c r="CB118" s="772">
        <v>8.954994077271305</v>
      </c>
      <c r="CC118" s="772">
        <v>9.0414062968002344</v>
      </c>
      <c r="CD118" s="772">
        <v>9.1435830787748049</v>
      </c>
      <c r="CE118" s="772">
        <v>9.2457598607493772</v>
      </c>
      <c r="CF118" s="772">
        <v>9.529023232600272</v>
      </c>
      <c r="CG118" s="772">
        <v>9.8665121515920138</v>
      </c>
      <c r="CH118" s="772">
        <v>10.014696891432481</v>
      </c>
      <c r="CI118" s="772">
        <v>10.096073442625523</v>
      </c>
      <c r="CJ118" s="772">
        <v>10.180346539556888</v>
      </c>
      <c r="CK118" s="772">
        <v>10.266647218505081</v>
      </c>
      <c r="CL118" s="771">
        <v>0</v>
      </c>
      <c r="CM118" s="771">
        <v>0</v>
      </c>
      <c r="CN118" s="771">
        <v>0</v>
      </c>
      <c r="CO118" s="772">
        <v>0</v>
      </c>
      <c r="CP118" s="772">
        <v>0</v>
      </c>
      <c r="CQ118" s="772">
        <v>0</v>
      </c>
      <c r="CR118" s="772">
        <v>0</v>
      </c>
      <c r="CS118" s="772">
        <v>0</v>
      </c>
      <c r="CT118" s="772">
        <v>0</v>
      </c>
      <c r="CU118" s="772">
        <v>0</v>
      </c>
      <c r="CV118" s="772">
        <v>0</v>
      </c>
      <c r="CW118" s="772">
        <v>0</v>
      </c>
      <c r="CX118" s="772">
        <v>0</v>
      </c>
      <c r="CY118" s="772">
        <v>0</v>
      </c>
      <c r="CZ118" s="772">
        <v>0</v>
      </c>
      <c r="DA118" s="773">
        <v>0</v>
      </c>
      <c r="DB118" s="773">
        <v>0</v>
      </c>
      <c r="DC118" s="773">
        <v>0</v>
      </c>
      <c r="DD118" s="774">
        <v>0</v>
      </c>
      <c r="DE118" s="774">
        <v>0</v>
      </c>
      <c r="DF118" s="774">
        <v>0</v>
      </c>
      <c r="DG118" s="774">
        <v>0</v>
      </c>
      <c r="DH118" s="774">
        <v>0</v>
      </c>
      <c r="DI118" s="774">
        <v>0</v>
      </c>
      <c r="DJ118" s="774">
        <v>0</v>
      </c>
      <c r="DK118" s="774">
        <v>0</v>
      </c>
      <c r="DL118" s="774">
        <v>0</v>
      </c>
      <c r="DM118" s="774">
        <v>0</v>
      </c>
      <c r="DN118" s="774">
        <v>0</v>
      </c>
      <c r="DO118" s="774">
        <v>0</v>
      </c>
      <c r="DP118" s="773">
        <v>0</v>
      </c>
      <c r="DQ118" s="773">
        <v>0</v>
      </c>
      <c r="DR118" s="773">
        <v>0</v>
      </c>
      <c r="DS118" s="774">
        <v>0</v>
      </c>
      <c r="DT118" s="774">
        <v>0</v>
      </c>
      <c r="DU118" s="774">
        <v>0</v>
      </c>
      <c r="DV118" s="774">
        <v>0</v>
      </c>
      <c r="DW118" s="774">
        <v>0</v>
      </c>
      <c r="DX118" s="774">
        <v>0</v>
      </c>
      <c r="DY118" s="774">
        <v>0</v>
      </c>
      <c r="DZ118" s="774">
        <v>0</v>
      </c>
      <c r="EA118" s="774">
        <v>0</v>
      </c>
      <c r="EB118" s="774">
        <v>0</v>
      </c>
      <c r="EC118" s="774">
        <v>0</v>
      </c>
      <c r="ED118" s="774">
        <v>0</v>
      </c>
    </row>
    <row r="119" spans="1:134" ht="15" x14ac:dyDescent="0.25">
      <c r="A119" s="766">
        <v>121</v>
      </c>
      <c r="B119" s="766">
        <v>89</v>
      </c>
      <c r="C119" s="766" t="s">
        <v>3790</v>
      </c>
      <c r="D119" s="2">
        <v>99705</v>
      </c>
      <c r="E119" s="2">
        <v>99705</v>
      </c>
      <c r="F119" s="767" t="s">
        <v>3746</v>
      </c>
      <c r="G119" s="114">
        <v>321</v>
      </c>
      <c r="H119" s="114">
        <v>137</v>
      </c>
      <c r="I119" s="114">
        <v>115</v>
      </c>
      <c r="J119" s="114">
        <v>22</v>
      </c>
      <c r="K119" s="114">
        <v>0</v>
      </c>
      <c r="L119" s="114">
        <v>132</v>
      </c>
      <c r="M119" s="114">
        <v>132</v>
      </c>
      <c r="N119" s="114">
        <v>2</v>
      </c>
      <c r="O119" s="114">
        <v>0</v>
      </c>
      <c r="P119" s="114">
        <v>0</v>
      </c>
      <c r="Q119" s="114">
        <v>134</v>
      </c>
      <c r="R119" s="114">
        <v>0</v>
      </c>
      <c r="S119" s="114">
        <v>1946.4924242424242</v>
      </c>
      <c r="T119" s="114">
        <v>1946.4924242424242</v>
      </c>
      <c r="U119" s="114">
        <v>4724</v>
      </c>
      <c r="V119" s="114">
        <v>0</v>
      </c>
      <c r="W119" s="114">
        <v>0</v>
      </c>
      <c r="X119" s="114">
        <v>1987.9477611940299</v>
      </c>
      <c r="Y119" s="114">
        <v>0</v>
      </c>
      <c r="Z119" s="114">
        <v>137</v>
      </c>
      <c r="AA119" s="114">
        <v>0</v>
      </c>
      <c r="AB119" s="657">
        <v>2</v>
      </c>
      <c r="AC119" s="657">
        <v>0</v>
      </c>
      <c r="AD119" s="768">
        <v>139</v>
      </c>
      <c r="AE119" s="769">
        <v>0</v>
      </c>
      <c r="AF119" s="769">
        <v>115</v>
      </c>
      <c r="AG119" s="770">
        <v>115</v>
      </c>
      <c r="AH119" s="769">
        <v>0</v>
      </c>
      <c r="AI119" s="769">
        <v>0</v>
      </c>
      <c r="AJ119" s="769">
        <v>127.15678293025789</v>
      </c>
      <c r="AK119" s="769">
        <v>127.15678293025789</v>
      </c>
      <c r="AL119" s="769">
        <v>0</v>
      </c>
      <c r="AM119" s="769">
        <v>0</v>
      </c>
      <c r="AN119" s="769">
        <v>107.28491249538202</v>
      </c>
      <c r="AO119" s="769">
        <v>107.28491249538202</v>
      </c>
      <c r="AP119" s="769">
        <v>0</v>
      </c>
      <c r="AQ119" s="769">
        <v>1.8802153346698185</v>
      </c>
      <c r="AR119" s="769">
        <v>0</v>
      </c>
      <c r="AS119" s="769">
        <v>118.02078427133377</v>
      </c>
      <c r="AT119" s="769">
        <v>122.50364585125124</v>
      </c>
      <c r="AU119" s="769">
        <v>127.15678293025789</v>
      </c>
      <c r="AV119" s="769">
        <v>131.98666319535974</v>
      </c>
      <c r="AW119" s="769">
        <v>137</v>
      </c>
      <c r="AX119" s="769">
        <v>100.08741260123284</v>
      </c>
      <c r="AY119" s="769">
        <v>103.62369083762873</v>
      </c>
      <c r="AZ119" s="769">
        <v>107.28491249538202</v>
      </c>
      <c r="BA119" s="769">
        <v>111.075492062691</v>
      </c>
      <c r="BB119" s="769">
        <v>115</v>
      </c>
      <c r="BC119" s="769">
        <v>1.7676048523637691</v>
      </c>
      <c r="BD119" s="769">
        <v>1.823040797418187</v>
      </c>
      <c r="BE119" s="769">
        <v>1.8802153346698185</v>
      </c>
      <c r="BF119" s="769">
        <v>1.9391829901635476</v>
      </c>
      <c r="BG119" s="769">
        <v>2</v>
      </c>
      <c r="BH119" s="771">
        <v>140.86173829576768</v>
      </c>
      <c r="BI119" s="771">
        <v>144.83233077157183</v>
      </c>
      <c r="BJ119" s="771">
        <v>148.91484579497234</v>
      </c>
      <c r="BK119" s="772">
        <v>150.39465505440526</v>
      </c>
      <c r="BL119" s="772">
        <v>151.87446431383816</v>
      </c>
      <c r="BM119" s="772">
        <v>153.35427357327109</v>
      </c>
      <c r="BN119" s="772">
        <v>154.83408283270398</v>
      </c>
      <c r="BO119" s="772">
        <v>156.58386022401854</v>
      </c>
      <c r="BP119" s="772">
        <v>158.33363761533306</v>
      </c>
      <c r="BQ119" s="772">
        <v>163.18452285827965</v>
      </c>
      <c r="BR119" s="772">
        <v>168.96402059601323</v>
      </c>
      <c r="BS119" s="772">
        <v>171.50168426578122</v>
      </c>
      <c r="BT119" s="772">
        <v>172.89525770496206</v>
      </c>
      <c r="BU119" s="772">
        <v>174.33843448991172</v>
      </c>
      <c r="BV119" s="772">
        <v>175.8163336168995</v>
      </c>
      <c r="BW119" s="771">
        <v>118.24160513878309</v>
      </c>
      <c r="BX119" s="771">
        <v>121.57458422431213</v>
      </c>
      <c r="BY119" s="771">
        <v>125.00151289358993</v>
      </c>
      <c r="BZ119" s="772">
        <v>126.24368854931829</v>
      </c>
      <c r="CA119" s="772">
        <v>127.48586420504665</v>
      </c>
      <c r="CB119" s="772">
        <v>128.728039860775</v>
      </c>
      <c r="CC119" s="772">
        <v>129.97021551650337</v>
      </c>
      <c r="CD119" s="772">
        <v>131.43900675738783</v>
      </c>
      <c r="CE119" s="772">
        <v>132.90779799827229</v>
      </c>
      <c r="CF119" s="772">
        <v>136.97970896862893</v>
      </c>
      <c r="CG119" s="772">
        <v>141.8311121791352</v>
      </c>
      <c r="CH119" s="772">
        <v>143.96126781434191</v>
      </c>
      <c r="CI119" s="772">
        <v>145.13105573774189</v>
      </c>
      <c r="CJ119" s="772">
        <v>146.34248150613027</v>
      </c>
      <c r="CK119" s="772">
        <v>147.58305376601055</v>
      </c>
      <c r="CL119" s="771">
        <v>2.0563757415440538</v>
      </c>
      <c r="CM119" s="771">
        <v>2.1143405952054284</v>
      </c>
      <c r="CN119" s="771">
        <v>2.1739393546711292</v>
      </c>
      <c r="CO119" s="772">
        <v>2.1955424095533616</v>
      </c>
      <c r="CP119" s="772">
        <v>2.2171454644355939</v>
      </c>
      <c r="CQ119" s="772">
        <v>2.2387485193178263</v>
      </c>
      <c r="CR119" s="772">
        <v>2.2603515742000586</v>
      </c>
      <c r="CS119" s="772">
        <v>2.2858957696937012</v>
      </c>
      <c r="CT119" s="772">
        <v>2.3114399651873443</v>
      </c>
      <c r="CU119" s="772">
        <v>2.382255808150068</v>
      </c>
      <c r="CV119" s="772">
        <v>2.4666280378980034</v>
      </c>
      <c r="CW119" s="772">
        <v>2.5036742228581201</v>
      </c>
      <c r="CX119" s="772">
        <v>2.5240183606563806</v>
      </c>
      <c r="CY119" s="772">
        <v>2.545086634889222</v>
      </c>
      <c r="CZ119" s="772">
        <v>2.5666618046262704</v>
      </c>
      <c r="DA119" s="773">
        <v>0</v>
      </c>
      <c r="DB119" s="773">
        <v>0</v>
      </c>
      <c r="DC119" s="773">
        <v>0</v>
      </c>
      <c r="DD119" s="774">
        <v>0</v>
      </c>
      <c r="DE119" s="774">
        <v>0</v>
      </c>
      <c r="DF119" s="774">
        <v>0</v>
      </c>
      <c r="DG119" s="774">
        <v>0</v>
      </c>
      <c r="DH119" s="774">
        <v>0</v>
      </c>
      <c r="DI119" s="774">
        <v>0</v>
      </c>
      <c r="DJ119" s="774">
        <v>0</v>
      </c>
      <c r="DK119" s="774">
        <v>0</v>
      </c>
      <c r="DL119" s="774">
        <v>0</v>
      </c>
      <c r="DM119" s="774">
        <v>0</v>
      </c>
      <c r="DN119" s="774">
        <v>0</v>
      </c>
      <c r="DO119" s="774">
        <v>0</v>
      </c>
      <c r="DP119" s="773">
        <v>0</v>
      </c>
      <c r="DQ119" s="773">
        <v>0</v>
      </c>
      <c r="DR119" s="773">
        <v>0</v>
      </c>
      <c r="DS119" s="774">
        <v>0</v>
      </c>
      <c r="DT119" s="774">
        <v>0</v>
      </c>
      <c r="DU119" s="774">
        <v>0</v>
      </c>
      <c r="DV119" s="774">
        <v>0</v>
      </c>
      <c r="DW119" s="774">
        <v>0</v>
      </c>
      <c r="DX119" s="774">
        <v>0</v>
      </c>
      <c r="DY119" s="774">
        <v>0</v>
      </c>
      <c r="DZ119" s="774">
        <v>0</v>
      </c>
      <c r="EA119" s="774">
        <v>0</v>
      </c>
      <c r="EB119" s="774">
        <v>0</v>
      </c>
      <c r="EC119" s="774">
        <v>0</v>
      </c>
      <c r="ED119" s="774">
        <v>0</v>
      </c>
    </row>
    <row r="120" spans="1:134" ht="15" x14ac:dyDescent="0.25">
      <c r="A120" s="766">
        <v>122</v>
      </c>
      <c r="B120" s="766">
        <v>89</v>
      </c>
      <c r="C120" s="766" t="s">
        <v>3791</v>
      </c>
      <c r="D120" s="2">
        <v>99705</v>
      </c>
      <c r="E120" s="2">
        <v>99705</v>
      </c>
      <c r="F120" s="767" t="s">
        <v>3746</v>
      </c>
      <c r="G120" s="114">
        <v>355</v>
      </c>
      <c r="H120" s="114">
        <v>124</v>
      </c>
      <c r="I120" s="114">
        <v>115</v>
      </c>
      <c r="J120" s="114">
        <v>9</v>
      </c>
      <c r="K120" s="114">
        <v>1</v>
      </c>
      <c r="L120" s="114">
        <v>132</v>
      </c>
      <c r="M120" s="114">
        <v>133</v>
      </c>
      <c r="N120" s="114">
        <v>4</v>
      </c>
      <c r="O120" s="114">
        <v>0</v>
      </c>
      <c r="P120" s="114">
        <v>0</v>
      </c>
      <c r="Q120" s="114">
        <v>137</v>
      </c>
      <c r="R120" s="114">
        <v>3824</v>
      </c>
      <c r="S120" s="114">
        <v>2442.560606060606</v>
      </c>
      <c r="T120" s="114">
        <v>2452.9473684210525</v>
      </c>
      <c r="U120" s="114">
        <v>6541.25</v>
      </c>
      <c r="V120" s="114">
        <v>0</v>
      </c>
      <c r="W120" s="114">
        <v>0</v>
      </c>
      <c r="X120" s="114">
        <v>2572.3138686131388</v>
      </c>
      <c r="Y120" s="114">
        <v>0.93233082706766912</v>
      </c>
      <c r="Z120" s="114">
        <v>123.06766917293233</v>
      </c>
      <c r="AA120" s="114">
        <v>0</v>
      </c>
      <c r="AB120" s="657">
        <v>4</v>
      </c>
      <c r="AC120" s="657">
        <v>0</v>
      </c>
      <c r="AD120" s="768">
        <v>128</v>
      </c>
      <c r="AE120" s="769">
        <v>0.86466165413533835</v>
      </c>
      <c r="AF120" s="769">
        <v>114.13533834586465</v>
      </c>
      <c r="AG120" s="770">
        <v>114.99999999999999</v>
      </c>
      <c r="AH120" s="769">
        <v>0</v>
      </c>
      <c r="AI120" s="769">
        <v>0.86534444231117813</v>
      </c>
      <c r="AJ120" s="769">
        <v>114.22546638507552</v>
      </c>
      <c r="AK120" s="769">
        <v>115.0908108273867</v>
      </c>
      <c r="AL120" s="769">
        <v>0</v>
      </c>
      <c r="AM120" s="769">
        <v>0.80665347740888738</v>
      </c>
      <c r="AN120" s="769">
        <v>106.47825901797312</v>
      </c>
      <c r="AO120" s="769">
        <v>107.284912495382</v>
      </c>
      <c r="AP120" s="769">
        <v>0</v>
      </c>
      <c r="AQ120" s="769">
        <v>3.760430669339637</v>
      </c>
      <c r="AR120" s="769">
        <v>0</v>
      </c>
      <c r="AS120" s="769">
        <v>106.82173174923639</v>
      </c>
      <c r="AT120" s="769">
        <v>110.87921230332228</v>
      </c>
      <c r="AU120" s="769">
        <v>115.0908108273867</v>
      </c>
      <c r="AV120" s="769">
        <v>119.46238128631101</v>
      </c>
      <c r="AW120" s="769">
        <v>124</v>
      </c>
      <c r="AX120" s="769">
        <v>100.08741260123283</v>
      </c>
      <c r="AY120" s="769">
        <v>103.62369083762871</v>
      </c>
      <c r="AZ120" s="769">
        <v>107.284912495382</v>
      </c>
      <c r="BA120" s="769">
        <v>111.07549206269098</v>
      </c>
      <c r="BB120" s="769">
        <v>114.99999999999999</v>
      </c>
      <c r="BC120" s="769">
        <v>3.5352097047275381</v>
      </c>
      <c r="BD120" s="769">
        <v>3.6460815948363741</v>
      </c>
      <c r="BE120" s="769">
        <v>3.760430669339637</v>
      </c>
      <c r="BF120" s="769">
        <v>3.8783659803270951</v>
      </c>
      <c r="BG120" s="769">
        <v>4</v>
      </c>
      <c r="BH120" s="771">
        <v>126.49728368432417</v>
      </c>
      <c r="BI120" s="771">
        <v>129.04486112509989</v>
      </c>
      <c r="BJ120" s="771">
        <v>131.64374520762885</v>
      </c>
      <c r="BK120" s="772">
        <v>132.52702042457065</v>
      </c>
      <c r="BL120" s="772">
        <v>133.41029564151245</v>
      </c>
      <c r="BM120" s="772">
        <v>134.2935708584543</v>
      </c>
      <c r="BN120" s="772">
        <v>135.1768460753961</v>
      </c>
      <c r="BO120" s="772">
        <v>136.22126108703446</v>
      </c>
      <c r="BP120" s="772">
        <v>137.26567609867288</v>
      </c>
      <c r="BQ120" s="772">
        <v>140.16109433451052</v>
      </c>
      <c r="BR120" s="772">
        <v>143.61078697940422</v>
      </c>
      <c r="BS120" s="772">
        <v>145.12547910215702</v>
      </c>
      <c r="BT120" s="772">
        <v>145.95728149423593</v>
      </c>
      <c r="BU120" s="772">
        <v>146.818691354788</v>
      </c>
      <c r="BV120" s="772">
        <v>147.70082644327135</v>
      </c>
      <c r="BW120" s="771">
        <v>117.31602922336515</v>
      </c>
      <c r="BX120" s="771">
        <v>119.67870184989103</v>
      </c>
      <c r="BY120" s="771">
        <v>122.08895724901062</v>
      </c>
      <c r="BZ120" s="772">
        <v>122.90812378085181</v>
      </c>
      <c r="CA120" s="772">
        <v>123.727290312693</v>
      </c>
      <c r="CB120" s="772">
        <v>124.54645684453421</v>
      </c>
      <c r="CC120" s="772">
        <v>125.3656233763754</v>
      </c>
      <c r="CD120" s="772">
        <v>126.33423407265292</v>
      </c>
      <c r="CE120" s="772">
        <v>127.30284476893047</v>
      </c>
      <c r="CF120" s="772">
        <v>129.98811168119926</v>
      </c>
      <c r="CG120" s="772">
        <v>133.18742340831841</v>
      </c>
      <c r="CH120" s="772">
        <v>134.5921781995811</v>
      </c>
      <c r="CI120" s="772">
        <v>135.36360783739622</v>
      </c>
      <c r="CJ120" s="772">
        <v>136.16249601452114</v>
      </c>
      <c r="CK120" s="772">
        <v>136.98060516916294</v>
      </c>
      <c r="CL120" s="771">
        <v>4.0805575382040056</v>
      </c>
      <c r="CM120" s="771">
        <v>4.1627374556483838</v>
      </c>
      <c r="CN120" s="771">
        <v>4.2465724260525439</v>
      </c>
      <c r="CO120" s="772">
        <v>4.2750651749861506</v>
      </c>
      <c r="CP120" s="772">
        <v>4.3035579239197572</v>
      </c>
      <c r="CQ120" s="772">
        <v>4.3320506728533648</v>
      </c>
      <c r="CR120" s="772">
        <v>4.3605434217869714</v>
      </c>
      <c r="CS120" s="772">
        <v>4.3942342286140157</v>
      </c>
      <c r="CT120" s="772">
        <v>4.4279250354410609</v>
      </c>
      <c r="CU120" s="772">
        <v>4.5213256236938877</v>
      </c>
      <c r="CV120" s="772">
        <v>4.632606031593685</v>
      </c>
      <c r="CW120" s="772">
        <v>4.6814670678115169</v>
      </c>
      <c r="CX120" s="772">
        <v>4.7082994030398693</v>
      </c>
      <c r="CY120" s="772">
        <v>4.7360868178963873</v>
      </c>
      <c r="CZ120" s="772">
        <v>4.7645427884926246</v>
      </c>
      <c r="DA120" s="773">
        <v>0</v>
      </c>
      <c r="DB120" s="773">
        <v>0</v>
      </c>
      <c r="DC120" s="773">
        <v>0</v>
      </c>
      <c r="DD120" s="774">
        <v>0</v>
      </c>
      <c r="DE120" s="774">
        <v>0</v>
      </c>
      <c r="DF120" s="774">
        <v>0</v>
      </c>
      <c r="DG120" s="774">
        <v>0</v>
      </c>
      <c r="DH120" s="774">
        <v>0</v>
      </c>
      <c r="DI120" s="774">
        <v>0</v>
      </c>
      <c r="DJ120" s="774">
        <v>0</v>
      </c>
      <c r="DK120" s="774">
        <v>0</v>
      </c>
      <c r="DL120" s="774">
        <v>0</v>
      </c>
      <c r="DM120" s="774">
        <v>0</v>
      </c>
      <c r="DN120" s="774">
        <v>0</v>
      </c>
      <c r="DO120" s="774">
        <v>0</v>
      </c>
      <c r="DP120" s="773">
        <v>0</v>
      </c>
      <c r="DQ120" s="773">
        <v>0</v>
      </c>
      <c r="DR120" s="773">
        <v>0</v>
      </c>
      <c r="DS120" s="774">
        <v>0</v>
      </c>
      <c r="DT120" s="774">
        <v>0</v>
      </c>
      <c r="DU120" s="774">
        <v>0</v>
      </c>
      <c r="DV120" s="774">
        <v>0</v>
      </c>
      <c r="DW120" s="774">
        <v>0</v>
      </c>
      <c r="DX120" s="774">
        <v>0</v>
      </c>
      <c r="DY120" s="774">
        <v>0</v>
      </c>
      <c r="DZ120" s="774">
        <v>0</v>
      </c>
      <c r="EA120" s="774">
        <v>0</v>
      </c>
      <c r="EB120" s="774">
        <v>0</v>
      </c>
      <c r="EC120" s="774">
        <v>0</v>
      </c>
      <c r="ED120" s="774">
        <v>0</v>
      </c>
    </row>
    <row r="121" spans="1:134" ht="15" x14ac:dyDescent="0.25">
      <c r="A121" s="766">
        <v>123</v>
      </c>
      <c r="B121" s="766">
        <v>89</v>
      </c>
      <c r="C121" s="766" t="s">
        <v>3792</v>
      </c>
      <c r="D121" s="2">
        <v>99705</v>
      </c>
      <c r="E121" s="2">
        <v>99705</v>
      </c>
      <c r="F121" s="767" t="s">
        <v>3746</v>
      </c>
      <c r="G121" s="114">
        <v>538</v>
      </c>
      <c r="H121" s="114">
        <v>203</v>
      </c>
      <c r="I121" s="114">
        <v>190</v>
      </c>
      <c r="J121" s="114">
        <v>13</v>
      </c>
      <c r="K121" s="114">
        <v>1</v>
      </c>
      <c r="L121" s="114">
        <v>163</v>
      </c>
      <c r="M121" s="114">
        <v>164</v>
      </c>
      <c r="N121" s="114">
        <v>1</v>
      </c>
      <c r="O121" s="114">
        <v>0</v>
      </c>
      <c r="P121" s="114">
        <v>0</v>
      </c>
      <c r="Q121" s="114">
        <v>165</v>
      </c>
      <c r="R121" s="114">
        <v>4968</v>
      </c>
      <c r="S121" s="114">
        <v>2189.9877300613498</v>
      </c>
      <c r="T121" s="114">
        <v>2206.9268292682927</v>
      </c>
      <c r="U121" s="114">
        <v>5760</v>
      </c>
      <c r="V121" s="114">
        <v>0</v>
      </c>
      <c r="W121" s="114">
        <v>0</v>
      </c>
      <c r="X121" s="114">
        <v>2228.4606060606061</v>
      </c>
      <c r="Y121" s="114">
        <v>1.2378048780487805</v>
      </c>
      <c r="Z121" s="114">
        <v>201.76219512195121</v>
      </c>
      <c r="AA121" s="114">
        <v>0</v>
      </c>
      <c r="AB121" s="657">
        <v>1</v>
      </c>
      <c r="AC121" s="657">
        <v>0</v>
      </c>
      <c r="AD121" s="768">
        <v>204</v>
      </c>
      <c r="AE121" s="769">
        <v>1.1585365853658536</v>
      </c>
      <c r="AF121" s="769">
        <v>188.84146341463412</v>
      </c>
      <c r="AG121" s="770">
        <v>189.99999999999997</v>
      </c>
      <c r="AH121" s="769">
        <v>0</v>
      </c>
      <c r="AI121" s="769">
        <v>1.1488707021026505</v>
      </c>
      <c r="AJ121" s="769">
        <v>187.26592444273203</v>
      </c>
      <c r="AK121" s="769">
        <v>188.41479514483467</v>
      </c>
      <c r="AL121" s="769">
        <v>0</v>
      </c>
      <c r="AM121" s="769">
        <v>1.0808130102928197</v>
      </c>
      <c r="AN121" s="769">
        <v>176.17252067772961</v>
      </c>
      <c r="AO121" s="769">
        <v>177.25333368802242</v>
      </c>
      <c r="AP121" s="769">
        <v>0</v>
      </c>
      <c r="AQ121" s="769">
        <v>0.94010766733490925</v>
      </c>
      <c r="AR121" s="769">
        <v>0</v>
      </c>
      <c r="AS121" s="769">
        <v>174.87751246044346</v>
      </c>
      <c r="AT121" s="769">
        <v>181.52000078689051</v>
      </c>
      <c r="AU121" s="769">
        <v>188.4147951448347</v>
      </c>
      <c r="AV121" s="769">
        <v>195.57147904129948</v>
      </c>
      <c r="AW121" s="769">
        <v>203</v>
      </c>
      <c r="AX121" s="769">
        <v>165.36181212377596</v>
      </c>
      <c r="AY121" s="769">
        <v>171.20435877521265</v>
      </c>
      <c r="AZ121" s="769">
        <v>177.25333368802245</v>
      </c>
      <c r="BA121" s="769">
        <v>183.51603036444598</v>
      </c>
      <c r="BB121" s="769">
        <v>189.99999999999997</v>
      </c>
      <c r="BC121" s="769">
        <v>0.88380242618188454</v>
      </c>
      <c r="BD121" s="769">
        <v>0.91152039870909352</v>
      </c>
      <c r="BE121" s="769">
        <v>0.94010766733490925</v>
      </c>
      <c r="BF121" s="769">
        <v>0.96959149508177378</v>
      </c>
      <c r="BG121" s="769">
        <v>1</v>
      </c>
      <c r="BH121" s="771">
        <v>207.08829506385328</v>
      </c>
      <c r="BI121" s="771">
        <v>211.25892587415547</v>
      </c>
      <c r="BJ121" s="771">
        <v>215.5135506221666</v>
      </c>
      <c r="BK121" s="772">
        <v>219.96433267069068</v>
      </c>
      <c r="BL121" s="772">
        <v>224.41511471921473</v>
      </c>
      <c r="BM121" s="772">
        <v>228.86589676773886</v>
      </c>
      <c r="BN121" s="772">
        <v>233.31667881626291</v>
      </c>
      <c r="BO121" s="772">
        <v>238.57943667004227</v>
      </c>
      <c r="BP121" s="772">
        <v>243.8421945238216</v>
      </c>
      <c r="BQ121" s="772">
        <v>258.43207009131908</v>
      </c>
      <c r="BR121" s="772">
        <v>275.81490819468894</v>
      </c>
      <c r="BS121" s="772">
        <v>283.44737017220319</v>
      </c>
      <c r="BT121" s="772">
        <v>287.63878309036733</v>
      </c>
      <c r="BU121" s="772">
        <v>291.97938664204531</v>
      </c>
      <c r="BV121" s="772">
        <v>296.42442363718311</v>
      </c>
      <c r="BW121" s="771">
        <v>193.82648306469022</v>
      </c>
      <c r="BX121" s="771">
        <v>197.7300291432982</v>
      </c>
      <c r="BY121" s="771">
        <v>201.7121902374958</v>
      </c>
      <c r="BZ121" s="772">
        <v>205.87794683463656</v>
      </c>
      <c r="CA121" s="772">
        <v>210.04370343177732</v>
      </c>
      <c r="CB121" s="772">
        <v>214.2094600289181</v>
      </c>
      <c r="CC121" s="772">
        <v>218.37521662605886</v>
      </c>
      <c r="CD121" s="772">
        <v>223.30095057787204</v>
      </c>
      <c r="CE121" s="772">
        <v>228.2266845296852</v>
      </c>
      <c r="CF121" s="772">
        <v>241.88223309039714</v>
      </c>
      <c r="CG121" s="772">
        <v>258.15188451719649</v>
      </c>
      <c r="CH121" s="772">
        <v>265.29556814147088</v>
      </c>
      <c r="CI121" s="772">
        <v>269.21856545403836</v>
      </c>
      <c r="CJ121" s="772">
        <v>273.2811993201409</v>
      </c>
      <c r="CK121" s="772">
        <v>277.44157877371816</v>
      </c>
      <c r="CL121" s="771">
        <v>1.0201393845510014</v>
      </c>
      <c r="CM121" s="771">
        <v>1.040684363912096</v>
      </c>
      <c r="CN121" s="771">
        <v>1.061643106513136</v>
      </c>
      <c r="CO121" s="772">
        <v>1.0835681412349294</v>
      </c>
      <c r="CP121" s="772">
        <v>1.1054931759567228</v>
      </c>
      <c r="CQ121" s="772">
        <v>1.1274182106785164</v>
      </c>
      <c r="CR121" s="772">
        <v>1.1493432454003099</v>
      </c>
      <c r="CS121" s="772">
        <v>1.1752681609361688</v>
      </c>
      <c r="CT121" s="772">
        <v>1.2011930764720276</v>
      </c>
      <c r="CU121" s="772">
        <v>1.273064384686301</v>
      </c>
      <c r="CV121" s="772">
        <v>1.3586941290378767</v>
      </c>
      <c r="CW121" s="772">
        <v>1.3962924639024787</v>
      </c>
      <c r="CX121" s="772">
        <v>1.4169398181791495</v>
      </c>
      <c r="CY121" s="772">
        <v>1.4383221016849521</v>
      </c>
      <c r="CZ121" s="772">
        <v>1.4602188356511483</v>
      </c>
      <c r="DA121" s="773">
        <v>0</v>
      </c>
      <c r="DB121" s="773">
        <v>0</v>
      </c>
      <c r="DC121" s="773">
        <v>0</v>
      </c>
      <c r="DD121" s="774">
        <v>0</v>
      </c>
      <c r="DE121" s="774">
        <v>0</v>
      </c>
      <c r="DF121" s="774">
        <v>0</v>
      </c>
      <c r="DG121" s="774">
        <v>0</v>
      </c>
      <c r="DH121" s="774">
        <v>0</v>
      </c>
      <c r="DI121" s="774">
        <v>0</v>
      </c>
      <c r="DJ121" s="774">
        <v>0</v>
      </c>
      <c r="DK121" s="774">
        <v>0</v>
      </c>
      <c r="DL121" s="774">
        <v>0</v>
      </c>
      <c r="DM121" s="774">
        <v>0</v>
      </c>
      <c r="DN121" s="774">
        <v>0</v>
      </c>
      <c r="DO121" s="774">
        <v>0</v>
      </c>
      <c r="DP121" s="773">
        <v>0</v>
      </c>
      <c r="DQ121" s="773">
        <v>0</v>
      </c>
      <c r="DR121" s="773">
        <v>0</v>
      </c>
      <c r="DS121" s="774">
        <v>0</v>
      </c>
      <c r="DT121" s="774">
        <v>0</v>
      </c>
      <c r="DU121" s="774">
        <v>0</v>
      </c>
      <c r="DV121" s="774">
        <v>0</v>
      </c>
      <c r="DW121" s="774">
        <v>0</v>
      </c>
      <c r="DX121" s="774">
        <v>0</v>
      </c>
      <c r="DY121" s="774">
        <v>0</v>
      </c>
      <c r="DZ121" s="774">
        <v>0</v>
      </c>
      <c r="EA121" s="774">
        <v>0</v>
      </c>
      <c r="EB121" s="774">
        <v>0</v>
      </c>
      <c r="EC121" s="774">
        <v>0</v>
      </c>
      <c r="ED121" s="774">
        <v>0</v>
      </c>
    </row>
    <row r="122" spans="1:134" ht="15" x14ac:dyDescent="0.25">
      <c r="A122" s="766">
        <v>124</v>
      </c>
      <c r="B122" s="766">
        <v>89</v>
      </c>
      <c r="C122" s="766" t="s">
        <v>3793</v>
      </c>
      <c r="D122" s="2">
        <v>99705</v>
      </c>
      <c r="E122" s="2">
        <v>99705</v>
      </c>
      <c r="F122" s="767" t="s">
        <v>3746</v>
      </c>
      <c r="G122" s="114">
        <v>336</v>
      </c>
      <c r="H122" s="114">
        <v>130</v>
      </c>
      <c r="I122" s="114">
        <v>119</v>
      </c>
      <c r="J122" s="114">
        <v>11</v>
      </c>
      <c r="K122" s="114">
        <v>0</v>
      </c>
      <c r="L122" s="114">
        <v>134</v>
      </c>
      <c r="M122" s="114">
        <v>134</v>
      </c>
      <c r="N122" s="114">
        <v>0</v>
      </c>
      <c r="O122" s="114">
        <v>0</v>
      </c>
      <c r="P122" s="114">
        <v>0</v>
      </c>
      <c r="Q122" s="114">
        <v>134</v>
      </c>
      <c r="R122" s="114">
        <v>0</v>
      </c>
      <c r="S122" s="114">
        <v>2016.8656716417911</v>
      </c>
      <c r="T122" s="114">
        <v>2016.8656716417911</v>
      </c>
      <c r="U122" s="114">
        <v>0</v>
      </c>
      <c r="V122" s="114">
        <v>0</v>
      </c>
      <c r="W122" s="114">
        <v>0</v>
      </c>
      <c r="X122" s="114">
        <v>2016.8656716417911</v>
      </c>
      <c r="Y122" s="114">
        <v>0</v>
      </c>
      <c r="Z122" s="114">
        <v>130</v>
      </c>
      <c r="AA122" s="114">
        <v>0</v>
      </c>
      <c r="AB122" s="657">
        <v>0</v>
      </c>
      <c r="AC122" s="657">
        <v>0</v>
      </c>
      <c r="AD122" s="768">
        <v>130</v>
      </c>
      <c r="AE122" s="769">
        <v>0</v>
      </c>
      <c r="AF122" s="769">
        <v>119</v>
      </c>
      <c r="AG122" s="770">
        <v>119</v>
      </c>
      <c r="AH122" s="769">
        <v>0</v>
      </c>
      <c r="AI122" s="769">
        <v>0</v>
      </c>
      <c r="AJ122" s="769">
        <v>120.65972102871187</v>
      </c>
      <c r="AK122" s="769">
        <v>120.65972102871187</v>
      </c>
      <c r="AL122" s="769">
        <v>0</v>
      </c>
      <c r="AM122" s="769">
        <v>0</v>
      </c>
      <c r="AN122" s="769">
        <v>111.01656162565618</v>
      </c>
      <c r="AO122" s="769">
        <v>111.01656162565618</v>
      </c>
      <c r="AP122" s="769">
        <v>0</v>
      </c>
      <c r="AQ122" s="769">
        <v>0</v>
      </c>
      <c r="AR122" s="769">
        <v>0</v>
      </c>
      <c r="AS122" s="769">
        <v>111.99052522097364</v>
      </c>
      <c r="AT122" s="769">
        <v>116.24433547928949</v>
      </c>
      <c r="AU122" s="769">
        <v>120.65972102871187</v>
      </c>
      <c r="AV122" s="769">
        <v>125.24281909048734</v>
      </c>
      <c r="AW122" s="769">
        <v>130</v>
      </c>
      <c r="AX122" s="769">
        <v>103.5687139091018</v>
      </c>
      <c r="AY122" s="769">
        <v>107.2279931276332</v>
      </c>
      <c r="AZ122" s="769">
        <v>111.01656162565618</v>
      </c>
      <c r="BA122" s="769">
        <v>114.93898743878461</v>
      </c>
      <c r="BB122" s="769">
        <v>119</v>
      </c>
      <c r="BC122" s="769">
        <v>0</v>
      </c>
      <c r="BD122" s="769">
        <v>0</v>
      </c>
      <c r="BE122" s="769">
        <v>0</v>
      </c>
      <c r="BF122" s="769">
        <v>0</v>
      </c>
      <c r="BG122" s="769">
        <v>0</v>
      </c>
      <c r="BH122" s="771">
        <v>132.61811999163018</v>
      </c>
      <c r="BI122" s="771">
        <v>135.28896730857247</v>
      </c>
      <c r="BJ122" s="771">
        <v>138.01360384670767</v>
      </c>
      <c r="BK122" s="772">
        <v>139.25379187097778</v>
      </c>
      <c r="BL122" s="772">
        <v>140.49397989524795</v>
      </c>
      <c r="BM122" s="772">
        <v>141.73416791951809</v>
      </c>
      <c r="BN122" s="772">
        <v>142.97435594378823</v>
      </c>
      <c r="BO122" s="772">
        <v>144.44079694083842</v>
      </c>
      <c r="BP122" s="772">
        <v>145.9072379378886</v>
      </c>
      <c r="BQ122" s="772">
        <v>149.97263335764458</v>
      </c>
      <c r="BR122" s="772">
        <v>154.81627373558101</v>
      </c>
      <c r="BS122" s="772">
        <v>156.9430208638411</v>
      </c>
      <c r="BT122" s="772">
        <v>158.11093698491968</v>
      </c>
      <c r="BU122" s="772">
        <v>159.32042432539291</v>
      </c>
      <c r="BV122" s="772">
        <v>160.55901151944252</v>
      </c>
      <c r="BW122" s="771">
        <v>121.39658676156917</v>
      </c>
      <c r="BX122" s="771">
        <v>123.84143930553942</v>
      </c>
      <c r="BY122" s="771">
        <v>126.33552967506319</v>
      </c>
      <c r="BZ122" s="772">
        <v>127.4707787126643</v>
      </c>
      <c r="CA122" s="772">
        <v>128.60602775026544</v>
      </c>
      <c r="CB122" s="772">
        <v>129.74127678786658</v>
      </c>
      <c r="CC122" s="772">
        <v>130.8765258254677</v>
      </c>
      <c r="CD122" s="772">
        <v>132.21888335353671</v>
      </c>
      <c r="CE122" s="772">
        <v>133.56124088160573</v>
      </c>
      <c r="CF122" s="772">
        <v>137.28264130430543</v>
      </c>
      <c r="CG122" s="772">
        <v>141.71643518872415</v>
      </c>
      <c r="CH122" s="772">
        <v>143.66322679074688</v>
      </c>
      <c r="CI122" s="772">
        <v>144.73231924004187</v>
      </c>
      <c r="CJ122" s="772">
        <v>145.83946534401352</v>
      </c>
      <c r="CK122" s="772">
        <v>146.97324900625892</v>
      </c>
      <c r="CL122" s="771">
        <v>0</v>
      </c>
      <c r="CM122" s="771">
        <v>0</v>
      </c>
      <c r="CN122" s="771">
        <v>0</v>
      </c>
      <c r="CO122" s="772">
        <v>0</v>
      </c>
      <c r="CP122" s="772">
        <v>0</v>
      </c>
      <c r="CQ122" s="772">
        <v>0</v>
      </c>
      <c r="CR122" s="772">
        <v>0</v>
      </c>
      <c r="CS122" s="772">
        <v>0</v>
      </c>
      <c r="CT122" s="772">
        <v>0</v>
      </c>
      <c r="CU122" s="772">
        <v>0</v>
      </c>
      <c r="CV122" s="772">
        <v>0</v>
      </c>
      <c r="CW122" s="772">
        <v>0</v>
      </c>
      <c r="CX122" s="772">
        <v>0</v>
      </c>
      <c r="CY122" s="772">
        <v>0</v>
      </c>
      <c r="CZ122" s="772">
        <v>0</v>
      </c>
      <c r="DA122" s="773">
        <v>0</v>
      </c>
      <c r="DB122" s="773">
        <v>0</v>
      </c>
      <c r="DC122" s="773">
        <v>0</v>
      </c>
      <c r="DD122" s="774">
        <v>0</v>
      </c>
      <c r="DE122" s="774">
        <v>0</v>
      </c>
      <c r="DF122" s="774">
        <v>0</v>
      </c>
      <c r="DG122" s="774">
        <v>0</v>
      </c>
      <c r="DH122" s="774">
        <v>0</v>
      </c>
      <c r="DI122" s="774">
        <v>0</v>
      </c>
      <c r="DJ122" s="774">
        <v>0</v>
      </c>
      <c r="DK122" s="774">
        <v>0</v>
      </c>
      <c r="DL122" s="774">
        <v>0</v>
      </c>
      <c r="DM122" s="774">
        <v>0</v>
      </c>
      <c r="DN122" s="774">
        <v>0</v>
      </c>
      <c r="DO122" s="774">
        <v>0</v>
      </c>
      <c r="DP122" s="773">
        <v>0</v>
      </c>
      <c r="DQ122" s="773">
        <v>0</v>
      </c>
      <c r="DR122" s="773">
        <v>0</v>
      </c>
      <c r="DS122" s="774">
        <v>0</v>
      </c>
      <c r="DT122" s="774">
        <v>0</v>
      </c>
      <c r="DU122" s="774">
        <v>0</v>
      </c>
      <c r="DV122" s="774">
        <v>0</v>
      </c>
      <c r="DW122" s="774">
        <v>0</v>
      </c>
      <c r="DX122" s="774">
        <v>0</v>
      </c>
      <c r="DY122" s="774">
        <v>0</v>
      </c>
      <c r="DZ122" s="774">
        <v>0</v>
      </c>
      <c r="EA122" s="774">
        <v>0</v>
      </c>
      <c r="EB122" s="774">
        <v>0</v>
      </c>
      <c r="EC122" s="774">
        <v>0</v>
      </c>
      <c r="ED122" s="774">
        <v>0</v>
      </c>
    </row>
    <row r="123" spans="1:134" ht="15" x14ac:dyDescent="0.25">
      <c r="A123" s="766">
        <v>125</v>
      </c>
      <c r="B123" s="766">
        <v>89</v>
      </c>
      <c r="C123" s="766" t="s">
        <v>3794</v>
      </c>
      <c r="D123" s="2">
        <v>99705</v>
      </c>
      <c r="E123" s="2">
        <v>99705</v>
      </c>
      <c r="F123" s="767" t="s">
        <v>3746</v>
      </c>
      <c r="G123" s="114">
        <v>316</v>
      </c>
      <c r="H123" s="114">
        <v>116</v>
      </c>
      <c r="I123" s="114">
        <v>109</v>
      </c>
      <c r="J123" s="114">
        <v>7</v>
      </c>
      <c r="K123" s="114">
        <v>0</v>
      </c>
      <c r="L123" s="114">
        <v>117</v>
      </c>
      <c r="M123" s="114">
        <v>117</v>
      </c>
      <c r="N123" s="114">
        <v>0</v>
      </c>
      <c r="O123" s="114">
        <v>0</v>
      </c>
      <c r="P123" s="114">
        <v>0</v>
      </c>
      <c r="Q123" s="114">
        <v>117</v>
      </c>
      <c r="R123" s="114">
        <v>0</v>
      </c>
      <c r="S123" s="114">
        <v>2056.8803418803418</v>
      </c>
      <c r="T123" s="114">
        <v>2056.8803418803418</v>
      </c>
      <c r="U123" s="114">
        <v>0</v>
      </c>
      <c r="V123" s="114">
        <v>0</v>
      </c>
      <c r="W123" s="114">
        <v>0</v>
      </c>
      <c r="X123" s="114">
        <v>2056.8803418803418</v>
      </c>
      <c r="Y123" s="114">
        <v>0</v>
      </c>
      <c r="Z123" s="114">
        <v>116</v>
      </c>
      <c r="AA123" s="114">
        <v>0</v>
      </c>
      <c r="AB123" s="657">
        <v>0</v>
      </c>
      <c r="AC123" s="657">
        <v>0</v>
      </c>
      <c r="AD123" s="768">
        <v>116</v>
      </c>
      <c r="AE123" s="769">
        <v>0</v>
      </c>
      <c r="AF123" s="769">
        <v>109</v>
      </c>
      <c r="AG123" s="770">
        <v>109</v>
      </c>
      <c r="AH123" s="769">
        <v>0</v>
      </c>
      <c r="AI123" s="769">
        <v>0</v>
      </c>
      <c r="AJ123" s="769">
        <v>107.66559722561982</v>
      </c>
      <c r="AK123" s="769">
        <v>107.66559722561982</v>
      </c>
      <c r="AL123" s="769">
        <v>0</v>
      </c>
      <c r="AM123" s="769">
        <v>0</v>
      </c>
      <c r="AN123" s="769">
        <v>101.68743879997078</v>
      </c>
      <c r="AO123" s="769">
        <v>101.68743879997078</v>
      </c>
      <c r="AP123" s="769">
        <v>0</v>
      </c>
      <c r="AQ123" s="769">
        <v>0</v>
      </c>
      <c r="AR123" s="769">
        <v>0</v>
      </c>
      <c r="AS123" s="769">
        <v>99.930007120253407</v>
      </c>
      <c r="AT123" s="769">
        <v>103.72571473536601</v>
      </c>
      <c r="AU123" s="769">
        <v>107.66559722561982</v>
      </c>
      <c r="AV123" s="769">
        <v>111.75513088074256</v>
      </c>
      <c r="AW123" s="769">
        <v>116</v>
      </c>
      <c r="AX123" s="769">
        <v>94.865460639429386</v>
      </c>
      <c r="AY123" s="769">
        <v>98.217237402622004</v>
      </c>
      <c r="AZ123" s="769">
        <v>101.68743879997078</v>
      </c>
      <c r="BA123" s="769">
        <v>105.2802489985506</v>
      </c>
      <c r="BB123" s="769">
        <v>109</v>
      </c>
      <c r="BC123" s="769">
        <v>0</v>
      </c>
      <c r="BD123" s="769">
        <v>0</v>
      </c>
      <c r="BE123" s="769">
        <v>0</v>
      </c>
      <c r="BF123" s="769">
        <v>0</v>
      </c>
      <c r="BG123" s="769">
        <v>0</v>
      </c>
      <c r="BH123" s="771">
        <v>116.9357610144243</v>
      </c>
      <c r="BI123" s="771">
        <v>117.87907072433237</v>
      </c>
      <c r="BJ123" s="771">
        <v>118.82999002433579</v>
      </c>
      <c r="BK123" s="772">
        <v>122.02142347093863</v>
      </c>
      <c r="BL123" s="772">
        <v>125.21285691754146</v>
      </c>
      <c r="BM123" s="772">
        <v>128.40429036414434</v>
      </c>
      <c r="BN123" s="772">
        <v>131.59572381074716</v>
      </c>
      <c r="BO123" s="772">
        <v>135.36938454111095</v>
      </c>
      <c r="BP123" s="772">
        <v>139.1430452714747</v>
      </c>
      <c r="BQ123" s="772">
        <v>149.60471613296431</v>
      </c>
      <c r="BR123" s="772">
        <v>162.06908089294473</v>
      </c>
      <c r="BS123" s="772">
        <v>167.54193806038137</v>
      </c>
      <c r="BT123" s="772">
        <v>170.5473908616454</v>
      </c>
      <c r="BU123" s="772">
        <v>173.65982081266083</v>
      </c>
      <c r="BV123" s="772">
        <v>176.8471347685024</v>
      </c>
      <c r="BW123" s="771">
        <v>109.87929267734698</v>
      </c>
      <c r="BX123" s="771">
        <v>110.76567852545024</v>
      </c>
      <c r="BY123" s="771">
        <v>111.65921476424656</v>
      </c>
      <c r="BZ123" s="772">
        <v>114.6580617097613</v>
      </c>
      <c r="CA123" s="772">
        <v>117.65690865527603</v>
      </c>
      <c r="CB123" s="772">
        <v>120.6557556007908</v>
      </c>
      <c r="CC123" s="772">
        <v>123.65460254630553</v>
      </c>
      <c r="CD123" s="772">
        <v>127.20054237052666</v>
      </c>
      <c r="CE123" s="772">
        <v>130.74648219474778</v>
      </c>
      <c r="CF123" s="772">
        <v>140.57684533183715</v>
      </c>
      <c r="CG123" s="772">
        <v>152.28905014940497</v>
      </c>
      <c r="CH123" s="772">
        <v>157.4316486946687</v>
      </c>
      <c r="CI123" s="772">
        <v>160.25573796482195</v>
      </c>
      <c r="CJ123" s="772">
        <v>163.18034886706923</v>
      </c>
      <c r="CK123" s="772">
        <v>166.17532491178244</v>
      </c>
      <c r="CL123" s="771">
        <v>0</v>
      </c>
      <c r="CM123" s="771">
        <v>0</v>
      </c>
      <c r="CN123" s="771">
        <v>0</v>
      </c>
      <c r="CO123" s="772">
        <v>0</v>
      </c>
      <c r="CP123" s="772">
        <v>0</v>
      </c>
      <c r="CQ123" s="772">
        <v>0</v>
      </c>
      <c r="CR123" s="772">
        <v>0</v>
      </c>
      <c r="CS123" s="772">
        <v>0</v>
      </c>
      <c r="CT123" s="772">
        <v>0</v>
      </c>
      <c r="CU123" s="772">
        <v>0</v>
      </c>
      <c r="CV123" s="772">
        <v>0</v>
      </c>
      <c r="CW123" s="772">
        <v>0</v>
      </c>
      <c r="CX123" s="772">
        <v>0</v>
      </c>
      <c r="CY123" s="772">
        <v>0</v>
      </c>
      <c r="CZ123" s="772">
        <v>0</v>
      </c>
      <c r="DA123" s="773">
        <v>0</v>
      </c>
      <c r="DB123" s="773">
        <v>0</v>
      </c>
      <c r="DC123" s="773">
        <v>0</v>
      </c>
      <c r="DD123" s="774">
        <v>0</v>
      </c>
      <c r="DE123" s="774">
        <v>0</v>
      </c>
      <c r="DF123" s="774">
        <v>0</v>
      </c>
      <c r="DG123" s="774">
        <v>0</v>
      </c>
      <c r="DH123" s="774">
        <v>0</v>
      </c>
      <c r="DI123" s="774">
        <v>0</v>
      </c>
      <c r="DJ123" s="774">
        <v>0</v>
      </c>
      <c r="DK123" s="774">
        <v>0</v>
      </c>
      <c r="DL123" s="774">
        <v>0</v>
      </c>
      <c r="DM123" s="774">
        <v>0</v>
      </c>
      <c r="DN123" s="774">
        <v>0</v>
      </c>
      <c r="DO123" s="774">
        <v>0</v>
      </c>
      <c r="DP123" s="773">
        <v>0</v>
      </c>
      <c r="DQ123" s="773">
        <v>0</v>
      </c>
      <c r="DR123" s="773">
        <v>0</v>
      </c>
      <c r="DS123" s="774">
        <v>0</v>
      </c>
      <c r="DT123" s="774">
        <v>0</v>
      </c>
      <c r="DU123" s="774">
        <v>0</v>
      </c>
      <c r="DV123" s="774">
        <v>0</v>
      </c>
      <c r="DW123" s="774">
        <v>0</v>
      </c>
      <c r="DX123" s="774">
        <v>0</v>
      </c>
      <c r="DY123" s="774">
        <v>0</v>
      </c>
      <c r="DZ123" s="774">
        <v>0</v>
      </c>
      <c r="EA123" s="774">
        <v>0</v>
      </c>
      <c r="EB123" s="774">
        <v>0</v>
      </c>
      <c r="EC123" s="774">
        <v>0</v>
      </c>
      <c r="ED123" s="774">
        <v>0</v>
      </c>
    </row>
    <row r="124" spans="1:134" ht="15" x14ac:dyDescent="0.25">
      <c r="A124" s="766">
        <v>126</v>
      </c>
      <c r="B124" s="766">
        <v>89</v>
      </c>
      <c r="C124" s="766" t="s">
        <v>3795</v>
      </c>
      <c r="D124" s="2">
        <v>99705</v>
      </c>
      <c r="E124" s="2">
        <v>99705</v>
      </c>
      <c r="F124" s="767" t="s">
        <v>3746</v>
      </c>
      <c r="G124" s="114">
        <v>672</v>
      </c>
      <c r="H124" s="114">
        <v>250</v>
      </c>
      <c r="I124" s="114">
        <v>231</v>
      </c>
      <c r="J124" s="114">
        <v>19</v>
      </c>
      <c r="K124" s="114">
        <v>0</v>
      </c>
      <c r="L124" s="114">
        <v>59</v>
      </c>
      <c r="M124" s="114">
        <v>59</v>
      </c>
      <c r="N124" s="114">
        <v>1</v>
      </c>
      <c r="O124" s="114">
        <v>0</v>
      </c>
      <c r="P124" s="114">
        <v>0</v>
      </c>
      <c r="Q124" s="114">
        <v>60</v>
      </c>
      <c r="R124" s="114">
        <v>0</v>
      </c>
      <c r="S124" s="114">
        <v>2042</v>
      </c>
      <c r="T124" s="114">
        <v>2042</v>
      </c>
      <c r="U124" s="114">
        <v>2748</v>
      </c>
      <c r="V124" s="114">
        <v>0</v>
      </c>
      <c r="W124" s="114">
        <v>0</v>
      </c>
      <c r="X124" s="114">
        <v>2053.7666666666669</v>
      </c>
      <c r="Y124" s="114">
        <v>0</v>
      </c>
      <c r="Z124" s="114">
        <v>250</v>
      </c>
      <c r="AA124" s="114">
        <v>0</v>
      </c>
      <c r="AB124" s="657">
        <v>1</v>
      </c>
      <c r="AC124" s="657">
        <v>0</v>
      </c>
      <c r="AD124" s="768">
        <v>251</v>
      </c>
      <c r="AE124" s="769">
        <v>0</v>
      </c>
      <c r="AF124" s="769">
        <v>231</v>
      </c>
      <c r="AG124" s="770">
        <v>231</v>
      </c>
      <c r="AH124" s="769">
        <v>0</v>
      </c>
      <c r="AI124" s="769">
        <v>0</v>
      </c>
      <c r="AJ124" s="769">
        <v>232.03792505521514</v>
      </c>
      <c r="AK124" s="769">
        <v>232.03792505521514</v>
      </c>
      <c r="AL124" s="769">
        <v>0</v>
      </c>
      <c r="AM124" s="769">
        <v>0</v>
      </c>
      <c r="AN124" s="769">
        <v>215.50273727333257</v>
      </c>
      <c r="AO124" s="769">
        <v>215.50273727333257</v>
      </c>
      <c r="AP124" s="769">
        <v>0</v>
      </c>
      <c r="AQ124" s="769">
        <v>0.94010766733490925</v>
      </c>
      <c r="AR124" s="769">
        <v>0</v>
      </c>
      <c r="AS124" s="769">
        <v>215.36639465571855</v>
      </c>
      <c r="AT124" s="769">
        <v>223.54679899863362</v>
      </c>
      <c r="AU124" s="769">
        <v>232.03792505521514</v>
      </c>
      <c r="AV124" s="769">
        <v>240.85157517401413</v>
      </c>
      <c r="AW124" s="769">
        <v>250</v>
      </c>
      <c r="AX124" s="769">
        <v>201.0451505294329</v>
      </c>
      <c r="AY124" s="769">
        <v>208.14845724775859</v>
      </c>
      <c r="AZ124" s="769">
        <v>215.50273727333257</v>
      </c>
      <c r="BA124" s="769">
        <v>223.1168579694054</v>
      </c>
      <c r="BB124" s="769">
        <v>231</v>
      </c>
      <c r="BC124" s="769">
        <v>0.88380242618188454</v>
      </c>
      <c r="BD124" s="769">
        <v>0.91152039870909352</v>
      </c>
      <c r="BE124" s="769">
        <v>0.94010766733490925</v>
      </c>
      <c r="BF124" s="769">
        <v>0.96959149508177378</v>
      </c>
      <c r="BG124" s="769">
        <v>1</v>
      </c>
      <c r="BH124" s="771">
        <v>252.0167263241903</v>
      </c>
      <c r="BI124" s="771">
        <v>254.04972138864736</v>
      </c>
      <c r="BJ124" s="771">
        <v>256.09911643175815</v>
      </c>
      <c r="BK124" s="772">
        <v>262.97720575633321</v>
      </c>
      <c r="BL124" s="772">
        <v>269.85529508090832</v>
      </c>
      <c r="BM124" s="772">
        <v>276.73338440548343</v>
      </c>
      <c r="BN124" s="772">
        <v>283.61147373005855</v>
      </c>
      <c r="BO124" s="772">
        <v>291.74436323515289</v>
      </c>
      <c r="BP124" s="772">
        <v>299.87725274024723</v>
      </c>
      <c r="BQ124" s="772">
        <v>322.42395718311275</v>
      </c>
      <c r="BR124" s="772">
        <v>349.28681226927739</v>
      </c>
      <c r="BS124" s="772">
        <v>361.08176306116673</v>
      </c>
      <c r="BT124" s="772">
        <v>367.55903202940817</v>
      </c>
      <c r="BU124" s="772">
        <v>374.26685519970005</v>
      </c>
      <c r="BV124" s="772">
        <v>381.13606631142756</v>
      </c>
      <c r="BW124" s="771">
        <v>232.86345512355186</v>
      </c>
      <c r="BX124" s="771">
        <v>234.74194256311014</v>
      </c>
      <c r="BY124" s="771">
        <v>236.63558358294452</v>
      </c>
      <c r="BZ124" s="772">
        <v>242.99093811885189</v>
      </c>
      <c r="CA124" s="772">
        <v>249.34629265475928</v>
      </c>
      <c r="CB124" s="772">
        <v>255.70164719066671</v>
      </c>
      <c r="CC124" s="772">
        <v>262.05700172657407</v>
      </c>
      <c r="CD124" s="772">
        <v>269.57179162928122</v>
      </c>
      <c r="CE124" s="772">
        <v>277.08658153198843</v>
      </c>
      <c r="CF124" s="772">
        <v>297.91973643719615</v>
      </c>
      <c r="CG124" s="772">
        <v>322.74101453681232</v>
      </c>
      <c r="CH124" s="772">
        <v>333.63954906851808</v>
      </c>
      <c r="CI124" s="772">
        <v>339.62454559517312</v>
      </c>
      <c r="CJ124" s="772">
        <v>345.82257420452282</v>
      </c>
      <c r="CK124" s="772">
        <v>352.16972527175909</v>
      </c>
      <c r="CL124" s="771">
        <v>1.0080669052967612</v>
      </c>
      <c r="CM124" s="771">
        <v>1.0161988855545894</v>
      </c>
      <c r="CN124" s="771">
        <v>1.0243964657270326</v>
      </c>
      <c r="CO124" s="772">
        <v>1.0519088230253328</v>
      </c>
      <c r="CP124" s="772">
        <v>1.0794211803236333</v>
      </c>
      <c r="CQ124" s="772">
        <v>1.1069335376219338</v>
      </c>
      <c r="CR124" s="772">
        <v>1.1344458949202341</v>
      </c>
      <c r="CS124" s="772">
        <v>1.1669774529406114</v>
      </c>
      <c r="CT124" s="772">
        <v>1.1995090109609887</v>
      </c>
      <c r="CU124" s="772">
        <v>1.2896958287324509</v>
      </c>
      <c r="CV124" s="772">
        <v>1.3971472490771097</v>
      </c>
      <c r="CW124" s="772">
        <v>1.444327052244667</v>
      </c>
      <c r="CX124" s="772">
        <v>1.4702361281176326</v>
      </c>
      <c r="CY124" s="772">
        <v>1.4970674207988002</v>
      </c>
      <c r="CZ124" s="772">
        <v>1.5245442652457102</v>
      </c>
      <c r="DA124" s="773">
        <v>0</v>
      </c>
      <c r="DB124" s="773">
        <v>0</v>
      </c>
      <c r="DC124" s="773">
        <v>0</v>
      </c>
      <c r="DD124" s="774">
        <v>0</v>
      </c>
      <c r="DE124" s="774">
        <v>0</v>
      </c>
      <c r="DF124" s="774">
        <v>0</v>
      </c>
      <c r="DG124" s="774">
        <v>0</v>
      </c>
      <c r="DH124" s="774">
        <v>0</v>
      </c>
      <c r="DI124" s="774">
        <v>0</v>
      </c>
      <c r="DJ124" s="774">
        <v>0</v>
      </c>
      <c r="DK124" s="774">
        <v>0</v>
      </c>
      <c r="DL124" s="774">
        <v>0</v>
      </c>
      <c r="DM124" s="774">
        <v>0</v>
      </c>
      <c r="DN124" s="774">
        <v>0</v>
      </c>
      <c r="DO124" s="774">
        <v>0</v>
      </c>
      <c r="DP124" s="773">
        <v>0</v>
      </c>
      <c r="DQ124" s="773">
        <v>0</v>
      </c>
      <c r="DR124" s="773">
        <v>0</v>
      </c>
      <c r="DS124" s="774">
        <v>0</v>
      </c>
      <c r="DT124" s="774">
        <v>0</v>
      </c>
      <c r="DU124" s="774">
        <v>0</v>
      </c>
      <c r="DV124" s="774">
        <v>0</v>
      </c>
      <c r="DW124" s="774">
        <v>0</v>
      </c>
      <c r="DX124" s="774">
        <v>0</v>
      </c>
      <c r="DY124" s="774">
        <v>0</v>
      </c>
      <c r="DZ124" s="774">
        <v>0</v>
      </c>
      <c r="EA124" s="774">
        <v>0</v>
      </c>
      <c r="EB124" s="774">
        <v>0</v>
      </c>
      <c r="EC124" s="774">
        <v>0</v>
      </c>
      <c r="ED124" s="774">
        <v>0</v>
      </c>
    </row>
    <row r="125" spans="1:134" ht="15" x14ac:dyDescent="0.25">
      <c r="A125" s="766">
        <v>97</v>
      </c>
      <c r="B125" s="766">
        <v>90</v>
      </c>
      <c r="C125" s="766" t="s">
        <v>3796</v>
      </c>
      <c r="D125" s="2">
        <v>99709</v>
      </c>
      <c r="E125" s="2">
        <v>99709</v>
      </c>
      <c r="F125" s="767" t="s">
        <v>3676</v>
      </c>
      <c r="G125" s="114">
        <v>119</v>
      </c>
      <c r="H125" s="114">
        <v>56</v>
      </c>
      <c r="I125" s="114">
        <v>46</v>
      </c>
      <c r="J125" s="114">
        <v>10</v>
      </c>
      <c r="K125" s="114">
        <v>0</v>
      </c>
      <c r="L125" s="114">
        <v>67</v>
      </c>
      <c r="M125" s="114">
        <v>67</v>
      </c>
      <c r="N125" s="114">
        <v>0</v>
      </c>
      <c r="O125" s="114">
        <v>0</v>
      </c>
      <c r="P125" s="114">
        <v>0</v>
      </c>
      <c r="Q125" s="114">
        <v>67</v>
      </c>
      <c r="R125" s="114">
        <v>0</v>
      </c>
      <c r="S125" s="114">
        <v>1494.5074626865671</v>
      </c>
      <c r="T125" s="114">
        <v>1494.5074626865671</v>
      </c>
      <c r="U125" s="114">
        <v>0</v>
      </c>
      <c r="V125" s="114">
        <v>0</v>
      </c>
      <c r="W125" s="114">
        <v>0</v>
      </c>
      <c r="X125" s="114">
        <v>1494.5074626865671</v>
      </c>
      <c r="Y125" s="114">
        <v>0</v>
      </c>
      <c r="Z125" s="114">
        <v>56</v>
      </c>
      <c r="AA125" s="114">
        <v>0</v>
      </c>
      <c r="AB125" s="657">
        <v>0</v>
      </c>
      <c r="AC125" s="657">
        <v>0</v>
      </c>
      <c r="AD125" s="768">
        <v>56</v>
      </c>
      <c r="AE125" s="769">
        <v>0</v>
      </c>
      <c r="AF125" s="769">
        <v>46</v>
      </c>
      <c r="AG125" s="770">
        <v>46</v>
      </c>
      <c r="AH125" s="769">
        <v>0</v>
      </c>
      <c r="AI125" s="769">
        <v>0</v>
      </c>
      <c r="AJ125" s="769">
        <v>53.320870120433405</v>
      </c>
      <c r="AK125" s="769">
        <v>53.320870120433405</v>
      </c>
      <c r="AL125" s="769">
        <v>0</v>
      </c>
      <c r="AM125" s="769">
        <v>0</v>
      </c>
      <c r="AN125" s="769">
        <v>43.881912929306914</v>
      </c>
      <c r="AO125" s="769">
        <v>43.881912929306914</v>
      </c>
      <c r="AP125" s="769">
        <v>0</v>
      </c>
      <c r="AQ125" s="769">
        <v>0</v>
      </c>
      <c r="AR125" s="769">
        <v>0</v>
      </c>
      <c r="AS125" s="769">
        <v>50.769914114287992</v>
      </c>
      <c r="AT125" s="769">
        <v>52.029760680917114</v>
      </c>
      <c r="AU125" s="769">
        <v>53.320870120433405</v>
      </c>
      <c r="AV125" s="769">
        <v>54.644018215576629</v>
      </c>
      <c r="AW125" s="769">
        <v>56</v>
      </c>
      <c r="AX125" s="769">
        <v>41.861353963810281</v>
      </c>
      <c r="AY125" s="769">
        <v>42.859728064265873</v>
      </c>
      <c r="AZ125" s="769">
        <v>43.881912929306914</v>
      </c>
      <c r="BA125" s="769">
        <v>44.928476434752575</v>
      </c>
      <c r="BB125" s="769">
        <v>46</v>
      </c>
      <c r="BC125" s="769">
        <v>0</v>
      </c>
      <c r="BD125" s="769">
        <v>0</v>
      </c>
      <c r="BE125" s="769">
        <v>0</v>
      </c>
      <c r="BF125" s="769">
        <v>0</v>
      </c>
      <c r="BG125" s="769">
        <v>0</v>
      </c>
      <c r="BH125" s="771">
        <v>56.286867224625688</v>
      </c>
      <c r="BI125" s="771">
        <v>56.575203963618598</v>
      </c>
      <c r="BJ125" s="771">
        <v>56.865017744755654</v>
      </c>
      <c r="BK125" s="772">
        <v>57.012439495202976</v>
      </c>
      <c r="BL125" s="772">
        <v>57.159861245650298</v>
      </c>
      <c r="BM125" s="772">
        <v>57.307282996097612</v>
      </c>
      <c r="BN125" s="772">
        <v>57.454704746544934</v>
      </c>
      <c r="BO125" s="772">
        <v>57.629021297327682</v>
      </c>
      <c r="BP125" s="772">
        <v>57.803337848110445</v>
      </c>
      <c r="BQ125" s="772">
        <v>58.286593368493044</v>
      </c>
      <c r="BR125" s="772">
        <v>58.862359243569067</v>
      </c>
      <c r="BS125" s="772">
        <v>59.115166703624517</v>
      </c>
      <c r="BT125" s="772">
        <v>59.253997457974357</v>
      </c>
      <c r="BU125" s="772">
        <v>59.397769803285769</v>
      </c>
      <c r="BV125" s="772">
        <v>59.545001262270283</v>
      </c>
      <c r="BW125" s="771">
        <v>46.23564093451396</v>
      </c>
      <c r="BX125" s="771">
        <v>46.472488970115279</v>
      </c>
      <c r="BY125" s="771">
        <v>46.710550290335</v>
      </c>
      <c r="BZ125" s="772">
        <v>46.831646728202443</v>
      </c>
      <c r="CA125" s="772">
        <v>46.95274316606988</v>
      </c>
      <c r="CB125" s="772">
        <v>47.073839603937323</v>
      </c>
      <c r="CC125" s="772">
        <v>47.194936041804766</v>
      </c>
      <c r="CD125" s="772">
        <v>47.338124637090594</v>
      </c>
      <c r="CE125" s="772">
        <v>47.481313232376436</v>
      </c>
      <c r="CF125" s="772">
        <v>47.878273124119289</v>
      </c>
      <c r="CG125" s="772">
        <v>48.351223664360305</v>
      </c>
      <c r="CH125" s="772">
        <v>48.558886935120135</v>
      </c>
      <c r="CI125" s="772">
        <v>48.672926483336077</v>
      </c>
      <c r="CJ125" s="772">
        <v>48.791025195556166</v>
      </c>
      <c r="CK125" s="772">
        <v>48.911965322579164</v>
      </c>
      <c r="CL125" s="771">
        <v>0</v>
      </c>
      <c r="CM125" s="771">
        <v>0</v>
      </c>
      <c r="CN125" s="771">
        <v>0</v>
      </c>
      <c r="CO125" s="772">
        <v>0</v>
      </c>
      <c r="CP125" s="772">
        <v>0</v>
      </c>
      <c r="CQ125" s="772">
        <v>0</v>
      </c>
      <c r="CR125" s="772">
        <v>0</v>
      </c>
      <c r="CS125" s="772">
        <v>0</v>
      </c>
      <c r="CT125" s="772">
        <v>0</v>
      </c>
      <c r="CU125" s="772">
        <v>0</v>
      </c>
      <c r="CV125" s="772">
        <v>0</v>
      </c>
      <c r="CW125" s="772">
        <v>0</v>
      </c>
      <c r="CX125" s="772">
        <v>0</v>
      </c>
      <c r="CY125" s="772">
        <v>0</v>
      </c>
      <c r="CZ125" s="772">
        <v>0</v>
      </c>
      <c r="DA125" s="773">
        <v>0</v>
      </c>
      <c r="DB125" s="773">
        <v>0</v>
      </c>
      <c r="DC125" s="773">
        <v>0</v>
      </c>
      <c r="DD125" s="774">
        <v>0</v>
      </c>
      <c r="DE125" s="774">
        <v>0</v>
      </c>
      <c r="DF125" s="774">
        <v>0</v>
      </c>
      <c r="DG125" s="774">
        <v>0</v>
      </c>
      <c r="DH125" s="774">
        <v>0</v>
      </c>
      <c r="DI125" s="774">
        <v>0</v>
      </c>
      <c r="DJ125" s="774">
        <v>0</v>
      </c>
      <c r="DK125" s="774">
        <v>0</v>
      </c>
      <c r="DL125" s="774">
        <v>0</v>
      </c>
      <c r="DM125" s="774">
        <v>0</v>
      </c>
      <c r="DN125" s="774">
        <v>0</v>
      </c>
      <c r="DO125" s="774">
        <v>0</v>
      </c>
      <c r="DP125" s="773">
        <v>0</v>
      </c>
      <c r="DQ125" s="773">
        <v>0</v>
      </c>
      <c r="DR125" s="773">
        <v>0</v>
      </c>
      <c r="DS125" s="774">
        <v>0</v>
      </c>
      <c r="DT125" s="774">
        <v>0</v>
      </c>
      <c r="DU125" s="774">
        <v>0</v>
      </c>
      <c r="DV125" s="774">
        <v>0</v>
      </c>
      <c r="DW125" s="774">
        <v>0</v>
      </c>
      <c r="DX125" s="774">
        <v>0</v>
      </c>
      <c r="DY125" s="774">
        <v>0</v>
      </c>
      <c r="DZ125" s="774">
        <v>0</v>
      </c>
      <c r="EA125" s="774">
        <v>0</v>
      </c>
      <c r="EB125" s="774">
        <v>0</v>
      </c>
      <c r="EC125" s="774">
        <v>0</v>
      </c>
      <c r="ED125" s="774">
        <v>0</v>
      </c>
    </row>
    <row r="126" spans="1:134" ht="15" x14ac:dyDescent="0.25">
      <c r="A126" s="766">
        <v>98</v>
      </c>
      <c r="B126" s="766">
        <v>90</v>
      </c>
      <c r="C126" s="766" t="s">
        <v>3797</v>
      </c>
      <c r="D126" s="2">
        <v>99709</v>
      </c>
      <c r="E126" s="2">
        <v>99709</v>
      </c>
      <c r="F126" s="767" t="s">
        <v>3676</v>
      </c>
      <c r="G126" s="114">
        <v>223</v>
      </c>
      <c r="H126" s="114">
        <v>98</v>
      </c>
      <c r="I126" s="114">
        <v>90</v>
      </c>
      <c r="J126" s="114">
        <v>8</v>
      </c>
      <c r="K126" s="114">
        <v>0</v>
      </c>
      <c r="L126" s="114">
        <v>81</v>
      </c>
      <c r="M126" s="114">
        <v>81</v>
      </c>
      <c r="N126" s="114">
        <v>0</v>
      </c>
      <c r="O126" s="114">
        <v>0</v>
      </c>
      <c r="P126" s="114">
        <v>0</v>
      </c>
      <c r="Q126" s="114">
        <v>81</v>
      </c>
      <c r="R126" s="114">
        <v>0</v>
      </c>
      <c r="S126" s="114">
        <v>1854.1851851851852</v>
      </c>
      <c r="T126" s="114">
        <v>1854.1851851851852</v>
      </c>
      <c r="U126" s="114">
        <v>0</v>
      </c>
      <c r="V126" s="114">
        <v>0</v>
      </c>
      <c r="W126" s="114">
        <v>0</v>
      </c>
      <c r="X126" s="114">
        <v>1854.1851851851852</v>
      </c>
      <c r="Y126" s="114">
        <v>0</v>
      </c>
      <c r="Z126" s="114">
        <v>98</v>
      </c>
      <c r="AA126" s="114">
        <v>0</v>
      </c>
      <c r="AB126" s="657">
        <v>0</v>
      </c>
      <c r="AC126" s="657">
        <v>0</v>
      </c>
      <c r="AD126" s="768">
        <v>98</v>
      </c>
      <c r="AE126" s="769">
        <v>0</v>
      </c>
      <c r="AF126" s="769">
        <v>90</v>
      </c>
      <c r="AG126" s="770">
        <v>90</v>
      </c>
      <c r="AH126" s="769">
        <v>0</v>
      </c>
      <c r="AI126" s="769">
        <v>0</v>
      </c>
      <c r="AJ126" s="769">
        <v>93.311522710758453</v>
      </c>
      <c r="AK126" s="769">
        <v>93.311522710758453</v>
      </c>
      <c r="AL126" s="769">
        <v>0</v>
      </c>
      <c r="AM126" s="769">
        <v>0</v>
      </c>
      <c r="AN126" s="769">
        <v>85.855916600817864</v>
      </c>
      <c r="AO126" s="769">
        <v>85.855916600817864</v>
      </c>
      <c r="AP126" s="769">
        <v>0</v>
      </c>
      <c r="AQ126" s="769">
        <v>0</v>
      </c>
      <c r="AR126" s="769">
        <v>0</v>
      </c>
      <c r="AS126" s="769">
        <v>88.847349700003988</v>
      </c>
      <c r="AT126" s="769">
        <v>91.052081191604955</v>
      </c>
      <c r="AU126" s="769">
        <v>93.311522710758453</v>
      </c>
      <c r="AV126" s="769">
        <v>95.6270318772591</v>
      </c>
      <c r="AW126" s="769">
        <v>98</v>
      </c>
      <c r="AX126" s="769">
        <v>81.902649059628814</v>
      </c>
      <c r="AY126" s="769">
        <v>83.855989690954971</v>
      </c>
      <c r="AZ126" s="769">
        <v>85.855916600817864</v>
      </c>
      <c r="BA126" s="769">
        <v>87.903540850602866</v>
      </c>
      <c r="BB126" s="769">
        <v>90</v>
      </c>
      <c r="BC126" s="769">
        <v>0</v>
      </c>
      <c r="BD126" s="769">
        <v>0</v>
      </c>
      <c r="BE126" s="769">
        <v>0</v>
      </c>
      <c r="BF126" s="769">
        <v>0</v>
      </c>
      <c r="BG126" s="769">
        <v>0</v>
      </c>
      <c r="BH126" s="771">
        <v>98.915645772813818</v>
      </c>
      <c r="BI126" s="771">
        <v>99.839846720946753</v>
      </c>
      <c r="BJ126" s="771">
        <v>100.77268277817547</v>
      </c>
      <c r="BK126" s="772">
        <v>101.0676209726805</v>
      </c>
      <c r="BL126" s="772">
        <v>101.36255916718552</v>
      </c>
      <c r="BM126" s="772">
        <v>101.65749736169053</v>
      </c>
      <c r="BN126" s="772">
        <v>101.95243555619557</v>
      </c>
      <c r="BO126" s="772">
        <v>102.3011806267446</v>
      </c>
      <c r="BP126" s="772">
        <v>102.64992569729363</v>
      </c>
      <c r="BQ126" s="772">
        <v>103.61674714822442</v>
      </c>
      <c r="BR126" s="772">
        <v>104.76864873084209</v>
      </c>
      <c r="BS126" s="772">
        <v>105.27442603710736</v>
      </c>
      <c r="BT126" s="772">
        <v>105.55217672115138</v>
      </c>
      <c r="BU126" s="772">
        <v>105.83981376125729</v>
      </c>
      <c r="BV126" s="772">
        <v>106.13437125060656</v>
      </c>
      <c r="BW126" s="771">
        <v>90.840899179114729</v>
      </c>
      <c r="BX126" s="771">
        <v>91.689655151889866</v>
      </c>
      <c r="BY126" s="771">
        <v>92.546341326895842</v>
      </c>
      <c r="BZ126" s="772">
        <v>92.81720293409434</v>
      </c>
      <c r="CA126" s="772">
        <v>93.088064541292837</v>
      </c>
      <c r="CB126" s="772">
        <v>93.358926148491321</v>
      </c>
      <c r="CC126" s="772">
        <v>93.629787755689819</v>
      </c>
      <c r="CD126" s="772">
        <v>93.950063840887907</v>
      </c>
      <c r="CE126" s="772">
        <v>94.270339926085995</v>
      </c>
      <c r="CF126" s="772">
        <v>95.158237176940801</v>
      </c>
      <c r="CG126" s="772">
        <v>96.216105977303968</v>
      </c>
      <c r="CH126" s="772">
        <v>96.680595340200639</v>
      </c>
      <c r="CI126" s="772">
        <v>96.935672499016576</v>
      </c>
      <c r="CJ126" s="772">
        <v>97.199828964419964</v>
      </c>
      <c r="CK126" s="772">
        <v>97.470340944434597</v>
      </c>
      <c r="CL126" s="771">
        <v>0</v>
      </c>
      <c r="CM126" s="771">
        <v>0</v>
      </c>
      <c r="CN126" s="771">
        <v>0</v>
      </c>
      <c r="CO126" s="772">
        <v>0</v>
      </c>
      <c r="CP126" s="772">
        <v>0</v>
      </c>
      <c r="CQ126" s="772">
        <v>0</v>
      </c>
      <c r="CR126" s="772">
        <v>0</v>
      </c>
      <c r="CS126" s="772">
        <v>0</v>
      </c>
      <c r="CT126" s="772">
        <v>0</v>
      </c>
      <c r="CU126" s="772">
        <v>0</v>
      </c>
      <c r="CV126" s="772">
        <v>0</v>
      </c>
      <c r="CW126" s="772">
        <v>0</v>
      </c>
      <c r="CX126" s="772">
        <v>0</v>
      </c>
      <c r="CY126" s="772">
        <v>0</v>
      </c>
      <c r="CZ126" s="772">
        <v>0</v>
      </c>
      <c r="DA126" s="773">
        <v>0</v>
      </c>
      <c r="DB126" s="773">
        <v>0</v>
      </c>
      <c r="DC126" s="773">
        <v>0</v>
      </c>
      <c r="DD126" s="774">
        <v>0</v>
      </c>
      <c r="DE126" s="774">
        <v>0</v>
      </c>
      <c r="DF126" s="774">
        <v>0</v>
      </c>
      <c r="DG126" s="774">
        <v>0</v>
      </c>
      <c r="DH126" s="774">
        <v>0</v>
      </c>
      <c r="DI126" s="774">
        <v>0</v>
      </c>
      <c r="DJ126" s="774">
        <v>0</v>
      </c>
      <c r="DK126" s="774">
        <v>0</v>
      </c>
      <c r="DL126" s="774">
        <v>0</v>
      </c>
      <c r="DM126" s="774">
        <v>0</v>
      </c>
      <c r="DN126" s="774">
        <v>0</v>
      </c>
      <c r="DO126" s="774">
        <v>0</v>
      </c>
      <c r="DP126" s="773">
        <v>0</v>
      </c>
      <c r="DQ126" s="773">
        <v>0</v>
      </c>
      <c r="DR126" s="773">
        <v>0</v>
      </c>
      <c r="DS126" s="774">
        <v>0</v>
      </c>
      <c r="DT126" s="774">
        <v>0</v>
      </c>
      <c r="DU126" s="774">
        <v>0</v>
      </c>
      <c r="DV126" s="774">
        <v>0</v>
      </c>
      <c r="DW126" s="774">
        <v>0</v>
      </c>
      <c r="DX126" s="774">
        <v>0</v>
      </c>
      <c r="DY126" s="774">
        <v>0</v>
      </c>
      <c r="DZ126" s="774">
        <v>0</v>
      </c>
      <c r="EA126" s="774">
        <v>0</v>
      </c>
      <c r="EB126" s="774">
        <v>0</v>
      </c>
      <c r="EC126" s="774">
        <v>0</v>
      </c>
      <c r="ED126" s="774">
        <v>0</v>
      </c>
    </row>
    <row r="127" spans="1:134" ht="15" x14ac:dyDescent="0.25">
      <c r="A127" s="766">
        <v>99</v>
      </c>
      <c r="B127" s="766">
        <v>90</v>
      </c>
      <c r="C127" s="766" t="s">
        <v>3798</v>
      </c>
      <c r="D127" s="2">
        <v>99709</v>
      </c>
      <c r="E127" s="2">
        <v>99709</v>
      </c>
      <c r="F127" s="767" t="s">
        <v>3746</v>
      </c>
      <c r="G127" s="114">
        <v>438</v>
      </c>
      <c r="H127" s="114">
        <v>200</v>
      </c>
      <c r="I127" s="114">
        <v>180</v>
      </c>
      <c r="J127" s="114">
        <v>20</v>
      </c>
      <c r="K127" s="114">
        <v>1</v>
      </c>
      <c r="L127" s="114">
        <v>52</v>
      </c>
      <c r="M127" s="114">
        <v>53</v>
      </c>
      <c r="N127" s="114">
        <v>0</v>
      </c>
      <c r="O127" s="114">
        <v>0</v>
      </c>
      <c r="P127" s="114">
        <v>0</v>
      </c>
      <c r="Q127" s="114">
        <v>53</v>
      </c>
      <c r="R127" s="114">
        <v>4128</v>
      </c>
      <c r="S127" s="114">
        <v>3235.2692307692309</v>
      </c>
      <c r="T127" s="114">
        <v>3252.1132075471696</v>
      </c>
      <c r="U127" s="114">
        <v>0</v>
      </c>
      <c r="V127" s="114">
        <v>0</v>
      </c>
      <c r="W127" s="114">
        <v>0</v>
      </c>
      <c r="X127" s="114">
        <v>3252.1132075471696</v>
      </c>
      <c r="Y127" s="114">
        <v>3.7735849056603774</v>
      </c>
      <c r="Z127" s="114">
        <v>196.22641509433961</v>
      </c>
      <c r="AA127" s="114">
        <v>0</v>
      </c>
      <c r="AB127" s="657">
        <v>0</v>
      </c>
      <c r="AC127" s="657">
        <v>0</v>
      </c>
      <c r="AD127" s="768">
        <v>200</v>
      </c>
      <c r="AE127" s="769">
        <v>3.3962264150943393</v>
      </c>
      <c r="AF127" s="769">
        <v>176.60377358490564</v>
      </c>
      <c r="AG127" s="770">
        <v>179.99999999999997</v>
      </c>
      <c r="AH127" s="769">
        <v>0</v>
      </c>
      <c r="AI127" s="769">
        <v>3.5930505471990166</v>
      </c>
      <c r="AJ127" s="769">
        <v>186.83862845434885</v>
      </c>
      <c r="AK127" s="769">
        <v>190.43167900154788</v>
      </c>
      <c r="AL127" s="769">
        <v>0</v>
      </c>
      <c r="AM127" s="769">
        <v>3.2398459094648251</v>
      </c>
      <c r="AN127" s="769">
        <v>168.47198729217089</v>
      </c>
      <c r="AO127" s="769">
        <v>171.71183320163573</v>
      </c>
      <c r="AP127" s="769">
        <v>0</v>
      </c>
      <c r="AQ127" s="769">
        <v>0</v>
      </c>
      <c r="AR127" s="769">
        <v>0</v>
      </c>
      <c r="AS127" s="769">
        <v>181.32112183674283</v>
      </c>
      <c r="AT127" s="769">
        <v>185.82057386041828</v>
      </c>
      <c r="AU127" s="769">
        <v>190.43167900154788</v>
      </c>
      <c r="AV127" s="769">
        <v>195.15720791277369</v>
      </c>
      <c r="AW127" s="769">
        <v>200</v>
      </c>
      <c r="AX127" s="769">
        <v>163.8052981192576</v>
      </c>
      <c r="AY127" s="769">
        <v>167.71197938190991</v>
      </c>
      <c r="AZ127" s="769">
        <v>171.7118332016357</v>
      </c>
      <c r="BA127" s="769">
        <v>175.8070817012057</v>
      </c>
      <c r="BB127" s="769">
        <v>179.99999999999997</v>
      </c>
      <c r="BC127" s="769">
        <v>0</v>
      </c>
      <c r="BD127" s="769">
        <v>0</v>
      </c>
      <c r="BE127" s="769">
        <v>0</v>
      </c>
      <c r="BF127" s="769">
        <v>0</v>
      </c>
      <c r="BG127" s="769">
        <v>0</v>
      </c>
      <c r="BH127" s="771">
        <v>201.86866484247719</v>
      </c>
      <c r="BI127" s="771">
        <v>203.75478922642193</v>
      </c>
      <c r="BJ127" s="771">
        <v>205.65853628199076</v>
      </c>
      <c r="BK127" s="772">
        <v>206.94809536402113</v>
      </c>
      <c r="BL127" s="772">
        <v>208.23765444605144</v>
      </c>
      <c r="BM127" s="772">
        <v>209.52721352808175</v>
      </c>
      <c r="BN127" s="772">
        <v>210.81677261011211</v>
      </c>
      <c r="BO127" s="772">
        <v>212.34159164480695</v>
      </c>
      <c r="BP127" s="772">
        <v>213.86641067950183</v>
      </c>
      <c r="BQ127" s="772">
        <v>218.09364677837982</v>
      </c>
      <c r="BR127" s="772">
        <v>223.1301092479579</v>
      </c>
      <c r="BS127" s="772">
        <v>225.34152076037262</v>
      </c>
      <c r="BT127" s="772">
        <v>226.55593084296706</v>
      </c>
      <c r="BU127" s="772">
        <v>227.81356706746286</v>
      </c>
      <c r="BV127" s="772">
        <v>229.10146159128965</v>
      </c>
      <c r="BW127" s="771">
        <v>181.68179835822943</v>
      </c>
      <c r="BX127" s="771">
        <v>183.3793103037797</v>
      </c>
      <c r="BY127" s="771">
        <v>185.09268265379166</v>
      </c>
      <c r="BZ127" s="772">
        <v>186.25328582761898</v>
      </c>
      <c r="CA127" s="772">
        <v>187.41388900144625</v>
      </c>
      <c r="CB127" s="772">
        <v>188.57449217527355</v>
      </c>
      <c r="CC127" s="772">
        <v>189.73509534910087</v>
      </c>
      <c r="CD127" s="772">
        <v>191.10743248032622</v>
      </c>
      <c r="CE127" s="772">
        <v>192.4797696115516</v>
      </c>
      <c r="CF127" s="772">
        <v>196.28428210054182</v>
      </c>
      <c r="CG127" s="772">
        <v>200.81709832316207</v>
      </c>
      <c r="CH127" s="772">
        <v>202.8073686843353</v>
      </c>
      <c r="CI127" s="772">
        <v>203.90033775867033</v>
      </c>
      <c r="CJ127" s="772">
        <v>205.03221036071653</v>
      </c>
      <c r="CK127" s="772">
        <v>206.19131543216065</v>
      </c>
      <c r="CL127" s="771">
        <v>0</v>
      </c>
      <c r="CM127" s="771">
        <v>0</v>
      </c>
      <c r="CN127" s="771">
        <v>0</v>
      </c>
      <c r="CO127" s="772">
        <v>0</v>
      </c>
      <c r="CP127" s="772">
        <v>0</v>
      </c>
      <c r="CQ127" s="772">
        <v>0</v>
      </c>
      <c r="CR127" s="772">
        <v>0</v>
      </c>
      <c r="CS127" s="772">
        <v>0</v>
      </c>
      <c r="CT127" s="772">
        <v>0</v>
      </c>
      <c r="CU127" s="772">
        <v>0</v>
      </c>
      <c r="CV127" s="772">
        <v>0</v>
      </c>
      <c r="CW127" s="772">
        <v>0</v>
      </c>
      <c r="CX127" s="772">
        <v>0</v>
      </c>
      <c r="CY127" s="772">
        <v>0</v>
      </c>
      <c r="CZ127" s="772">
        <v>0</v>
      </c>
      <c r="DA127" s="773">
        <v>0</v>
      </c>
      <c r="DB127" s="773">
        <v>0</v>
      </c>
      <c r="DC127" s="773">
        <v>0</v>
      </c>
      <c r="DD127" s="774">
        <v>0</v>
      </c>
      <c r="DE127" s="774">
        <v>0</v>
      </c>
      <c r="DF127" s="774">
        <v>0</v>
      </c>
      <c r="DG127" s="774">
        <v>0</v>
      </c>
      <c r="DH127" s="774">
        <v>0</v>
      </c>
      <c r="DI127" s="774">
        <v>0</v>
      </c>
      <c r="DJ127" s="774">
        <v>0</v>
      </c>
      <c r="DK127" s="774">
        <v>0</v>
      </c>
      <c r="DL127" s="774">
        <v>0</v>
      </c>
      <c r="DM127" s="774">
        <v>0</v>
      </c>
      <c r="DN127" s="774">
        <v>0</v>
      </c>
      <c r="DO127" s="774">
        <v>0</v>
      </c>
      <c r="DP127" s="773">
        <v>0</v>
      </c>
      <c r="DQ127" s="773">
        <v>0</v>
      </c>
      <c r="DR127" s="773">
        <v>0</v>
      </c>
      <c r="DS127" s="774">
        <v>0</v>
      </c>
      <c r="DT127" s="774">
        <v>0</v>
      </c>
      <c r="DU127" s="774">
        <v>0</v>
      </c>
      <c r="DV127" s="774">
        <v>0</v>
      </c>
      <c r="DW127" s="774">
        <v>0</v>
      </c>
      <c r="DX127" s="774">
        <v>0</v>
      </c>
      <c r="DY127" s="774">
        <v>0</v>
      </c>
      <c r="DZ127" s="774">
        <v>0</v>
      </c>
      <c r="EA127" s="774">
        <v>0</v>
      </c>
      <c r="EB127" s="774">
        <v>0</v>
      </c>
      <c r="EC127" s="774">
        <v>0</v>
      </c>
      <c r="ED127" s="774">
        <v>0</v>
      </c>
    </row>
    <row r="128" spans="1:134" ht="15" x14ac:dyDescent="0.25">
      <c r="A128" s="766">
        <v>100</v>
      </c>
      <c r="B128" s="766">
        <v>90</v>
      </c>
      <c r="C128" s="766" t="s">
        <v>3799</v>
      </c>
      <c r="D128" s="2">
        <v>99709</v>
      </c>
      <c r="E128" s="2">
        <v>99709</v>
      </c>
      <c r="F128" s="767" t="s">
        <v>3746</v>
      </c>
      <c r="G128" s="114">
        <v>272</v>
      </c>
      <c r="H128" s="114">
        <v>114</v>
      </c>
      <c r="I128" s="114">
        <v>102</v>
      </c>
      <c r="J128" s="114">
        <v>12</v>
      </c>
      <c r="K128" s="114">
        <v>0</v>
      </c>
      <c r="L128" s="114">
        <v>121</v>
      </c>
      <c r="M128" s="114">
        <v>121</v>
      </c>
      <c r="N128" s="114">
        <v>1</v>
      </c>
      <c r="O128" s="114">
        <v>0</v>
      </c>
      <c r="P128" s="114">
        <v>0</v>
      </c>
      <c r="Q128" s="114">
        <v>122</v>
      </c>
      <c r="R128" s="114">
        <v>0</v>
      </c>
      <c r="S128" s="114">
        <v>2776.8099173553719</v>
      </c>
      <c r="T128" s="114">
        <v>2776.8099173553719</v>
      </c>
      <c r="U128" s="114">
        <v>832</v>
      </c>
      <c r="V128" s="114">
        <v>0</v>
      </c>
      <c r="W128" s="114">
        <v>0</v>
      </c>
      <c r="X128" s="114">
        <v>2760.8688524590166</v>
      </c>
      <c r="Y128" s="114">
        <v>0</v>
      </c>
      <c r="Z128" s="114">
        <v>114</v>
      </c>
      <c r="AA128" s="114">
        <v>0</v>
      </c>
      <c r="AB128" s="657">
        <v>1</v>
      </c>
      <c r="AC128" s="657">
        <v>0</v>
      </c>
      <c r="AD128" s="768">
        <v>115</v>
      </c>
      <c r="AE128" s="769">
        <v>0</v>
      </c>
      <c r="AF128" s="769">
        <v>102</v>
      </c>
      <c r="AG128" s="770">
        <v>102</v>
      </c>
      <c r="AH128" s="769">
        <v>0</v>
      </c>
      <c r="AI128" s="769">
        <v>0</v>
      </c>
      <c r="AJ128" s="769">
        <v>108.54605703088228</v>
      </c>
      <c r="AK128" s="769">
        <v>108.54605703088228</v>
      </c>
      <c r="AL128" s="769">
        <v>0</v>
      </c>
      <c r="AM128" s="769">
        <v>0</v>
      </c>
      <c r="AN128" s="769">
        <v>97.303372147593578</v>
      </c>
      <c r="AO128" s="769">
        <v>97.303372147593578</v>
      </c>
      <c r="AP128" s="769">
        <v>0</v>
      </c>
      <c r="AQ128" s="769">
        <v>0.95966573850124082</v>
      </c>
      <c r="AR128" s="769">
        <v>0</v>
      </c>
      <c r="AS128" s="769">
        <v>103.35303944694341</v>
      </c>
      <c r="AT128" s="769">
        <v>105.91772710043841</v>
      </c>
      <c r="AU128" s="769">
        <v>108.54605703088228</v>
      </c>
      <c r="AV128" s="769">
        <v>111.239608510281</v>
      </c>
      <c r="AW128" s="769">
        <v>114</v>
      </c>
      <c r="AX128" s="769">
        <v>92.823002267579312</v>
      </c>
      <c r="AY128" s="769">
        <v>95.036788316415638</v>
      </c>
      <c r="AZ128" s="769">
        <v>97.303372147593578</v>
      </c>
      <c r="BA128" s="769">
        <v>99.624012964016586</v>
      </c>
      <c r="BB128" s="769">
        <v>102</v>
      </c>
      <c r="BC128" s="769">
        <v>0.92095832965313207</v>
      </c>
      <c r="BD128" s="769">
        <v>0.94011284192667122</v>
      </c>
      <c r="BE128" s="769">
        <v>0.95966573850124082</v>
      </c>
      <c r="BF128" s="769">
        <v>0.97962530515561963</v>
      </c>
      <c r="BG128" s="769">
        <v>1</v>
      </c>
      <c r="BH128" s="771">
        <v>114.9214521355476</v>
      </c>
      <c r="BI128" s="771">
        <v>115.8503522889733</v>
      </c>
      <c r="BJ128" s="771">
        <v>116.78676066196115</v>
      </c>
      <c r="BK128" s="772">
        <v>117.312002628393</v>
      </c>
      <c r="BL128" s="772">
        <v>117.83724459482485</v>
      </c>
      <c r="BM128" s="772">
        <v>118.3624865612567</v>
      </c>
      <c r="BN128" s="772">
        <v>118.88772852768855</v>
      </c>
      <c r="BO128" s="772">
        <v>119.50879270334063</v>
      </c>
      <c r="BP128" s="772">
        <v>120.12985687899274</v>
      </c>
      <c r="BQ128" s="772">
        <v>121.85162506479045</v>
      </c>
      <c r="BR128" s="772">
        <v>123.90299400805475</v>
      </c>
      <c r="BS128" s="772">
        <v>124.803709723648</v>
      </c>
      <c r="BT128" s="772">
        <v>125.29834323732329</v>
      </c>
      <c r="BU128" s="772">
        <v>125.81058291118926</v>
      </c>
      <c r="BV128" s="772">
        <v>126.33514689718869</v>
      </c>
      <c r="BW128" s="771">
        <v>102.82445717391101</v>
      </c>
      <c r="BX128" s="771">
        <v>103.65557836381822</v>
      </c>
      <c r="BY128" s="771">
        <v>104.4934174343863</v>
      </c>
      <c r="BZ128" s="772">
        <v>104.96337077277269</v>
      </c>
      <c r="CA128" s="772">
        <v>105.43332411115908</v>
      </c>
      <c r="CB128" s="772">
        <v>105.90327744954547</v>
      </c>
      <c r="CC128" s="772">
        <v>106.37323078793186</v>
      </c>
      <c r="CD128" s="772">
        <v>106.92891978719952</v>
      </c>
      <c r="CE128" s="772">
        <v>107.48460878646719</v>
      </c>
      <c r="CF128" s="772">
        <v>109.02513821586516</v>
      </c>
      <c r="CG128" s="772">
        <v>110.86057358615425</v>
      </c>
      <c r="CH128" s="772">
        <v>111.66647712115874</v>
      </c>
      <c r="CI128" s="772">
        <v>112.10904394918401</v>
      </c>
      <c r="CJ128" s="772">
        <v>112.56736365737987</v>
      </c>
      <c r="CK128" s="772">
        <v>113.03671038169514</v>
      </c>
      <c r="CL128" s="771">
        <v>1.0080829134697158</v>
      </c>
      <c r="CM128" s="771">
        <v>1.0162311604295904</v>
      </c>
      <c r="CN128" s="771">
        <v>1.0244452689645716</v>
      </c>
      <c r="CO128" s="772">
        <v>1.0290526546350263</v>
      </c>
      <c r="CP128" s="772">
        <v>1.0336600403054812</v>
      </c>
      <c r="CQ128" s="772">
        <v>1.0382674259759359</v>
      </c>
      <c r="CR128" s="772">
        <v>1.0428748116463908</v>
      </c>
      <c r="CS128" s="772">
        <v>1.0483227430117599</v>
      </c>
      <c r="CT128" s="772">
        <v>1.0537706743771293</v>
      </c>
      <c r="CU128" s="772">
        <v>1.0688739040771094</v>
      </c>
      <c r="CV128" s="772">
        <v>1.0868683684917082</v>
      </c>
      <c r="CW128" s="772">
        <v>1.0947693835407719</v>
      </c>
      <c r="CX128" s="772">
        <v>1.0991082740116078</v>
      </c>
      <c r="CY128" s="772">
        <v>1.1036016044841164</v>
      </c>
      <c r="CZ128" s="772">
        <v>1.1082030429577956</v>
      </c>
      <c r="DA128" s="773">
        <v>0</v>
      </c>
      <c r="DB128" s="773">
        <v>0</v>
      </c>
      <c r="DC128" s="773">
        <v>0</v>
      </c>
      <c r="DD128" s="774">
        <v>0</v>
      </c>
      <c r="DE128" s="774">
        <v>0</v>
      </c>
      <c r="DF128" s="774">
        <v>0</v>
      </c>
      <c r="DG128" s="774">
        <v>0</v>
      </c>
      <c r="DH128" s="774">
        <v>0</v>
      </c>
      <c r="DI128" s="774">
        <v>0</v>
      </c>
      <c r="DJ128" s="774">
        <v>0</v>
      </c>
      <c r="DK128" s="774">
        <v>0</v>
      </c>
      <c r="DL128" s="774">
        <v>0</v>
      </c>
      <c r="DM128" s="774">
        <v>0</v>
      </c>
      <c r="DN128" s="774">
        <v>0</v>
      </c>
      <c r="DO128" s="774">
        <v>0</v>
      </c>
      <c r="DP128" s="773">
        <v>0</v>
      </c>
      <c r="DQ128" s="773">
        <v>0</v>
      </c>
      <c r="DR128" s="773">
        <v>0</v>
      </c>
      <c r="DS128" s="774">
        <v>0</v>
      </c>
      <c r="DT128" s="774">
        <v>0</v>
      </c>
      <c r="DU128" s="774">
        <v>0</v>
      </c>
      <c r="DV128" s="774">
        <v>0</v>
      </c>
      <c r="DW128" s="774">
        <v>0</v>
      </c>
      <c r="DX128" s="774">
        <v>0</v>
      </c>
      <c r="DY128" s="774">
        <v>0</v>
      </c>
      <c r="DZ128" s="774">
        <v>0</v>
      </c>
      <c r="EA128" s="774">
        <v>0</v>
      </c>
      <c r="EB128" s="774">
        <v>0</v>
      </c>
      <c r="EC128" s="774">
        <v>0</v>
      </c>
      <c r="ED128" s="774">
        <v>0</v>
      </c>
    </row>
    <row r="129" spans="1:134" ht="15" x14ac:dyDescent="0.25">
      <c r="A129" s="766">
        <v>101</v>
      </c>
      <c r="B129" s="766">
        <v>90</v>
      </c>
      <c r="C129" s="766" t="s">
        <v>3800</v>
      </c>
      <c r="D129" s="2">
        <v>99709</v>
      </c>
      <c r="E129" s="2">
        <v>99709</v>
      </c>
      <c r="F129" s="767" t="s">
        <v>3746</v>
      </c>
      <c r="G129" s="114">
        <v>18</v>
      </c>
      <c r="H129" s="114">
        <v>9</v>
      </c>
      <c r="I129" s="114">
        <v>8</v>
      </c>
      <c r="J129" s="114">
        <v>1</v>
      </c>
      <c r="K129" s="114">
        <v>0</v>
      </c>
      <c r="L129" s="114">
        <v>39</v>
      </c>
      <c r="M129" s="114">
        <v>39</v>
      </c>
      <c r="N129" s="114">
        <v>0</v>
      </c>
      <c r="O129" s="114">
        <v>0</v>
      </c>
      <c r="P129" s="114">
        <v>0</v>
      </c>
      <c r="Q129" s="114">
        <v>39</v>
      </c>
      <c r="R129" s="114">
        <v>0</v>
      </c>
      <c r="S129" s="114">
        <v>2900.7435897435898</v>
      </c>
      <c r="T129" s="114">
        <v>2900.7435897435898</v>
      </c>
      <c r="U129" s="114">
        <v>0</v>
      </c>
      <c r="V129" s="114">
        <v>0</v>
      </c>
      <c r="W129" s="114">
        <v>0</v>
      </c>
      <c r="X129" s="114">
        <v>2900.7435897435898</v>
      </c>
      <c r="Y129" s="114">
        <v>0</v>
      </c>
      <c r="Z129" s="114">
        <v>9</v>
      </c>
      <c r="AA129" s="114">
        <v>0</v>
      </c>
      <c r="AB129" s="657">
        <v>0</v>
      </c>
      <c r="AC129" s="657">
        <v>0</v>
      </c>
      <c r="AD129" s="768">
        <v>9</v>
      </c>
      <c r="AE129" s="769">
        <v>0</v>
      </c>
      <c r="AF129" s="769">
        <v>8</v>
      </c>
      <c r="AG129" s="770">
        <v>8</v>
      </c>
      <c r="AH129" s="769">
        <v>0</v>
      </c>
      <c r="AI129" s="769">
        <v>0</v>
      </c>
      <c r="AJ129" s="769">
        <v>8.569425555069655</v>
      </c>
      <c r="AK129" s="769">
        <v>8.569425555069655</v>
      </c>
      <c r="AL129" s="769">
        <v>0</v>
      </c>
      <c r="AM129" s="769">
        <v>0</v>
      </c>
      <c r="AN129" s="769">
        <v>7.6316370311838106</v>
      </c>
      <c r="AO129" s="769">
        <v>7.6316370311838106</v>
      </c>
      <c r="AP129" s="769">
        <v>0</v>
      </c>
      <c r="AQ129" s="769">
        <v>0</v>
      </c>
      <c r="AR129" s="769">
        <v>0</v>
      </c>
      <c r="AS129" s="769">
        <v>8.159450482653428</v>
      </c>
      <c r="AT129" s="769">
        <v>8.3619258237188223</v>
      </c>
      <c r="AU129" s="769">
        <v>8.569425555069655</v>
      </c>
      <c r="AV129" s="769">
        <v>8.7820743560748156</v>
      </c>
      <c r="AW129" s="769">
        <v>9</v>
      </c>
      <c r="AX129" s="769">
        <v>7.2802354719670053</v>
      </c>
      <c r="AY129" s="769">
        <v>7.4538657503071084</v>
      </c>
      <c r="AZ129" s="769">
        <v>7.6316370311838106</v>
      </c>
      <c r="BA129" s="769">
        <v>7.8136480756091444</v>
      </c>
      <c r="BB129" s="769">
        <v>8</v>
      </c>
      <c r="BC129" s="769">
        <v>0</v>
      </c>
      <c r="BD129" s="769">
        <v>0</v>
      </c>
      <c r="BE129" s="769">
        <v>0</v>
      </c>
      <c r="BF129" s="769">
        <v>0</v>
      </c>
      <c r="BG129" s="769">
        <v>0</v>
      </c>
      <c r="BH129" s="771">
        <v>9.0840899179114736</v>
      </c>
      <c r="BI129" s="771">
        <v>9.1689655151889866</v>
      </c>
      <c r="BJ129" s="771">
        <v>9.2546341326895849</v>
      </c>
      <c r="BK129" s="772">
        <v>9.3313441490793192</v>
      </c>
      <c r="BL129" s="772">
        <v>9.4080541654690517</v>
      </c>
      <c r="BM129" s="772">
        <v>9.4847641818587878</v>
      </c>
      <c r="BN129" s="772">
        <v>9.5614741982485203</v>
      </c>
      <c r="BO129" s="772">
        <v>9.6521787613606378</v>
      </c>
      <c r="BP129" s="772">
        <v>9.74288332447275</v>
      </c>
      <c r="BQ129" s="772">
        <v>9.9943424122701519</v>
      </c>
      <c r="BR129" s="772">
        <v>10.293938703724542</v>
      </c>
      <c r="BS129" s="772">
        <v>10.425485536844194</v>
      </c>
      <c r="BT129" s="772">
        <v>10.497725280364131</v>
      </c>
      <c r="BU129" s="772">
        <v>10.572536350859254</v>
      </c>
      <c r="BV129" s="772">
        <v>10.649147350237007</v>
      </c>
      <c r="BW129" s="771">
        <v>8.0747465936990874</v>
      </c>
      <c r="BX129" s="771">
        <v>8.1501915690568776</v>
      </c>
      <c r="BY129" s="771">
        <v>8.2263414512796302</v>
      </c>
      <c r="BZ129" s="772">
        <v>8.2945281325149498</v>
      </c>
      <c r="CA129" s="772">
        <v>8.3627148137502676</v>
      </c>
      <c r="CB129" s="772">
        <v>8.4309014949855889</v>
      </c>
      <c r="CC129" s="772">
        <v>8.4990881762209067</v>
      </c>
      <c r="CD129" s="772">
        <v>8.5797144545427884</v>
      </c>
      <c r="CE129" s="772">
        <v>8.6603407328646664</v>
      </c>
      <c r="CF129" s="772">
        <v>8.883859922017912</v>
      </c>
      <c r="CG129" s="772">
        <v>9.1501677366440362</v>
      </c>
      <c r="CH129" s="772">
        <v>9.2670982549726162</v>
      </c>
      <c r="CI129" s="772">
        <v>9.3313113603236708</v>
      </c>
      <c r="CJ129" s="772">
        <v>9.3978100896526691</v>
      </c>
      <c r="CK129" s="772">
        <v>9.4659087557662271</v>
      </c>
      <c r="CL129" s="771">
        <v>0</v>
      </c>
      <c r="CM129" s="771">
        <v>0</v>
      </c>
      <c r="CN129" s="771">
        <v>0</v>
      </c>
      <c r="CO129" s="772">
        <v>0</v>
      </c>
      <c r="CP129" s="772">
        <v>0</v>
      </c>
      <c r="CQ129" s="772">
        <v>0</v>
      </c>
      <c r="CR129" s="772">
        <v>0</v>
      </c>
      <c r="CS129" s="772">
        <v>0</v>
      </c>
      <c r="CT129" s="772">
        <v>0</v>
      </c>
      <c r="CU129" s="772">
        <v>0</v>
      </c>
      <c r="CV129" s="772">
        <v>0</v>
      </c>
      <c r="CW129" s="772">
        <v>0</v>
      </c>
      <c r="CX129" s="772">
        <v>0</v>
      </c>
      <c r="CY129" s="772">
        <v>0</v>
      </c>
      <c r="CZ129" s="772">
        <v>0</v>
      </c>
      <c r="DA129" s="773">
        <v>0</v>
      </c>
      <c r="DB129" s="773">
        <v>0</v>
      </c>
      <c r="DC129" s="773">
        <v>0</v>
      </c>
      <c r="DD129" s="774">
        <v>0</v>
      </c>
      <c r="DE129" s="774">
        <v>0</v>
      </c>
      <c r="DF129" s="774">
        <v>0</v>
      </c>
      <c r="DG129" s="774">
        <v>0</v>
      </c>
      <c r="DH129" s="774">
        <v>0</v>
      </c>
      <c r="DI129" s="774">
        <v>0</v>
      </c>
      <c r="DJ129" s="774">
        <v>0</v>
      </c>
      <c r="DK129" s="774">
        <v>0</v>
      </c>
      <c r="DL129" s="774">
        <v>0</v>
      </c>
      <c r="DM129" s="774">
        <v>0</v>
      </c>
      <c r="DN129" s="774">
        <v>0</v>
      </c>
      <c r="DO129" s="774">
        <v>0</v>
      </c>
      <c r="DP129" s="773">
        <v>0</v>
      </c>
      <c r="DQ129" s="773">
        <v>0</v>
      </c>
      <c r="DR129" s="773">
        <v>0</v>
      </c>
      <c r="DS129" s="774">
        <v>0</v>
      </c>
      <c r="DT129" s="774">
        <v>0</v>
      </c>
      <c r="DU129" s="774">
        <v>0</v>
      </c>
      <c r="DV129" s="774">
        <v>0</v>
      </c>
      <c r="DW129" s="774">
        <v>0</v>
      </c>
      <c r="DX129" s="774">
        <v>0</v>
      </c>
      <c r="DY129" s="774">
        <v>0</v>
      </c>
      <c r="DZ129" s="774">
        <v>0</v>
      </c>
      <c r="EA129" s="774">
        <v>0</v>
      </c>
      <c r="EB129" s="774">
        <v>0</v>
      </c>
      <c r="EC129" s="774">
        <v>0</v>
      </c>
      <c r="ED129" s="774">
        <v>0</v>
      </c>
    </row>
    <row r="130" spans="1:134" ht="15" x14ac:dyDescent="0.25">
      <c r="A130" s="766">
        <v>115</v>
      </c>
      <c r="B130" s="766">
        <v>90</v>
      </c>
      <c r="C130" s="766" t="s">
        <v>3801</v>
      </c>
      <c r="D130" s="2">
        <v>99705</v>
      </c>
      <c r="E130" s="2">
        <v>99705</v>
      </c>
      <c r="F130" s="767" t="s">
        <v>3746</v>
      </c>
      <c r="G130" s="114">
        <v>90</v>
      </c>
      <c r="H130" s="114">
        <v>51</v>
      </c>
      <c r="I130" s="114">
        <v>39</v>
      </c>
      <c r="J130" s="114">
        <v>12</v>
      </c>
      <c r="K130" s="114">
        <v>0</v>
      </c>
      <c r="L130" s="114">
        <v>16</v>
      </c>
      <c r="M130" s="114">
        <v>16</v>
      </c>
      <c r="N130" s="114">
        <v>9</v>
      </c>
      <c r="O130" s="114">
        <v>0</v>
      </c>
      <c r="P130" s="114">
        <v>0</v>
      </c>
      <c r="Q130" s="114">
        <v>25</v>
      </c>
      <c r="R130" s="114">
        <v>0</v>
      </c>
      <c r="S130" s="114">
        <v>1584.1875</v>
      </c>
      <c r="T130" s="114">
        <v>1584.1875</v>
      </c>
      <c r="U130" s="114">
        <v>6421.4444444444443</v>
      </c>
      <c r="V130" s="114">
        <v>0</v>
      </c>
      <c r="W130" s="114">
        <v>0</v>
      </c>
      <c r="X130" s="114">
        <v>3325.6</v>
      </c>
      <c r="Y130" s="114">
        <v>0</v>
      </c>
      <c r="Z130" s="114">
        <v>51</v>
      </c>
      <c r="AA130" s="114">
        <v>0</v>
      </c>
      <c r="AB130" s="657">
        <v>9</v>
      </c>
      <c r="AC130" s="657">
        <v>0</v>
      </c>
      <c r="AD130" s="768">
        <v>60</v>
      </c>
      <c r="AE130" s="769">
        <v>0</v>
      </c>
      <c r="AF130" s="769">
        <v>39</v>
      </c>
      <c r="AG130" s="770">
        <v>39</v>
      </c>
      <c r="AH130" s="769">
        <v>0</v>
      </c>
      <c r="AI130" s="769">
        <v>0</v>
      </c>
      <c r="AJ130" s="769">
        <v>47.335736711263884</v>
      </c>
      <c r="AK130" s="769">
        <v>47.335736711263884</v>
      </c>
      <c r="AL130" s="769">
        <v>0</v>
      </c>
      <c r="AM130" s="769">
        <v>0</v>
      </c>
      <c r="AN130" s="769">
        <v>36.38357902017303</v>
      </c>
      <c r="AO130" s="769">
        <v>36.38357902017303</v>
      </c>
      <c r="AP130" s="769">
        <v>0</v>
      </c>
      <c r="AQ130" s="769">
        <v>8.4609690060141833</v>
      </c>
      <c r="AR130" s="769">
        <v>0</v>
      </c>
      <c r="AS130" s="769">
        <v>43.934744509766581</v>
      </c>
      <c r="AT130" s="769">
        <v>45.60354699572126</v>
      </c>
      <c r="AU130" s="769">
        <v>47.335736711263884</v>
      </c>
      <c r="AV130" s="769">
        <v>49.133721335498883</v>
      </c>
      <c r="AW130" s="769">
        <v>51</v>
      </c>
      <c r="AX130" s="769">
        <v>33.942687751722438</v>
      </c>
      <c r="AY130" s="769">
        <v>35.141947327543654</v>
      </c>
      <c r="AZ130" s="769">
        <v>36.38357902017303</v>
      </c>
      <c r="BA130" s="769">
        <v>37.669079916912601</v>
      </c>
      <c r="BB130" s="769">
        <v>39</v>
      </c>
      <c r="BC130" s="769">
        <v>7.9542218356369609</v>
      </c>
      <c r="BD130" s="769">
        <v>8.2036835883818426</v>
      </c>
      <c r="BE130" s="769">
        <v>8.4609690060141833</v>
      </c>
      <c r="BF130" s="769">
        <v>8.7263234557359635</v>
      </c>
      <c r="BG130" s="769">
        <v>9</v>
      </c>
      <c r="BH130" s="771">
        <v>51.523962384746262</v>
      </c>
      <c r="BI130" s="771">
        <v>52.053307839700928</v>
      </c>
      <c r="BJ130" s="771">
        <v>52.588091669301335</v>
      </c>
      <c r="BK130" s="772">
        <v>54.337741062982964</v>
      </c>
      <c r="BL130" s="772">
        <v>56.087390456664586</v>
      </c>
      <c r="BM130" s="772">
        <v>57.837039850346201</v>
      </c>
      <c r="BN130" s="772">
        <v>59.586689244027831</v>
      </c>
      <c r="BO130" s="772">
        <v>61.655534895773854</v>
      </c>
      <c r="BP130" s="772">
        <v>63.724380547519885</v>
      </c>
      <c r="BQ130" s="772">
        <v>69.459814604334142</v>
      </c>
      <c r="BR130" s="772">
        <v>76.293191708951625</v>
      </c>
      <c r="BS130" s="772">
        <v>79.29359305991963</v>
      </c>
      <c r="BT130" s="772">
        <v>80.941281711258355</v>
      </c>
      <c r="BU130" s="772">
        <v>82.647618775083842</v>
      </c>
      <c r="BV130" s="772">
        <v>84.395009727650077</v>
      </c>
      <c r="BW130" s="771">
        <v>39.400677117747136</v>
      </c>
      <c r="BX130" s="771">
        <v>39.805470700947765</v>
      </c>
      <c r="BY130" s="771">
        <v>40.214423041230432</v>
      </c>
      <c r="BZ130" s="772">
        <v>41.552390224634031</v>
      </c>
      <c r="CA130" s="772">
        <v>42.890357408037623</v>
      </c>
      <c r="CB130" s="772">
        <v>44.228324591441215</v>
      </c>
      <c r="CC130" s="772">
        <v>45.566291774844814</v>
      </c>
      <c r="CD130" s="772">
        <v>47.148350214415302</v>
      </c>
      <c r="CE130" s="772">
        <v>48.730408653985798</v>
      </c>
      <c r="CF130" s="772">
        <v>53.116328815079044</v>
      </c>
      <c r="CG130" s="772">
        <v>58.341852483315947</v>
      </c>
      <c r="CH130" s="772">
        <v>60.63627704582089</v>
      </c>
      <c r="CI130" s="772">
        <v>61.896274249785804</v>
      </c>
      <c r="CJ130" s="772">
        <v>63.201120239769999</v>
      </c>
      <c r="CK130" s="772">
        <v>64.537360379967708</v>
      </c>
      <c r="CL130" s="771">
        <v>9.0924639502493392</v>
      </c>
      <c r="CM130" s="771">
        <v>9.18587785406487</v>
      </c>
      <c r="CN130" s="771">
        <v>9.2802514710531767</v>
      </c>
      <c r="CO130" s="772">
        <v>9.5890131287616995</v>
      </c>
      <c r="CP130" s="772">
        <v>9.8977747864702206</v>
      </c>
      <c r="CQ130" s="772">
        <v>10.206536444178742</v>
      </c>
      <c r="CR130" s="772">
        <v>10.515298101887264</v>
      </c>
      <c r="CS130" s="772">
        <v>10.880388511018916</v>
      </c>
      <c r="CT130" s="772">
        <v>11.245478920150568</v>
      </c>
      <c r="CU130" s="772">
        <v>12.257614341941318</v>
      </c>
      <c r="CV130" s="772">
        <v>13.463504419226757</v>
      </c>
      <c r="CW130" s="772">
        <v>13.992987010574051</v>
      </c>
      <c r="CX130" s="772">
        <v>14.283755596104417</v>
      </c>
      <c r="CY130" s="772">
        <v>14.584873901485384</v>
      </c>
      <c r="CZ130" s="772">
        <v>14.893237010761778</v>
      </c>
      <c r="DA130" s="773">
        <v>0</v>
      </c>
      <c r="DB130" s="773">
        <v>0</v>
      </c>
      <c r="DC130" s="773">
        <v>0</v>
      </c>
      <c r="DD130" s="774">
        <v>0</v>
      </c>
      <c r="DE130" s="774">
        <v>0</v>
      </c>
      <c r="DF130" s="774">
        <v>0</v>
      </c>
      <c r="DG130" s="774">
        <v>0</v>
      </c>
      <c r="DH130" s="774">
        <v>0</v>
      </c>
      <c r="DI130" s="774">
        <v>0</v>
      </c>
      <c r="DJ130" s="774">
        <v>0</v>
      </c>
      <c r="DK130" s="774">
        <v>0</v>
      </c>
      <c r="DL130" s="774">
        <v>0</v>
      </c>
      <c r="DM130" s="774">
        <v>0</v>
      </c>
      <c r="DN130" s="774">
        <v>0</v>
      </c>
      <c r="DO130" s="774">
        <v>0</v>
      </c>
      <c r="DP130" s="773">
        <v>0</v>
      </c>
      <c r="DQ130" s="773">
        <v>0</v>
      </c>
      <c r="DR130" s="773">
        <v>0</v>
      </c>
      <c r="DS130" s="774">
        <v>0</v>
      </c>
      <c r="DT130" s="774">
        <v>0</v>
      </c>
      <c r="DU130" s="774">
        <v>0</v>
      </c>
      <c r="DV130" s="774">
        <v>0</v>
      </c>
      <c r="DW130" s="774">
        <v>0</v>
      </c>
      <c r="DX130" s="774">
        <v>0</v>
      </c>
      <c r="DY130" s="774">
        <v>0</v>
      </c>
      <c r="DZ130" s="774">
        <v>0</v>
      </c>
      <c r="EA130" s="774">
        <v>0</v>
      </c>
      <c r="EB130" s="774">
        <v>0</v>
      </c>
      <c r="EC130" s="774">
        <v>0</v>
      </c>
      <c r="ED130" s="774">
        <v>0</v>
      </c>
    </row>
    <row r="131" spans="1:134" ht="15" x14ac:dyDescent="0.25">
      <c r="A131" s="766">
        <v>116</v>
      </c>
      <c r="B131" s="766">
        <v>90</v>
      </c>
      <c r="C131" s="766" t="s">
        <v>3802</v>
      </c>
      <c r="D131" s="2">
        <v>99705</v>
      </c>
      <c r="E131" s="2">
        <v>99705</v>
      </c>
      <c r="F131" s="767" t="s">
        <v>3746</v>
      </c>
      <c r="G131" s="114">
        <v>114</v>
      </c>
      <c r="H131" s="114">
        <v>50</v>
      </c>
      <c r="I131" s="114">
        <v>41</v>
      </c>
      <c r="J131" s="114">
        <v>9</v>
      </c>
      <c r="K131" s="114">
        <v>0</v>
      </c>
      <c r="L131" s="114">
        <v>40</v>
      </c>
      <c r="M131" s="114">
        <v>40</v>
      </c>
      <c r="N131" s="114">
        <v>14</v>
      </c>
      <c r="O131" s="114">
        <v>0</v>
      </c>
      <c r="P131" s="114">
        <v>0</v>
      </c>
      <c r="Q131" s="114">
        <v>54</v>
      </c>
      <c r="R131" s="114">
        <v>0</v>
      </c>
      <c r="S131" s="114">
        <v>1491.675</v>
      </c>
      <c r="T131" s="114">
        <v>1491.675</v>
      </c>
      <c r="U131" s="114">
        <v>6842.1428571428569</v>
      </c>
      <c r="V131" s="114">
        <v>0</v>
      </c>
      <c r="W131" s="114">
        <v>0</v>
      </c>
      <c r="X131" s="114">
        <v>2878.8333333333335</v>
      </c>
      <c r="Y131" s="114">
        <v>0</v>
      </c>
      <c r="Z131" s="114">
        <v>50</v>
      </c>
      <c r="AA131" s="114">
        <v>0</v>
      </c>
      <c r="AB131" s="657">
        <v>14</v>
      </c>
      <c r="AC131" s="657">
        <v>0</v>
      </c>
      <c r="AD131" s="768">
        <v>64</v>
      </c>
      <c r="AE131" s="769">
        <v>0</v>
      </c>
      <c r="AF131" s="769">
        <v>41</v>
      </c>
      <c r="AG131" s="770">
        <v>41</v>
      </c>
      <c r="AH131" s="769">
        <v>0</v>
      </c>
      <c r="AI131" s="769">
        <v>0</v>
      </c>
      <c r="AJ131" s="769">
        <v>46.407585011043025</v>
      </c>
      <c r="AK131" s="769">
        <v>46.407585011043025</v>
      </c>
      <c r="AL131" s="769">
        <v>0</v>
      </c>
      <c r="AM131" s="769">
        <v>0</v>
      </c>
      <c r="AN131" s="769">
        <v>38.249403585310112</v>
      </c>
      <c r="AO131" s="769">
        <v>38.249403585310112</v>
      </c>
      <c r="AP131" s="769">
        <v>0</v>
      </c>
      <c r="AQ131" s="769">
        <v>13.161507342688731</v>
      </c>
      <c r="AR131" s="769">
        <v>0</v>
      </c>
      <c r="AS131" s="769">
        <v>43.073278931143712</v>
      </c>
      <c r="AT131" s="769">
        <v>44.709359799726727</v>
      </c>
      <c r="AU131" s="769">
        <v>46.407585011043025</v>
      </c>
      <c r="AV131" s="769">
        <v>48.170315034802826</v>
      </c>
      <c r="AW131" s="769">
        <v>50</v>
      </c>
      <c r="AX131" s="769">
        <v>35.683338405656926</v>
      </c>
      <c r="AY131" s="769">
        <v>36.944098472545896</v>
      </c>
      <c r="AZ131" s="769">
        <v>38.249403585310112</v>
      </c>
      <c r="BA131" s="769">
        <v>39.600827604959399</v>
      </c>
      <c r="BB131" s="769">
        <v>41</v>
      </c>
      <c r="BC131" s="769">
        <v>12.373233966546383</v>
      </c>
      <c r="BD131" s="769">
        <v>12.761285581927309</v>
      </c>
      <c r="BE131" s="769">
        <v>13.161507342688731</v>
      </c>
      <c r="BF131" s="769">
        <v>13.574280931144832</v>
      </c>
      <c r="BG131" s="769">
        <v>14</v>
      </c>
      <c r="BH131" s="771">
        <v>50.513688612496331</v>
      </c>
      <c r="BI131" s="771">
        <v>51.03265474480483</v>
      </c>
      <c r="BJ131" s="771">
        <v>51.556952616962093</v>
      </c>
      <c r="BK131" s="772">
        <v>51.796420556709741</v>
      </c>
      <c r="BL131" s="772">
        <v>52.035888496457382</v>
      </c>
      <c r="BM131" s="772">
        <v>52.275356436205016</v>
      </c>
      <c r="BN131" s="772">
        <v>52.514824375952664</v>
      </c>
      <c r="BO131" s="772">
        <v>52.797979508442957</v>
      </c>
      <c r="BP131" s="772">
        <v>53.08113464093325</v>
      </c>
      <c r="BQ131" s="772">
        <v>53.866121954450811</v>
      </c>
      <c r="BR131" s="772">
        <v>54.801380608367857</v>
      </c>
      <c r="BS131" s="772">
        <v>55.212034269911143</v>
      </c>
      <c r="BT131" s="772">
        <v>55.437547225881943</v>
      </c>
      <c r="BU131" s="772">
        <v>55.671087169750081</v>
      </c>
      <c r="BV131" s="772">
        <v>55.910246005146355</v>
      </c>
      <c r="BW131" s="771">
        <v>41.421224662246992</v>
      </c>
      <c r="BX131" s="771">
        <v>41.84677689073996</v>
      </c>
      <c r="BY131" s="771">
        <v>42.276701145908916</v>
      </c>
      <c r="BZ131" s="772">
        <v>42.473064856501985</v>
      </c>
      <c r="CA131" s="772">
        <v>42.669428567095053</v>
      </c>
      <c r="CB131" s="772">
        <v>42.865792277688115</v>
      </c>
      <c r="CC131" s="772">
        <v>43.062155988281184</v>
      </c>
      <c r="CD131" s="772">
        <v>43.294343196923229</v>
      </c>
      <c r="CE131" s="772">
        <v>43.526530405565268</v>
      </c>
      <c r="CF131" s="772">
        <v>44.170220002649664</v>
      </c>
      <c r="CG131" s="772">
        <v>44.937132098861646</v>
      </c>
      <c r="CH131" s="772">
        <v>45.273868101327139</v>
      </c>
      <c r="CI131" s="772">
        <v>45.458788725223194</v>
      </c>
      <c r="CJ131" s="772">
        <v>45.650291479195062</v>
      </c>
      <c r="CK131" s="772">
        <v>45.846401724220016</v>
      </c>
      <c r="CL131" s="771">
        <v>14.143832811498973</v>
      </c>
      <c r="CM131" s="771">
        <v>14.289143328545352</v>
      </c>
      <c r="CN131" s="771">
        <v>14.435946732749386</v>
      </c>
      <c r="CO131" s="772">
        <v>14.502997755878727</v>
      </c>
      <c r="CP131" s="772">
        <v>14.570048779008067</v>
      </c>
      <c r="CQ131" s="772">
        <v>14.637099802137405</v>
      </c>
      <c r="CR131" s="772">
        <v>14.704150825266746</v>
      </c>
      <c r="CS131" s="772">
        <v>14.783434262364029</v>
      </c>
      <c r="CT131" s="772">
        <v>14.86271769946131</v>
      </c>
      <c r="CU131" s="772">
        <v>15.082514147246227</v>
      </c>
      <c r="CV131" s="772">
        <v>15.344386570343001</v>
      </c>
      <c r="CW131" s="772">
        <v>15.45936959557512</v>
      </c>
      <c r="CX131" s="772">
        <v>15.522513223246943</v>
      </c>
      <c r="CY131" s="772">
        <v>15.587904407530022</v>
      </c>
      <c r="CZ131" s="772">
        <v>15.654868881440981</v>
      </c>
      <c r="DA131" s="773">
        <v>0</v>
      </c>
      <c r="DB131" s="773">
        <v>0</v>
      </c>
      <c r="DC131" s="773">
        <v>0</v>
      </c>
      <c r="DD131" s="774">
        <v>0</v>
      </c>
      <c r="DE131" s="774">
        <v>0</v>
      </c>
      <c r="DF131" s="774">
        <v>0</v>
      </c>
      <c r="DG131" s="774">
        <v>0</v>
      </c>
      <c r="DH131" s="774">
        <v>0</v>
      </c>
      <c r="DI131" s="774">
        <v>0</v>
      </c>
      <c r="DJ131" s="774">
        <v>0</v>
      </c>
      <c r="DK131" s="774">
        <v>0</v>
      </c>
      <c r="DL131" s="774">
        <v>0</v>
      </c>
      <c r="DM131" s="774">
        <v>0</v>
      </c>
      <c r="DN131" s="774">
        <v>0</v>
      </c>
      <c r="DO131" s="774">
        <v>0</v>
      </c>
      <c r="DP131" s="773">
        <v>0</v>
      </c>
      <c r="DQ131" s="773">
        <v>0</v>
      </c>
      <c r="DR131" s="773">
        <v>0</v>
      </c>
      <c r="DS131" s="774">
        <v>0</v>
      </c>
      <c r="DT131" s="774">
        <v>0</v>
      </c>
      <c r="DU131" s="774">
        <v>0</v>
      </c>
      <c r="DV131" s="774">
        <v>0</v>
      </c>
      <c r="DW131" s="774">
        <v>0</v>
      </c>
      <c r="DX131" s="774">
        <v>0</v>
      </c>
      <c r="DY131" s="774">
        <v>0</v>
      </c>
      <c r="DZ131" s="774">
        <v>0</v>
      </c>
      <c r="EA131" s="774">
        <v>0</v>
      </c>
      <c r="EB131" s="774">
        <v>0</v>
      </c>
      <c r="EC131" s="774">
        <v>0</v>
      </c>
      <c r="ED131" s="774">
        <v>0</v>
      </c>
    </row>
    <row r="132" spans="1:134" ht="15" x14ac:dyDescent="0.25">
      <c r="A132" s="766">
        <v>118</v>
      </c>
      <c r="B132" s="766">
        <v>90</v>
      </c>
      <c r="C132" s="766" t="s">
        <v>3803</v>
      </c>
      <c r="D132" s="2">
        <v>99705</v>
      </c>
      <c r="E132" s="2">
        <v>99705</v>
      </c>
      <c r="F132" s="767" t="s">
        <v>3746</v>
      </c>
      <c r="G132" s="114">
        <v>242</v>
      </c>
      <c r="H132" s="114">
        <v>103</v>
      </c>
      <c r="I132" s="114">
        <v>88</v>
      </c>
      <c r="J132" s="114">
        <v>15</v>
      </c>
      <c r="K132" s="114">
        <v>0</v>
      </c>
      <c r="L132" s="114">
        <v>1</v>
      </c>
      <c r="M132" s="114">
        <v>1</v>
      </c>
      <c r="N132" s="114">
        <v>0</v>
      </c>
      <c r="O132" s="114">
        <v>0</v>
      </c>
      <c r="P132" s="114">
        <v>0</v>
      </c>
      <c r="Q132" s="114">
        <v>1</v>
      </c>
      <c r="R132" s="114">
        <v>0</v>
      </c>
      <c r="S132" s="114">
        <v>720</v>
      </c>
      <c r="T132" s="114">
        <v>720</v>
      </c>
      <c r="U132" s="114">
        <v>0</v>
      </c>
      <c r="V132" s="114">
        <v>0</v>
      </c>
      <c r="W132" s="114">
        <v>0</v>
      </c>
      <c r="X132" s="114">
        <v>720</v>
      </c>
      <c r="Y132" s="114">
        <v>0</v>
      </c>
      <c r="Z132" s="114">
        <v>103</v>
      </c>
      <c r="AA132" s="114">
        <v>0</v>
      </c>
      <c r="AB132" s="657">
        <v>0</v>
      </c>
      <c r="AC132" s="657">
        <v>0</v>
      </c>
      <c r="AD132" s="768">
        <v>103</v>
      </c>
      <c r="AE132" s="769">
        <v>0</v>
      </c>
      <c r="AF132" s="769">
        <v>88</v>
      </c>
      <c r="AG132" s="770">
        <v>88</v>
      </c>
      <c r="AH132" s="769">
        <v>0</v>
      </c>
      <c r="AI132" s="769">
        <v>0</v>
      </c>
      <c r="AJ132" s="769">
        <v>95.599625122748634</v>
      </c>
      <c r="AK132" s="769">
        <v>95.599625122748634</v>
      </c>
      <c r="AL132" s="769">
        <v>0</v>
      </c>
      <c r="AM132" s="769">
        <v>0</v>
      </c>
      <c r="AN132" s="769">
        <v>82.096280866031464</v>
      </c>
      <c r="AO132" s="769">
        <v>82.096280866031464</v>
      </c>
      <c r="AP132" s="769">
        <v>0</v>
      </c>
      <c r="AQ132" s="769">
        <v>0</v>
      </c>
      <c r="AR132" s="769">
        <v>0</v>
      </c>
      <c r="AS132" s="769">
        <v>88.730954598156046</v>
      </c>
      <c r="AT132" s="769">
        <v>92.101281187437053</v>
      </c>
      <c r="AU132" s="769">
        <v>95.599625122748634</v>
      </c>
      <c r="AV132" s="769">
        <v>99.230848971693817</v>
      </c>
      <c r="AW132" s="769">
        <v>103</v>
      </c>
      <c r="AX132" s="769">
        <v>76.588628773117307</v>
      </c>
      <c r="AY132" s="769">
        <v>79.294650380098503</v>
      </c>
      <c r="AZ132" s="769">
        <v>82.096280866031464</v>
      </c>
      <c r="BA132" s="769">
        <v>84.996898274059205</v>
      </c>
      <c r="BB132" s="769">
        <v>88</v>
      </c>
      <c r="BC132" s="769">
        <v>0</v>
      </c>
      <c r="BD132" s="769">
        <v>0</v>
      </c>
      <c r="BE132" s="769">
        <v>0</v>
      </c>
      <c r="BF132" s="769">
        <v>0</v>
      </c>
      <c r="BG132" s="769">
        <v>0</v>
      </c>
      <c r="BH132" s="771">
        <v>104.05819854174244</v>
      </c>
      <c r="BI132" s="771">
        <v>105.12726877429795</v>
      </c>
      <c r="BJ132" s="771">
        <v>106.20732239094191</v>
      </c>
      <c r="BK132" s="772">
        <v>109.47555917125555</v>
      </c>
      <c r="BL132" s="772">
        <v>112.74379595156921</v>
      </c>
      <c r="BM132" s="772">
        <v>116.01203273188284</v>
      </c>
      <c r="BN132" s="772">
        <v>119.28026951219648</v>
      </c>
      <c r="BO132" s="772">
        <v>123.14474514728398</v>
      </c>
      <c r="BP132" s="772">
        <v>127.0092207823715</v>
      </c>
      <c r="BQ132" s="772">
        <v>137.72265663028205</v>
      </c>
      <c r="BR132" s="772">
        <v>150.48698213898896</v>
      </c>
      <c r="BS132" s="772">
        <v>156.09154616555801</v>
      </c>
      <c r="BT132" s="772">
        <v>159.16932658960019</v>
      </c>
      <c r="BU132" s="772">
        <v>162.35665861837447</v>
      </c>
      <c r="BV132" s="772">
        <v>165.6206767704611</v>
      </c>
      <c r="BW132" s="771">
        <v>88.904091957993543</v>
      </c>
      <c r="BX132" s="771">
        <v>89.817472350856491</v>
      </c>
      <c r="BY132" s="771">
        <v>90.740236605853283</v>
      </c>
      <c r="BZ132" s="772">
        <v>93.53251657349989</v>
      </c>
      <c r="CA132" s="772">
        <v>96.324796541146512</v>
      </c>
      <c r="CB132" s="772">
        <v>99.117076508793104</v>
      </c>
      <c r="CC132" s="772">
        <v>101.90935647643971</v>
      </c>
      <c r="CD132" s="772">
        <v>105.21104439767952</v>
      </c>
      <c r="CE132" s="772">
        <v>108.51273231891935</v>
      </c>
      <c r="CF132" s="772">
        <v>117.66595906276525</v>
      </c>
      <c r="CG132" s="772">
        <v>128.57140221583523</v>
      </c>
      <c r="CH132" s="772">
        <v>133.35976759775832</v>
      </c>
      <c r="CI132" s="772">
        <v>135.98932757169726</v>
      </c>
      <c r="CJ132" s="772">
        <v>138.71248503317429</v>
      </c>
      <c r="CK132" s="772">
        <v>141.50116073592793</v>
      </c>
      <c r="CL132" s="771">
        <v>0</v>
      </c>
      <c r="CM132" s="771">
        <v>0</v>
      </c>
      <c r="CN132" s="771">
        <v>0</v>
      </c>
      <c r="CO132" s="772">
        <v>0</v>
      </c>
      <c r="CP132" s="772">
        <v>0</v>
      </c>
      <c r="CQ132" s="772">
        <v>0</v>
      </c>
      <c r="CR132" s="772">
        <v>0</v>
      </c>
      <c r="CS132" s="772">
        <v>0</v>
      </c>
      <c r="CT132" s="772">
        <v>0</v>
      </c>
      <c r="CU132" s="772">
        <v>0</v>
      </c>
      <c r="CV132" s="772">
        <v>0</v>
      </c>
      <c r="CW132" s="772">
        <v>0</v>
      </c>
      <c r="CX132" s="772">
        <v>0</v>
      </c>
      <c r="CY132" s="772">
        <v>0</v>
      </c>
      <c r="CZ132" s="772">
        <v>0</v>
      </c>
      <c r="DA132" s="773">
        <v>0</v>
      </c>
      <c r="DB132" s="773">
        <v>0</v>
      </c>
      <c r="DC132" s="773">
        <v>0</v>
      </c>
      <c r="DD132" s="774">
        <v>0</v>
      </c>
      <c r="DE132" s="774">
        <v>0</v>
      </c>
      <c r="DF132" s="774">
        <v>0</v>
      </c>
      <c r="DG132" s="774">
        <v>0</v>
      </c>
      <c r="DH132" s="774">
        <v>0</v>
      </c>
      <c r="DI132" s="774">
        <v>0</v>
      </c>
      <c r="DJ132" s="774">
        <v>0</v>
      </c>
      <c r="DK132" s="774">
        <v>0</v>
      </c>
      <c r="DL132" s="774">
        <v>0</v>
      </c>
      <c r="DM132" s="774">
        <v>0</v>
      </c>
      <c r="DN132" s="774">
        <v>0</v>
      </c>
      <c r="DO132" s="774">
        <v>0</v>
      </c>
      <c r="DP132" s="773">
        <v>0</v>
      </c>
      <c r="DQ132" s="773">
        <v>0</v>
      </c>
      <c r="DR132" s="773">
        <v>0</v>
      </c>
      <c r="DS132" s="774">
        <v>0</v>
      </c>
      <c r="DT132" s="774">
        <v>0</v>
      </c>
      <c r="DU132" s="774">
        <v>0</v>
      </c>
      <c r="DV132" s="774">
        <v>0</v>
      </c>
      <c r="DW132" s="774">
        <v>0</v>
      </c>
      <c r="DX132" s="774">
        <v>0</v>
      </c>
      <c r="DY132" s="774">
        <v>0</v>
      </c>
      <c r="DZ132" s="774">
        <v>0</v>
      </c>
      <c r="EA132" s="774">
        <v>0</v>
      </c>
      <c r="EB132" s="774">
        <v>0</v>
      </c>
      <c r="EC132" s="774">
        <v>0</v>
      </c>
      <c r="ED132" s="774">
        <v>0</v>
      </c>
    </row>
    <row r="133" spans="1:134" ht="15" x14ac:dyDescent="0.25">
      <c r="A133" s="766">
        <v>120</v>
      </c>
      <c r="B133" s="766">
        <v>90</v>
      </c>
      <c r="C133" s="766" t="s">
        <v>3804</v>
      </c>
      <c r="D133" s="2">
        <v>99705</v>
      </c>
      <c r="E133" s="2">
        <v>99705</v>
      </c>
      <c r="F133" s="767" t="s">
        <v>3746</v>
      </c>
      <c r="G133" s="114">
        <v>540</v>
      </c>
      <c r="H133" s="114">
        <v>202</v>
      </c>
      <c r="I133" s="114">
        <v>185</v>
      </c>
      <c r="J133" s="114">
        <v>17</v>
      </c>
      <c r="K133" s="114">
        <v>0</v>
      </c>
      <c r="L133" s="114">
        <v>85</v>
      </c>
      <c r="M133" s="114">
        <v>85</v>
      </c>
      <c r="N133" s="114">
        <v>0</v>
      </c>
      <c r="O133" s="114">
        <v>0</v>
      </c>
      <c r="P133" s="114">
        <v>0</v>
      </c>
      <c r="Q133" s="114">
        <v>85</v>
      </c>
      <c r="R133" s="114">
        <v>0</v>
      </c>
      <c r="S133" s="114">
        <v>1850.0117647058823</v>
      </c>
      <c r="T133" s="114">
        <v>1850.0117647058823</v>
      </c>
      <c r="U133" s="114">
        <v>0</v>
      </c>
      <c r="V133" s="114">
        <v>0</v>
      </c>
      <c r="W133" s="114">
        <v>0</v>
      </c>
      <c r="X133" s="114">
        <v>1850.0117647058823</v>
      </c>
      <c r="Y133" s="114">
        <v>0</v>
      </c>
      <c r="Z133" s="114">
        <v>202</v>
      </c>
      <c r="AA133" s="114">
        <v>0</v>
      </c>
      <c r="AB133" s="657">
        <v>0</v>
      </c>
      <c r="AC133" s="657">
        <v>0</v>
      </c>
      <c r="AD133" s="768">
        <v>202</v>
      </c>
      <c r="AE133" s="769">
        <v>0</v>
      </c>
      <c r="AF133" s="769">
        <v>185</v>
      </c>
      <c r="AG133" s="770">
        <v>185</v>
      </c>
      <c r="AH133" s="769">
        <v>0</v>
      </c>
      <c r="AI133" s="769">
        <v>0</v>
      </c>
      <c r="AJ133" s="769">
        <v>187.48664344461383</v>
      </c>
      <c r="AK133" s="769">
        <v>187.48664344461383</v>
      </c>
      <c r="AL133" s="769">
        <v>0</v>
      </c>
      <c r="AM133" s="769">
        <v>0</v>
      </c>
      <c r="AN133" s="769">
        <v>172.58877227517976</v>
      </c>
      <c r="AO133" s="769">
        <v>172.58877227517976</v>
      </c>
      <c r="AP133" s="769">
        <v>0</v>
      </c>
      <c r="AQ133" s="769">
        <v>0</v>
      </c>
      <c r="AR133" s="769">
        <v>0</v>
      </c>
      <c r="AS133" s="769">
        <v>174.01604688182059</v>
      </c>
      <c r="AT133" s="769">
        <v>180.62581359089597</v>
      </c>
      <c r="AU133" s="769">
        <v>187.48664344461383</v>
      </c>
      <c r="AV133" s="769">
        <v>194.60807274060343</v>
      </c>
      <c r="AW133" s="769">
        <v>202</v>
      </c>
      <c r="AX133" s="769">
        <v>161.01018548893978</v>
      </c>
      <c r="AY133" s="769">
        <v>166.69898091270707</v>
      </c>
      <c r="AZ133" s="769">
        <v>172.58877227517976</v>
      </c>
      <c r="BA133" s="769">
        <v>178.68666114432901</v>
      </c>
      <c r="BB133" s="769">
        <v>185</v>
      </c>
      <c r="BC133" s="769">
        <v>0</v>
      </c>
      <c r="BD133" s="769">
        <v>0</v>
      </c>
      <c r="BE133" s="769">
        <v>0</v>
      </c>
      <c r="BF133" s="769">
        <v>0</v>
      </c>
      <c r="BG133" s="769">
        <v>0</v>
      </c>
      <c r="BH133" s="771">
        <v>204.07530199448519</v>
      </c>
      <c r="BI133" s="771">
        <v>206.1719251690115</v>
      </c>
      <c r="BJ133" s="771">
        <v>208.29008857252686</v>
      </c>
      <c r="BK133" s="772">
        <v>213.87952187655637</v>
      </c>
      <c r="BL133" s="772">
        <v>219.46895518058588</v>
      </c>
      <c r="BM133" s="772">
        <v>225.05838848461539</v>
      </c>
      <c r="BN133" s="772">
        <v>230.6478217886449</v>
      </c>
      <c r="BO133" s="772">
        <v>237.25696007001991</v>
      </c>
      <c r="BP133" s="772">
        <v>243.86609835139498</v>
      </c>
      <c r="BQ133" s="772">
        <v>262.18852697394681</v>
      </c>
      <c r="BR133" s="772">
        <v>284.01844655982001</v>
      </c>
      <c r="BS133" s="772">
        <v>293.60353446206943</v>
      </c>
      <c r="BT133" s="772">
        <v>298.86724378333236</v>
      </c>
      <c r="BU133" s="772">
        <v>304.3183114354506</v>
      </c>
      <c r="BV133" s="772">
        <v>309.90052991916747</v>
      </c>
      <c r="BW133" s="771">
        <v>186.90064786623643</v>
      </c>
      <c r="BX133" s="771">
        <v>188.82082255577785</v>
      </c>
      <c r="BY133" s="771">
        <v>190.76072468275976</v>
      </c>
      <c r="BZ133" s="772">
        <v>195.87976013446996</v>
      </c>
      <c r="CA133" s="772">
        <v>200.99879558618017</v>
      </c>
      <c r="CB133" s="772">
        <v>206.11783103789034</v>
      </c>
      <c r="CC133" s="772">
        <v>211.23686648960054</v>
      </c>
      <c r="CD133" s="772">
        <v>217.28979016313707</v>
      </c>
      <c r="CE133" s="772">
        <v>223.34271383667365</v>
      </c>
      <c r="CF133" s="772">
        <v>240.12315589198099</v>
      </c>
      <c r="CG133" s="772">
        <v>260.11590402755792</v>
      </c>
      <c r="CH133" s="772">
        <v>268.8943261162517</v>
      </c>
      <c r="CI133" s="772">
        <v>273.7150499995866</v>
      </c>
      <c r="CJ133" s="772">
        <v>278.70736443345726</v>
      </c>
      <c r="CK133" s="772">
        <v>283.81979225270288</v>
      </c>
      <c r="CL133" s="771">
        <v>0</v>
      </c>
      <c r="CM133" s="771">
        <v>0</v>
      </c>
      <c r="CN133" s="771">
        <v>0</v>
      </c>
      <c r="CO133" s="772">
        <v>0</v>
      </c>
      <c r="CP133" s="772">
        <v>0</v>
      </c>
      <c r="CQ133" s="772">
        <v>0</v>
      </c>
      <c r="CR133" s="772">
        <v>0</v>
      </c>
      <c r="CS133" s="772">
        <v>0</v>
      </c>
      <c r="CT133" s="772">
        <v>0</v>
      </c>
      <c r="CU133" s="772">
        <v>0</v>
      </c>
      <c r="CV133" s="772">
        <v>0</v>
      </c>
      <c r="CW133" s="772">
        <v>0</v>
      </c>
      <c r="CX133" s="772">
        <v>0</v>
      </c>
      <c r="CY133" s="772">
        <v>0</v>
      </c>
      <c r="CZ133" s="772">
        <v>0</v>
      </c>
      <c r="DA133" s="773">
        <v>0</v>
      </c>
      <c r="DB133" s="773">
        <v>0</v>
      </c>
      <c r="DC133" s="773">
        <v>0</v>
      </c>
      <c r="DD133" s="774">
        <v>0</v>
      </c>
      <c r="DE133" s="774">
        <v>0</v>
      </c>
      <c r="DF133" s="774">
        <v>0</v>
      </c>
      <c r="DG133" s="774">
        <v>0</v>
      </c>
      <c r="DH133" s="774">
        <v>0</v>
      </c>
      <c r="DI133" s="774">
        <v>0</v>
      </c>
      <c r="DJ133" s="774">
        <v>0</v>
      </c>
      <c r="DK133" s="774">
        <v>0</v>
      </c>
      <c r="DL133" s="774">
        <v>0</v>
      </c>
      <c r="DM133" s="774">
        <v>0</v>
      </c>
      <c r="DN133" s="774">
        <v>0</v>
      </c>
      <c r="DO133" s="774">
        <v>0</v>
      </c>
      <c r="DP133" s="773">
        <v>0</v>
      </c>
      <c r="DQ133" s="773">
        <v>0</v>
      </c>
      <c r="DR133" s="773">
        <v>0</v>
      </c>
      <c r="DS133" s="774">
        <v>0</v>
      </c>
      <c r="DT133" s="774">
        <v>0</v>
      </c>
      <c r="DU133" s="774">
        <v>0</v>
      </c>
      <c r="DV133" s="774">
        <v>0</v>
      </c>
      <c r="DW133" s="774">
        <v>0</v>
      </c>
      <c r="DX133" s="774">
        <v>0</v>
      </c>
      <c r="DY133" s="774">
        <v>0</v>
      </c>
      <c r="DZ133" s="774">
        <v>0</v>
      </c>
      <c r="EA133" s="774">
        <v>0</v>
      </c>
      <c r="EB133" s="774">
        <v>0</v>
      </c>
      <c r="EC133" s="774">
        <v>0</v>
      </c>
      <c r="ED133" s="774">
        <v>0</v>
      </c>
    </row>
    <row r="134" spans="1:134" ht="15" x14ac:dyDescent="0.25">
      <c r="A134" s="766">
        <v>121</v>
      </c>
      <c r="B134" s="766">
        <v>90</v>
      </c>
      <c r="C134" s="766" t="s">
        <v>3805</v>
      </c>
      <c r="D134" s="2">
        <v>99705</v>
      </c>
      <c r="E134" s="2">
        <v>99705</v>
      </c>
      <c r="F134" s="767" t="s">
        <v>3746</v>
      </c>
      <c r="G134" s="114">
        <v>536</v>
      </c>
      <c r="H134" s="114">
        <v>180</v>
      </c>
      <c r="I134" s="114">
        <v>169</v>
      </c>
      <c r="J134" s="114">
        <v>11</v>
      </c>
      <c r="K134" s="114">
        <v>1</v>
      </c>
      <c r="L134" s="114">
        <v>211</v>
      </c>
      <c r="M134" s="114">
        <v>212</v>
      </c>
      <c r="N134" s="114">
        <v>2</v>
      </c>
      <c r="O134" s="114">
        <v>0</v>
      </c>
      <c r="P134" s="114">
        <v>0</v>
      </c>
      <c r="Q134" s="114">
        <v>214</v>
      </c>
      <c r="R134" s="114">
        <v>2654</v>
      </c>
      <c r="S134" s="114">
        <v>2404.2559241706163</v>
      </c>
      <c r="T134" s="114">
        <v>2405.4339622641514</v>
      </c>
      <c r="U134" s="114">
        <v>10195.5</v>
      </c>
      <c r="V134" s="114">
        <v>0</v>
      </c>
      <c r="W134" s="114">
        <v>0</v>
      </c>
      <c r="X134" s="114">
        <v>2478.2383177570096</v>
      </c>
      <c r="Y134" s="114">
        <v>0.84905660377358494</v>
      </c>
      <c r="Z134" s="114">
        <v>179.15094339622641</v>
      </c>
      <c r="AA134" s="114">
        <v>0</v>
      </c>
      <c r="AB134" s="657">
        <v>2</v>
      </c>
      <c r="AC134" s="657">
        <v>0</v>
      </c>
      <c r="AD134" s="768">
        <v>182</v>
      </c>
      <c r="AE134" s="769">
        <v>0.79716981132075471</v>
      </c>
      <c r="AF134" s="769">
        <v>168.20283018867923</v>
      </c>
      <c r="AG134" s="770">
        <v>168.99999999999997</v>
      </c>
      <c r="AH134" s="769">
        <v>0</v>
      </c>
      <c r="AI134" s="769">
        <v>0.7880533303762024</v>
      </c>
      <c r="AJ134" s="769">
        <v>166.27925270937868</v>
      </c>
      <c r="AK134" s="769">
        <v>167.0673060397549</v>
      </c>
      <c r="AL134" s="769">
        <v>0</v>
      </c>
      <c r="AM134" s="769">
        <v>0.74368950827397706</v>
      </c>
      <c r="AN134" s="769">
        <v>156.91848624580913</v>
      </c>
      <c r="AO134" s="769">
        <v>157.66217575408311</v>
      </c>
      <c r="AP134" s="769">
        <v>0</v>
      </c>
      <c r="AQ134" s="769">
        <v>1.8802153346698185</v>
      </c>
      <c r="AR134" s="769">
        <v>0</v>
      </c>
      <c r="AS134" s="769">
        <v>155.06380415211734</v>
      </c>
      <c r="AT134" s="769">
        <v>160.95369527901622</v>
      </c>
      <c r="AU134" s="769">
        <v>167.0673060397549</v>
      </c>
      <c r="AV134" s="769">
        <v>173.41313412529018</v>
      </c>
      <c r="AW134" s="769">
        <v>180</v>
      </c>
      <c r="AX134" s="769">
        <v>147.08498025746388</v>
      </c>
      <c r="AY134" s="769">
        <v>152.28177175268914</v>
      </c>
      <c r="AZ134" s="769">
        <v>157.66217575408311</v>
      </c>
      <c r="BA134" s="769">
        <v>163.23267963995457</v>
      </c>
      <c r="BB134" s="769">
        <v>168.99999999999997</v>
      </c>
      <c r="BC134" s="769">
        <v>1.7676048523637691</v>
      </c>
      <c r="BD134" s="769">
        <v>1.823040797418187</v>
      </c>
      <c r="BE134" s="769">
        <v>1.8802153346698185</v>
      </c>
      <c r="BF134" s="769">
        <v>1.9391829901635476</v>
      </c>
      <c r="BG134" s="769">
        <v>2</v>
      </c>
      <c r="BH134" s="771">
        <v>182.93246917328688</v>
      </c>
      <c r="BI134" s="771">
        <v>185.91271265464198</v>
      </c>
      <c r="BJ134" s="771">
        <v>188.94150875898575</v>
      </c>
      <c r="BK134" s="772">
        <v>189.21708984961091</v>
      </c>
      <c r="BL134" s="772">
        <v>189.49267094023611</v>
      </c>
      <c r="BM134" s="772">
        <v>189.76825203086125</v>
      </c>
      <c r="BN134" s="772">
        <v>190.04383312148641</v>
      </c>
      <c r="BO134" s="772">
        <v>190.36968968629429</v>
      </c>
      <c r="BP134" s="772">
        <v>190.6955462511022</v>
      </c>
      <c r="BQ134" s="772">
        <v>191.5989141934416</v>
      </c>
      <c r="BR134" s="772">
        <v>192.67521526378405</v>
      </c>
      <c r="BS134" s="772">
        <v>193.14779787353365</v>
      </c>
      <c r="BT134" s="772">
        <v>193.40731948808482</v>
      </c>
      <c r="BU134" s="772">
        <v>193.67607860675241</v>
      </c>
      <c r="BV134" s="772">
        <v>193.95130397830152</v>
      </c>
      <c r="BW134" s="771">
        <v>171.75326272380821</v>
      </c>
      <c r="BX134" s="771">
        <v>174.55138021463605</v>
      </c>
      <c r="BY134" s="771">
        <v>177.39508322371438</v>
      </c>
      <c r="BZ134" s="772">
        <v>177.65382324769024</v>
      </c>
      <c r="CA134" s="772">
        <v>177.9125632716661</v>
      </c>
      <c r="CB134" s="772">
        <v>178.17130329564193</v>
      </c>
      <c r="CC134" s="772">
        <v>178.43004331961779</v>
      </c>
      <c r="CD134" s="772">
        <v>178.73598642768741</v>
      </c>
      <c r="CE134" s="772">
        <v>179.04192953575705</v>
      </c>
      <c r="CF134" s="772">
        <v>179.89009165939794</v>
      </c>
      <c r="CG134" s="772">
        <v>180.90061877544167</v>
      </c>
      <c r="CH134" s="772">
        <v>181.3443213368177</v>
      </c>
      <c r="CI134" s="772">
        <v>181.58798329714628</v>
      </c>
      <c r="CJ134" s="772">
        <v>181.84031824745085</v>
      </c>
      <c r="CK134" s="772">
        <v>182.09872429073863</v>
      </c>
      <c r="CL134" s="771">
        <v>2.0325829908142987</v>
      </c>
      <c r="CM134" s="771">
        <v>2.0656968072737998</v>
      </c>
      <c r="CN134" s="771">
        <v>2.099350097322064</v>
      </c>
      <c r="CO134" s="772">
        <v>2.1024121094401216</v>
      </c>
      <c r="CP134" s="772">
        <v>2.1054741215581791</v>
      </c>
      <c r="CQ134" s="772">
        <v>2.1085361336762363</v>
      </c>
      <c r="CR134" s="772">
        <v>2.1115981457942938</v>
      </c>
      <c r="CS134" s="772">
        <v>2.1152187742921589</v>
      </c>
      <c r="CT134" s="772">
        <v>2.1188394027900244</v>
      </c>
      <c r="CU134" s="772">
        <v>2.1288768243715737</v>
      </c>
      <c r="CV134" s="772">
        <v>2.1408357251531562</v>
      </c>
      <c r="CW134" s="772">
        <v>2.1460866430392631</v>
      </c>
      <c r="CX134" s="772">
        <v>2.1489702165342761</v>
      </c>
      <c r="CY134" s="772">
        <v>2.1519564289639161</v>
      </c>
      <c r="CZ134" s="772">
        <v>2.1550144886477951</v>
      </c>
      <c r="DA134" s="773">
        <v>0</v>
      </c>
      <c r="DB134" s="773">
        <v>0</v>
      </c>
      <c r="DC134" s="773">
        <v>0</v>
      </c>
      <c r="DD134" s="774">
        <v>0</v>
      </c>
      <c r="DE134" s="774">
        <v>0</v>
      </c>
      <c r="DF134" s="774">
        <v>0</v>
      </c>
      <c r="DG134" s="774">
        <v>0</v>
      </c>
      <c r="DH134" s="774">
        <v>0</v>
      </c>
      <c r="DI134" s="774">
        <v>0</v>
      </c>
      <c r="DJ134" s="774">
        <v>0</v>
      </c>
      <c r="DK134" s="774">
        <v>0</v>
      </c>
      <c r="DL134" s="774">
        <v>0</v>
      </c>
      <c r="DM134" s="774">
        <v>0</v>
      </c>
      <c r="DN134" s="774">
        <v>0</v>
      </c>
      <c r="DO134" s="774">
        <v>0</v>
      </c>
      <c r="DP134" s="773">
        <v>0</v>
      </c>
      <c r="DQ134" s="773">
        <v>0</v>
      </c>
      <c r="DR134" s="773">
        <v>0</v>
      </c>
      <c r="DS134" s="774">
        <v>0</v>
      </c>
      <c r="DT134" s="774">
        <v>0</v>
      </c>
      <c r="DU134" s="774">
        <v>0</v>
      </c>
      <c r="DV134" s="774">
        <v>0</v>
      </c>
      <c r="DW134" s="774">
        <v>0</v>
      </c>
      <c r="DX134" s="774">
        <v>0</v>
      </c>
      <c r="DY134" s="774">
        <v>0</v>
      </c>
      <c r="DZ134" s="774">
        <v>0</v>
      </c>
      <c r="EA134" s="774">
        <v>0</v>
      </c>
      <c r="EB134" s="774">
        <v>0</v>
      </c>
      <c r="EC134" s="774">
        <v>0</v>
      </c>
      <c r="ED134" s="774">
        <v>0</v>
      </c>
    </row>
    <row r="135" spans="1:134" ht="15" x14ac:dyDescent="0.25">
      <c r="A135" s="766">
        <v>122</v>
      </c>
      <c r="B135" s="766">
        <v>90</v>
      </c>
      <c r="C135" s="766" t="s">
        <v>3806</v>
      </c>
      <c r="D135" s="2">
        <v>99705</v>
      </c>
      <c r="E135" s="2">
        <v>99705</v>
      </c>
      <c r="F135" s="767" t="s">
        <v>3746</v>
      </c>
      <c r="G135" s="114">
        <v>204</v>
      </c>
      <c r="H135" s="114">
        <v>77</v>
      </c>
      <c r="I135" s="114">
        <v>70</v>
      </c>
      <c r="J135" s="114">
        <v>7</v>
      </c>
      <c r="K135" s="114">
        <v>0</v>
      </c>
      <c r="L135" s="114">
        <v>46</v>
      </c>
      <c r="M135" s="114">
        <v>46</v>
      </c>
      <c r="N135" s="114">
        <v>0</v>
      </c>
      <c r="O135" s="114">
        <v>0</v>
      </c>
      <c r="P135" s="114">
        <v>0</v>
      </c>
      <c r="Q135" s="114">
        <v>46</v>
      </c>
      <c r="R135" s="114">
        <v>0</v>
      </c>
      <c r="S135" s="114">
        <v>2494.717391304348</v>
      </c>
      <c r="T135" s="114">
        <v>2494.717391304348</v>
      </c>
      <c r="U135" s="114">
        <v>0</v>
      </c>
      <c r="V135" s="114">
        <v>0</v>
      </c>
      <c r="W135" s="114">
        <v>0</v>
      </c>
      <c r="X135" s="114">
        <v>2494.717391304348</v>
      </c>
      <c r="Y135" s="114">
        <v>0</v>
      </c>
      <c r="Z135" s="114">
        <v>77</v>
      </c>
      <c r="AA135" s="114">
        <v>0</v>
      </c>
      <c r="AB135" s="657">
        <v>0</v>
      </c>
      <c r="AC135" s="657">
        <v>0</v>
      </c>
      <c r="AD135" s="768">
        <v>77</v>
      </c>
      <c r="AE135" s="769">
        <v>0</v>
      </c>
      <c r="AF135" s="769">
        <v>70</v>
      </c>
      <c r="AG135" s="770">
        <v>70</v>
      </c>
      <c r="AH135" s="769">
        <v>0</v>
      </c>
      <c r="AI135" s="769">
        <v>0</v>
      </c>
      <c r="AJ135" s="769">
        <v>71.467680917006263</v>
      </c>
      <c r="AK135" s="769">
        <v>71.467680917006263</v>
      </c>
      <c r="AL135" s="769">
        <v>0</v>
      </c>
      <c r="AM135" s="769">
        <v>0</v>
      </c>
      <c r="AN135" s="769">
        <v>65.303859779797747</v>
      </c>
      <c r="AO135" s="769">
        <v>65.303859779797747</v>
      </c>
      <c r="AP135" s="769">
        <v>0</v>
      </c>
      <c r="AQ135" s="769">
        <v>0</v>
      </c>
      <c r="AR135" s="769">
        <v>0</v>
      </c>
      <c r="AS135" s="769">
        <v>66.33284955396131</v>
      </c>
      <c r="AT135" s="769">
        <v>68.852414091579163</v>
      </c>
      <c r="AU135" s="769">
        <v>71.467680917006263</v>
      </c>
      <c r="AV135" s="769">
        <v>74.182285153596354</v>
      </c>
      <c r="AW135" s="769">
        <v>77</v>
      </c>
      <c r="AX135" s="769">
        <v>60.922772887706941</v>
      </c>
      <c r="AY135" s="769">
        <v>63.075290075078357</v>
      </c>
      <c r="AZ135" s="769">
        <v>65.303859779797747</v>
      </c>
      <c r="BA135" s="769">
        <v>67.611169081637996</v>
      </c>
      <c r="BB135" s="769">
        <v>70</v>
      </c>
      <c r="BC135" s="769">
        <v>0</v>
      </c>
      <c r="BD135" s="769">
        <v>0</v>
      </c>
      <c r="BE135" s="769">
        <v>0</v>
      </c>
      <c r="BF135" s="769">
        <v>0</v>
      </c>
      <c r="BG135" s="769">
        <v>0</v>
      </c>
      <c r="BH135" s="771">
        <v>78.254445146350506</v>
      </c>
      <c r="BI135" s="771">
        <v>79.529327080041298</v>
      </c>
      <c r="BJ135" s="771">
        <v>80.824978746899461</v>
      </c>
      <c r="BK135" s="772">
        <v>80.824978746899461</v>
      </c>
      <c r="BL135" s="772">
        <v>80.824978746899461</v>
      </c>
      <c r="BM135" s="772">
        <v>80.824978746899461</v>
      </c>
      <c r="BN135" s="772">
        <v>80.824978746899461</v>
      </c>
      <c r="BO135" s="772">
        <v>80.824978746899461</v>
      </c>
      <c r="BP135" s="772">
        <v>80.824978746899461</v>
      </c>
      <c r="BQ135" s="772">
        <v>80.824978746899461</v>
      </c>
      <c r="BR135" s="772">
        <v>80.824978746899461</v>
      </c>
      <c r="BS135" s="772">
        <v>80.824978746899461</v>
      </c>
      <c r="BT135" s="772">
        <v>80.824978746899461</v>
      </c>
      <c r="BU135" s="772">
        <v>80.824978746899461</v>
      </c>
      <c r="BV135" s="772">
        <v>80.824978746899461</v>
      </c>
      <c r="BW135" s="771">
        <v>71.14040467850046</v>
      </c>
      <c r="BX135" s="771">
        <v>72.299388254582993</v>
      </c>
      <c r="BY135" s="771">
        <v>73.47725340627224</v>
      </c>
      <c r="BZ135" s="772">
        <v>73.47725340627224</v>
      </c>
      <c r="CA135" s="772">
        <v>73.47725340627224</v>
      </c>
      <c r="CB135" s="772">
        <v>73.47725340627224</v>
      </c>
      <c r="CC135" s="772">
        <v>73.47725340627224</v>
      </c>
      <c r="CD135" s="772">
        <v>73.47725340627224</v>
      </c>
      <c r="CE135" s="772">
        <v>73.47725340627224</v>
      </c>
      <c r="CF135" s="772">
        <v>73.47725340627224</v>
      </c>
      <c r="CG135" s="772">
        <v>73.47725340627224</v>
      </c>
      <c r="CH135" s="772">
        <v>73.47725340627224</v>
      </c>
      <c r="CI135" s="772">
        <v>73.47725340627224</v>
      </c>
      <c r="CJ135" s="772">
        <v>73.47725340627224</v>
      </c>
      <c r="CK135" s="772">
        <v>73.47725340627224</v>
      </c>
      <c r="CL135" s="771">
        <v>0</v>
      </c>
      <c r="CM135" s="771">
        <v>0</v>
      </c>
      <c r="CN135" s="771">
        <v>0</v>
      </c>
      <c r="CO135" s="772">
        <v>0</v>
      </c>
      <c r="CP135" s="772">
        <v>0</v>
      </c>
      <c r="CQ135" s="772">
        <v>0</v>
      </c>
      <c r="CR135" s="772">
        <v>0</v>
      </c>
      <c r="CS135" s="772">
        <v>0</v>
      </c>
      <c r="CT135" s="772">
        <v>0</v>
      </c>
      <c r="CU135" s="772">
        <v>0</v>
      </c>
      <c r="CV135" s="772">
        <v>0</v>
      </c>
      <c r="CW135" s="772">
        <v>0</v>
      </c>
      <c r="CX135" s="772">
        <v>0</v>
      </c>
      <c r="CY135" s="772">
        <v>0</v>
      </c>
      <c r="CZ135" s="772">
        <v>0</v>
      </c>
      <c r="DA135" s="773">
        <v>0</v>
      </c>
      <c r="DB135" s="773">
        <v>0</v>
      </c>
      <c r="DC135" s="773">
        <v>0</v>
      </c>
      <c r="DD135" s="774">
        <v>0</v>
      </c>
      <c r="DE135" s="774">
        <v>0</v>
      </c>
      <c r="DF135" s="774">
        <v>0</v>
      </c>
      <c r="DG135" s="774">
        <v>0</v>
      </c>
      <c r="DH135" s="774">
        <v>0</v>
      </c>
      <c r="DI135" s="774">
        <v>0</v>
      </c>
      <c r="DJ135" s="774">
        <v>0</v>
      </c>
      <c r="DK135" s="774">
        <v>0</v>
      </c>
      <c r="DL135" s="774">
        <v>0</v>
      </c>
      <c r="DM135" s="774">
        <v>0</v>
      </c>
      <c r="DN135" s="774">
        <v>0</v>
      </c>
      <c r="DO135" s="774">
        <v>0</v>
      </c>
      <c r="DP135" s="773">
        <v>0</v>
      </c>
      <c r="DQ135" s="773">
        <v>0</v>
      </c>
      <c r="DR135" s="773">
        <v>0</v>
      </c>
      <c r="DS135" s="774">
        <v>0</v>
      </c>
      <c r="DT135" s="774">
        <v>0</v>
      </c>
      <c r="DU135" s="774">
        <v>0</v>
      </c>
      <c r="DV135" s="774">
        <v>0</v>
      </c>
      <c r="DW135" s="774">
        <v>0</v>
      </c>
      <c r="DX135" s="774">
        <v>0</v>
      </c>
      <c r="DY135" s="774">
        <v>0</v>
      </c>
      <c r="DZ135" s="774">
        <v>0</v>
      </c>
      <c r="EA135" s="774">
        <v>0</v>
      </c>
      <c r="EB135" s="774">
        <v>0</v>
      </c>
      <c r="EC135" s="774">
        <v>0</v>
      </c>
      <c r="ED135" s="774">
        <v>0</v>
      </c>
    </row>
    <row r="136" spans="1:134" ht="15" x14ac:dyDescent="0.25">
      <c r="A136" s="766">
        <v>123</v>
      </c>
      <c r="B136" s="766">
        <v>90</v>
      </c>
      <c r="C136" s="766" t="s">
        <v>3807</v>
      </c>
      <c r="D136" s="2">
        <v>99705</v>
      </c>
      <c r="E136" s="2">
        <v>99705</v>
      </c>
      <c r="F136" s="767" t="s">
        <v>3746</v>
      </c>
      <c r="G136" s="114">
        <v>11</v>
      </c>
      <c r="H136" s="114">
        <v>6</v>
      </c>
      <c r="I136" s="114">
        <v>6</v>
      </c>
      <c r="J136" s="114">
        <v>0</v>
      </c>
      <c r="K136" s="114">
        <v>0</v>
      </c>
      <c r="L136" s="114">
        <v>53</v>
      </c>
      <c r="M136" s="114">
        <v>53</v>
      </c>
      <c r="N136" s="114">
        <v>1</v>
      </c>
      <c r="O136" s="114">
        <v>0</v>
      </c>
      <c r="P136" s="114">
        <v>0</v>
      </c>
      <c r="Q136" s="114">
        <v>54</v>
      </c>
      <c r="R136" s="114">
        <v>0</v>
      </c>
      <c r="S136" s="114">
        <v>1868.8490566037735</v>
      </c>
      <c r="T136" s="114">
        <v>1868.8490566037735</v>
      </c>
      <c r="U136" s="114">
        <v>4064</v>
      </c>
      <c r="V136" s="114">
        <v>0</v>
      </c>
      <c r="W136" s="114">
        <v>0</v>
      </c>
      <c r="X136" s="114">
        <v>1909.5</v>
      </c>
      <c r="Y136" s="114">
        <v>0</v>
      </c>
      <c r="Z136" s="114">
        <v>6</v>
      </c>
      <c r="AA136" s="114">
        <v>0</v>
      </c>
      <c r="AB136" s="657">
        <v>1</v>
      </c>
      <c r="AC136" s="657">
        <v>0</v>
      </c>
      <c r="AD136" s="768">
        <v>7</v>
      </c>
      <c r="AE136" s="769">
        <v>0</v>
      </c>
      <c r="AF136" s="769">
        <v>6</v>
      </c>
      <c r="AG136" s="770">
        <v>6</v>
      </c>
      <c r="AH136" s="769">
        <v>0</v>
      </c>
      <c r="AI136" s="769">
        <v>0</v>
      </c>
      <c r="AJ136" s="769">
        <v>5.5689102013251635</v>
      </c>
      <c r="AK136" s="769">
        <v>5.5689102013251635</v>
      </c>
      <c r="AL136" s="769">
        <v>0</v>
      </c>
      <c r="AM136" s="769">
        <v>0</v>
      </c>
      <c r="AN136" s="769">
        <v>5.5974736954112361</v>
      </c>
      <c r="AO136" s="769">
        <v>5.5974736954112361</v>
      </c>
      <c r="AP136" s="769">
        <v>0</v>
      </c>
      <c r="AQ136" s="769">
        <v>0.94010766733490925</v>
      </c>
      <c r="AR136" s="769">
        <v>0</v>
      </c>
      <c r="AS136" s="769">
        <v>5.1687934717372448</v>
      </c>
      <c r="AT136" s="769">
        <v>5.3651231759672076</v>
      </c>
      <c r="AU136" s="769">
        <v>5.5689102013251635</v>
      </c>
      <c r="AV136" s="769">
        <v>5.7804378041763389</v>
      </c>
      <c r="AW136" s="769">
        <v>6</v>
      </c>
      <c r="AX136" s="769">
        <v>5.2219519618034527</v>
      </c>
      <c r="AY136" s="769">
        <v>5.4064534350067159</v>
      </c>
      <c r="AZ136" s="769">
        <v>5.5974736954112361</v>
      </c>
      <c r="BA136" s="769">
        <v>5.7952430641403998</v>
      </c>
      <c r="BB136" s="769">
        <v>6</v>
      </c>
      <c r="BC136" s="769">
        <v>0.88380242618188454</v>
      </c>
      <c r="BD136" s="769">
        <v>0.91152039870909352</v>
      </c>
      <c r="BE136" s="769">
        <v>0.94010766733490925</v>
      </c>
      <c r="BF136" s="769">
        <v>0.96959149508177378</v>
      </c>
      <c r="BG136" s="769">
        <v>1</v>
      </c>
      <c r="BH136" s="771">
        <v>6.0977489724428962</v>
      </c>
      <c r="BI136" s="771">
        <v>6.1970904218213994</v>
      </c>
      <c r="BJ136" s="771">
        <v>6.2980502919661916</v>
      </c>
      <c r="BK136" s="772">
        <v>6.2980502919661916</v>
      </c>
      <c r="BL136" s="772">
        <v>6.2980502919661916</v>
      </c>
      <c r="BM136" s="772">
        <v>6.2980502919661916</v>
      </c>
      <c r="BN136" s="772">
        <v>6.2980502919661916</v>
      </c>
      <c r="BO136" s="772">
        <v>6.2980502919661916</v>
      </c>
      <c r="BP136" s="772">
        <v>6.2980502919661916</v>
      </c>
      <c r="BQ136" s="772">
        <v>6.2980502919661916</v>
      </c>
      <c r="BR136" s="772">
        <v>6.2980502919661916</v>
      </c>
      <c r="BS136" s="772">
        <v>6.2980502919661916</v>
      </c>
      <c r="BT136" s="772">
        <v>6.2980502919661916</v>
      </c>
      <c r="BU136" s="772">
        <v>6.2980502919661916</v>
      </c>
      <c r="BV136" s="772">
        <v>6.2980502919661916</v>
      </c>
      <c r="BW136" s="771">
        <v>6.0977489724428962</v>
      </c>
      <c r="BX136" s="771">
        <v>6.1970904218213994</v>
      </c>
      <c r="BY136" s="771">
        <v>6.2980502919661916</v>
      </c>
      <c r="BZ136" s="772">
        <v>6.2980502919661916</v>
      </c>
      <c r="CA136" s="772">
        <v>6.2980502919661916</v>
      </c>
      <c r="CB136" s="772">
        <v>6.2980502919661916</v>
      </c>
      <c r="CC136" s="772">
        <v>6.2980502919661916</v>
      </c>
      <c r="CD136" s="772">
        <v>6.2980502919661916</v>
      </c>
      <c r="CE136" s="772">
        <v>6.2980502919661916</v>
      </c>
      <c r="CF136" s="772">
        <v>6.2980502919661916</v>
      </c>
      <c r="CG136" s="772">
        <v>6.2980502919661916</v>
      </c>
      <c r="CH136" s="772">
        <v>6.2980502919661916</v>
      </c>
      <c r="CI136" s="772">
        <v>6.2980502919661916</v>
      </c>
      <c r="CJ136" s="772">
        <v>6.2980502919661916</v>
      </c>
      <c r="CK136" s="772">
        <v>6.2980502919661916</v>
      </c>
      <c r="CL136" s="771">
        <v>1.0162914954071494</v>
      </c>
      <c r="CM136" s="771">
        <v>1.0328484036368999</v>
      </c>
      <c r="CN136" s="771">
        <v>1.049675048661032</v>
      </c>
      <c r="CO136" s="772">
        <v>1.049675048661032</v>
      </c>
      <c r="CP136" s="772">
        <v>1.049675048661032</v>
      </c>
      <c r="CQ136" s="772">
        <v>1.049675048661032</v>
      </c>
      <c r="CR136" s="772">
        <v>1.049675048661032</v>
      </c>
      <c r="CS136" s="772">
        <v>1.049675048661032</v>
      </c>
      <c r="CT136" s="772">
        <v>1.049675048661032</v>
      </c>
      <c r="CU136" s="772">
        <v>1.049675048661032</v>
      </c>
      <c r="CV136" s="772">
        <v>1.049675048661032</v>
      </c>
      <c r="CW136" s="772">
        <v>1.049675048661032</v>
      </c>
      <c r="CX136" s="772">
        <v>1.049675048661032</v>
      </c>
      <c r="CY136" s="772">
        <v>1.049675048661032</v>
      </c>
      <c r="CZ136" s="772">
        <v>1.049675048661032</v>
      </c>
      <c r="DA136" s="773">
        <v>0</v>
      </c>
      <c r="DB136" s="773">
        <v>0</v>
      </c>
      <c r="DC136" s="773">
        <v>0</v>
      </c>
      <c r="DD136" s="774">
        <v>0</v>
      </c>
      <c r="DE136" s="774">
        <v>0</v>
      </c>
      <c r="DF136" s="774">
        <v>0</v>
      </c>
      <c r="DG136" s="774">
        <v>0</v>
      </c>
      <c r="DH136" s="774">
        <v>0</v>
      </c>
      <c r="DI136" s="774">
        <v>0</v>
      </c>
      <c r="DJ136" s="774">
        <v>0</v>
      </c>
      <c r="DK136" s="774">
        <v>0</v>
      </c>
      <c r="DL136" s="774">
        <v>0</v>
      </c>
      <c r="DM136" s="774">
        <v>0</v>
      </c>
      <c r="DN136" s="774">
        <v>0</v>
      </c>
      <c r="DO136" s="774">
        <v>0</v>
      </c>
      <c r="DP136" s="773">
        <v>0</v>
      </c>
      <c r="DQ136" s="773">
        <v>0</v>
      </c>
      <c r="DR136" s="773">
        <v>0</v>
      </c>
      <c r="DS136" s="774">
        <v>0</v>
      </c>
      <c r="DT136" s="774">
        <v>0</v>
      </c>
      <c r="DU136" s="774">
        <v>0</v>
      </c>
      <c r="DV136" s="774">
        <v>0</v>
      </c>
      <c r="DW136" s="774">
        <v>0</v>
      </c>
      <c r="DX136" s="774">
        <v>0</v>
      </c>
      <c r="DY136" s="774">
        <v>0</v>
      </c>
      <c r="DZ136" s="774">
        <v>0</v>
      </c>
      <c r="EA136" s="774">
        <v>0</v>
      </c>
      <c r="EB136" s="774">
        <v>0</v>
      </c>
      <c r="EC136" s="774">
        <v>0</v>
      </c>
      <c r="ED136" s="774">
        <v>0</v>
      </c>
    </row>
    <row r="137" spans="1:134" ht="15" x14ac:dyDescent="0.25">
      <c r="A137" s="766">
        <v>95</v>
      </c>
      <c r="B137" s="766">
        <v>91</v>
      </c>
      <c r="C137" s="766" t="s">
        <v>3808</v>
      </c>
      <c r="D137" s="2">
        <v>99709</v>
      </c>
      <c r="E137" s="2">
        <v>99709</v>
      </c>
      <c r="F137" s="767" t="s">
        <v>3676</v>
      </c>
      <c r="G137" s="114">
        <v>67</v>
      </c>
      <c r="H137" s="114">
        <v>28</v>
      </c>
      <c r="I137" s="114">
        <v>26</v>
      </c>
      <c r="J137" s="114">
        <v>2</v>
      </c>
      <c r="K137" s="114">
        <v>0</v>
      </c>
      <c r="L137" s="114">
        <v>0</v>
      </c>
      <c r="M137" s="114">
        <v>0</v>
      </c>
      <c r="N137" s="114">
        <v>0</v>
      </c>
      <c r="O137" s="114">
        <v>0</v>
      </c>
      <c r="P137" s="114">
        <v>0</v>
      </c>
      <c r="Q137" s="114">
        <v>0</v>
      </c>
      <c r="R137" s="114">
        <v>0</v>
      </c>
      <c r="S137" s="114">
        <v>834.49503068156923</v>
      </c>
      <c r="T137" s="114">
        <v>834.49503068156923</v>
      </c>
      <c r="U137" s="114">
        <v>1408.3846153846155</v>
      </c>
      <c r="V137" s="114">
        <v>0</v>
      </c>
      <c r="W137" s="114">
        <v>0</v>
      </c>
      <c r="X137" s="114">
        <v>1365.173957061457</v>
      </c>
      <c r="Y137" s="114">
        <v>0.64154539154539159</v>
      </c>
      <c r="Z137" s="114">
        <v>27.322072072072071</v>
      </c>
      <c r="AA137" s="114">
        <v>3.6382536382536385E-2</v>
      </c>
      <c r="AB137" s="657">
        <v>0</v>
      </c>
      <c r="AC137" s="657">
        <v>0</v>
      </c>
      <c r="AD137" s="768">
        <v>28</v>
      </c>
      <c r="AE137" s="769">
        <v>0.59572072072072069</v>
      </c>
      <c r="AF137" s="769">
        <v>25.370495495495497</v>
      </c>
      <c r="AG137" s="770">
        <v>25.966216216216218</v>
      </c>
      <c r="AH137" s="769">
        <v>3.3783783783783786E-2</v>
      </c>
      <c r="AI137" s="769">
        <v>0.61085283033847182</v>
      </c>
      <c r="AJ137" s="769">
        <v>26.014940292429923</v>
      </c>
      <c r="AK137" s="769">
        <v>26.625793122768396</v>
      </c>
      <c r="AL137" s="769">
        <v>3.4641937448306528E-2</v>
      </c>
      <c r="AM137" s="769">
        <v>0.56829053906197013</v>
      </c>
      <c r="AN137" s="769">
        <v>24.202301615363186</v>
      </c>
      <c r="AO137" s="769">
        <v>24.770592154425156</v>
      </c>
      <c r="AP137" s="769">
        <v>3.2228196922228933E-2</v>
      </c>
      <c r="AQ137" s="769">
        <v>0</v>
      </c>
      <c r="AR137" s="769">
        <v>0</v>
      </c>
      <c r="AS137" s="769">
        <v>25.351972445583261</v>
      </c>
      <c r="AT137" s="769">
        <v>25.981077221513054</v>
      </c>
      <c r="AU137" s="769">
        <v>26.625793122768396</v>
      </c>
      <c r="AV137" s="769">
        <v>27.28650753670231</v>
      </c>
      <c r="AW137" s="769">
        <v>27.963617463617464</v>
      </c>
      <c r="AX137" s="769">
        <v>23.630021046257774</v>
      </c>
      <c r="AY137" s="769">
        <v>24.193586214890388</v>
      </c>
      <c r="AZ137" s="769">
        <v>24.770592154425156</v>
      </c>
      <c r="BA137" s="769">
        <v>25.3613594210861</v>
      </c>
      <c r="BB137" s="769">
        <v>25.966216216216218</v>
      </c>
      <c r="BC137" s="769">
        <v>0</v>
      </c>
      <c r="BD137" s="769">
        <v>0</v>
      </c>
      <c r="BE137" s="769">
        <v>0</v>
      </c>
      <c r="BF137" s="769">
        <v>0</v>
      </c>
      <c r="BG137" s="769">
        <v>0</v>
      </c>
      <c r="BH137" s="771">
        <v>28.106864701693933</v>
      </c>
      <c r="BI137" s="771">
        <v>28.250845742227945</v>
      </c>
      <c r="BJ137" s="771">
        <v>28.395564344217252</v>
      </c>
      <c r="BK137" s="772">
        <v>28.598139197920073</v>
      </c>
      <c r="BL137" s="772">
        <v>28.800714051622894</v>
      </c>
      <c r="BM137" s="772">
        <v>29.003288905325721</v>
      </c>
      <c r="BN137" s="772">
        <v>29.205863759028542</v>
      </c>
      <c r="BO137" s="772">
        <v>29.445395237020431</v>
      </c>
      <c r="BP137" s="772">
        <v>29.684926715012327</v>
      </c>
      <c r="BQ137" s="772">
        <v>30.348976735077517</v>
      </c>
      <c r="BR137" s="772">
        <v>31.140146881658318</v>
      </c>
      <c r="BS137" s="772">
        <v>31.487534116447765</v>
      </c>
      <c r="BT137" s="772">
        <v>31.678303929358908</v>
      </c>
      <c r="BU137" s="772">
        <v>31.875864070447985</v>
      </c>
      <c r="BV137" s="772">
        <v>32.078177441261609</v>
      </c>
      <c r="BW137" s="771">
        <v>26.099231508715796</v>
      </c>
      <c r="BX137" s="771">
        <v>26.232928189211666</v>
      </c>
      <c r="BY137" s="771">
        <v>26.367309748201738</v>
      </c>
      <c r="BZ137" s="772">
        <v>26.555414969497214</v>
      </c>
      <c r="CA137" s="772">
        <v>26.74352019079269</v>
      </c>
      <c r="CB137" s="772">
        <v>26.931625412088174</v>
      </c>
      <c r="CC137" s="772">
        <v>27.11973063338365</v>
      </c>
      <c r="CD137" s="772">
        <v>27.342152720090404</v>
      </c>
      <c r="CE137" s="772">
        <v>27.564574806797165</v>
      </c>
      <c r="CF137" s="772">
        <v>28.181192682571982</v>
      </c>
      <c r="CG137" s="772">
        <v>28.915850675825585</v>
      </c>
      <c r="CH137" s="772">
        <v>29.238424536701501</v>
      </c>
      <c r="CI137" s="772">
        <v>29.415567934404706</v>
      </c>
      <c r="CJ137" s="772">
        <v>29.599016636844564</v>
      </c>
      <c r="CK137" s="772">
        <v>29.786879052600067</v>
      </c>
      <c r="CL137" s="771">
        <v>0</v>
      </c>
      <c r="CM137" s="771">
        <v>0</v>
      </c>
      <c r="CN137" s="771">
        <v>0</v>
      </c>
      <c r="CO137" s="772">
        <v>0</v>
      </c>
      <c r="CP137" s="772">
        <v>0</v>
      </c>
      <c r="CQ137" s="772">
        <v>0</v>
      </c>
      <c r="CR137" s="772">
        <v>0</v>
      </c>
      <c r="CS137" s="772">
        <v>0</v>
      </c>
      <c r="CT137" s="772">
        <v>0</v>
      </c>
      <c r="CU137" s="772">
        <v>0</v>
      </c>
      <c r="CV137" s="772">
        <v>0</v>
      </c>
      <c r="CW137" s="772">
        <v>0</v>
      </c>
      <c r="CX137" s="772">
        <v>0</v>
      </c>
      <c r="CY137" s="772">
        <v>0</v>
      </c>
      <c r="CZ137" s="772">
        <v>0</v>
      </c>
      <c r="DA137" s="773">
        <v>3.6568910618909621E-2</v>
      </c>
      <c r="DB137" s="773">
        <v>3.6756239581353038E-2</v>
      </c>
      <c r="DC137" s="773">
        <v>3.69445281605741E-2</v>
      </c>
      <c r="DD137" s="774">
        <v>3.7208091592401869E-2</v>
      </c>
      <c r="DE137" s="774">
        <v>3.7471655024229632E-2</v>
      </c>
      <c r="DF137" s="774">
        <v>3.7735218456057408E-2</v>
      </c>
      <c r="DG137" s="774">
        <v>3.799878188788517E-2</v>
      </c>
      <c r="DH137" s="774">
        <v>3.8310428359381254E-2</v>
      </c>
      <c r="DI137" s="774">
        <v>3.8622074830877345E-2</v>
      </c>
      <c r="DJ137" s="774">
        <v>3.9486048315219249E-2</v>
      </c>
      <c r="DK137" s="774">
        <v>4.0515413585295756E-2</v>
      </c>
      <c r="DL137" s="774">
        <v>4.096738760922166E-2</v>
      </c>
      <c r="DM137" s="774">
        <v>4.1215591893519268E-2</v>
      </c>
      <c r="DN137" s="774">
        <v>4.1472630848878464E-2</v>
      </c>
      <c r="DO137" s="774">
        <v>4.1735854073980755E-2</v>
      </c>
      <c r="DP137" s="773">
        <v>0</v>
      </c>
      <c r="DQ137" s="773">
        <v>0</v>
      </c>
      <c r="DR137" s="773">
        <v>0</v>
      </c>
      <c r="DS137" s="774">
        <v>0</v>
      </c>
      <c r="DT137" s="774">
        <v>0</v>
      </c>
      <c r="DU137" s="774">
        <v>0</v>
      </c>
      <c r="DV137" s="774">
        <v>0</v>
      </c>
      <c r="DW137" s="774">
        <v>0</v>
      </c>
      <c r="DX137" s="774">
        <v>0</v>
      </c>
      <c r="DY137" s="774">
        <v>0</v>
      </c>
      <c r="DZ137" s="774">
        <v>0</v>
      </c>
      <c r="EA137" s="774">
        <v>0</v>
      </c>
      <c r="EB137" s="774">
        <v>0</v>
      </c>
      <c r="EC137" s="774">
        <v>0</v>
      </c>
      <c r="ED137" s="774">
        <v>0</v>
      </c>
    </row>
    <row r="138" spans="1:134" ht="15" x14ac:dyDescent="0.25">
      <c r="A138" s="766">
        <v>96</v>
      </c>
      <c r="B138" s="766">
        <v>91</v>
      </c>
      <c r="C138" s="766" t="s">
        <v>3809</v>
      </c>
      <c r="D138" s="2">
        <v>99709</v>
      </c>
      <c r="E138" s="2">
        <v>99709</v>
      </c>
      <c r="F138" s="767" t="s">
        <v>3676</v>
      </c>
      <c r="G138" s="114">
        <v>14</v>
      </c>
      <c r="H138" s="114">
        <v>5</v>
      </c>
      <c r="I138" s="114">
        <v>5</v>
      </c>
      <c r="J138" s="114">
        <v>0</v>
      </c>
      <c r="K138" s="114">
        <v>0</v>
      </c>
      <c r="L138" s="114">
        <v>7</v>
      </c>
      <c r="M138" s="114">
        <v>7</v>
      </c>
      <c r="N138" s="114">
        <v>0</v>
      </c>
      <c r="O138" s="114">
        <v>0</v>
      </c>
      <c r="P138" s="114">
        <v>0</v>
      </c>
      <c r="Q138" s="114">
        <v>7</v>
      </c>
      <c r="R138" s="114">
        <v>0</v>
      </c>
      <c r="S138" s="114">
        <v>2868.7142857142858</v>
      </c>
      <c r="T138" s="114">
        <v>2868.7142857142858</v>
      </c>
      <c r="U138" s="114">
        <v>0</v>
      </c>
      <c r="V138" s="114">
        <v>0</v>
      </c>
      <c r="W138" s="114">
        <v>0</v>
      </c>
      <c r="X138" s="114">
        <v>2868.7142857142858</v>
      </c>
      <c r="Y138" s="114">
        <v>0</v>
      </c>
      <c r="Z138" s="114">
        <v>5</v>
      </c>
      <c r="AA138" s="114">
        <v>0</v>
      </c>
      <c r="AB138" s="657">
        <v>0</v>
      </c>
      <c r="AC138" s="657">
        <v>0</v>
      </c>
      <c r="AD138" s="768">
        <v>5</v>
      </c>
      <c r="AE138" s="769">
        <v>0</v>
      </c>
      <c r="AF138" s="769">
        <v>5</v>
      </c>
      <c r="AG138" s="770">
        <v>5</v>
      </c>
      <c r="AH138" s="769">
        <v>0</v>
      </c>
      <c r="AI138" s="769">
        <v>0</v>
      </c>
      <c r="AJ138" s="769">
        <v>4.7607919750386971</v>
      </c>
      <c r="AK138" s="769">
        <v>4.7607919750386971</v>
      </c>
      <c r="AL138" s="769">
        <v>0</v>
      </c>
      <c r="AM138" s="769">
        <v>0</v>
      </c>
      <c r="AN138" s="769">
        <v>4.7697731444898812</v>
      </c>
      <c r="AO138" s="769">
        <v>4.7697731444898812</v>
      </c>
      <c r="AP138" s="769">
        <v>0</v>
      </c>
      <c r="AQ138" s="769">
        <v>0</v>
      </c>
      <c r="AR138" s="769">
        <v>0</v>
      </c>
      <c r="AS138" s="769">
        <v>4.533028045918571</v>
      </c>
      <c r="AT138" s="769">
        <v>4.6455143465104571</v>
      </c>
      <c r="AU138" s="769">
        <v>4.7607919750386971</v>
      </c>
      <c r="AV138" s="769">
        <v>4.8789301978193418</v>
      </c>
      <c r="AW138" s="769">
        <v>5</v>
      </c>
      <c r="AX138" s="769">
        <v>4.5501471699793781</v>
      </c>
      <c r="AY138" s="769">
        <v>4.6586660939419424</v>
      </c>
      <c r="AZ138" s="769">
        <v>4.7697731444898812</v>
      </c>
      <c r="BA138" s="769">
        <v>4.8835300472557153</v>
      </c>
      <c r="BB138" s="769">
        <v>5</v>
      </c>
      <c r="BC138" s="769">
        <v>0</v>
      </c>
      <c r="BD138" s="769">
        <v>0</v>
      </c>
      <c r="BE138" s="769">
        <v>0</v>
      </c>
      <c r="BF138" s="769">
        <v>0</v>
      </c>
      <c r="BG138" s="769">
        <v>0</v>
      </c>
      <c r="BH138" s="771">
        <v>5.025613145055865</v>
      </c>
      <c r="BI138" s="771">
        <v>5.0513574967516606</v>
      </c>
      <c r="BJ138" s="771">
        <v>5.0772337272103263</v>
      </c>
      <c r="BK138" s="772">
        <v>5.1134548731272282</v>
      </c>
      <c r="BL138" s="772">
        <v>5.1496760190441293</v>
      </c>
      <c r="BM138" s="772">
        <v>5.1858971649610321</v>
      </c>
      <c r="BN138" s="772">
        <v>5.2221183108779341</v>
      </c>
      <c r="BO138" s="772">
        <v>5.2649474402463952</v>
      </c>
      <c r="BP138" s="772">
        <v>5.307776569614858</v>
      </c>
      <c r="BQ138" s="772">
        <v>5.4265112113201317</v>
      </c>
      <c r="BR138" s="772">
        <v>5.567975409864931</v>
      </c>
      <c r="BS138" s="772">
        <v>5.6300895542958909</v>
      </c>
      <c r="BT138" s="772">
        <v>5.6641999145093624</v>
      </c>
      <c r="BU138" s="772">
        <v>5.6995244109458687</v>
      </c>
      <c r="BV138" s="772">
        <v>5.7356988027384981</v>
      </c>
      <c r="BW138" s="771">
        <v>5.025613145055865</v>
      </c>
      <c r="BX138" s="771">
        <v>5.0513574967516606</v>
      </c>
      <c r="BY138" s="771">
        <v>5.0772337272103263</v>
      </c>
      <c r="BZ138" s="772">
        <v>5.1134548731272282</v>
      </c>
      <c r="CA138" s="772">
        <v>5.1496760190441293</v>
      </c>
      <c r="CB138" s="772">
        <v>5.1858971649610321</v>
      </c>
      <c r="CC138" s="772">
        <v>5.2221183108779341</v>
      </c>
      <c r="CD138" s="772">
        <v>5.2649474402463952</v>
      </c>
      <c r="CE138" s="772">
        <v>5.307776569614858</v>
      </c>
      <c r="CF138" s="772">
        <v>5.4265112113201317</v>
      </c>
      <c r="CG138" s="772">
        <v>5.567975409864931</v>
      </c>
      <c r="CH138" s="772">
        <v>5.6300895542958909</v>
      </c>
      <c r="CI138" s="772">
        <v>5.6641999145093624</v>
      </c>
      <c r="CJ138" s="772">
        <v>5.6995244109458687</v>
      </c>
      <c r="CK138" s="772">
        <v>5.7356988027384981</v>
      </c>
      <c r="CL138" s="771">
        <v>0</v>
      </c>
      <c r="CM138" s="771">
        <v>0</v>
      </c>
      <c r="CN138" s="771">
        <v>0</v>
      </c>
      <c r="CO138" s="772">
        <v>0</v>
      </c>
      <c r="CP138" s="772">
        <v>0</v>
      </c>
      <c r="CQ138" s="772">
        <v>0</v>
      </c>
      <c r="CR138" s="772">
        <v>0</v>
      </c>
      <c r="CS138" s="772">
        <v>0</v>
      </c>
      <c r="CT138" s="772">
        <v>0</v>
      </c>
      <c r="CU138" s="772">
        <v>0</v>
      </c>
      <c r="CV138" s="772">
        <v>0</v>
      </c>
      <c r="CW138" s="772">
        <v>0</v>
      </c>
      <c r="CX138" s="772">
        <v>0</v>
      </c>
      <c r="CY138" s="772">
        <v>0</v>
      </c>
      <c r="CZ138" s="772">
        <v>0</v>
      </c>
      <c r="DA138" s="773">
        <v>0</v>
      </c>
      <c r="DB138" s="773">
        <v>0</v>
      </c>
      <c r="DC138" s="773">
        <v>0</v>
      </c>
      <c r="DD138" s="774">
        <v>0</v>
      </c>
      <c r="DE138" s="774">
        <v>0</v>
      </c>
      <c r="DF138" s="774">
        <v>0</v>
      </c>
      <c r="DG138" s="774">
        <v>0</v>
      </c>
      <c r="DH138" s="774">
        <v>0</v>
      </c>
      <c r="DI138" s="774">
        <v>0</v>
      </c>
      <c r="DJ138" s="774">
        <v>0</v>
      </c>
      <c r="DK138" s="774">
        <v>0</v>
      </c>
      <c r="DL138" s="774">
        <v>0</v>
      </c>
      <c r="DM138" s="774">
        <v>0</v>
      </c>
      <c r="DN138" s="774">
        <v>0</v>
      </c>
      <c r="DO138" s="774">
        <v>0</v>
      </c>
      <c r="DP138" s="773">
        <v>0</v>
      </c>
      <c r="DQ138" s="773">
        <v>0</v>
      </c>
      <c r="DR138" s="773">
        <v>0</v>
      </c>
      <c r="DS138" s="774">
        <v>0</v>
      </c>
      <c r="DT138" s="774">
        <v>0</v>
      </c>
      <c r="DU138" s="774">
        <v>0</v>
      </c>
      <c r="DV138" s="774">
        <v>0</v>
      </c>
      <c r="DW138" s="774">
        <v>0</v>
      </c>
      <c r="DX138" s="774">
        <v>0</v>
      </c>
      <c r="DY138" s="774">
        <v>0</v>
      </c>
      <c r="DZ138" s="774">
        <v>0</v>
      </c>
      <c r="EA138" s="774">
        <v>0</v>
      </c>
      <c r="EB138" s="774">
        <v>0</v>
      </c>
      <c r="EC138" s="774">
        <v>0</v>
      </c>
      <c r="ED138" s="774">
        <v>0</v>
      </c>
    </row>
    <row r="139" spans="1:134" ht="15" x14ac:dyDescent="0.25">
      <c r="A139" s="766">
        <v>97</v>
      </c>
      <c r="B139" s="766">
        <v>91</v>
      </c>
      <c r="C139" s="766" t="s">
        <v>3810</v>
      </c>
      <c r="D139" s="2">
        <v>99709</v>
      </c>
      <c r="E139" s="2">
        <v>99709</v>
      </c>
      <c r="F139" s="767" t="s">
        <v>3676</v>
      </c>
      <c r="G139" s="114">
        <v>83</v>
      </c>
      <c r="H139" s="114">
        <v>37</v>
      </c>
      <c r="I139" s="114">
        <v>34</v>
      </c>
      <c r="J139" s="114">
        <v>3</v>
      </c>
      <c r="K139" s="114">
        <v>0</v>
      </c>
      <c r="L139" s="114">
        <v>41</v>
      </c>
      <c r="M139" s="114">
        <v>41</v>
      </c>
      <c r="N139" s="114">
        <v>0</v>
      </c>
      <c r="O139" s="114">
        <v>0</v>
      </c>
      <c r="P139" s="114">
        <v>0</v>
      </c>
      <c r="Q139" s="114">
        <v>41</v>
      </c>
      <c r="R139" s="114">
        <v>0</v>
      </c>
      <c r="S139" s="114">
        <v>2164.6341463414633</v>
      </c>
      <c r="T139" s="114">
        <v>2164.6341463414633</v>
      </c>
      <c r="U139" s="114">
        <v>0</v>
      </c>
      <c r="V139" s="114">
        <v>0</v>
      </c>
      <c r="W139" s="114">
        <v>0</v>
      </c>
      <c r="X139" s="114">
        <v>2164.6341463414633</v>
      </c>
      <c r="Y139" s="114">
        <v>0</v>
      </c>
      <c r="Z139" s="114">
        <v>37</v>
      </c>
      <c r="AA139" s="114">
        <v>0</v>
      </c>
      <c r="AB139" s="657">
        <v>0</v>
      </c>
      <c r="AC139" s="657">
        <v>0</v>
      </c>
      <c r="AD139" s="768">
        <v>37</v>
      </c>
      <c r="AE139" s="769">
        <v>0</v>
      </c>
      <c r="AF139" s="769">
        <v>34</v>
      </c>
      <c r="AG139" s="770">
        <v>34</v>
      </c>
      <c r="AH139" s="769">
        <v>0</v>
      </c>
      <c r="AI139" s="769">
        <v>0</v>
      </c>
      <c r="AJ139" s="769">
        <v>35.229860615286356</v>
      </c>
      <c r="AK139" s="769">
        <v>35.229860615286356</v>
      </c>
      <c r="AL139" s="769">
        <v>0</v>
      </c>
      <c r="AM139" s="769">
        <v>0</v>
      </c>
      <c r="AN139" s="769">
        <v>32.434457382531193</v>
      </c>
      <c r="AO139" s="769">
        <v>32.434457382531193</v>
      </c>
      <c r="AP139" s="769">
        <v>0</v>
      </c>
      <c r="AQ139" s="769">
        <v>0</v>
      </c>
      <c r="AR139" s="769">
        <v>0</v>
      </c>
      <c r="AS139" s="769">
        <v>33.544407539797426</v>
      </c>
      <c r="AT139" s="769">
        <v>34.376806164177381</v>
      </c>
      <c r="AU139" s="769">
        <v>35.229860615286356</v>
      </c>
      <c r="AV139" s="769">
        <v>36.104083463863127</v>
      </c>
      <c r="AW139" s="769">
        <v>37</v>
      </c>
      <c r="AX139" s="769">
        <v>30.941000755859772</v>
      </c>
      <c r="AY139" s="769">
        <v>31.678929438805209</v>
      </c>
      <c r="AZ139" s="769">
        <v>32.434457382531193</v>
      </c>
      <c r="BA139" s="769">
        <v>33.208004321338862</v>
      </c>
      <c r="BB139" s="769">
        <v>34</v>
      </c>
      <c r="BC139" s="769">
        <v>0</v>
      </c>
      <c r="BD139" s="769">
        <v>0</v>
      </c>
      <c r="BE139" s="769">
        <v>0</v>
      </c>
      <c r="BF139" s="769">
        <v>0</v>
      </c>
      <c r="BG139" s="769">
        <v>0</v>
      </c>
      <c r="BH139" s="771">
        <v>37.345702995858282</v>
      </c>
      <c r="BI139" s="771">
        <v>37.694636006888061</v>
      </c>
      <c r="BJ139" s="771">
        <v>38.046829212168291</v>
      </c>
      <c r="BK139" s="772">
        <v>38.403433828911616</v>
      </c>
      <c r="BL139" s="772">
        <v>38.760038445654942</v>
      </c>
      <c r="BM139" s="772">
        <v>39.116643062398282</v>
      </c>
      <c r="BN139" s="772">
        <v>39.473247679141608</v>
      </c>
      <c r="BO139" s="772">
        <v>39.894909249400307</v>
      </c>
      <c r="BP139" s="772">
        <v>40.31657081965902</v>
      </c>
      <c r="BQ139" s="772">
        <v>41.485537740159117</v>
      </c>
      <c r="BR139" s="772">
        <v>42.878281813488684</v>
      </c>
      <c r="BS139" s="772">
        <v>43.489808315713617</v>
      </c>
      <c r="BT139" s="772">
        <v>43.825631813921227</v>
      </c>
      <c r="BU139" s="772">
        <v>44.173408732472907</v>
      </c>
      <c r="BV139" s="772">
        <v>44.529553045265459</v>
      </c>
      <c r="BW139" s="771">
        <v>34.317673023221118</v>
      </c>
      <c r="BX139" s="771">
        <v>34.638314168491732</v>
      </c>
      <c r="BY139" s="771">
        <v>34.96195116793843</v>
      </c>
      <c r="BZ139" s="772">
        <v>35.289641896837701</v>
      </c>
      <c r="CA139" s="772">
        <v>35.617332625736978</v>
      </c>
      <c r="CB139" s="772">
        <v>35.945023354636255</v>
      </c>
      <c r="CC139" s="772">
        <v>36.272714083535533</v>
      </c>
      <c r="CD139" s="772">
        <v>36.660186877827314</v>
      </c>
      <c r="CE139" s="772">
        <v>37.047659672119103</v>
      </c>
      <c r="CF139" s="772">
        <v>38.121845490957028</v>
      </c>
      <c r="CG139" s="772">
        <v>39.401664369151767</v>
      </c>
      <c r="CH139" s="772">
        <v>39.963607641466574</v>
      </c>
      <c r="CI139" s="772">
        <v>40.272202207387075</v>
      </c>
      <c r="CJ139" s="772">
        <v>40.59178099740754</v>
      </c>
      <c r="CK139" s="772">
        <v>40.919048744297989</v>
      </c>
      <c r="CL139" s="771">
        <v>0</v>
      </c>
      <c r="CM139" s="771">
        <v>0</v>
      </c>
      <c r="CN139" s="771">
        <v>0</v>
      </c>
      <c r="CO139" s="772">
        <v>0</v>
      </c>
      <c r="CP139" s="772">
        <v>0</v>
      </c>
      <c r="CQ139" s="772">
        <v>0</v>
      </c>
      <c r="CR139" s="772">
        <v>0</v>
      </c>
      <c r="CS139" s="772">
        <v>0</v>
      </c>
      <c r="CT139" s="772">
        <v>0</v>
      </c>
      <c r="CU139" s="772">
        <v>0</v>
      </c>
      <c r="CV139" s="772">
        <v>0</v>
      </c>
      <c r="CW139" s="772">
        <v>0</v>
      </c>
      <c r="CX139" s="772">
        <v>0</v>
      </c>
      <c r="CY139" s="772">
        <v>0</v>
      </c>
      <c r="CZ139" s="772">
        <v>0</v>
      </c>
      <c r="DA139" s="773">
        <v>0</v>
      </c>
      <c r="DB139" s="773">
        <v>0</v>
      </c>
      <c r="DC139" s="773">
        <v>0</v>
      </c>
      <c r="DD139" s="774">
        <v>0</v>
      </c>
      <c r="DE139" s="774">
        <v>0</v>
      </c>
      <c r="DF139" s="774">
        <v>0</v>
      </c>
      <c r="DG139" s="774">
        <v>0</v>
      </c>
      <c r="DH139" s="774">
        <v>0</v>
      </c>
      <c r="DI139" s="774">
        <v>0</v>
      </c>
      <c r="DJ139" s="774">
        <v>0</v>
      </c>
      <c r="DK139" s="774">
        <v>0</v>
      </c>
      <c r="DL139" s="774">
        <v>0</v>
      </c>
      <c r="DM139" s="774">
        <v>0</v>
      </c>
      <c r="DN139" s="774">
        <v>0</v>
      </c>
      <c r="DO139" s="774">
        <v>0</v>
      </c>
      <c r="DP139" s="773">
        <v>0</v>
      </c>
      <c r="DQ139" s="773">
        <v>0</v>
      </c>
      <c r="DR139" s="773">
        <v>0</v>
      </c>
      <c r="DS139" s="774">
        <v>0</v>
      </c>
      <c r="DT139" s="774">
        <v>0</v>
      </c>
      <c r="DU139" s="774">
        <v>0</v>
      </c>
      <c r="DV139" s="774">
        <v>0</v>
      </c>
      <c r="DW139" s="774">
        <v>0</v>
      </c>
      <c r="DX139" s="774">
        <v>0</v>
      </c>
      <c r="DY139" s="774">
        <v>0</v>
      </c>
      <c r="DZ139" s="774">
        <v>0</v>
      </c>
      <c r="EA139" s="774">
        <v>0</v>
      </c>
      <c r="EB139" s="774">
        <v>0</v>
      </c>
      <c r="EC139" s="774">
        <v>0</v>
      </c>
      <c r="ED139" s="774">
        <v>0</v>
      </c>
    </row>
    <row r="140" spans="1:134" ht="15" x14ac:dyDescent="0.25">
      <c r="A140" s="766">
        <v>100</v>
      </c>
      <c r="B140" s="766">
        <v>91</v>
      </c>
      <c r="C140" s="766" t="s">
        <v>3811</v>
      </c>
      <c r="D140" s="2">
        <v>99709</v>
      </c>
      <c r="E140" s="2">
        <v>99709</v>
      </c>
      <c r="F140" s="767" t="s">
        <v>3746</v>
      </c>
      <c r="G140" s="114">
        <v>571</v>
      </c>
      <c r="H140" s="114">
        <v>193</v>
      </c>
      <c r="I140" s="114">
        <v>185</v>
      </c>
      <c r="J140" s="114">
        <v>8</v>
      </c>
      <c r="K140" s="114">
        <v>0</v>
      </c>
      <c r="L140" s="114">
        <v>104</v>
      </c>
      <c r="M140" s="114">
        <v>104</v>
      </c>
      <c r="N140" s="114">
        <v>0</v>
      </c>
      <c r="O140" s="114">
        <v>0</v>
      </c>
      <c r="P140" s="114">
        <v>0</v>
      </c>
      <c r="Q140" s="114">
        <v>104</v>
      </c>
      <c r="R140" s="114">
        <v>0</v>
      </c>
      <c r="S140" s="114">
        <v>3187.9903846153848</v>
      </c>
      <c r="T140" s="114">
        <v>3187.9903846153848</v>
      </c>
      <c r="U140" s="114">
        <v>0</v>
      </c>
      <c r="V140" s="114">
        <v>0</v>
      </c>
      <c r="W140" s="114">
        <v>0</v>
      </c>
      <c r="X140" s="114">
        <v>3187.9903846153848</v>
      </c>
      <c r="Y140" s="114">
        <v>0</v>
      </c>
      <c r="Z140" s="114">
        <v>193</v>
      </c>
      <c r="AA140" s="114">
        <v>0</v>
      </c>
      <c r="AB140" s="657">
        <v>0</v>
      </c>
      <c r="AC140" s="657">
        <v>0</v>
      </c>
      <c r="AD140" s="768">
        <v>193</v>
      </c>
      <c r="AE140" s="769">
        <v>0</v>
      </c>
      <c r="AF140" s="769">
        <v>185</v>
      </c>
      <c r="AG140" s="770">
        <v>185</v>
      </c>
      <c r="AH140" s="769">
        <v>0</v>
      </c>
      <c r="AI140" s="769">
        <v>0</v>
      </c>
      <c r="AJ140" s="769">
        <v>183.76657023649369</v>
      </c>
      <c r="AK140" s="769">
        <v>183.76657023649369</v>
      </c>
      <c r="AL140" s="769">
        <v>0</v>
      </c>
      <c r="AM140" s="769">
        <v>0</v>
      </c>
      <c r="AN140" s="769">
        <v>176.48160634612563</v>
      </c>
      <c r="AO140" s="769">
        <v>176.48160634612563</v>
      </c>
      <c r="AP140" s="769">
        <v>0</v>
      </c>
      <c r="AQ140" s="769">
        <v>0</v>
      </c>
      <c r="AR140" s="769">
        <v>0</v>
      </c>
      <c r="AS140" s="769">
        <v>174.97488257245683</v>
      </c>
      <c r="AT140" s="769">
        <v>179.31685377530363</v>
      </c>
      <c r="AU140" s="769">
        <v>183.76657023649369</v>
      </c>
      <c r="AV140" s="769">
        <v>188.32670563582658</v>
      </c>
      <c r="AW140" s="769">
        <v>193</v>
      </c>
      <c r="AX140" s="769">
        <v>168.355445289237</v>
      </c>
      <c r="AY140" s="769">
        <v>172.37064547585189</v>
      </c>
      <c r="AZ140" s="769">
        <v>176.48160634612563</v>
      </c>
      <c r="BA140" s="769">
        <v>180.69061174846146</v>
      </c>
      <c r="BB140" s="769">
        <v>185</v>
      </c>
      <c r="BC140" s="769">
        <v>0</v>
      </c>
      <c r="BD140" s="769">
        <v>0</v>
      </c>
      <c r="BE140" s="769">
        <v>0</v>
      </c>
      <c r="BF140" s="769">
        <v>0</v>
      </c>
      <c r="BG140" s="769">
        <v>0</v>
      </c>
      <c r="BH140" s="771">
        <v>194.56000229965514</v>
      </c>
      <c r="BI140" s="771">
        <v>196.13261396291094</v>
      </c>
      <c r="BJ140" s="771">
        <v>197.71793691016231</v>
      </c>
      <c r="BK140" s="772">
        <v>198.97457549398916</v>
      </c>
      <c r="BL140" s="772">
        <v>200.23121407781599</v>
      </c>
      <c r="BM140" s="772">
        <v>201.48785266164285</v>
      </c>
      <c r="BN140" s="772">
        <v>202.7444912454697</v>
      </c>
      <c r="BO140" s="772">
        <v>204.23038395023377</v>
      </c>
      <c r="BP140" s="772">
        <v>205.71627665499787</v>
      </c>
      <c r="BQ140" s="772">
        <v>209.83559779260105</v>
      </c>
      <c r="BR140" s="772">
        <v>214.74348697229107</v>
      </c>
      <c r="BS140" s="772">
        <v>216.89844448446951</v>
      </c>
      <c r="BT140" s="772">
        <v>218.08185250946187</v>
      </c>
      <c r="BU140" s="772">
        <v>219.30738317815488</v>
      </c>
      <c r="BV140" s="772">
        <v>220.56239969743828</v>
      </c>
      <c r="BW140" s="771">
        <v>186.49533899189743</v>
      </c>
      <c r="BX140" s="771">
        <v>188.00276467947421</v>
      </c>
      <c r="BY140" s="771">
        <v>189.52237475844575</v>
      </c>
      <c r="BZ140" s="772">
        <v>190.72692469631087</v>
      </c>
      <c r="CA140" s="772">
        <v>191.93147463417597</v>
      </c>
      <c r="CB140" s="772">
        <v>193.13602457204109</v>
      </c>
      <c r="CC140" s="772">
        <v>194.34057450990619</v>
      </c>
      <c r="CD140" s="772">
        <v>195.76487580721891</v>
      </c>
      <c r="CE140" s="772">
        <v>197.18917710453167</v>
      </c>
      <c r="CF140" s="772">
        <v>201.13774917943627</v>
      </c>
      <c r="CG140" s="772">
        <v>205.84220253820649</v>
      </c>
      <c r="CH140" s="772">
        <v>207.90783538666767</v>
      </c>
      <c r="CI140" s="772">
        <v>209.04219022927694</v>
      </c>
      <c r="CJ140" s="772">
        <v>210.21692169926766</v>
      </c>
      <c r="CK140" s="772">
        <v>211.41991680842531</v>
      </c>
      <c r="CL140" s="771">
        <v>0</v>
      </c>
      <c r="CM140" s="771">
        <v>0</v>
      </c>
      <c r="CN140" s="771">
        <v>0</v>
      </c>
      <c r="CO140" s="772">
        <v>0</v>
      </c>
      <c r="CP140" s="772">
        <v>0</v>
      </c>
      <c r="CQ140" s="772">
        <v>0</v>
      </c>
      <c r="CR140" s="772">
        <v>0</v>
      </c>
      <c r="CS140" s="772">
        <v>0</v>
      </c>
      <c r="CT140" s="772">
        <v>0</v>
      </c>
      <c r="CU140" s="772">
        <v>0</v>
      </c>
      <c r="CV140" s="772">
        <v>0</v>
      </c>
      <c r="CW140" s="772">
        <v>0</v>
      </c>
      <c r="CX140" s="772">
        <v>0</v>
      </c>
      <c r="CY140" s="772">
        <v>0</v>
      </c>
      <c r="CZ140" s="772">
        <v>0</v>
      </c>
      <c r="DA140" s="773">
        <v>0</v>
      </c>
      <c r="DB140" s="773">
        <v>0</v>
      </c>
      <c r="DC140" s="773">
        <v>0</v>
      </c>
      <c r="DD140" s="774">
        <v>0</v>
      </c>
      <c r="DE140" s="774">
        <v>0</v>
      </c>
      <c r="DF140" s="774">
        <v>0</v>
      </c>
      <c r="DG140" s="774">
        <v>0</v>
      </c>
      <c r="DH140" s="774">
        <v>0</v>
      </c>
      <c r="DI140" s="774">
        <v>0</v>
      </c>
      <c r="DJ140" s="774">
        <v>0</v>
      </c>
      <c r="DK140" s="774">
        <v>0</v>
      </c>
      <c r="DL140" s="774">
        <v>0</v>
      </c>
      <c r="DM140" s="774">
        <v>0</v>
      </c>
      <c r="DN140" s="774">
        <v>0</v>
      </c>
      <c r="DO140" s="774">
        <v>0</v>
      </c>
      <c r="DP140" s="773">
        <v>0</v>
      </c>
      <c r="DQ140" s="773">
        <v>0</v>
      </c>
      <c r="DR140" s="773">
        <v>0</v>
      </c>
      <c r="DS140" s="774">
        <v>0</v>
      </c>
      <c r="DT140" s="774">
        <v>0</v>
      </c>
      <c r="DU140" s="774">
        <v>0</v>
      </c>
      <c r="DV140" s="774">
        <v>0</v>
      </c>
      <c r="DW140" s="774">
        <v>0</v>
      </c>
      <c r="DX140" s="774">
        <v>0</v>
      </c>
      <c r="DY140" s="774">
        <v>0</v>
      </c>
      <c r="DZ140" s="774">
        <v>0</v>
      </c>
      <c r="EA140" s="774">
        <v>0</v>
      </c>
      <c r="EB140" s="774">
        <v>0</v>
      </c>
      <c r="EC140" s="774">
        <v>0</v>
      </c>
      <c r="ED140" s="774">
        <v>0</v>
      </c>
    </row>
    <row r="141" spans="1:134" ht="15" x14ac:dyDescent="0.25">
      <c r="A141" s="766">
        <v>101</v>
      </c>
      <c r="B141" s="766">
        <v>91</v>
      </c>
      <c r="C141" s="766" t="s">
        <v>3812</v>
      </c>
      <c r="D141" s="2">
        <v>99709</v>
      </c>
      <c r="E141" s="2">
        <v>99709</v>
      </c>
      <c r="F141" s="767" t="s">
        <v>3746</v>
      </c>
      <c r="G141" s="114">
        <v>107</v>
      </c>
      <c r="H141" s="114">
        <v>59</v>
      </c>
      <c r="I141" s="114">
        <v>49</v>
      </c>
      <c r="J141" s="114">
        <v>10</v>
      </c>
      <c r="K141" s="114">
        <v>0</v>
      </c>
      <c r="L141" s="114">
        <v>34</v>
      </c>
      <c r="M141" s="114">
        <v>34</v>
      </c>
      <c r="N141" s="114">
        <v>0</v>
      </c>
      <c r="O141" s="114">
        <v>0</v>
      </c>
      <c r="P141" s="114">
        <v>0</v>
      </c>
      <c r="Q141" s="114">
        <v>34</v>
      </c>
      <c r="R141" s="114">
        <v>0</v>
      </c>
      <c r="S141" s="114">
        <v>3441.1470588235293</v>
      </c>
      <c r="T141" s="114">
        <v>3441.1470588235293</v>
      </c>
      <c r="U141" s="114">
        <v>0</v>
      </c>
      <c r="V141" s="114">
        <v>0</v>
      </c>
      <c r="W141" s="114">
        <v>0</v>
      </c>
      <c r="X141" s="114">
        <v>3441.1470588235293</v>
      </c>
      <c r="Y141" s="114">
        <v>0</v>
      </c>
      <c r="Z141" s="114">
        <v>59</v>
      </c>
      <c r="AA141" s="114">
        <v>0</v>
      </c>
      <c r="AB141" s="657">
        <v>0</v>
      </c>
      <c r="AC141" s="657">
        <v>0</v>
      </c>
      <c r="AD141" s="768">
        <v>59</v>
      </c>
      <c r="AE141" s="769">
        <v>0</v>
      </c>
      <c r="AF141" s="769">
        <v>49</v>
      </c>
      <c r="AG141" s="770">
        <v>49</v>
      </c>
      <c r="AH141" s="769">
        <v>0</v>
      </c>
      <c r="AI141" s="769">
        <v>0</v>
      </c>
      <c r="AJ141" s="769">
        <v>56.177345305456619</v>
      </c>
      <c r="AK141" s="769">
        <v>56.177345305456619</v>
      </c>
      <c r="AL141" s="769">
        <v>0</v>
      </c>
      <c r="AM141" s="769">
        <v>0</v>
      </c>
      <c r="AN141" s="769">
        <v>46.743776816000839</v>
      </c>
      <c r="AO141" s="769">
        <v>46.743776816000839</v>
      </c>
      <c r="AP141" s="769">
        <v>0</v>
      </c>
      <c r="AQ141" s="769">
        <v>0</v>
      </c>
      <c r="AR141" s="769">
        <v>0</v>
      </c>
      <c r="AS141" s="769">
        <v>53.489730941839134</v>
      </c>
      <c r="AT141" s="769">
        <v>54.81706928882339</v>
      </c>
      <c r="AU141" s="769">
        <v>56.177345305456619</v>
      </c>
      <c r="AV141" s="769">
        <v>57.571376334268237</v>
      </c>
      <c r="AW141" s="769">
        <v>59</v>
      </c>
      <c r="AX141" s="769">
        <v>44.591442265797909</v>
      </c>
      <c r="AY141" s="769">
        <v>45.654927720631036</v>
      </c>
      <c r="AZ141" s="769">
        <v>46.743776816000839</v>
      </c>
      <c r="BA141" s="769">
        <v>47.858594463106009</v>
      </c>
      <c r="BB141" s="769">
        <v>49</v>
      </c>
      <c r="BC141" s="769">
        <v>0</v>
      </c>
      <c r="BD141" s="769">
        <v>0</v>
      </c>
      <c r="BE141" s="769">
        <v>0</v>
      </c>
      <c r="BF141" s="769">
        <v>0</v>
      </c>
      <c r="BG141" s="769">
        <v>0</v>
      </c>
      <c r="BH141" s="771">
        <v>59.476891894713233</v>
      </c>
      <c r="BI141" s="771">
        <v>59.957638465345831</v>
      </c>
      <c r="BJ141" s="771">
        <v>60.442270868909723</v>
      </c>
      <c r="BK141" s="772">
        <v>60.826424632877519</v>
      </c>
      <c r="BL141" s="772">
        <v>61.210578396845307</v>
      </c>
      <c r="BM141" s="772">
        <v>61.594732160813102</v>
      </c>
      <c r="BN141" s="772">
        <v>61.97888592478089</v>
      </c>
      <c r="BO141" s="772">
        <v>62.43312255473468</v>
      </c>
      <c r="BP141" s="772">
        <v>62.887359184688471</v>
      </c>
      <c r="BQ141" s="772">
        <v>64.146633522090482</v>
      </c>
      <c r="BR141" s="772">
        <v>65.646972701373954</v>
      </c>
      <c r="BS141" s="772">
        <v>66.305742096288611</v>
      </c>
      <c r="BT141" s="772">
        <v>66.66750931636399</v>
      </c>
      <c r="BU141" s="772">
        <v>67.04215340679346</v>
      </c>
      <c r="BV141" s="772">
        <v>67.425811306470777</v>
      </c>
      <c r="BW141" s="771">
        <v>49.396062760016072</v>
      </c>
      <c r="BX141" s="771">
        <v>49.795326861049929</v>
      </c>
      <c r="BY141" s="771">
        <v>50.197818179264004</v>
      </c>
      <c r="BZ141" s="772">
        <v>50.516861135779628</v>
      </c>
      <c r="CA141" s="772">
        <v>50.835904092295252</v>
      </c>
      <c r="CB141" s="772">
        <v>51.154947048810875</v>
      </c>
      <c r="CC141" s="772">
        <v>51.473990005326499</v>
      </c>
      <c r="CD141" s="772">
        <v>51.851237375966086</v>
      </c>
      <c r="CE141" s="772">
        <v>52.22848474660568</v>
      </c>
      <c r="CF141" s="772">
        <v>53.274322755634465</v>
      </c>
      <c r="CG141" s="772">
        <v>54.520367158768195</v>
      </c>
      <c r="CH141" s="772">
        <v>55.067480724036301</v>
      </c>
      <c r="CI141" s="772">
        <v>55.367931466132802</v>
      </c>
      <c r="CJ141" s="772">
        <v>55.679076558184398</v>
      </c>
      <c r="CK141" s="772">
        <v>55.997707695204539</v>
      </c>
      <c r="CL141" s="771">
        <v>0</v>
      </c>
      <c r="CM141" s="771">
        <v>0</v>
      </c>
      <c r="CN141" s="771">
        <v>0</v>
      </c>
      <c r="CO141" s="772">
        <v>0</v>
      </c>
      <c r="CP141" s="772">
        <v>0</v>
      </c>
      <c r="CQ141" s="772">
        <v>0</v>
      </c>
      <c r="CR141" s="772">
        <v>0</v>
      </c>
      <c r="CS141" s="772">
        <v>0</v>
      </c>
      <c r="CT141" s="772">
        <v>0</v>
      </c>
      <c r="CU141" s="772">
        <v>0</v>
      </c>
      <c r="CV141" s="772">
        <v>0</v>
      </c>
      <c r="CW141" s="772">
        <v>0</v>
      </c>
      <c r="CX141" s="772">
        <v>0</v>
      </c>
      <c r="CY141" s="772">
        <v>0</v>
      </c>
      <c r="CZ141" s="772">
        <v>0</v>
      </c>
      <c r="DA141" s="773">
        <v>0</v>
      </c>
      <c r="DB141" s="773">
        <v>0</v>
      </c>
      <c r="DC141" s="773">
        <v>0</v>
      </c>
      <c r="DD141" s="774">
        <v>0</v>
      </c>
      <c r="DE141" s="774">
        <v>0</v>
      </c>
      <c r="DF141" s="774">
        <v>0</v>
      </c>
      <c r="DG141" s="774">
        <v>0</v>
      </c>
      <c r="DH141" s="774">
        <v>0</v>
      </c>
      <c r="DI141" s="774">
        <v>0</v>
      </c>
      <c r="DJ141" s="774">
        <v>0</v>
      </c>
      <c r="DK141" s="774">
        <v>0</v>
      </c>
      <c r="DL141" s="774">
        <v>0</v>
      </c>
      <c r="DM141" s="774">
        <v>0</v>
      </c>
      <c r="DN141" s="774">
        <v>0</v>
      </c>
      <c r="DO141" s="774">
        <v>0</v>
      </c>
      <c r="DP141" s="773">
        <v>0</v>
      </c>
      <c r="DQ141" s="773">
        <v>0</v>
      </c>
      <c r="DR141" s="773">
        <v>0</v>
      </c>
      <c r="DS141" s="774">
        <v>0</v>
      </c>
      <c r="DT141" s="774">
        <v>0</v>
      </c>
      <c r="DU141" s="774">
        <v>0</v>
      </c>
      <c r="DV141" s="774">
        <v>0</v>
      </c>
      <c r="DW141" s="774">
        <v>0</v>
      </c>
      <c r="DX141" s="774">
        <v>0</v>
      </c>
      <c r="DY141" s="774">
        <v>0</v>
      </c>
      <c r="DZ141" s="774">
        <v>0</v>
      </c>
      <c r="EA141" s="774">
        <v>0</v>
      </c>
      <c r="EB141" s="774">
        <v>0</v>
      </c>
      <c r="EC141" s="774">
        <v>0</v>
      </c>
      <c r="ED141" s="774">
        <v>0</v>
      </c>
    </row>
    <row r="142" spans="1:134" ht="15" x14ac:dyDescent="0.25">
      <c r="A142" s="766">
        <v>102</v>
      </c>
      <c r="B142" s="766">
        <v>91</v>
      </c>
      <c r="C142" s="766" t="s">
        <v>3813</v>
      </c>
      <c r="D142" s="2">
        <v>99709</v>
      </c>
      <c r="E142" s="2">
        <v>99709</v>
      </c>
      <c r="F142" s="767" t="s">
        <v>3746</v>
      </c>
      <c r="G142" s="114">
        <v>131</v>
      </c>
      <c r="H142" s="114">
        <v>67</v>
      </c>
      <c r="I142" s="114">
        <v>57</v>
      </c>
      <c r="J142" s="114">
        <v>10</v>
      </c>
      <c r="K142" s="114">
        <v>2</v>
      </c>
      <c r="L142" s="114">
        <v>69</v>
      </c>
      <c r="M142" s="114">
        <v>71</v>
      </c>
      <c r="N142" s="114">
        <v>12</v>
      </c>
      <c r="O142" s="114">
        <v>0</v>
      </c>
      <c r="P142" s="114">
        <v>0</v>
      </c>
      <c r="Q142" s="114">
        <v>83</v>
      </c>
      <c r="R142" s="114">
        <v>3726</v>
      </c>
      <c r="S142" s="114">
        <v>2085.782608695652</v>
      </c>
      <c r="T142" s="114">
        <v>2131.9859154929577</v>
      </c>
      <c r="U142" s="114">
        <v>3642.75</v>
      </c>
      <c r="V142" s="114">
        <v>0</v>
      </c>
      <c r="W142" s="114">
        <v>0</v>
      </c>
      <c r="X142" s="114">
        <v>2350.4096385542171</v>
      </c>
      <c r="Y142" s="114">
        <v>1.8873239436619718</v>
      </c>
      <c r="Z142" s="114">
        <v>65.112676056338032</v>
      </c>
      <c r="AA142" s="114">
        <v>0</v>
      </c>
      <c r="AB142" s="657">
        <v>12</v>
      </c>
      <c r="AC142" s="657">
        <v>0</v>
      </c>
      <c r="AD142" s="768">
        <v>79</v>
      </c>
      <c r="AE142" s="769">
        <v>1.6056338028169013</v>
      </c>
      <c r="AF142" s="769">
        <v>55.394366197183096</v>
      </c>
      <c r="AG142" s="770">
        <v>57</v>
      </c>
      <c r="AH142" s="769">
        <v>0</v>
      </c>
      <c r="AI142" s="769">
        <v>1.79703133705686</v>
      </c>
      <c r="AJ142" s="769">
        <v>61.997581128461682</v>
      </c>
      <c r="AK142" s="769">
        <v>63.79461246551854</v>
      </c>
      <c r="AL142" s="769">
        <v>0</v>
      </c>
      <c r="AM142" s="769">
        <v>1.5317017985122434</v>
      </c>
      <c r="AN142" s="769">
        <v>52.843712048672401</v>
      </c>
      <c r="AO142" s="769">
        <v>54.375413847184646</v>
      </c>
      <c r="AP142" s="769">
        <v>0</v>
      </c>
      <c r="AQ142" s="769">
        <v>11.51598886201489</v>
      </c>
      <c r="AR142" s="769">
        <v>0</v>
      </c>
      <c r="AS142" s="769">
        <v>60.742575815308854</v>
      </c>
      <c r="AT142" s="769">
        <v>62.249892243240119</v>
      </c>
      <c r="AU142" s="769">
        <v>63.794612465518533</v>
      </c>
      <c r="AV142" s="769">
        <v>65.377664650779181</v>
      </c>
      <c r="AW142" s="769">
        <v>67</v>
      </c>
      <c r="AX142" s="769">
        <v>51.871677737764912</v>
      </c>
      <c r="AY142" s="769">
        <v>53.108793470938146</v>
      </c>
      <c r="AZ142" s="769">
        <v>54.375413847184653</v>
      </c>
      <c r="BA142" s="769">
        <v>55.672242538715153</v>
      </c>
      <c r="BB142" s="769">
        <v>57</v>
      </c>
      <c r="BC142" s="769">
        <v>11.051499955837585</v>
      </c>
      <c r="BD142" s="769">
        <v>11.281354103120055</v>
      </c>
      <c r="BE142" s="769">
        <v>11.51598886201489</v>
      </c>
      <c r="BF142" s="769">
        <v>11.755503661867436</v>
      </c>
      <c r="BG142" s="769">
        <v>12</v>
      </c>
      <c r="BH142" s="771">
        <v>67.54155520247096</v>
      </c>
      <c r="BI142" s="771">
        <v>68.08748774878255</v>
      </c>
      <c r="BJ142" s="771">
        <v>68.637833020626289</v>
      </c>
      <c r="BK142" s="772">
        <v>69.086606382254161</v>
      </c>
      <c r="BL142" s="772">
        <v>69.535379743882018</v>
      </c>
      <c r="BM142" s="772">
        <v>69.984153105509904</v>
      </c>
      <c r="BN142" s="772">
        <v>70.432926467137762</v>
      </c>
      <c r="BO142" s="772">
        <v>70.963571533044146</v>
      </c>
      <c r="BP142" s="772">
        <v>71.49421659895053</v>
      </c>
      <c r="BQ142" s="772">
        <v>72.965317055628574</v>
      </c>
      <c r="BR142" s="772">
        <v>74.718032557136709</v>
      </c>
      <c r="BS142" s="772">
        <v>75.487615426349947</v>
      </c>
      <c r="BT142" s="772">
        <v>75.910236539841392</v>
      </c>
      <c r="BU142" s="772">
        <v>76.347900578687415</v>
      </c>
      <c r="BV142" s="772">
        <v>76.796094665281629</v>
      </c>
      <c r="BW142" s="771">
        <v>57.460726067773798</v>
      </c>
      <c r="BX142" s="771">
        <v>57.925176144486649</v>
      </c>
      <c r="BY142" s="771">
        <v>58.393380330980577</v>
      </c>
      <c r="BZ142" s="772">
        <v>58.775172593858017</v>
      </c>
      <c r="CA142" s="772">
        <v>59.156964856735449</v>
      </c>
      <c r="CB142" s="772">
        <v>59.538757119612903</v>
      </c>
      <c r="CC142" s="772">
        <v>59.920549382490343</v>
      </c>
      <c r="CD142" s="772">
        <v>60.371993692291298</v>
      </c>
      <c r="CE142" s="772">
        <v>60.823438002092253</v>
      </c>
      <c r="CF142" s="772">
        <v>62.074971226430286</v>
      </c>
      <c r="CG142" s="772">
        <v>63.566087399355112</v>
      </c>
      <c r="CH142" s="772">
        <v>64.220807153760404</v>
      </c>
      <c r="CI142" s="772">
        <v>64.5803504891188</v>
      </c>
      <c r="CJ142" s="772">
        <v>64.952691537092278</v>
      </c>
      <c r="CK142" s="772">
        <v>65.333990983896314</v>
      </c>
      <c r="CL142" s="771">
        <v>12.096994961636589</v>
      </c>
      <c r="CM142" s="771">
        <v>12.194773925155085</v>
      </c>
      <c r="CN142" s="771">
        <v>12.293343227574859</v>
      </c>
      <c r="CO142" s="772">
        <v>12.373720546075372</v>
      </c>
      <c r="CP142" s="772">
        <v>12.454097864575886</v>
      </c>
      <c r="CQ142" s="772">
        <v>12.534475183076401</v>
      </c>
      <c r="CR142" s="772">
        <v>12.614852501576914</v>
      </c>
      <c r="CS142" s="772">
        <v>12.709893408903431</v>
      </c>
      <c r="CT142" s="772">
        <v>12.804934316229948</v>
      </c>
      <c r="CU142" s="772">
        <v>13.068414995037955</v>
      </c>
      <c r="CV142" s="772">
        <v>13.38233418933792</v>
      </c>
      <c r="CW142" s="772">
        <v>13.520169927107453</v>
      </c>
      <c r="CX142" s="772">
        <v>13.595863260867116</v>
      </c>
      <c r="CY142" s="772">
        <v>13.674250849914165</v>
      </c>
      <c r="CZ142" s="772">
        <v>13.754524417662383</v>
      </c>
      <c r="DA142" s="773">
        <v>0</v>
      </c>
      <c r="DB142" s="773">
        <v>0</v>
      </c>
      <c r="DC142" s="773">
        <v>0</v>
      </c>
      <c r="DD142" s="774">
        <v>0</v>
      </c>
      <c r="DE142" s="774">
        <v>0</v>
      </c>
      <c r="DF142" s="774">
        <v>0</v>
      </c>
      <c r="DG142" s="774">
        <v>0</v>
      </c>
      <c r="DH142" s="774">
        <v>0</v>
      </c>
      <c r="DI142" s="774">
        <v>0</v>
      </c>
      <c r="DJ142" s="774">
        <v>0</v>
      </c>
      <c r="DK142" s="774">
        <v>0</v>
      </c>
      <c r="DL142" s="774">
        <v>0</v>
      </c>
      <c r="DM142" s="774">
        <v>0</v>
      </c>
      <c r="DN142" s="774">
        <v>0</v>
      </c>
      <c r="DO142" s="774">
        <v>0</v>
      </c>
      <c r="DP142" s="773">
        <v>0</v>
      </c>
      <c r="DQ142" s="773">
        <v>0</v>
      </c>
      <c r="DR142" s="773">
        <v>0</v>
      </c>
      <c r="DS142" s="774">
        <v>0</v>
      </c>
      <c r="DT142" s="774">
        <v>0</v>
      </c>
      <c r="DU142" s="774">
        <v>0</v>
      </c>
      <c r="DV142" s="774">
        <v>0</v>
      </c>
      <c r="DW142" s="774">
        <v>0</v>
      </c>
      <c r="DX142" s="774">
        <v>0</v>
      </c>
      <c r="DY142" s="774">
        <v>0</v>
      </c>
      <c r="DZ142" s="774">
        <v>0</v>
      </c>
      <c r="EA142" s="774">
        <v>0</v>
      </c>
      <c r="EB142" s="774">
        <v>0</v>
      </c>
      <c r="EC142" s="774">
        <v>0</v>
      </c>
      <c r="ED142" s="774">
        <v>0</v>
      </c>
    </row>
    <row r="143" spans="1:134" ht="15" x14ac:dyDescent="0.25">
      <c r="A143" s="766">
        <v>103</v>
      </c>
      <c r="B143" s="766">
        <v>91</v>
      </c>
      <c r="C143" s="766" t="s">
        <v>3814</v>
      </c>
      <c r="D143" s="2">
        <v>99709</v>
      </c>
      <c r="E143" s="2">
        <v>99709</v>
      </c>
      <c r="F143" s="767" t="s">
        <v>3746</v>
      </c>
      <c r="G143" s="114">
        <v>278</v>
      </c>
      <c r="H143" s="114">
        <v>142</v>
      </c>
      <c r="I143" s="114">
        <v>126</v>
      </c>
      <c r="J143" s="114">
        <v>16</v>
      </c>
      <c r="K143" s="114">
        <v>0</v>
      </c>
      <c r="L143" s="114">
        <v>29</v>
      </c>
      <c r="M143" s="114">
        <v>29</v>
      </c>
      <c r="N143" s="114">
        <v>15</v>
      </c>
      <c r="O143" s="114">
        <v>0</v>
      </c>
      <c r="P143" s="114">
        <v>0</v>
      </c>
      <c r="Q143" s="114">
        <v>44</v>
      </c>
      <c r="R143" s="114">
        <v>0</v>
      </c>
      <c r="S143" s="114">
        <v>2830.4482758620688</v>
      </c>
      <c r="T143" s="114">
        <v>2830.4482758620688</v>
      </c>
      <c r="U143" s="114">
        <v>6957.4</v>
      </c>
      <c r="V143" s="114">
        <v>0</v>
      </c>
      <c r="W143" s="114">
        <v>0</v>
      </c>
      <c r="X143" s="114">
        <v>4237.363636363636</v>
      </c>
      <c r="Y143" s="114">
        <v>0</v>
      </c>
      <c r="Z143" s="114">
        <v>142</v>
      </c>
      <c r="AA143" s="114">
        <v>0</v>
      </c>
      <c r="AB143" s="657">
        <v>15</v>
      </c>
      <c r="AC143" s="657">
        <v>0</v>
      </c>
      <c r="AD143" s="768">
        <v>157</v>
      </c>
      <c r="AE143" s="769">
        <v>0</v>
      </c>
      <c r="AF143" s="769">
        <v>126</v>
      </c>
      <c r="AG143" s="770">
        <v>126</v>
      </c>
      <c r="AH143" s="769">
        <v>0</v>
      </c>
      <c r="AI143" s="769">
        <v>0</v>
      </c>
      <c r="AJ143" s="769">
        <v>135.20649209109899</v>
      </c>
      <c r="AK143" s="769">
        <v>135.20649209109899</v>
      </c>
      <c r="AL143" s="769">
        <v>0</v>
      </c>
      <c r="AM143" s="769">
        <v>0</v>
      </c>
      <c r="AN143" s="769">
        <v>120.19828324114502</v>
      </c>
      <c r="AO143" s="769">
        <v>120.19828324114502</v>
      </c>
      <c r="AP143" s="769">
        <v>0</v>
      </c>
      <c r="AQ143" s="769">
        <v>14.394986077518613</v>
      </c>
      <c r="AR143" s="769">
        <v>0</v>
      </c>
      <c r="AS143" s="769">
        <v>128.73799650408742</v>
      </c>
      <c r="AT143" s="769">
        <v>131.93260744089696</v>
      </c>
      <c r="AU143" s="769">
        <v>135.20649209109899</v>
      </c>
      <c r="AV143" s="769">
        <v>138.56161761806931</v>
      </c>
      <c r="AW143" s="769">
        <v>142</v>
      </c>
      <c r="AX143" s="769">
        <v>114.66370868348034</v>
      </c>
      <c r="AY143" s="769">
        <v>117.39838556733696</v>
      </c>
      <c r="AZ143" s="769">
        <v>120.19828324114502</v>
      </c>
      <c r="BA143" s="769">
        <v>123.06495719084403</v>
      </c>
      <c r="BB143" s="769">
        <v>126</v>
      </c>
      <c r="BC143" s="769">
        <v>13.814374944796981</v>
      </c>
      <c r="BD143" s="769">
        <v>14.101692628900068</v>
      </c>
      <c r="BE143" s="769">
        <v>14.394986077518613</v>
      </c>
      <c r="BF143" s="769">
        <v>14.694379577334294</v>
      </c>
      <c r="BG143" s="769">
        <v>15</v>
      </c>
      <c r="BH143" s="771">
        <v>145.33158690364144</v>
      </c>
      <c r="BI143" s="771">
        <v>148.7413390981034</v>
      </c>
      <c r="BJ143" s="771">
        <v>152.23109048802829</v>
      </c>
      <c r="BK143" s="772">
        <v>152.23109048802829</v>
      </c>
      <c r="BL143" s="772">
        <v>152.23109048802829</v>
      </c>
      <c r="BM143" s="772">
        <v>152.23109048802829</v>
      </c>
      <c r="BN143" s="772">
        <v>152.23109048802829</v>
      </c>
      <c r="BO143" s="772">
        <v>152.23109048802829</v>
      </c>
      <c r="BP143" s="772">
        <v>152.23109048802829</v>
      </c>
      <c r="BQ143" s="772">
        <v>152.23109048802829</v>
      </c>
      <c r="BR143" s="772">
        <v>152.23109048802829</v>
      </c>
      <c r="BS143" s="772">
        <v>152.23109048802829</v>
      </c>
      <c r="BT143" s="772">
        <v>152.23109048802829</v>
      </c>
      <c r="BU143" s="772">
        <v>152.23109048802829</v>
      </c>
      <c r="BV143" s="772">
        <v>152.23109048802829</v>
      </c>
      <c r="BW143" s="771">
        <v>128.95619682999171</v>
      </c>
      <c r="BX143" s="771">
        <v>131.98175159409175</v>
      </c>
      <c r="BY143" s="771">
        <v>135.07829155979974</v>
      </c>
      <c r="BZ143" s="772">
        <v>135.07829155979974</v>
      </c>
      <c r="CA143" s="772">
        <v>135.07829155979974</v>
      </c>
      <c r="CB143" s="772">
        <v>135.07829155979974</v>
      </c>
      <c r="CC143" s="772">
        <v>135.07829155979974</v>
      </c>
      <c r="CD143" s="772">
        <v>135.07829155979974</v>
      </c>
      <c r="CE143" s="772">
        <v>135.07829155979974</v>
      </c>
      <c r="CF143" s="772">
        <v>135.07829155979974</v>
      </c>
      <c r="CG143" s="772">
        <v>135.07829155979974</v>
      </c>
      <c r="CH143" s="772">
        <v>135.07829155979974</v>
      </c>
      <c r="CI143" s="772">
        <v>135.07829155979974</v>
      </c>
      <c r="CJ143" s="772">
        <v>135.07829155979974</v>
      </c>
      <c r="CK143" s="772">
        <v>135.07829155979974</v>
      </c>
      <c r="CL143" s="771">
        <v>15.351928194046632</v>
      </c>
      <c r="CM143" s="771">
        <v>15.712113285010924</v>
      </c>
      <c r="CN143" s="771">
        <v>16.080748995214254</v>
      </c>
      <c r="CO143" s="772">
        <v>16.080748995214254</v>
      </c>
      <c r="CP143" s="772">
        <v>16.080748995214254</v>
      </c>
      <c r="CQ143" s="772">
        <v>16.080748995214254</v>
      </c>
      <c r="CR143" s="772">
        <v>16.080748995214254</v>
      </c>
      <c r="CS143" s="772">
        <v>16.080748995214254</v>
      </c>
      <c r="CT143" s="772">
        <v>16.080748995214254</v>
      </c>
      <c r="CU143" s="772">
        <v>16.080748995214254</v>
      </c>
      <c r="CV143" s="772">
        <v>16.080748995214254</v>
      </c>
      <c r="CW143" s="772">
        <v>16.080748995214254</v>
      </c>
      <c r="CX143" s="772">
        <v>16.080748995214254</v>
      </c>
      <c r="CY143" s="772">
        <v>16.080748995214254</v>
      </c>
      <c r="CZ143" s="772">
        <v>16.080748995214254</v>
      </c>
      <c r="DA143" s="773">
        <v>0</v>
      </c>
      <c r="DB143" s="773">
        <v>0</v>
      </c>
      <c r="DC143" s="773">
        <v>0</v>
      </c>
      <c r="DD143" s="774">
        <v>0</v>
      </c>
      <c r="DE143" s="774">
        <v>0</v>
      </c>
      <c r="DF143" s="774">
        <v>0</v>
      </c>
      <c r="DG143" s="774">
        <v>0</v>
      </c>
      <c r="DH143" s="774">
        <v>0</v>
      </c>
      <c r="DI143" s="774">
        <v>0</v>
      </c>
      <c r="DJ143" s="774">
        <v>0</v>
      </c>
      <c r="DK143" s="774">
        <v>0</v>
      </c>
      <c r="DL143" s="774">
        <v>0</v>
      </c>
      <c r="DM143" s="774">
        <v>0</v>
      </c>
      <c r="DN143" s="774">
        <v>0</v>
      </c>
      <c r="DO143" s="774">
        <v>0</v>
      </c>
      <c r="DP143" s="773">
        <v>0</v>
      </c>
      <c r="DQ143" s="773">
        <v>0</v>
      </c>
      <c r="DR143" s="773">
        <v>0</v>
      </c>
      <c r="DS143" s="774">
        <v>0</v>
      </c>
      <c r="DT143" s="774">
        <v>0</v>
      </c>
      <c r="DU143" s="774">
        <v>0</v>
      </c>
      <c r="DV143" s="774">
        <v>0</v>
      </c>
      <c r="DW143" s="774">
        <v>0</v>
      </c>
      <c r="DX143" s="774">
        <v>0</v>
      </c>
      <c r="DY143" s="774">
        <v>0</v>
      </c>
      <c r="DZ143" s="774">
        <v>0</v>
      </c>
      <c r="EA143" s="774">
        <v>0</v>
      </c>
      <c r="EB143" s="774">
        <v>0</v>
      </c>
      <c r="EC143" s="774">
        <v>0</v>
      </c>
      <c r="ED143" s="774">
        <v>0</v>
      </c>
    </row>
    <row r="144" spans="1:134" ht="15" x14ac:dyDescent="0.25">
      <c r="A144" s="766">
        <v>104</v>
      </c>
      <c r="B144" s="766">
        <v>91</v>
      </c>
      <c r="C144" s="766" t="s">
        <v>3815</v>
      </c>
      <c r="D144" s="2">
        <v>99709</v>
      </c>
      <c r="E144" s="2">
        <v>99709</v>
      </c>
      <c r="F144" s="767" t="s">
        <v>3746</v>
      </c>
      <c r="G144" s="114">
        <v>14</v>
      </c>
      <c r="H144" s="114">
        <v>0</v>
      </c>
      <c r="I144" s="114">
        <v>0</v>
      </c>
      <c r="J144" s="114">
        <v>0</v>
      </c>
      <c r="K144" s="114">
        <v>0</v>
      </c>
      <c r="L144" s="114">
        <v>0</v>
      </c>
      <c r="M144" s="114">
        <v>0</v>
      </c>
      <c r="N144" s="114">
        <v>11</v>
      </c>
      <c r="O144" s="114">
        <v>0</v>
      </c>
      <c r="P144" s="114">
        <v>0</v>
      </c>
      <c r="Q144" s="114">
        <v>11</v>
      </c>
      <c r="R144" s="114">
        <v>0</v>
      </c>
      <c r="S144" s="114">
        <v>0</v>
      </c>
      <c r="T144" s="114">
        <v>0</v>
      </c>
      <c r="U144" s="114">
        <v>15636.636363636364</v>
      </c>
      <c r="V144" s="114">
        <v>0</v>
      </c>
      <c r="W144" s="114">
        <v>0</v>
      </c>
      <c r="X144" s="114">
        <v>15636.636363636364</v>
      </c>
      <c r="Y144" s="114">
        <v>0</v>
      </c>
      <c r="Z144" s="114">
        <v>0</v>
      </c>
      <c r="AA144" s="114">
        <v>0</v>
      </c>
      <c r="AB144" s="657">
        <v>11</v>
      </c>
      <c r="AC144" s="657">
        <v>0</v>
      </c>
      <c r="AD144" s="768">
        <v>11</v>
      </c>
      <c r="AE144" s="769">
        <v>0</v>
      </c>
      <c r="AF144" s="769">
        <v>0</v>
      </c>
      <c r="AG144" s="770">
        <v>0</v>
      </c>
      <c r="AH144" s="769">
        <v>0</v>
      </c>
      <c r="AI144" s="769">
        <v>0</v>
      </c>
      <c r="AJ144" s="769">
        <v>0</v>
      </c>
      <c r="AK144" s="769">
        <v>0</v>
      </c>
      <c r="AL144" s="769">
        <v>0</v>
      </c>
      <c r="AM144" s="769">
        <v>0</v>
      </c>
      <c r="AN144" s="769">
        <v>0</v>
      </c>
      <c r="AO144" s="769">
        <v>0</v>
      </c>
      <c r="AP144" s="769">
        <v>0</v>
      </c>
      <c r="AQ144" s="769">
        <v>10.55632312351365</v>
      </c>
      <c r="AR144" s="769">
        <v>0</v>
      </c>
      <c r="AS144" s="769">
        <v>0</v>
      </c>
      <c r="AT144" s="769">
        <v>0</v>
      </c>
      <c r="AU144" s="769">
        <v>0</v>
      </c>
      <c r="AV144" s="769">
        <v>0</v>
      </c>
      <c r="AW144" s="769">
        <v>0</v>
      </c>
      <c r="AX144" s="769">
        <v>0</v>
      </c>
      <c r="AY144" s="769">
        <v>0</v>
      </c>
      <c r="AZ144" s="769">
        <v>0</v>
      </c>
      <c r="BA144" s="769">
        <v>0</v>
      </c>
      <c r="BB144" s="769">
        <v>0</v>
      </c>
      <c r="BC144" s="769">
        <v>10.130541626184453</v>
      </c>
      <c r="BD144" s="769">
        <v>10.341241261193383</v>
      </c>
      <c r="BE144" s="769">
        <v>10.55632312351365</v>
      </c>
      <c r="BF144" s="769">
        <v>10.775878356711816</v>
      </c>
      <c r="BG144" s="769">
        <v>11</v>
      </c>
      <c r="BH144" s="771">
        <v>0</v>
      </c>
      <c r="BI144" s="771">
        <v>0</v>
      </c>
      <c r="BJ144" s="771">
        <v>0</v>
      </c>
      <c r="BK144" s="772">
        <v>0</v>
      </c>
      <c r="BL144" s="772">
        <v>0</v>
      </c>
      <c r="BM144" s="772">
        <v>0</v>
      </c>
      <c r="BN144" s="772">
        <v>0</v>
      </c>
      <c r="BO144" s="772">
        <v>0</v>
      </c>
      <c r="BP144" s="772">
        <v>0</v>
      </c>
      <c r="BQ144" s="772">
        <v>0</v>
      </c>
      <c r="BR144" s="772">
        <v>0</v>
      </c>
      <c r="BS144" s="772">
        <v>0</v>
      </c>
      <c r="BT144" s="772">
        <v>0</v>
      </c>
      <c r="BU144" s="772">
        <v>0</v>
      </c>
      <c r="BV144" s="772">
        <v>0</v>
      </c>
      <c r="BW144" s="771">
        <v>0</v>
      </c>
      <c r="BX144" s="771">
        <v>0</v>
      </c>
      <c r="BY144" s="771">
        <v>0</v>
      </c>
      <c r="BZ144" s="772">
        <v>0</v>
      </c>
      <c r="CA144" s="772">
        <v>0</v>
      </c>
      <c r="CB144" s="772">
        <v>0</v>
      </c>
      <c r="CC144" s="772">
        <v>0</v>
      </c>
      <c r="CD144" s="772">
        <v>0</v>
      </c>
      <c r="CE144" s="772">
        <v>0</v>
      </c>
      <c r="CF144" s="772">
        <v>0</v>
      </c>
      <c r="CG144" s="772">
        <v>0</v>
      </c>
      <c r="CH144" s="772">
        <v>0</v>
      </c>
      <c r="CI144" s="772">
        <v>0</v>
      </c>
      <c r="CJ144" s="772">
        <v>0</v>
      </c>
      <c r="CK144" s="772">
        <v>0</v>
      </c>
      <c r="CL144" s="771">
        <v>11.258080675634197</v>
      </c>
      <c r="CM144" s="771">
        <v>11.52221640900801</v>
      </c>
      <c r="CN144" s="771">
        <v>11.79254926315712</v>
      </c>
      <c r="CO144" s="772">
        <v>11.79254926315712</v>
      </c>
      <c r="CP144" s="772">
        <v>11.79254926315712</v>
      </c>
      <c r="CQ144" s="772">
        <v>11.79254926315712</v>
      </c>
      <c r="CR144" s="772">
        <v>11.79254926315712</v>
      </c>
      <c r="CS144" s="772">
        <v>11.79254926315712</v>
      </c>
      <c r="CT144" s="772">
        <v>11.79254926315712</v>
      </c>
      <c r="CU144" s="772">
        <v>11.79254926315712</v>
      </c>
      <c r="CV144" s="772">
        <v>11.79254926315712</v>
      </c>
      <c r="CW144" s="772">
        <v>11.79254926315712</v>
      </c>
      <c r="CX144" s="772">
        <v>11.79254926315712</v>
      </c>
      <c r="CY144" s="772">
        <v>11.79254926315712</v>
      </c>
      <c r="CZ144" s="772">
        <v>11.79254926315712</v>
      </c>
      <c r="DA144" s="773">
        <v>0</v>
      </c>
      <c r="DB144" s="773">
        <v>0</v>
      </c>
      <c r="DC144" s="773">
        <v>0</v>
      </c>
      <c r="DD144" s="774">
        <v>0</v>
      </c>
      <c r="DE144" s="774">
        <v>0</v>
      </c>
      <c r="DF144" s="774">
        <v>0</v>
      </c>
      <c r="DG144" s="774">
        <v>0</v>
      </c>
      <c r="DH144" s="774">
        <v>0</v>
      </c>
      <c r="DI144" s="774">
        <v>0</v>
      </c>
      <c r="DJ144" s="774">
        <v>0</v>
      </c>
      <c r="DK144" s="774">
        <v>0</v>
      </c>
      <c r="DL144" s="774">
        <v>0</v>
      </c>
      <c r="DM144" s="774">
        <v>0</v>
      </c>
      <c r="DN144" s="774">
        <v>0</v>
      </c>
      <c r="DO144" s="774">
        <v>0</v>
      </c>
      <c r="DP144" s="773">
        <v>0</v>
      </c>
      <c r="DQ144" s="773">
        <v>0</v>
      </c>
      <c r="DR144" s="773">
        <v>0</v>
      </c>
      <c r="DS144" s="774">
        <v>0</v>
      </c>
      <c r="DT144" s="774">
        <v>0</v>
      </c>
      <c r="DU144" s="774">
        <v>0</v>
      </c>
      <c r="DV144" s="774">
        <v>0</v>
      </c>
      <c r="DW144" s="774">
        <v>0</v>
      </c>
      <c r="DX144" s="774">
        <v>0</v>
      </c>
      <c r="DY144" s="774">
        <v>0</v>
      </c>
      <c r="DZ144" s="774">
        <v>0</v>
      </c>
      <c r="EA144" s="774">
        <v>0</v>
      </c>
      <c r="EB144" s="774">
        <v>0</v>
      </c>
      <c r="EC144" s="774">
        <v>0</v>
      </c>
      <c r="ED144" s="774">
        <v>0</v>
      </c>
    </row>
    <row r="145" spans="1:134" ht="15" x14ac:dyDescent="0.25">
      <c r="A145" s="766">
        <v>106</v>
      </c>
      <c r="B145" s="766">
        <v>91</v>
      </c>
      <c r="C145" s="766" t="s">
        <v>3816</v>
      </c>
      <c r="D145" s="2">
        <v>99709</v>
      </c>
      <c r="E145" s="2">
        <v>99709</v>
      </c>
      <c r="F145" s="767" t="s">
        <v>3746</v>
      </c>
      <c r="G145" s="114">
        <v>2</v>
      </c>
      <c r="H145" s="114">
        <v>2</v>
      </c>
      <c r="I145" s="114">
        <v>1</v>
      </c>
      <c r="J145" s="114">
        <v>1</v>
      </c>
      <c r="K145" s="114">
        <v>0</v>
      </c>
      <c r="L145" s="114">
        <v>0</v>
      </c>
      <c r="M145" s="114">
        <v>0</v>
      </c>
      <c r="N145" s="114">
        <v>1</v>
      </c>
      <c r="O145" s="114">
        <v>0</v>
      </c>
      <c r="P145" s="114">
        <v>0</v>
      </c>
      <c r="Q145" s="114">
        <v>1</v>
      </c>
      <c r="R145" s="114">
        <v>0</v>
      </c>
      <c r="S145" s="114">
        <v>0</v>
      </c>
      <c r="T145" s="114">
        <v>0</v>
      </c>
      <c r="U145" s="114">
        <v>4800</v>
      </c>
      <c r="V145" s="114">
        <v>0</v>
      </c>
      <c r="W145" s="114">
        <v>0</v>
      </c>
      <c r="X145" s="114">
        <v>4800</v>
      </c>
      <c r="Y145" s="114">
        <v>4.5824670824670823E-2</v>
      </c>
      <c r="Z145" s="114">
        <v>1.9515765765765767</v>
      </c>
      <c r="AA145" s="114">
        <v>2.5987525987525989E-3</v>
      </c>
      <c r="AB145" s="657">
        <v>1</v>
      </c>
      <c r="AC145" s="657">
        <v>0</v>
      </c>
      <c r="AD145" s="768">
        <v>3</v>
      </c>
      <c r="AE145" s="769">
        <v>2.2912335412335411E-2</v>
      </c>
      <c r="AF145" s="769">
        <v>0.97578828828828834</v>
      </c>
      <c r="AG145" s="770">
        <v>0.99870062370062374</v>
      </c>
      <c r="AH145" s="769">
        <v>1.2993762993762994E-3</v>
      </c>
      <c r="AI145" s="769">
        <v>4.3632345024176553E-2</v>
      </c>
      <c r="AJ145" s="769">
        <v>1.8582100208878518</v>
      </c>
      <c r="AK145" s="769">
        <v>1.9018423659120283</v>
      </c>
      <c r="AL145" s="769">
        <v>2.4744241034504663E-3</v>
      </c>
      <c r="AM145" s="769">
        <v>2.1857328425460388E-2</v>
      </c>
      <c r="AN145" s="769">
        <v>0.93085775443704566</v>
      </c>
      <c r="AO145" s="769">
        <v>0.95271508286250606</v>
      </c>
      <c r="AP145" s="769">
        <v>1.2395460354703435E-3</v>
      </c>
      <c r="AQ145" s="769">
        <v>0.95966573850124082</v>
      </c>
      <c r="AR145" s="769">
        <v>0</v>
      </c>
      <c r="AS145" s="769">
        <v>1.8108551746845185</v>
      </c>
      <c r="AT145" s="769">
        <v>1.8557912301080755</v>
      </c>
      <c r="AU145" s="769">
        <v>1.9018423659120283</v>
      </c>
      <c r="AV145" s="769">
        <v>1.9490362526215936</v>
      </c>
      <c r="AW145" s="769">
        <v>1.9974012474012475</v>
      </c>
      <c r="AX145" s="769">
        <v>0.90884696331760662</v>
      </c>
      <c r="AY145" s="769">
        <v>0.93052254672655332</v>
      </c>
      <c r="AZ145" s="769">
        <v>0.95271508286250606</v>
      </c>
      <c r="BA145" s="769">
        <v>0.97543690081100387</v>
      </c>
      <c r="BB145" s="769">
        <v>0.99870062370062374</v>
      </c>
      <c r="BC145" s="769">
        <v>0.92095832965313207</v>
      </c>
      <c r="BD145" s="769">
        <v>0.94011284192667122</v>
      </c>
      <c r="BE145" s="769">
        <v>0.95966573850124082</v>
      </c>
      <c r="BF145" s="769">
        <v>0.97962530515561963</v>
      </c>
      <c r="BG145" s="769">
        <v>1</v>
      </c>
      <c r="BH145" s="771">
        <v>2.0338193463045848</v>
      </c>
      <c r="BI145" s="771">
        <v>2.0709014469599283</v>
      </c>
      <c r="BJ145" s="771">
        <v>2.1086596559390078</v>
      </c>
      <c r="BK145" s="772">
        <v>2.1086596559390078</v>
      </c>
      <c r="BL145" s="772">
        <v>2.1086596559390078</v>
      </c>
      <c r="BM145" s="772">
        <v>2.1086596559390078</v>
      </c>
      <c r="BN145" s="772">
        <v>2.1086596559390078</v>
      </c>
      <c r="BO145" s="772">
        <v>2.1086596559390078</v>
      </c>
      <c r="BP145" s="772">
        <v>2.1086596559390078</v>
      </c>
      <c r="BQ145" s="772">
        <v>2.1086596559390078</v>
      </c>
      <c r="BR145" s="772">
        <v>2.1086596559390078</v>
      </c>
      <c r="BS145" s="772">
        <v>2.1086596559390078</v>
      </c>
      <c r="BT145" s="772">
        <v>2.1086596559390078</v>
      </c>
      <c r="BU145" s="772">
        <v>2.1086596559390078</v>
      </c>
      <c r="BV145" s="772">
        <v>2.1086596559390078</v>
      </c>
      <c r="BW145" s="771">
        <v>1.0169096731522924</v>
      </c>
      <c r="BX145" s="771">
        <v>1.0354507234799641</v>
      </c>
      <c r="BY145" s="771">
        <v>1.0543298279695039</v>
      </c>
      <c r="BZ145" s="772">
        <v>1.0543298279695039</v>
      </c>
      <c r="CA145" s="772">
        <v>1.0543298279695039</v>
      </c>
      <c r="CB145" s="772">
        <v>1.0543298279695039</v>
      </c>
      <c r="CC145" s="772">
        <v>1.0543298279695039</v>
      </c>
      <c r="CD145" s="772">
        <v>1.0543298279695039</v>
      </c>
      <c r="CE145" s="772">
        <v>1.0543298279695039</v>
      </c>
      <c r="CF145" s="772">
        <v>1.0543298279695039</v>
      </c>
      <c r="CG145" s="772">
        <v>1.0543298279695039</v>
      </c>
      <c r="CH145" s="772">
        <v>1.0543298279695039</v>
      </c>
      <c r="CI145" s="772">
        <v>1.0543298279695039</v>
      </c>
      <c r="CJ145" s="772">
        <v>1.0543298279695039</v>
      </c>
      <c r="CK145" s="772">
        <v>1.0543298279695039</v>
      </c>
      <c r="CL145" s="771">
        <v>1.0182327406427325</v>
      </c>
      <c r="CM145" s="771">
        <v>1.0367979141168102</v>
      </c>
      <c r="CN145" s="771">
        <v>1.055701581583828</v>
      </c>
      <c r="CO145" s="772">
        <v>1.055701581583828</v>
      </c>
      <c r="CP145" s="772">
        <v>1.055701581583828</v>
      </c>
      <c r="CQ145" s="772">
        <v>1.055701581583828</v>
      </c>
      <c r="CR145" s="772">
        <v>1.055701581583828</v>
      </c>
      <c r="CS145" s="772">
        <v>1.055701581583828</v>
      </c>
      <c r="CT145" s="772">
        <v>1.055701581583828</v>
      </c>
      <c r="CU145" s="772">
        <v>1.055701581583828</v>
      </c>
      <c r="CV145" s="772">
        <v>1.055701581583828</v>
      </c>
      <c r="CW145" s="772">
        <v>1.055701581583828</v>
      </c>
      <c r="CX145" s="772">
        <v>1.055701581583828</v>
      </c>
      <c r="CY145" s="772">
        <v>1.055701581583828</v>
      </c>
      <c r="CZ145" s="772">
        <v>1.055701581583828</v>
      </c>
      <c r="DA145" s="773">
        <v>2.646134980880282E-3</v>
      </c>
      <c r="DB145" s="773">
        <v>2.6943812736923345E-3</v>
      </c>
      <c r="DC145" s="773">
        <v>2.7435072286482016E-3</v>
      </c>
      <c r="DD145" s="774">
        <v>2.7435072286482016E-3</v>
      </c>
      <c r="DE145" s="774">
        <v>2.7435072286482016E-3</v>
      </c>
      <c r="DF145" s="774">
        <v>2.7435072286482016E-3</v>
      </c>
      <c r="DG145" s="774">
        <v>2.7435072286482016E-3</v>
      </c>
      <c r="DH145" s="774">
        <v>2.7435072286482016E-3</v>
      </c>
      <c r="DI145" s="774">
        <v>2.7435072286482016E-3</v>
      </c>
      <c r="DJ145" s="774">
        <v>2.7435072286482016E-3</v>
      </c>
      <c r="DK145" s="774">
        <v>2.7435072286482016E-3</v>
      </c>
      <c r="DL145" s="774">
        <v>2.7435072286482016E-3</v>
      </c>
      <c r="DM145" s="774">
        <v>2.7435072286482016E-3</v>
      </c>
      <c r="DN145" s="774">
        <v>2.7435072286482016E-3</v>
      </c>
      <c r="DO145" s="774">
        <v>2.7435072286482016E-3</v>
      </c>
      <c r="DP145" s="773">
        <v>0</v>
      </c>
      <c r="DQ145" s="773">
        <v>0</v>
      </c>
      <c r="DR145" s="773">
        <v>0</v>
      </c>
      <c r="DS145" s="774">
        <v>0</v>
      </c>
      <c r="DT145" s="774">
        <v>0</v>
      </c>
      <c r="DU145" s="774">
        <v>0</v>
      </c>
      <c r="DV145" s="774">
        <v>0</v>
      </c>
      <c r="DW145" s="774">
        <v>0</v>
      </c>
      <c r="DX145" s="774">
        <v>0</v>
      </c>
      <c r="DY145" s="774">
        <v>0</v>
      </c>
      <c r="DZ145" s="774">
        <v>0</v>
      </c>
      <c r="EA145" s="774">
        <v>0</v>
      </c>
      <c r="EB145" s="774">
        <v>0</v>
      </c>
      <c r="EC145" s="774">
        <v>0</v>
      </c>
      <c r="ED145" s="774">
        <v>0</v>
      </c>
    </row>
    <row r="146" spans="1:134" ht="15" x14ac:dyDescent="0.25">
      <c r="A146" s="766">
        <v>107</v>
      </c>
      <c r="B146" s="766">
        <v>91</v>
      </c>
      <c r="C146" s="766" t="s">
        <v>3817</v>
      </c>
      <c r="D146" s="2">
        <v>99709</v>
      </c>
      <c r="E146" s="2">
        <v>99709</v>
      </c>
      <c r="F146" s="767" t="s">
        <v>3746</v>
      </c>
      <c r="G146" s="114">
        <v>52</v>
      </c>
      <c r="H146" s="114">
        <v>28</v>
      </c>
      <c r="I146" s="114">
        <v>23</v>
      </c>
      <c r="J146" s="114">
        <v>5</v>
      </c>
      <c r="K146" s="114">
        <v>1</v>
      </c>
      <c r="L146" s="114">
        <v>9</v>
      </c>
      <c r="M146" s="114">
        <v>10</v>
      </c>
      <c r="N146" s="114">
        <v>30</v>
      </c>
      <c r="O146" s="114">
        <v>0</v>
      </c>
      <c r="P146" s="114">
        <v>0</v>
      </c>
      <c r="Q146" s="114">
        <v>40</v>
      </c>
      <c r="R146" s="114">
        <v>5197</v>
      </c>
      <c r="S146" s="114">
        <v>2878.5555555555557</v>
      </c>
      <c r="T146" s="114">
        <v>3110.4</v>
      </c>
      <c r="U146" s="114">
        <v>5389.3666666666668</v>
      </c>
      <c r="V146" s="114">
        <v>0</v>
      </c>
      <c r="W146" s="114">
        <v>0</v>
      </c>
      <c r="X146" s="114">
        <v>4819.625</v>
      </c>
      <c r="Y146" s="114">
        <v>2.8</v>
      </c>
      <c r="Z146" s="114">
        <v>25.2</v>
      </c>
      <c r="AA146" s="114">
        <v>0</v>
      </c>
      <c r="AB146" s="657">
        <v>30</v>
      </c>
      <c r="AC146" s="657">
        <v>0</v>
      </c>
      <c r="AD146" s="768">
        <v>58</v>
      </c>
      <c r="AE146" s="769">
        <v>2.2999999999999998</v>
      </c>
      <c r="AF146" s="769">
        <v>20.7</v>
      </c>
      <c r="AG146" s="770">
        <v>23</v>
      </c>
      <c r="AH146" s="769">
        <v>0</v>
      </c>
      <c r="AI146" s="769">
        <v>2.6660435060216701</v>
      </c>
      <c r="AJ146" s="769">
        <v>23.99439155419503</v>
      </c>
      <c r="AK146" s="769">
        <v>26.660435060216699</v>
      </c>
      <c r="AL146" s="769">
        <v>0</v>
      </c>
      <c r="AM146" s="769">
        <v>2.1940956464653452</v>
      </c>
      <c r="AN146" s="769">
        <v>19.746860818188107</v>
      </c>
      <c r="AO146" s="769">
        <v>21.940956464653453</v>
      </c>
      <c r="AP146" s="769">
        <v>0</v>
      </c>
      <c r="AQ146" s="769">
        <v>28.789972155037226</v>
      </c>
      <c r="AR146" s="769">
        <v>0</v>
      </c>
      <c r="AS146" s="769">
        <v>25.384957057143996</v>
      </c>
      <c r="AT146" s="769">
        <v>26.014880340458557</v>
      </c>
      <c r="AU146" s="769">
        <v>26.660435060216702</v>
      </c>
      <c r="AV146" s="769">
        <v>27.322009107788315</v>
      </c>
      <c r="AW146" s="769">
        <v>28</v>
      </c>
      <c r="AX146" s="769">
        <v>20.93067698190514</v>
      </c>
      <c r="AY146" s="769">
        <v>21.429864032132937</v>
      </c>
      <c r="AZ146" s="769">
        <v>21.940956464653457</v>
      </c>
      <c r="BA146" s="769">
        <v>22.464238217376288</v>
      </c>
      <c r="BB146" s="769">
        <v>23</v>
      </c>
      <c r="BC146" s="769">
        <v>27.628749889593962</v>
      </c>
      <c r="BD146" s="769">
        <v>28.203385257800136</v>
      </c>
      <c r="BE146" s="769">
        <v>28.789972155037226</v>
      </c>
      <c r="BF146" s="769">
        <v>29.388759154668588</v>
      </c>
      <c r="BG146" s="769">
        <v>30</v>
      </c>
      <c r="BH146" s="771">
        <v>28.510516737996511</v>
      </c>
      <c r="BI146" s="771">
        <v>29.030341595270684</v>
      </c>
      <c r="BJ146" s="771">
        <v>29.559644284347183</v>
      </c>
      <c r="BK146" s="772">
        <v>29.559644284347183</v>
      </c>
      <c r="BL146" s="772">
        <v>29.559644284347183</v>
      </c>
      <c r="BM146" s="772">
        <v>29.559644284347183</v>
      </c>
      <c r="BN146" s="772">
        <v>29.559644284347183</v>
      </c>
      <c r="BO146" s="772">
        <v>29.559644284347183</v>
      </c>
      <c r="BP146" s="772">
        <v>29.559644284347183</v>
      </c>
      <c r="BQ146" s="772">
        <v>29.559644284347183</v>
      </c>
      <c r="BR146" s="772">
        <v>29.559644284347183</v>
      </c>
      <c r="BS146" s="772">
        <v>29.559644284347183</v>
      </c>
      <c r="BT146" s="772">
        <v>29.559644284347183</v>
      </c>
      <c r="BU146" s="772">
        <v>29.559644284347183</v>
      </c>
      <c r="BV146" s="772">
        <v>29.559644284347183</v>
      </c>
      <c r="BW146" s="771">
        <v>23.419353034782848</v>
      </c>
      <c r="BX146" s="771">
        <v>23.846352024686635</v>
      </c>
      <c r="BY146" s="771">
        <v>24.281136376428044</v>
      </c>
      <c r="BZ146" s="772">
        <v>24.281136376428044</v>
      </c>
      <c r="CA146" s="772">
        <v>24.281136376428044</v>
      </c>
      <c r="CB146" s="772">
        <v>24.281136376428044</v>
      </c>
      <c r="CC146" s="772">
        <v>24.281136376428044</v>
      </c>
      <c r="CD146" s="772">
        <v>24.281136376428044</v>
      </c>
      <c r="CE146" s="772">
        <v>24.281136376428044</v>
      </c>
      <c r="CF146" s="772">
        <v>24.281136376428044</v>
      </c>
      <c r="CG146" s="772">
        <v>24.281136376428044</v>
      </c>
      <c r="CH146" s="772">
        <v>24.281136376428044</v>
      </c>
      <c r="CI146" s="772">
        <v>24.281136376428044</v>
      </c>
      <c r="CJ146" s="772">
        <v>24.281136376428044</v>
      </c>
      <c r="CK146" s="772">
        <v>24.281136376428044</v>
      </c>
      <c r="CL146" s="771">
        <v>30.546982219281976</v>
      </c>
      <c r="CM146" s="771">
        <v>31.103937423504306</v>
      </c>
      <c r="CN146" s="771">
        <v>31.671047447514841</v>
      </c>
      <c r="CO146" s="772">
        <v>31.671047447514841</v>
      </c>
      <c r="CP146" s="772">
        <v>31.671047447514841</v>
      </c>
      <c r="CQ146" s="772">
        <v>31.671047447514841</v>
      </c>
      <c r="CR146" s="772">
        <v>31.671047447514841</v>
      </c>
      <c r="CS146" s="772">
        <v>31.671047447514841</v>
      </c>
      <c r="CT146" s="772">
        <v>31.671047447514841</v>
      </c>
      <c r="CU146" s="772">
        <v>31.671047447514841</v>
      </c>
      <c r="CV146" s="772">
        <v>31.671047447514841</v>
      </c>
      <c r="CW146" s="772">
        <v>31.671047447514841</v>
      </c>
      <c r="CX146" s="772">
        <v>31.671047447514841</v>
      </c>
      <c r="CY146" s="772">
        <v>31.671047447514841</v>
      </c>
      <c r="CZ146" s="772">
        <v>31.671047447514841</v>
      </c>
      <c r="DA146" s="773">
        <v>0</v>
      </c>
      <c r="DB146" s="773">
        <v>0</v>
      </c>
      <c r="DC146" s="773">
        <v>0</v>
      </c>
      <c r="DD146" s="774">
        <v>0</v>
      </c>
      <c r="DE146" s="774">
        <v>0</v>
      </c>
      <c r="DF146" s="774">
        <v>0</v>
      </c>
      <c r="DG146" s="774">
        <v>0</v>
      </c>
      <c r="DH146" s="774">
        <v>0</v>
      </c>
      <c r="DI146" s="774">
        <v>0</v>
      </c>
      <c r="DJ146" s="774">
        <v>0</v>
      </c>
      <c r="DK146" s="774">
        <v>0</v>
      </c>
      <c r="DL146" s="774">
        <v>0</v>
      </c>
      <c r="DM146" s="774">
        <v>0</v>
      </c>
      <c r="DN146" s="774">
        <v>0</v>
      </c>
      <c r="DO146" s="774">
        <v>0</v>
      </c>
      <c r="DP146" s="773">
        <v>0</v>
      </c>
      <c r="DQ146" s="773">
        <v>0</v>
      </c>
      <c r="DR146" s="773">
        <v>0</v>
      </c>
      <c r="DS146" s="774">
        <v>0</v>
      </c>
      <c r="DT146" s="774">
        <v>0</v>
      </c>
      <c r="DU146" s="774">
        <v>0</v>
      </c>
      <c r="DV146" s="774">
        <v>0</v>
      </c>
      <c r="DW146" s="774">
        <v>0</v>
      </c>
      <c r="DX146" s="774">
        <v>0</v>
      </c>
      <c r="DY146" s="774">
        <v>0</v>
      </c>
      <c r="DZ146" s="774">
        <v>0</v>
      </c>
      <c r="EA146" s="774">
        <v>0</v>
      </c>
      <c r="EB146" s="774">
        <v>0</v>
      </c>
      <c r="EC146" s="774">
        <v>0</v>
      </c>
      <c r="ED146" s="774">
        <v>0</v>
      </c>
    </row>
    <row r="147" spans="1:134" ht="15" x14ac:dyDescent="0.25">
      <c r="A147" s="766">
        <v>108</v>
      </c>
      <c r="B147" s="766">
        <v>91</v>
      </c>
      <c r="C147" s="766" t="s">
        <v>3818</v>
      </c>
      <c r="D147" s="2">
        <v>99701</v>
      </c>
      <c r="E147" s="2">
        <v>99701</v>
      </c>
      <c r="F147" s="767" t="s">
        <v>3746</v>
      </c>
      <c r="G147" s="114">
        <v>69</v>
      </c>
      <c r="H147" s="114">
        <v>27</v>
      </c>
      <c r="I147" s="114">
        <v>25</v>
      </c>
      <c r="J147" s="114">
        <v>2</v>
      </c>
      <c r="K147" s="114">
        <v>0</v>
      </c>
      <c r="L147" s="114">
        <v>6</v>
      </c>
      <c r="M147" s="114">
        <v>6</v>
      </c>
      <c r="N147" s="114">
        <v>37</v>
      </c>
      <c r="O147" s="114">
        <v>0</v>
      </c>
      <c r="P147" s="114">
        <v>0</v>
      </c>
      <c r="Q147" s="114">
        <v>43</v>
      </c>
      <c r="R147" s="114">
        <v>0</v>
      </c>
      <c r="S147" s="114">
        <v>3048.6666666666665</v>
      </c>
      <c r="T147" s="114">
        <v>3048.6666666666665</v>
      </c>
      <c r="U147" s="114">
        <v>6037.405405405405</v>
      </c>
      <c r="V147" s="114">
        <v>0</v>
      </c>
      <c r="W147" s="114">
        <v>0</v>
      </c>
      <c r="X147" s="114">
        <v>5620.3720930232557</v>
      </c>
      <c r="Y147" s="114">
        <v>0</v>
      </c>
      <c r="Z147" s="114">
        <v>27</v>
      </c>
      <c r="AA147" s="114">
        <v>0</v>
      </c>
      <c r="AB147" s="657">
        <v>37</v>
      </c>
      <c r="AC147" s="657">
        <v>0</v>
      </c>
      <c r="AD147" s="768">
        <v>64</v>
      </c>
      <c r="AE147" s="769">
        <v>0</v>
      </c>
      <c r="AF147" s="769">
        <v>25</v>
      </c>
      <c r="AG147" s="770">
        <v>25</v>
      </c>
      <c r="AH147" s="769">
        <v>0</v>
      </c>
      <c r="AI147" s="769">
        <v>0</v>
      </c>
      <c r="AJ147" s="769">
        <v>26.700300441586236</v>
      </c>
      <c r="AK147" s="769">
        <v>26.700300441586236</v>
      </c>
      <c r="AL147" s="769">
        <v>0</v>
      </c>
      <c r="AM147" s="769">
        <v>0</v>
      </c>
      <c r="AN147" s="769">
        <v>24.768031405669859</v>
      </c>
      <c r="AO147" s="769">
        <v>24.768031405669859</v>
      </c>
      <c r="AP147" s="769">
        <v>0</v>
      </c>
      <c r="AQ147" s="769">
        <v>36.808895435964963</v>
      </c>
      <c r="AR147" s="769">
        <v>0</v>
      </c>
      <c r="AS147" s="769">
        <v>26.403927543369264</v>
      </c>
      <c r="AT147" s="769">
        <v>26.551700477480406</v>
      </c>
      <c r="AU147" s="769">
        <v>26.700300441586236</v>
      </c>
      <c r="AV147" s="769">
        <v>26.849732064265154</v>
      </c>
      <c r="AW147" s="769">
        <v>27</v>
      </c>
      <c r="AX147" s="769">
        <v>24.538215188489936</v>
      </c>
      <c r="AY147" s="769">
        <v>24.652855502509318</v>
      </c>
      <c r="AZ147" s="769">
        <v>24.768031405669859</v>
      </c>
      <c r="BA147" s="769">
        <v>24.883745400195416</v>
      </c>
      <c r="BB147" s="769">
        <v>25</v>
      </c>
      <c r="BC147" s="769">
        <v>36.618777924751406</v>
      </c>
      <c r="BD147" s="769">
        <v>36.713713618006516</v>
      </c>
      <c r="BE147" s="769">
        <v>36.808895435964963</v>
      </c>
      <c r="BF147" s="769">
        <v>36.904324016715215</v>
      </c>
      <c r="BG147" s="769">
        <v>37</v>
      </c>
      <c r="BH147" s="771">
        <v>27.492283997353777</v>
      </c>
      <c r="BI147" s="771">
        <v>27.993543681153877</v>
      </c>
      <c r="BJ147" s="771">
        <v>28.503942702763357</v>
      </c>
      <c r="BK147" s="772">
        <v>28.503942702763357</v>
      </c>
      <c r="BL147" s="772">
        <v>28.503942702763357</v>
      </c>
      <c r="BM147" s="772">
        <v>28.503942702763357</v>
      </c>
      <c r="BN147" s="772">
        <v>28.503942702763357</v>
      </c>
      <c r="BO147" s="772">
        <v>28.503942702763357</v>
      </c>
      <c r="BP147" s="772">
        <v>28.503942702763357</v>
      </c>
      <c r="BQ147" s="772">
        <v>28.503942702763357</v>
      </c>
      <c r="BR147" s="772">
        <v>28.503942702763357</v>
      </c>
      <c r="BS147" s="772">
        <v>28.503942702763357</v>
      </c>
      <c r="BT147" s="772">
        <v>28.503942702763357</v>
      </c>
      <c r="BU147" s="772">
        <v>28.503942702763357</v>
      </c>
      <c r="BV147" s="772">
        <v>28.503942702763357</v>
      </c>
      <c r="BW147" s="771">
        <v>25.455818516068312</v>
      </c>
      <c r="BX147" s="771">
        <v>25.919947852920256</v>
      </c>
      <c r="BY147" s="771">
        <v>26.392539539595699</v>
      </c>
      <c r="BZ147" s="772">
        <v>26.392539539595699</v>
      </c>
      <c r="CA147" s="772">
        <v>26.392539539595699</v>
      </c>
      <c r="CB147" s="772">
        <v>26.392539539595699</v>
      </c>
      <c r="CC147" s="772">
        <v>26.392539539595699</v>
      </c>
      <c r="CD147" s="772">
        <v>26.392539539595699</v>
      </c>
      <c r="CE147" s="772">
        <v>26.392539539595699</v>
      </c>
      <c r="CF147" s="772">
        <v>26.392539539595699</v>
      </c>
      <c r="CG147" s="772">
        <v>26.392539539595699</v>
      </c>
      <c r="CH147" s="772">
        <v>26.392539539595699</v>
      </c>
      <c r="CI147" s="772">
        <v>26.392539539595699</v>
      </c>
      <c r="CJ147" s="772">
        <v>26.392539539595699</v>
      </c>
      <c r="CK147" s="772">
        <v>26.392539539595699</v>
      </c>
      <c r="CL147" s="771">
        <v>37.6746114037811</v>
      </c>
      <c r="CM147" s="771">
        <v>38.36152282232198</v>
      </c>
      <c r="CN147" s="771">
        <v>39.060958518601637</v>
      </c>
      <c r="CO147" s="772">
        <v>39.060958518601637</v>
      </c>
      <c r="CP147" s="772">
        <v>39.060958518601637</v>
      </c>
      <c r="CQ147" s="772">
        <v>39.060958518601637</v>
      </c>
      <c r="CR147" s="772">
        <v>39.060958518601637</v>
      </c>
      <c r="CS147" s="772">
        <v>39.060958518601637</v>
      </c>
      <c r="CT147" s="772">
        <v>39.060958518601637</v>
      </c>
      <c r="CU147" s="772">
        <v>39.060958518601637</v>
      </c>
      <c r="CV147" s="772">
        <v>39.060958518601637</v>
      </c>
      <c r="CW147" s="772">
        <v>39.060958518601637</v>
      </c>
      <c r="CX147" s="772">
        <v>39.060958518601637</v>
      </c>
      <c r="CY147" s="772">
        <v>39.060958518601637</v>
      </c>
      <c r="CZ147" s="772">
        <v>39.060958518601637</v>
      </c>
      <c r="DA147" s="773">
        <v>0</v>
      </c>
      <c r="DB147" s="773">
        <v>0</v>
      </c>
      <c r="DC147" s="773">
        <v>0</v>
      </c>
      <c r="DD147" s="774">
        <v>0</v>
      </c>
      <c r="DE147" s="774">
        <v>0</v>
      </c>
      <c r="DF147" s="774">
        <v>0</v>
      </c>
      <c r="DG147" s="774">
        <v>0</v>
      </c>
      <c r="DH147" s="774">
        <v>0</v>
      </c>
      <c r="DI147" s="774">
        <v>0</v>
      </c>
      <c r="DJ147" s="774">
        <v>0</v>
      </c>
      <c r="DK147" s="774">
        <v>0</v>
      </c>
      <c r="DL147" s="774">
        <v>0</v>
      </c>
      <c r="DM147" s="774">
        <v>0</v>
      </c>
      <c r="DN147" s="774">
        <v>0</v>
      </c>
      <c r="DO147" s="774">
        <v>0</v>
      </c>
      <c r="DP147" s="773">
        <v>0</v>
      </c>
      <c r="DQ147" s="773">
        <v>0</v>
      </c>
      <c r="DR147" s="773">
        <v>0</v>
      </c>
      <c r="DS147" s="774">
        <v>0</v>
      </c>
      <c r="DT147" s="774">
        <v>0</v>
      </c>
      <c r="DU147" s="774">
        <v>0</v>
      </c>
      <c r="DV147" s="774">
        <v>0</v>
      </c>
      <c r="DW147" s="774">
        <v>0</v>
      </c>
      <c r="DX147" s="774">
        <v>0</v>
      </c>
      <c r="DY147" s="774">
        <v>0</v>
      </c>
      <c r="DZ147" s="774">
        <v>0</v>
      </c>
      <c r="EA147" s="774">
        <v>0</v>
      </c>
      <c r="EB147" s="774">
        <v>0</v>
      </c>
      <c r="EC147" s="774">
        <v>0</v>
      </c>
      <c r="ED147" s="774">
        <v>0</v>
      </c>
    </row>
    <row r="148" spans="1:134" ht="15" x14ac:dyDescent="0.25">
      <c r="A148" s="766">
        <v>109</v>
      </c>
      <c r="B148" s="766">
        <v>91</v>
      </c>
      <c r="C148" s="766" t="s">
        <v>3819</v>
      </c>
      <c r="D148" s="2">
        <v>99701</v>
      </c>
      <c r="E148" s="2">
        <v>99701</v>
      </c>
      <c r="F148" s="767" t="s">
        <v>3746</v>
      </c>
      <c r="G148" s="114">
        <v>3</v>
      </c>
      <c r="H148" s="114">
        <v>2</v>
      </c>
      <c r="I148" s="114">
        <v>2</v>
      </c>
      <c r="J148" s="114">
        <v>0</v>
      </c>
      <c r="K148" s="114">
        <v>0</v>
      </c>
      <c r="L148" s="114">
        <v>1</v>
      </c>
      <c r="M148" s="114">
        <v>1</v>
      </c>
      <c r="N148" s="114">
        <v>30</v>
      </c>
      <c r="O148" s="114">
        <v>0</v>
      </c>
      <c r="P148" s="114">
        <v>0</v>
      </c>
      <c r="Q148" s="114">
        <v>31</v>
      </c>
      <c r="R148" s="114">
        <v>0</v>
      </c>
      <c r="S148" s="114">
        <v>1152</v>
      </c>
      <c r="T148" s="114">
        <v>1152</v>
      </c>
      <c r="U148" s="114">
        <v>7752.3666666666668</v>
      </c>
      <c r="V148" s="114">
        <v>0</v>
      </c>
      <c r="W148" s="114">
        <v>0</v>
      </c>
      <c r="X148" s="114">
        <v>7539.4516129032254</v>
      </c>
      <c r="Y148" s="114">
        <v>0</v>
      </c>
      <c r="Z148" s="114">
        <v>2</v>
      </c>
      <c r="AA148" s="114">
        <v>0</v>
      </c>
      <c r="AB148" s="657">
        <v>30</v>
      </c>
      <c r="AC148" s="657">
        <v>0</v>
      </c>
      <c r="AD148" s="768">
        <v>32</v>
      </c>
      <c r="AE148" s="769">
        <v>0</v>
      </c>
      <c r="AF148" s="769">
        <v>2</v>
      </c>
      <c r="AG148" s="770">
        <v>2</v>
      </c>
      <c r="AH148" s="769">
        <v>0</v>
      </c>
      <c r="AI148" s="769">
        <v>0</v>
      </c>
      <c r="AJ148" s="769">
        <v>1.9778000327100915</v>
      </c>
      <c r="AK148" s="769">
        <v>1.9778000327100915</v>
      </c>
      <c r="AL148" s="769">
        <v>0</v>
      </c>
      <c r="AM148" s="769">
        <v>0</v>
      </c>
      <c r="AN148" s="769">
        <v>1.9814425124535886</v>
      </c>
      <c r="AO148" s="769">
        <v>1.9814425124535886</v>
      </c>
      <c r="AP148" s="769">
        <v>0</v>
      </c>
      <c r="AQ148" s="769">
        <v>29.845050353485103</v>
      </c>
      <c r="AR148" s="769">
        <v>0</v>
      </c>
      <c r="AS148" s="769">
        <v>1.9558464846940193</v>
      </c>
      <c r="AT148" s="769">
        <v>1.9667926279615116</v>
      </c>
      <c r="AU148" s="769">
        <v>1.9778000327100915</v>
      </c>
      <c r="AV148" s="769">
        <v>1.9888690417974189</v>
      </c>
      <c r="AW148" s="769">
        <v>2</v>
      </c>
      <c r="AX148" s="769">
        <v>1.9630572150791947</v>
      </c>
      <c r="AY148" s="769">
        <v>1.9722284402007455</v>
      </c>
      <c r="AZ148" s="769">
        <v>1.9814425124535886</v>
      </c>
      <c r="BA148" s="769">
        <v>1.9906996320156332</v>
      </c>
      <c r="BB148" s="769">
        <v>2</v>
      </c>
      <c r="BC148" s="769">
        <v>29.690901020068708</v>
      </c>
      <c r="BD148" s="769">
        <v>29.767875906491767</v>
      </c>
      <c r="BE148" s="769">
        <v>29.845050353485103</v>
      </c>
      <c r="BF148" s="769">
        <v>29.922424878417743</v>
      </c>
      <c r="BG148" s="769">
        <v>30</v>
      </c>
      <c r="BH148" s="771">
        <v>2.036465481285465</v>
      </c>
      <c r="BI148" s="771">
        <v>2.0735958282336204</v>
      </c>
      <c r="BJ148" s="771">
        <v>2.111403163167656</v>
      </c>
      <c r="BK148" s="772">
        <v>3.1528129599818708</v>
      </c>
      <c r="BL148" s="772">
        <v>4.1942227567960861</v>
      </c>
      <c r="BM148" s="772">
        <v>5.2356325536103006</v>
      </c>
      <c r="BN148" s="772">
        <v>6.2770423504245159</v>
      </c>
      <c r="BO148" s="772">
        <v>7.5084411310060615</v>
      </c>
      <c r="BP148" s="772">
        <v>8.7398399115876071</v>
      </c>
      <c r="BQ148" s="772">
        <v>12.153630832967538</v>
      </c>
      <c r="BR148" s="772">
        <v>16.220929051555395</v>
      </c>
      <c r="BS148" s="772">
        <v>18.006799622286017</v>
      </c>
      <c r="BT148" s="772">
        <v>18.987521308470868</v>
      </c>
      <c r="BU148" s="772">
        <v>20.003151149141917</v>
      </c>
      <c r="BV148" s="772">
        <v>21.043216697953309</v>
      </c>
      <c r="BW148" s="771">
        <v>2.036465481285465</v>
      </c>
      <c r="BX148" s="771">
        <v>2.0735958282336204</v>
      </c>
      <c r="BY148" s="771">
        <v>2.111403163167656</v>
      </c>
      <c r="BZ148" s="772">
        <v>3.1528129599818708</v>
      </c>
      <c r="CA148" s="772">
        <v>4.1942227567960861</v>
      </c>
      <c r="CB148" s="772">
        <v>5.2356325536103006</v>
      </c>
      <c r="CC148" s="772">
        <v>6.2770423504245159</v>
      </c>
      <c r="CD148" s="772">
        <v>7.5084411310060615</v>
      </c>
      <c r="CE148" s="772">
        <v>8.7398399115876071</v>
      </c>
      <c r="CF148" s="772">
        <v>12.153630832967538</v>
      </c>
      <c r="CG148" s="772">
        <v>16.220929051555395</v>
      </c>
      <c r="CH148" s="772">
        <v>18.006799622286017</v>
      </c>
      <c r="CI148" s="772">
        <v>18.987521308470868</v>
      </c>
      <c r="CJ148" s="772">
        <v>20.003151149141917</v>
      </c>
      <c r="CK148" s="772">
        <v>21.043216697953309</v>
      </c>
      <c r="CL148" s="771">
        <v>30.546982219281976</v>
      </c>
      <c r="CM148" s="771">
        <v>31.103937423504306</v>
      </c>
      <c r="CN148" s="771">
        <v>31.671047447514841</v>
      </c>
      <c r="CO148" s="772">
        <v>47.292194399728068</v>
      </c>
      <c r="CP148" s="772">
        <v>62.913341351941291</v>
      </c>
      <c r="CQ148" s="772">
        <v>78.534488304154507</v>
      </c>
      <c r="CR148" s="772">
        <v>94.155635256367731</v>
      </c>
      <c r="CS148" s="772">
        <v>112.62661696509093</v>
      </c>
      <c r="CT148" s="772">
        <v>131.09759867381413</v>
      </c>
      <c r="CU148" s="772">
        <v>182.30446249451307</v>
      </c>
      <c r="CV148" s="772">
        <v>243.31393577333091</v>
      </c>
      <c r="CW148" s="772">
        <v>270.10199433429028</v>
      </c>
      <c r="CX148" s="772">
        <v>284.81281962706299</v>
      </c>
      <c r="CY148" s="772">
        <v>300.04726723712878</v>
      </c>
      <c r="CZ148" s="772">
        <v>315.64825046929963</v>
      </c>
      <c r="DA148" s="773">
        <v>0</v>
      </c>
      <c r="DB148" s="773">
        <v>0</v>
      </c>
      <c r="DC148" s="773">
        <v>0</v>
      </c>
      <c r="DD148" s="774">
        <v>0</v>
      </c>
      <c r="DE148" s="774">
        <v>0</v>
      </c>
      <c r="DF148" s="774">
        <v>0</v>
      </c>
      <c r="DG148" s="774">
        <v>0</v>
      </c>
      <c r="DH148" s="774">
        <v>0</v>
      </c>
      <c r="DI148" s="774">
        <v>0</v>
      </c>
      <c r="DJ148" s="774">
        <v>0</v>
      </c>
      <c r="DK148" s="774">
        <v>0</v>
      </c>
      <c r="DL148" s="774">
        <v>0</v>
      </c>
      <c r="DM148" s="774">
        <v>0</v>
      </c>
      <c r="DN148" s="774">
        <v>0</v>
      </c>
      <c r="DO148" s="774">
        <v>0</v>
      </c>
      <c r="DP148" s="773">
        <v>0</v>
      </c>
      <c r="DQ148" s="773">
        <v>0</v>
      </c>
      <c r="DR148" s="773">
        <v>0</v>
      </c>
      <c r="DS148" s="774">
        <v>0</v>
      </c>
      <c r="DT148" s="774">
        <v>0</v>
      </c>
      <c r="DU148" s="774">
        <v>0</v>
      </c>
      <c r="DV148" s="774">
        <v>0</v>
      </c>
      <c r="DW148" s="774">
        <v>0</v>
      </c>
      <c r="DX148" s="774">
        <v>0</v>
      </c>
      <c r="DY148" s="774">
        <v>0</v>
      </c>
      <c r="DZ148" s="774">
        <v>0</v>
      </c>
      <c r="EA148" s="774">
        <v>0</v>
      </c>
      <c r="EB148" s="774">
        <v>0</v>
      </c>
      <c r="EC148" s="774">
        <v>0</v>
      </c>
      <c r="ED148" s="774">
        <v>0</v>
      </c>
    </row>
    <row r="149" spans="1:134" ht="15" x14ac:dyDescent="0.25">
      <c r="A149" s="766">
        <v>110</v>
      </c>
      <c r="B149" s="766">
        <v>91</v>
      </c>
      <c r="C149" s="766" t="s">
        <v>3820</v>
      </c>
      <c r="D149" s="2">
        <v>99701</v>
      </c>
      <c r="E149" s="2">
        <v>99701</v>
      </c>
      <c r="F149" s="767" t="s">
        <v>3746</v>
      </c>
      <c r="G149" s="114">
        <v>78</v>
      </c>
      <c r="H149" s="114">
        <v>24</v>
      </c>
      <c r="I149" s="114">
        <v>24</v>
      </c>
      <c r="J149" s="114">
        <v>0</v>
      </c>
      <c r="K149" s="114">
        <v>0</v>
      </c>
      <c r="L149" s="114">
        <v>51</v>
      </c>
      <c r="M149" s="114">
        <v>51</v>
      </c>
      <c r="N149" s="114">
        <v>30</v>
      </c>
      <c r="O149" s="114">
        <v>0</v>
      </c>
      <c r="P149" s="114">
        <v>0</v>
      </c>
      <c r="Q149" s="114">
        <v>81</v>
      </c>
      <c r="R149" s="114">
        <v>0</v>
      </c>
      <c r="S149" s="114">
        <v>1142.9803921568628</v>
      </c>
      <c r="T149" s="114">
        <v>1142.9803921568628</v>
      </c>
      <c r="U149" s="114">
        <v>10373.533333333333</v>
      </c>
      <c r="V149" s="114">
        <v>0</v>
      </c>
      <c r="W149" s="114">
        <v>0</v>
      </c>
      <c r="X149" s="114">
        <v>4561.7037037037035</v>
      </c>
      <c r="Y149" s="114">
        <v>0</v>
      </c>
      <c r="Z149" s="114">
        <v>24</v>
      </c>
      <c r="AA149" s="114">
        <v>0</v>
      </c>
      <c r="AB149" s="657">
        <v>30</v>
      </c>
      <c r="AC149" s="657">
        <v>0</v>
      </c>
      <c r="AD149" s="768">
        <v>54</v>
      </c>
      <c r="AE149" s="769">
        <v>0</v>
      </c>
      <c r="AF149" s="769">
        <v>24</v>
      </c>
      <c r="AG149" s="770">
        <v>24</v>
      </c>
      <c r="AH149" s="769">
        <v>0</v>
      </c>
      <c r="AI149" s="769">
        <v>0</v>
      </c>
      <c r="AJ149" s="769">
        <v>23.733600392521097</v>
      </c>
      <c r="AK149" s="769">
        <v>23.733600392521097</v>
      </c>
      <c r="AL149" s="769">
        <v>0</v>
      </c>
      <c r="AM149" s="769">
        <v>0</v>
      </c>
      <c r="AN149" s="769">
        <v>23.777310149443064</v>
      </c>
      <c r="AO149" s="769">
        <v>23.777310149443064</v>
      </c>
      <c r="AP149" s="769">
        <v>0</v>
      </c>
      <c r="AQ149" s="769">
        <v>29.845050353485103</v>
      </c>
      <c r="AR149" s="769">
        <v>0</v>
      </c>
      <c r="AS149" s="769">
        <v>23.470157816328232</v>
      </c>
      <c r="AT149" s="769">
        <v>23.601511535538137</v>
      </c>
      <c r="AU149" s="769">
        <v>23.733600392521097</v>
      </c>
      <c r="AV149" s="769">
        <v>23.866428501569025</v>
      </c>
      <c r="AW149" s="769">
        <v>24</v>
      </c>
      <c r="AX149" s="769">
        <v>23.556686580950338</v>
      </c>
      <c r="AY149" s="769">
        <v>23.666741282408946</v>
      </c>
      <c r="AZ149" s="769">
        <v>23.777310149443064</v>
      </c>
      <c r="BA149" s="769">
        <v>23.888395584187599</v>
      </c>
      <c r="BB149" s="769">
        <v>24</v>
      </c>
      <c r="BC149" s="769">
        <v>29.690901020068708</v>
      </c>
      <c r="BD149" s="769">
        <v>29.767875906491767</v>
      </c>
      <c r="BE149" s="769">
        <v>29.845050353485103</v>
      </c>
      <c r="BF149" s="769">
        <v>29.922424878417743</v>
      </c>
      <c r="BG149" s="769">
        <v>30</v>
      </c>
      <c r="BH149" s="771">
        <v>24.437585775425582</v>
      </c>
      <c r="BI149" s="771">
        <v>24.883149938803445</v>
      </c>
      <c r="BJ149" s="771">
        <v>25.33683795801187</v>
      </c>
      <c r="BK149" s="772">
        <v>25.555951183574248</v>
      </c>
      <c r="BL149" s="772">
        <v>25.775064409136622</v>
      </c>
      <c r="BM149" s="772">
        <v>25.994177634699007</v>
      </c>
      <c r="BN149" s="772">
        <v>26.213290860261381</v>
      </c>
      <c r="BO149" s="772">
        <v>26.472377878255834</v>
      </c>
      <c r="BP149" s="772">
        <v>26.731464896250287</v>
      </c>
      <c r="BQ149" s="772">
        <v>27.449728487074335</v>
      </c>
      <c r="BR149" s="772">
        <v>28.30549039245026</v>
      </c>
      <c r="BS149" s="772">
        <v>28.681238596842775</v>
      </c>
      <c r="BT149" s="772">
        <v>28.887583008712433</v>
      </c>
      <c r="BU149" s="772">
        <v>29.10127211654261</v>
      </c>
      <c r="BV149" s="772">
        <v>29.320102511545155</v>
      </c>
      <c r="BW149" s="771">
        <v>24.437585775425582</v>
      </c>
      <c r="BX149" s="771">
        <v>24.883149938803445</v>
      </c>
      <c r="BY149" s="771">
        <v>25.33683795801187</v>
      </c>
      <c r="BZ149" s="772">
        <v>25.555951183574248</v>
      </c>
      <c r="CA149" s="772">
        <v>25.775064409136622</v>
      </c>
      <c r="CB149" s="772">
        <v>25.994177634699007</v>
      </c>
      <c r="CC149" s="772">
        <v>26.213290860261381</v>
      </c>
      <c r="CD149" s="772">
        <v>26.472377878255834</v>
      </c>
      <c r="CE149" s="772">
        <v>26.731464896250287</v>
      </c>
      <c r="CF149" s="772">
        <v>27.449728487074335</v>
      </c>
      <c r="CG149" s="772">
        <v>28.30549039245026</v>
      </c>
      <c r="CH149" s="772">
        <v>28.681238596842775</v>
      </c>
      <c r="CI149" s="772">
        <v>28.887583008712433</v>
      </c>
      <c r="CJ149" s="772">
        <v>29.10127211654261</v>
      </c>
      <c r="CK149" s="772">
        <v>29.320102511545155</v>
      </c>
      <c r="CL149" s="771">
        <v>30.546982219281976</v>
      </c>
      <c r="CM149" s="771">
        <v>31.103937423504306</v>
      </c>
      <c r="CN149" s="771">
        <v>31.671047447514841</v>
      </c>
      <c r="CO149" s="772">
        <v>31.94493897946781</v>
      </c>
      <c r="CP149" s="772">
        <v>32.218830511420784</v>
      </c>
      <c r="CQ149" s="772">
        <v>32.49272204337376</v>
      </c>
      <c r="CR149" s="772">
        <v>32.76661357532673</v>
      </c>
      <c r="CS149" s="772">
        <v>33.090472347819798</v>
      </c>
      <c r="CT149" s="772">
        <v>33.414331120312859</v>
      </c>
      <c r="CU149" s="772">
        <v>34.312160608842923</v>
      </c>
      <c r="CV149" s="772">
        <v>35.38186299056283</v>
      </c>
      <c r="CW149" s="772">
        <v>35.851548246053468</v>
      </c>
      <c r="CX149" s="772">
        <v>36.109478760890546</v>
      </c>
      <c r="CY149" s="772">
        <v>36.376590145678271</v>
      </c>
      <c r="CZ149" s="772">
        <v>36.650128139431452</v>
      </c>
      <c r="DA149" s="773">
        <v>0</v>
      </c>
      <c r="DB149" s="773">
        <v>0</v>
      </c>
      <c r="DC149" s="773">
        <v>0</v>
      </c>
      <c r="DD149" s="774">
        <v>0</v>
      </c>
      <c r="DE149" s="774">
        <v>0</v>
      </c>
      <c r="DF149" s="774">
        <v>0</v>
      </c>
      <c r="DG149" s="774">
        <v>0</v>
      </c>
      <c r="DH149" s="774">
        <v>0</v>
      </c>
      <c r="DI149" s="774">
        <v>0</v>
      </c>
      <c r="DJ149" s="774">
        <v>0</v>
      </c>
      <c r="DK149" s="774">
        <v>0</v>
      </c>
      <c r="DL149" s="774">
        <v>0</v>
      </c>
      <c r="DM149" s="774">
        <v>0</v>
      </c>
      <c r="DN149" s="774">
        <v>0</v>
      </c>
      <c r="DO149" s="774">
        <v>0</v>
      </c>
      <c r="DP149" s="773">
        <v>0</v>
      </c>
      <c r="DQ149" s="773">
        <v>0</v>
      </c>
      <c r="DR149" s="773">
        <v>0</v>
      </c>
      <c r="DS149" s="774">
        <v>0</v>
      </c>
      <c r="DT149" s="774">
        <v>0</v>
      </c>
      <c r="DU149" s="774">
        <v>0</v>
      </c>
      <c r="DV149" s="774">
        <v>0</v>
      </c>
      <c r="DW149" s="774">
        <v>0</v>
      </c>
      <c r="DX149" s="774">
        <v>0</v>
      </c>
      <c r="DY149" s="774">
        <v>0</v>
      </c>
      <c r="DZ149" s="774">
        <v>0</v>
      </c>
      <c r="EA149" s="774">
        <v>0</v>
      </c>
      <c r="EB149" s="774">
        <v>0</v>
      </c>
      <c r="EC149" s="774">
        <v>0</v>
      </c>
      <c r="ED149" s="774">
        <v>0</v>
      </c>
    </row>
    <row r="150" spans="1:134" ht="15" x14ac:dyDescent="0.25">
      <c r="A150" s="766">
        <v>111</v>
      </c>
      <c r="B150" s="766">
        <v>91</v>
      </c>
      <c r="C150" s="766" t="s">
        <v>3821</v>
      </c>
      <c r="D150" s="2">
        <v>99701</v>
      </c>
      <c r="E150" s="2">
        <v>99701</v>
      </c>
      <c r="F150" s="767" t="s">
        <v>3746</v>
      </c>
      <c r="G150" s="114">
        <v>93</v>
      </c>
      <c r="H150" s="114">
        <v>49</v>
      </c>
      <c r="I150" s="114">
        <v>45</v>
      </c>
      <c r="J150" s="114">
        <v>4</v>
      </c>
      <c r="K150" s="114">
        <v>0</v>
      </c>
      <c r="L150" s="114">
        <v>16</v>
      </c>
      <c r="M150" s="114">
        <v>16</v>
      </c>
      <c r="N150" s="114">
        <v>1</v>
      </c>
      <c r="O150" s="114">
        <v>0</v>
      </c>
      <c r="P150" s="114">
        <v>0</v>
      </c>
      <c r="Q150" s="114">
        <v>17</v>
      </c>
      <c r="R150" s="114">
        <v>0</v>
      </c>
      <c r="S150" s="114">
        <v>1735.4375</v>
      </c>
      <c r="T150" s="114">
        <v>1735.4375</v>
      </c>
      <c r="U150" s="114">
        <v>2704</v>
      </c>
      <c r="V150" s="114">
        <v>0</v>
      </c>
      <c r="W150" s="114">
        <v>0</v>
      </c>
      <c r="X150" s="114">
        <v>1792.4117647058824</v>
      </c>
      <c r="Y150" s="114">
        <v>0</v>
      </c>
      <c r="Z150" s="114">
        <v>49</v>
      </c>
      <c r="AA150" s="114">
        <v>0</v>
      </c>
      <c r="AB150" s="657">
        <v>1</v>
      </c>
      <c r="AC150" s="657">
        <v>0</v>
      </c>
      <c r="AD150" s="768">
        <v>50</v>
      </c>
      <c r="AE150" s="769">
        <v>0</v>
      </c>
      <c r="AF150" s="769">
        <v>45</v>
      </c>
      <c r="AG150" s="770">
        <v>45</v>
      </c>
      <c r="AH150" s="769">
        <v>0</v>
      </c>
      <c r="AI150" s="769">
        <v>0</v>
      </c>
      <c r="AJ150" s="769">
        <v>48.456100801397241</v>
      </c>
      <c r="AK150" s="769">
        <v>48.456100801397241</v>
      </c>
      <c r="AL150" s="769">
        <v>0</v>
      </c>
      <c r="AM150" s="769">
        <v>0</v>
      </c>
      <c r="AN150" s="769">
        <v>44.582456530205747</v>
      </c>
      <c r="AO150" s="769">
        <v>44.582456530205747</v>
      </c>
      <c r="AP150" s="769">
        <v>0</v>
      </c>
      <c r="AQ150" s="769">
        <v>0.99483501178283684</v>
      </c>
      <c r="AR150" s="769">
        <v>0</v>
      </c>
      <c r="AS150" s="769">
        <v>47.918238875003475</v>
      </c>
      <c r="AT150" s="769">
        <v>48.186419385057029</v>
      </c>
      <c r="AU150" s="769">
        <v>48.456100801397241</v>
      </c>
      <c r="AV150" s="769">
        <v>48.727291524036758</v>
      </c>
      <c r="AW150" s="769">
        <v>49</v>
      </c>
      <c r="AX150" s="769">
        <v>44.168787339281884</v>
      </c>
      <c r="AY150" s="769">
        <v>44.375139904516772</v>
      </c>
      <c r="AZ150" s="769">
        <v>44.582456530205747</v>
      </c>
      <c r="BA150" s="769">
        <v>44.790741720351747</v>
      </c>
      <c r="BB150" s="769">
        <v>45</v>
      </c>
      <c r="BC150" s="769">
        <v>0.98969670066895699</v>
      </c>
      <c r="BD150" s="769">
        <v>0.99226253021639232</v>
      </c>
      <c r="BE150" s="769">
        <v>0.99483501178283684</v>
      </c>
      <c r="BF150" s="769">
        <v>0.99741416261392479</v>
      </c>
      <c r="BG150" s="769">
        <v>1</v>
      </c>
      <c r="BH150" s="771">
        <v>49.893404291493894</v>
      </c>
      <c r="BI150" s="771">
        <v>50.803097791723701</v>
      </c>
      <c r="BJ150" s="771">
        <v>51.729377497607572</v>
      </c>
      <c r="BK150" s="772">
        <v>54.380038230797801</v>
      </c>
      <c r="BL150" s="772">
        <v>57.030698963988023</v>
      </c>
      <c r="BM150" s="772">
        <v>59.681359697178237</v>
      </c>
      <c r="BN150" s="772">
        <v>62.332020430368466</v>
      </c>
      <c r="BO150" s="772">
        <v>65.466252895408459</v>
      </c>
      <c r="BP150" s="772">
        <v>68.600485360448474</v>
      </c>
      <c r="BQ150" s="772">
        <v>77.289477507732215</v>
      </c>
      <c r="BR150" s="772">
        <v>87.641816914530281</v>
      </c>
      <c r="BS150" s="772">
        <v>92.187325330983327</v>
      </c>
      <c r="BT150" s="772">
        <v>94.683518925196324</v>
      </c>
      <c r="BU150" s="772">
        <v>97.268562916868362</v>
      </c>
      <c r="BV150" s="772">
        <v>99.915802186761766</v>
      </c>
      <c r="BW150" s="771">
        <v>45.820473328922965</v>
      </c>
      <c r="BX150" s="771">
        <v>46.655906135256458</v>
      </c>
      <c r="BY150" s="771">
        <v>47.506571171272256</v>
      </c>
      <c r="BZ150" s="772">
        <v>49.940851436446955</v>
      </c>
      <c r="CA150" s="772">
        <v>52.375131701621648</v>
      </c>
      <c r="CB150" s="772">
        <v>54.80941196679634</v>
      </c>
      <c r="CC150" s="772">
        <v>57.243692231971032</v>
      </c>
      <c r="CD150" s="772">
        <v>60.12206898557919</v>
      </c>
      <c r="CE150" s="772">
        <v>63.000445739187363</v>
      </c>
      <c r="CF150" s="772">
        <v>70.980132405060189</v>
      </c>
      <c r="CG150" s="772">
        <v>80.487382880691072</v>
      </c>
      <c r="CH150" s="772">
        <v>84.661829385596931</v>
      </c>
      <c r="CI150" s="772">
        <v>86.954252074159882</v>
      </c>
      <c r="CJ150" s="772">
        <v>89.328272066511758</v>
      </c>
      <c r="CK150" s="772">
        <v>91.75941017151591</v>
      </c>
      <c r="CL150" s="771">
        <v>1.0182327406427325</v>
      </c>
      <c r="CM150" s="771">
        <v>1.0367979141168102</v>
      </c>
      <c r="CN150" s="771">
        <v>1.055701581583828</v>
      </c>
      <c r="CO150" s="772">
        <v>1.1097966985877101</v>
      </c>
      <c r="CP150" s="772">
        <v>1.1638918155915923</v>
      </c>
      <c r="CQ150" s="772">
        <v>1.2179869325954742</v>
      </c>
      <c r="CR150" s="772">
        <v>1.2720820495993563</v>
      </c>
      <c r="CS150" s="772">
        <v>1.3360459774573155</v>
      </c>
      <c r="CT150" s="772">
        <v>1.4000099053152748</v>
      </c>
      <c r="CU150" s="772">
        <v>1.5773362756680043</v>
      </c>
      <c r="CV150" s="772">
        <v>1.7886085084598016</v>
      </c>
      <c r="CW150" s="772">
        <v>1.8813739863465986</v>
      </c>
      <c r="CX150" s="772">
        <v>1.9323167127591085</v>
      </c>
      <c r="CY150" s="772">
        <v>1.9850727125891503</v>
      </c>
      <c r="CZ150" s="772">
        <v>2.0390980038114646</v>
      </c>
      <c r="DA150" s="773">
        <v>0</v>
      </c>
      <c r="DB150" s="773">
        <v>0</v>
      </c>
      <c r="DC150" s="773">
        <v>0</v>
      </c>
      <c r="DD150" s="774">
        <v>0</v>
      </c>
      <c r="DE150" s="774">
        <v>0</v>
      </c>
      <c r="DF150" s="774">
        <v>0</v>
      </c>
      <c r="DG150" s="774">
        <v>0</v>
      </c>
      <c r="DH150" s="774">
        <v>0</v>
      </c>
      <c r="DI150" s="774">
        <v>0</v>
      </c>
      <c r="DJ150" s="774">
        <v>0</v>
      </c>
      <c r="DK150" s="774">
        <v>0</v>
      </c>
      <c r="DL150" s="774">
        <v>0</v>
      </c>
      <c r="DM150" s="774">
        <v>0</v>
      </c>
      <c r="DN150" s="774">
        <v>0</v>
      </c>
      <c r="DO150" s="774">
        <v>0</v>
      </c>
      <c r="DP150" s="773">
        <v>0</v>
      </c>
      <c r="DQ150" s="773">
        <v>0</v>
      </c>
      <c r="DR150" s="773">
        <v>0</v>
      </c>
      <c r="DS150" s="774">
        <v>0</v>
      </c>
      <c r="DT150" s="774">
        <v>0</v>
      </c>
      <c r="DU150" s="774">
        <v>0</v>
      </c>
      <c r="DV150" s="774">
        <v>0</v>
      </c>
      <c r="DW150" s="774">
        <v>0</v>
      </c>
      <c r="DX150" s="774">
        <v>0</v>
      </c>
      <c r="DY150" s="774">
        <v>0</v>
      </c>
      <c r="DZ150" s="774">
        <v>0</v>
      </c>
      <c r="EA150" s="774">
        <v>0</v>
      </c>
      <c r="EB150" s="774">
        <v>0</v>
      </c>
      <c r="EC150" s="774">
        <v>0</v>
      </c>
      <c r="ED150" s="774">
        <v>0</v>
      </c>
    </row>
    <row r="151" spans="1:134" ht="15" x14ac:dyDescent="0.25">
      <c r="A151" s="766">
        <v>115</v>
      </c>
      <c r="B151" s="766">
        <v>91</v>
      </c>
      <c r="C151" s="766" t="s">
        <v>3822</v>
      </c>
      <c r="D151" s="2">
        <v>99705</v>
      </c>
      <c r="E151" s="2">
        <v>99705</v>
      </c>
      <c r="F151" s="767" t="s">
        <v>3746</v>
      </c>
      <c r="G151" s="114">
        <v>330</v>
      </c>
      <c r="H151" s="114">
        <v>166</v>
      </c>
      <c r="I151" s="114">
        <v>135</v>
      </c>
      <c r="J151" s="114">
        <v>31</v>
      </c>
      <c r="K151" s="114">
        <v>3</v>
      </c>
      <c r="L151" s="114">
        <v>85</v>
      </c>
      <c r="M151" s="114">
        <v>88</v>
      </c>
      <c r="N151" s="114">
        <v>14</v>
      </c>
      <c r="O151" s="114">
        <v>0</v>
      </c>
      <c r="P151" s="114">
        <v>0</v>
      </c>
      <c r="Q151" s="114">
        <v>102</v>
      </c>
      <c r="R151" s="114">
        <v>2805</v>
      </c>
      <c r="S151" s="114">
        <v>1947.964705882353</v>
      </c>
      <c r="T151" s="114">
        <v>1977.1818181818182</v>
      </c>
      <c r="U151" s="114">
        <v>7261.6428571428569</v>
      </c>
      <c r="V151" s="114">
        <v>0</v>
      </c>
      <c r="W151" s="114">
        <v>0</v>
      </c>
      <c r="X151" s="114">
        <v>2702.5</v>
      </c>
      <c r="Y151" s="114">
        <v>5.6590909090909092</v>
      </c>
      <c r="Z151" s="114">
        <v>160.34090909090909</v>
      </c>
      <c r="AA151" s="114">
        <v>0</v>
      </c>
      <c r="AB151" s="657">
        <v>14</v>
      </c>
      <c r="AC151" s="657">
        <v>0</v>
      </c>
      <c r="AD151" s="768">
        <v>180</v>
      </c>
      <c r="AE151" s="769">
        <v>4.6022727272727275</v>
      </c>
      <c r="AF151" s="769">
        <v>130.39772727272728</v>
      </c>
      <c r="AG151" s="770">
        <v>135</v>
      </c>
      <c r="AH151" s="769">
        <v>0</v>
      </c>
      <c r="AI151" s="769">
        <v>5.2524948489771424</v>
      </c>
      <c r="AJ151" s="769">
        <v>148.82068738768569</v>
      </c>
      <c r="AK151" s="769">
        <v>154.07318223666283</v>
      </c>
      <c r="AL151" s="769">
        <v>0</v>
      </c>
      <c r="AM151" s="769">
        <v>4.2935167550029369</v>
      </c>
      <c r="AN151" s="769">
        <v>121.64964139174988</v>
      </c>
      <c r="AO151" s="769">
        <v>125.94315814675282</v>
      </c>
      <c r="AP151" s="769">
        <v>0</v>
      </c>
      <c r="AQ151" s="769">
        <v>13.161507342688731</v>
      </c>
      <c r="AR151" s="769">
        <v>0</v>
      </c>
      <c r="AS151" s="769">
        <v>143.00328605139711</v>
      </c>
      <c r="AT151" s="769">
        <v>148.43507453509272</v>
      </c>
      <c r="AU151" s="769">
        <v>154.07318223666286</v>
      </c>
      <c r="AV151" s="769">
        <v>159.9254459155454</v>
      </c>
      <c r="AW151" s="769">
        <v>166</v>
      </c>
      <c r="AX151" s="769">
        <v>117.49391914057767</v>
      </c>
      <c r="AY151" s="769">
        <v>121.64520228765112</v>
      </c>
      <c r="AZ151" s="769">
        <v>125.94315814675281</v>
      </c>
      <c r="BA151" s="769">
        <v>130.39296894315899</v>
      </c>
      <c r="BB151" s="769">
        <v>135</v>
      </c>
      <c r="BC151" s="769">
        <v>12.373233966546383</v>
      </c>
      <c r="BD151" s="769">
        <v>12.761285581927309</v>
      </c>
      <c r="BE151" s="769">
        <v>13.161507342688731</v>
      </c>
      <c r="BF151" s="769">
        <v>13.574280931144832</v>
      </c>
      <c r="BG151" s="769">
        <v>14</v>
      </c>
      <c r="BH151" s="771">
        <v>169.99720985732193</v>
      </c>
      <c r="BI151" s="771">
        <v>174.09067083900212</v>
      </c>
      <c r="BJ151" s="771">
        <v>178.28270063144456</v>
      </c>
      <c r="BK151" s="772">
        <v>178.43455733777961</v>
      </c>
      <c r="BL151" s="772">
        <v>178.58641404411463</v>
      </c>
      <c r="BM151" s="772">
        <v>178.73827075044963</v>
      </c>
      <c r="BN151" s="772">
        <v>178.89012745678468</v>
      </c>
      <c r="BO151" s="772">
        <v>179.06968805202405</v>
      </c>
      <c r="BP151" s="772">
        <v>179.24924864726344</v>
      </c>
      <c r="BQ151" s="772">
        <v>179.74704216430456</v>
      </c>
      <c r="BR151" s="772">
        <v>180.34012906731485</v>
      </c>
      <c r="BS151" s="772">
        <v>180.60054184971949</v>
      </c>
      <c r="BT151" s="772">
        <v>180.74354911309547</v>
      </c>
      <c r="BU151" s="772">
        <v>180.89164662757221</v>
      </c>
      <c r="BV151" s="772">
        <v>181.04330731781943</v>
      </c>
      <c r="BW151" s="771">
        <v>138.25074295625578</v>
      </c>
      <c r="BX151" s="771">
        <v>141.57976242930894</v>
      </c>
      <c r="BY151" s="771">
        <v>144.98894328460852</v>
      </c>
      <c r="BZ151" s="772">
        <v>145.11244120843523</v>
      </c>
      <c r="CA151" s="772">
        <v>145.2359391322619</v>
      </c>
      <c r="CB151" s="772">
        <v>145.35943705608855</v>
      </c>
      <c r="CC151" s="772">
        <v>145.48293497991526</v>
      </c>
      <c r="CD151" s="772">
        <v>145.62896317483884</v>
      </c>
      <c r="CE151" s="772">
        <v>145.77499136976246</v>
      </c>
      <c r="CF151" s="772">
        <v>146.1798234468742</v>
      </c>
      <c r="CG151" s="772">
        <v>146.66215315715365</v>
      </c>
      <c r="CH151" s="772">
        <v>146.87393463682005</v>
      </c>
      <c r="CI151" s="772">
        <v>146.99023572450537</v>
      </c>
      <c r="CJ151" s="772">
        <v>147.11067647423042</v>
      </c>
      <c r="CK151" s="772">
        <v>147.23401498738326</v>
      </c>
      <c r="CL151" s="771">
        <v>14.337114084352452</v>
      </c>
      <c r="CM151" s="771">
        <v>14.682345733409816</v>
      </c>
      <c r="CN151" s="771">
        <v>15.035890414700145</v>
      </c>
      <c r="CO151" s="772">
        <v>15.04869760680069</v>
      </c>
      <c r="CP151" s="772">
        <v>15.061504798901236</v>
      </c>
      <c r="CQ151" s="772">
        <v>15.074311991001778</v>
      </c>
      <c r="CR151" s="772">
        <v>15.087119183102324</v>
      </c>
      <c r="CS151" s="772">
        <v>15.102262847761066</v>
      </c>
      <c r="CT151" s="772">
        <v>15.11740651241981</v>
      </c>
      <c r="CU151" s="772">
        <v>15.159389098194362</v>
      </c>
      <c r="CV151" s="772">
        <v>15.209408475556677</v>
      </c>
      <c r="CW151" s="772">
        <v>15.231370999373935</v>
      </c>
      <c r="CX151" s="772">
        <v>15.243431852911668</v>
      </c>
      <c r="CY151" s="772">
        <v>15.255922004735007</v>
      </c>
      <c r="CZ151" s="772">
        <v>15.268712665358265</v>
      </c>
      <c r="DA151" s="773">
        <v>0</v>
      </c>
      <c r="DB151" s="773">
        <v>0</v>
      </c>
      <c r="DC151" s="773">
        <v>0</v>
      </c>
      <c r="DD151" s="774">
        <v>0</v>
      </c>
      <c r="DE151" s="774">
        <v>0</v>
      </c>
      <c r="DF151" s="774">
        <v>0</v>
      </c>
      <c r="DG151" s="774">
        <v>0</v>
      </c>
      <c r="DH151" s="774">
        <v>0</v>
      </c>
      <c r="DI151" s="774">
        <v>0</v>
      </c>
      <c r="DJ151" s="774">
        <v>0</v>
      </c>
      <c r="DK151" s="774">
        <v>0</v>
      </c>
      <c r="DL151" s="774">
        <v>0</v>
      </c>
      <c r="DM151" s="774">
        <v>0</v>
      </c>
      <c r="DN151" s="774">
        <v>0</v>
      </c>
      <c r="DO151" s="774">
        <v>0</v>
      </c>
      <c r="DP151" s="773">
        <v>0</v>
      </c>
      <c r="DQ151" s="773">
        <v>0</v>
      </c>
      <c r="DR151" s="773">
        <v>0</v>
      </c>
      <c r="DS151" s="774">
        <v>0</v>
      </c>
      <c r="DT151" s="774">
        <v>0</v>
      </c>
      <c r="DU151" s="774">
        <v>0</v>
      </c>
      <c r="DV151" s="774">
        <v>0</v>
      </c>
      <c r="DW151" s="774">
        <v>0</v>
      </c>
      <c r="DX151" s="774">
        <v>0</v>
      </c>
      <c r="DY151" s="774">
        <v>0</v>
      </c>
      <c r="DZ151" s="774">
        <v>0</v>
      </c>
      <c r="EA151" s="774">
        <v>0</v>
      </c>
      <c r="EB151" s="774">
        <v>0</v>
      </c>
      <c r="EC151" s="774">
        <v>0</v>
      </c>
      <c r="ED151" s="774">
        <v>0</v>
      </c>
    </row>
    <row r="152" spans="1:134" ht="15" x14ac:dyDescent="0.25">
      <c r="A152" s="766">
        <v>116</v>
      </c>
      <c r="B152" s="766">
        <v>91</v>
      </c>
      <c r="C152" s="766" t="s">
        <v>3823</v>
      </c>
      <c r="D152" s="2">
        <v>99705</v>
      </c>
      <c r="E152" s="2">
        <v>99705</v>
      </c>
      <c r="F152" s="767" t="s">
        <v>3746</v>
      </c>
      <c r="G152" s="114">
        <v>218</v>
      </c>
      <c r="H152" s="114">
        <v>90</v>
      </c>
      <c r="I152" s="114">
        <v>80</v>
      </c>
      <c r="J152" s="114">
        <v>10</v>
      </c>
      <c r="K152" s="114">
        <v>3</v>
      </c>
      <c r="L152" s="114">
        <v>124</v>
      </c>
      <c r="M152" s="114">
        <v>127</v>
      </c>
      <c r="N152" s="114">
        <v>2</v>
      </c>
      <c r="O152" s="114">
        <v>0</v>
      </c>
      <c r="P152" s="114">
        <v>0</v>
      </c>
      <c r="Q152" s="114">
        <v>129</v>
      </c>
      <c r="R152" s="114">
        <v>3752</v>
      </c>
      <c r="S152" s="114">
        <v>1826.4193548387098</v>
      </c>
      <c r="T152" s="114">
        <v>1871.9055118110236</v>
      </c>
      <c r="U152" s="114">
        <v>5420</v>
      </c>
      <c r="V152" s="114">
        <v>0</v>
      </c>
      <c r="W152" s="114">
        <v>0</v>
      </c>
      <c r="X152" s="114">
        <v>1926.9147286821706</v>
      </c>
      <c r="Y152" s="114">
        <v>2.1259842519685042</v>
      </c>
      <c r="Z152" s="114">
        <v>87.874015748031496</v>
      </c>
      <c r="AA152" s="114">
        <v>0</v>
      </c>
      <c r="AB152" s="657">
        <v>2</v>
      </c>
      <c r="AC152" s="657">
        <v>0</v>
      </c>
      <c r="AD152" s="768">
        <v>92</v>
      </c>
      <c r="AE152" s="769">
        <v>1.8897637795275593</v>
      </c>
      <c r="AF152" s="769">
        <v>78.110236220472444</v>
      </c>
      <c r="AG152" s="770">
        <v>80</v>
      </c>
      <c r="AH152" s="769">
        <v>0</v>
      </c>
      <c r="AI152" s="769">
        <v>1.9732358981073415</v>
      </c>
      <c r="AJ152" s="769">
        <v>81.560417121770101</v>
      </c>
      <c r="AK152" s="769">
        <v>83.533653019877448</v>
      </c>
      <c r="AL152" s="769">
        <v>0</v>
      </c>
      <c r="AM152" s="769">
        <v>1.7629838410744052</v>
      </c>
      <c r="AN152" s="769">
        <v>72.869998764408734</v>
      </c>
      <c r="AO152" s="769">
        <v>74.632982605483136</v>
      </c>
      <c r="AP152" s="769">
        <v>0</v>
      </c>
      <c r="AQ152" s="769">
        <v>1.8802153346698185</v>
      </c>
      <c r="AR152" s="769">
        <v>0</v>
      </c>
      <c r="AS152" s="769">
        <v>77.531902076058671</v>
      </c>
      <c r="AT152" s="769">
        <v>80.476847639508108</v>
      </c>
      <c r="AU152" s="769">
        <v>83.533653019877448</v>
      </c>
      <c r="AV152" s="769">
        <v>86.706567062645092</v>
      </c>
      <c r="AW152" s="769">
        <v>90</v>
      </c>
      <c r="AX152" s="769">
        <v>69.626026157379357</v>
      </c>
      <c r="AY152" s="769">
        <v>72.086045800089551</v>
      </c>
      <c r="AZ152" s="769">
        <v>74.63298260548315</v>
      </c>
      <c r="BA152" s="769">
        <v>77.269907521872</v>
      </c>
      <c r="BB152" s="769">
        <v>80</v>
      </c>
      <c r="BC152" s="769">
        <v>1.7676048523637691</v>
      </c>
      <c r="BD152" s="769">
        <v>1.823040797418187</v>
      </c>
      <c r="BE152" s="769">
        <v>1.8802153346698185</v>
      </c>
      <c r="BF152" s="769">
        <v>1.9391829901635476</v>
      </c>
      <c r="BG152" s="769">
        <v>2</v>
      </c>
      <c r="BH152" s="771">
        <v>90.924639502493392</v>
      </c>
      <c r="BI152" s="771">
        <v>91.858778540648686</v>
      </c>
      <c r="BJ152" s="771">
        <v>92.802514710531767</v>
      </c>
      <c r="BK152" s="772">
        <v>93.776163523563184</v>
      </c>
      <c r="BL152" s="772">
        <v>94.749812336594616</v>
      </c>
      <c r="BM152" s="772">
        <v>95.723461149626061</v>
      </c>
      <c r="BN152" s="772">
        <v>96.697109962657478</v>
      </c>
      <c r="BO152" s="772">
        <v>97.848385824234043</v>
      </c>
      <c r="BP152" s="772">
        <v>98.999661685810608</v>
      </c>
      <c r="BQ152" s="772">
        <v>102.19132887456473</v>
      </c>
      <c r="BR152" s="772">
        <v>105.99398186946389</v>
      </c>
      <c r="BS152" s="772">
        <v>107.66365193281342</v>
      </c>
      <c r="BT152" s="772">
        <v>108.58056140359923</v>
      </c>
      <c r="BU152" s="772">
        <v>109.53010767431198</v>
      </c>
      <c r="BV152" s="772">
        <v>110.50249970497362</v>
      </c>
      <c r="BW152" s="771">
        <v>80.821901779994135</v>
      </c>
      <c r="BX152" s="771">
        <v>81.652247591687726</v>
      </c>
      <c r="BY152" s="771">
        <v>82.491124187139349</v>
      </c>
      <c r="BZ152" s="772">
        <v>83.356589798722837</v>
      </c>
      <c r="CA152" s="772">
        <v>84.222055410306325</v>
      </c>
      <c r="CB152" s="772">
        <v>85.087521021889827</v>
      </c>
      <c r="CC152" s="772">
        <v>85.952986633473316</v>
      </c>
      <c r="CD152" s="772">
        <v>86.976342954874696</v>
      </c>
      <c r="CE152" s="772">
        <v>87.99969927627609</v>
      </c>
      <c r="CF152" s="772">
        <v>90.836736777390882</v>
      </c>
      <c r="CG152" s="772">
        <v>94.216872772856789</v>
      </c>
      <c r="CH152" s="772">
        <v>95.701023940278603</v>
      </c>
      <c r="CI152" s="772">
        <v>96.516054580977098</v>
      </c>
      <c r="CJ152" s="772">
        <v>97.360095710499536</v>
      </c>
      <c r="CK152" s="772">
        <v>98.224444182198766</v>
      </c>
      <c r="CL152" s="771">
        <v>2.0205475444998533</v>
      </c>
      <c r="CM152" s="771">
        <v>2.0413061897921931</v>
      </c>
      <c r="CN152" s="771">
        <v>2.0622781046784837</v>
      </c>
      <c r="CO152" s="772">
        <v>2.0839147449680708</v>
      </c>
      <c r="CP152" s="772">
        <v>2.1055513852576584</v>
      </c>
      <c r="CQ152" s="772">
        <v>2.127188025547246</v>
      </c>
      <c r="CR152" s="772">
        <v>2.1488246658368326</v>
      </c>
      <c r="CS152" s="772">
        <v>2.1744085738718675</v>
      </c>
      <c r="CT152" s="772">
        <v>2.1999924819069023</v>
      </c>
      <c r="CU152" s="772">
        <v>2.2709184194347718</v>
      </c>
      <c r="CV152" s="772">
        <v>2.3554218193214198</v>
      </c>
      <c r="CW152" s="772">
        <v>2.3925255985069649</v>
      </c>
      <c r="CX152" s="772">
        <v>2.4129013645244277</v>
      </c>
      <c r="CY152" s="772">
        <v>2.4340023927624883</v>
      </c>
      <c r="CZ152" s="772">
        <v>2.4556111045549693</v>
      </c>
      <c r="DA152" s="773">
        <v>0</v>
      </c>
      <c r="DB152" s="773">
        <v>0</v>
      </c>
      <c r="DC152" s="773">
        <v>0</v>
      </c>
      <c r="DD152" s="774">
        <v>0</v>
      </c>
      <c r="DE152" s="774">
        <v>0</v>
      </c>
      <c r="DF152" s="774">
        <v>0</v>
      </c>
      <c r="DG152" s="774">
        <v>0</v>
      </c>
      <c r="DH152" s="774">
        <v>0</v>
      </c>
      <c r="DI152" s="774">
        <v>0</v>
      </c>
      <c r="DJ152" s="774">
        <v>0</v>
      </c>
      <c r="DK152" s="774">
        <v>0</v>
      </c>
      <c r="DL152" s="774">
        <v>0</v>
      </c>
      <c r="DM152" s="774">
        <v>0</v>
      </c>
      <c r="DN152" s="774">
        <v>0</v>
      </c>
      <c r="DO152" s="774">
        <v>0</v>
      </c>
      <c r="DP152" s="773">
        <v>0</v>
      </c>
      <c r="DQ152" s="773">
        <v>0</v>
      </c>
      <c r="DR152" s="773">
        <v>0</v>
      </c>
      <c r="DS152" s="774">
        <v>0</v>
      </c>
      <c r="DT152" s="774">
        <v>0</v>
      </c>
      <c r="DU152" s="774">
        <v>0</v>
      </c>
      <c r="DV152" s="774">
        <v>0</v>
      </c>
      <c r="DW152" s="774">
        <v>0</v>
      </c>
      <c r="DX152" s="774">
        <v>0</v>
      </c>
      <c r="DY152" s="774">
        <v>0</v>
      </c>
      <c r="DZ152" s="774">
        <v>0</v>
      </c>
      <c r="EA152" s="774">
        <v>0</v>
      </c>
      <c r="EB152" s="774">
        <v>0</v>
      </c>
      <c r="EC152" s="774">
        <v>0</v>
      </c>
      <c r="ED152" s="774">
        <v>0</v>
      </c>
    </row>
    <row r="153" spans="1:134" ht="15" x14ac:dyDescent="0.25">
      <c r="A153" s="766">
        <v>119</v>
      </c>
      <c r="B153" s="766">
        <v>91</v>
      </c>
      <c r="C153" s="766" t="s">
        <v>3824</v>
      </c>
      <c r="D153" s="2">
        <v>99705</v>
      </c>
      <c r="E153" s="2">
        <v>99705</v>
      </c>
      <c r="F153" s="767" t="s">
        <v>3746</v>
      </c>
      <c r="G153" s="114">
        <v>207</v>
      </c>
      <c r="H153" s="114">
        <v>94</v>
      </c>
      <c r="I153" s="114">
        <v>84</v>
      </c>
      <c r="J153" s="114">
        <v>10</v>
      </c>
      <c r="K153" s="114">
        <v>1</v>
      </c>
      <c r="L153" s="114">
        <v>92</v>
      </c>
      <c r="M153" s="114">
        <v>93</v>
      </c>
      <c r="N153" s="114">
        <v>0</v>
      </c>
      <c r="O153" s="114">
        <v>0</v>
      </c>
      <c r="P153" s="114">
        <v>0</v>
      </c>
      <c r="Q153" s="114">
        <v>93</v>
      </c>
      <c r="R153" s="114">
        <v>3928</v>
      </c>
      <c r="S153" s="114">
        <v>1613.858695652174</v>
      </c>
      <c r="T153" s="114">
        <v>1638.741935483871</v>
      </c>
      <c r="U153" s="114">
        <v>0</v>
      </c>
      <c r="V153" s="114">
        <v>0</v>
      </c>
      <c r="W153" s="114">
        <v>0</v>
      </c>
      <c r="X153" s="114">
        <v>1638.741935483871</v>
      </c>
      <c r="Y153" s="114">
        <v>1.010752688172043</v>
      </c>
      <c r="Z153" s="114">
        <v>92.989247311827953</v>
      </c>
      <c r="AA153" s="114">
        <v>0</v>
      </c>
      <c r="AB153" s="657">
        <v>0</v>
      </c>
      <c r="AC153" s="657">
        <v>0</v>
      </c>
      <c r="AD153" s="768">
        <v>94</v>
      </c>
      <c r="AE153" s="769">
        <v>0.90322580645161288</v>
      </c>
      <c r="AF153" s="769">
        <v>83.096774193548384</v>
      </c>
      <c r="AG153" s="770">
        <v>84</v>
      </c>
      <c r="AH153" s="769">
        <v>0</v>
      </c>
      <c r="AI153" s="769">
        <v>0.93813182602968692</v>
      </c>
      <c r="AJ153" s="769">
        <v>86.308127994731194</v>
      </c>
      <c r="AK153" s="769">
        <v>87.246259820760883</v>
      </c>
      <c r="AL153" s="769">
        <v>0</v>
      </c>
      <c r="AM153" s="769">
        <v>0.84263044877158388</v>
      </c>
      <c r="AN153" s="769">
        <v>77.522001286985713</v>
      </c>
      <c r="AO153" s="769">
        <v>78.3646317357573</v>
      </c>
      <c r="AP153" s="769">
        <v>0</v>
      </c>
      <c r="AQ153" s="769">
        <v>0</v>
      </c>
      <c r="AR153" s="769">
        <v>0</v>
      </c>
      <c r="AS153" s="769">
        <v>80.977764390550178</v>
      </c>
      <c r="AT153" s="769">
        <v>84.05359642348624</v>
      </c>
      <c r="AU153" s="769">
        <v>87.246259820760883</v>
      </c>
      <c r="AV153" s="769">
        <v>90.560192265429308</v>
      </c>
      <c r="AW153" s="769">
        <v>94</v>
      </c>
      <c r="AX153" s="769">
        <v>73.107327465248332</v>
      </c>
      <c r="AY153" s="769">
        <v>75.69034809009402</v>
      </c>
      <c r="AZ153" s="769">
        <v>78.3646317357573</v>
      </c>
      <c r="BA153" s="769">
        <v>81.133402897965595</v>
      </c>
      <c r="BB153" s="769">
        <v>84</v>
      </c>
      <c r="BC153" s="769">
        <v>0</v>
      </c>
      <c r="BD153" s="769">
        <v>0</v>
      </c>
      <c r="BE153" s="769">
        <v>0</v>
      </c>
      <c r="BF153" s="769">
        <v>0</v>
      </c>
      <c r="BG153" s="769">
        <v>0</v>
      </c>
      <c r="BH153" s="771">
        <v>94.965734591493103</v>
      </c>
      <c r="BI153" s="771">
        <v>95.941390920233076</v>
      </c>
      <c r="BJ153" s="771">
        <v>96.927070919888735</v>
      </c>
      <c r="BK153" s="772">
        <v>98.001483343179942</v>
      </c>
      <c r="BL153" s="772">
        <v>99.075895766471177</v>
      </c>
      <c r="BM153" s="772">
        <v>100.15030818976241</v>
      </c>
      <c r="BN153" s="772">
        <v>101.22472061305362</v>
      </c>
      <c r="BO153" s="772">
        <v>102.49514283486273</v>
      </c>
      <c r="BP153" s="772">
        <v>103.76556505667183</v>
      </c>
      <c r="BQ153" s="772">
        <v>107.28754015971926</v>
      </c>
      <c r="BR153" s="772">
        <v>111.48373242586578</v>
      </c>
      <c r="BS153" s="772">
        <v>113.32619783521076</v>
      </c>
      <c r="BT153" s="772">
        <v>114.33799892124961</v>
      </c>
      <c r="BU153" s="772">
        <v>115.38581441292287</v>
      </c>
      <c r="BV153" s="772">
        <v>116.45883998854028</v>
      </c>
      <c r="BW153" s="771">
        <v>84.862996868993832</v>
      </c>
      <c r="BX153" s="771">
        <v>85.734859971272115</v>
      </c>
      <c r="BY153" s="771">
        <v>86.615680396496316</v>
      </c>
      <c r="BZ153" s="772">
        <v>87.575793625820381</v>
      </c>
      <c r="CA153" s="772">
        <v>88.535906855144461</v>
      </c>
      <c r="CB153" s="772">
        <v>89.49602008446854</v>
      </c>
      <c r="CC153" s="772">
        <v>90.456133313792606</v>
      </c>
      <c r="CD153" s="772">
        <v>91.591404235409257</v>
      </c>
      <c r="CE153" s="772">
        <v>92.726675157025895</v>
      </c>
      <c r="CF153" s="772">
        <v>95.873972057621458</v>
      </c>
      <c r="CG153" s="772">
        <v>99.623760891199211</v>
      </c>
      <c r="CH153" s="772">
        <v>101.27021934210323</v>
      </c>
      <c r="CI153" s="772">
        <v>102.17438201473369</v>
      </c>
      <c r="CJ153" s="772">
        <v>103.11072777325022</v>
      </c>
      <c r="CK153" s="772">
        <v>104.06960169188706</v>
      </c>
      <c r="CL153" s="771">
        <v>0</v>
      </c>
      <c r="CM153" s="771">
        <v>0</v>
      </c>
      <c r="CN153" s="771">
        <v>0</v>
      </c>
      <c r="CO153" s="772">
        <v>0</v>
      </c>
      <c r="CP153" s="772">
        <v>0</v>
      </c>
      <c r="CQ153" s="772">
        <v>0</v>
      </c>
      <c r="CR153" s="772">
        <v>0</v>
      </c>
      <c r="CS153" s="772">
        <v>0</v>
      </c>
      <c r="CT153" s="772">
        <v>0</v>
      </c>
      <c r="CU153" s="772">
        <v>0</v>
      </c>
      <c r="CV153" s="772">
        <v>0</v>
      </c>
      <c r="CW153" s="772">
        <v>0</v>
      </c>
      <c r="CX153" s="772">
        <v>0</v>
      </c>
      <c r="CY153" s="772">
        <v>0</v>
      </c>
      <c r="CZ153" s="772">
        <v>0</v>
      </c>
      <c r="DA153" s="773">
        <v>0</v>
      </c>
      <c r="DB153" s="773">
        <v>0</v>
      </c>
      <c r="DC153" s="773">
        <v>0</v>
      </c>
      <c r="DD153" s="774">
        <v>0</v>
      </c>
      <c r="DE153" s="774">
        <v>0</v>
      </c>
      <c r="DF153" s="774">
        <v>0</v>
      </c>
      <c r="DG153" s="774">
        <v>0</v>
      </c>
      <c r="DH153" s="774">
        <v>0</v>
      </c>
      <c r="DI153" s="774">
        <v>0</v>
      </c>
      <c r="DJ153" s="774">
        <v>0</v>
      </c>
      <c r="DK153" s="774">
        <v>0</v>
      </c>
      <c r="DL153" s="774">
        <v>0</v>
      </c>
      <c r="DM153" s="774">
        <v>0</v>
      </c>
      <c r="DN153" s="774">
        <v>0</v>
      </c>
      <c r="DO153" s="774">
        <v>0</v>
      </c>
      <c r="DP153" s="773">
        <v>0</v>
      </c>
      <c r="DQ153" s="773">
        <v>0</v>
      </c>
      <c r="DR153" s="773">
        <v>0</v>
      </c>
      <c r="DS153" s="774">
        <v>0</v>
      </c>
      <c r="DT153" s="774">
        <v>0</v>
      </c>
      <c r="DU153" s="774">
        <v>0</v>
      </c>
      <c r="DV153" s="774">
        <v>0</v>
      </c>
      <c r="DW153" s="774">
        <v>0</v>
      </c>
      <c r="DX153" s="774">
        <v>0</v>
      </c>
      <c r="DY153" s="774">
        <v>0</v>
      </c>
      <c r="DZ153" s="774">
        <v>0</v>
      </c>
      <c r="EA153" s="774">
        <v>0</v>
      </c>
      <c r="EB153" s="774">
        <v>0</v>
      </c>
      <c r="EC153" s="774">
        <v>0</v>
      </c>
      <c r="ED153" s="774">
        <v>0</v>
      </c>
    </row>
    <row r="154" spans="1:134" ht="15" x14ac:dyDescent="0.25">
      <c r="A154" s="766">
        <v>120</v>
      </c>
      <c r="B154" s="766">
        <v>91</v>
      </c>
      <c r="C154" s="766" t="s">
        <v>3825</v>
      </c>
      <c r="D154" s="2">
        <v>99705</v>
      </c>
      <c r="E154" s="2">
        <v>99705</v>
      </c>
      <c r="F154" s="767" t="s">
        <v>3746</v>
      </c>
      <c r="G154" s="114">
        <v>425</v>
      </c>
      <c r="H154" s="114">
        <v>175</v>
      </c>
      <c r="I154" s="114">
        <v>154</v>
      </c>
      <c r="J154" s="114">
        <v>21</v>
      </c>
      <c r="K154" s="114">
        <v>2</v>
      </c>
      <c r="L154" s="114">
        <v>202</v>
      </c>
      <c r="M154" s="114">
        <v>204</v>
      </c>
      <c r="N154" s="114">
        <v>3</v>
      </c>
      <c r="O154" s="114">
        <v>0</v>
      </c>
      <c r="P154" s="114">
        <v>0</v>
      </c>
      <c r="Q154" s="114">
        <v>207</v>
      </c>
      <c r="R154" s="114">
        <v>6717</v>
      </c>
      <c r="S154" s="114">
        <v>2064.1782178217823</v>
      </c>
      <c r="T154" s="114">
        <v>2109.794117647059</v>
      </c>
      <c r="U154" s="114">
        <v>6720</v>
      </c>
      <c r="V154" s="114">
        <v>0</v>
      </c>
      <c r="W154" s="114">
        <v>0</v>
      </c>
      <c r="X154" s="114">
        <v>2176.608695652174</v>
      </c>
      <c r="Y154" s="114">
        <v>1.7156862745098038</v>
      </c>
      <c r="Z154" s="114">
        <v>173.28431372549019</v>
      </c>
      <c r="AA154" s="114">
        <v>0</v>
      </c>
      <c r="AB154" s="657">
        <v>3</v>
      </c>
      <c r="AC154" s="657">
        <v>0</v>
      </c>
      <c r="AD154" s="768">
        <v>178</v>
      </c>
      <c r="AE154" s="769">
        <v>1.5098039215686272</v>
      </c>
      <c r="AF154" s="769">
        <v>152.49019607843138</v>
      </c>
      <c r="AG154" s="770">
        <v>154</v>
      </c>
      <c r="AH154" s="769">
        <v>0</v>
      </c>
      <c r="AI154" s="769">
        <v>1.5924171327318684</v>
      </c>
      <c r="AJ154" s="769">
        <v>160.83413040591873</v>
      </c>
      <c r="AK154" s="769">
        <v>162.4265475386506</v>
      </c>
      <c r="AL154" s="769">
        <v>0</v>
      </c>
      <c r="AM154" s="769">
        <v>1.4085146227015199</v>
      </c>
      <c r="AN154" s="769">
        <v>142.25997689285353</v>
      </c>
      <c r="AO154" s="769">
        <v>143.66849151555505</v>
      </c>
      <c r="AP154" s="769">
        <v>0</v>
      </c>
      <c r="AQ154" s="769">
        <v>2.8203230020047281</v>
      </c>
      <c r="AR154" s="769">
        <v>0</v>
      </c>
      <c r="AS154" s="769">
        <v>150.75647625900299</v>
      </c>
      <c r="AT154" s="769">
        <v>156.48275929904355</v>
      </c>
      <c r="AU154" s="769">
        <v>162.4265475386506</v>
      </c>
      <c r="AV154" s="769">
        <v>168.59610262180991</v>
      </c>
      <c r="AW154" s="769">
        <v>175</v>
      </c>
      <c r="AX154" s="769">
        <v>134.03010035295529</v>
      </c>
      <c r="AY154" s="769">
        <v>138.76563816517239</v>
      </c>
      <c r="AZ154" s="769">
        <v>143.66849151555505</v>
      </c>
      <c r="BA154" s="769">
        <v>148.74457197960359</v>
      </c>
      <c r="BB154" s="769">
        <v>154</v>
      </c>
      <c r="BC154" s="769">
        <v>2.6514072785456535</v>
      </c>
      <c r="BD154" s="769">
        <v>2.7345611961272809</v>
      </c>
      <c r="BE154" s="769">
        <v>2.8203230020047281</v>
      </c>
      <c r="BF154" s="769">
        <v>2.9087744852453215</v>
      </c>
      <c r="BG154" s="769">
        <v>3</v>
      </c>
      <c r="BH154" s="771">
        <v>176.79791014373717</v>
      </c>
      <c r="BI154" s="771">
        <v>178.61429160681689</v>
      </c>
      <c r="BJ154" s="771">
        <v>180.44933415936731</v>
      </c>
      <c r="BK154" s="772">
        <v>183.44877137230526</v>
      </c>
      <c r="BL154" s="772">
        <v>186.44820858524324</v>
      </c>
      <c r="BM154" s="772">
        <v>189.44764579818118</v>
      </c>
      <c r="BN154" s="772">
        <v>192.44708301111916</v>
      </c>
      <c r="BO154" s="772">
        <v>195.99372078785365</v>
      </c>
      <c r="BP154" s="772">
        <v>199.54035856458816</v>
      </c>
      <c r="BQ154" s="772">
        <v>209.37265662640812</v>
      </c>
      <c r="BR154" s="772">
        <v>221.08716677435228</v>
      </c>
      <c r="BS154" s="772">
        <v>226.23077754479701</v>
      </c>
      <c r="BT154" s="772">
        <v>229.055422684565</v>
      </c>
      <c r="BU154" s="772">
        <v>231.98060924224674</v>
      </c>
      <c r="BV154" s="772">
        <v>234.97617479246802</v>
      </c>
      <c r="BW154" s="771">
        <v>155.58216092648871</v>
      </c>
      <c r="BX154" s="771">
        <v>157.18057661399888</v>
      </c>
      <c r="BY154" s="771">
        <v>158.79541406024325</v>
      </c>
      <c r="BZ154" s="772">
        <v>161.43491880762866</v>
      </c>
      <c r="CA154" s="772">
        <v>164.07442355501405</v>
      </c>
      <c r="CB154" s="772">
        <v>166.71392830239947</v>
      </c>
      <c r="CC154" s="772">
        <v>169.35343304978485</v>
      </c>
      <c r="CD154" s="772">
        <v>172.47447429331123</v>
      </c>
      <c r="CE154" s="772">
        <v>175.59551553683761</v>
      </c>
      <c r="CF154" s="772">
        <v>184.24793783123914</v>
      </c>
      <c r="CG154" s="772">
        <v>194.55670676143004</v>
      </c>
      <c r="CH154" s="772">
        <v>199.0830842394214</v>
      </c>
      <c r="CI154" s="772">
        <v>201.56877196241723</v>
      </c>
      <c r="CJ154" s="772">
        <v>204.14293613317716</v>
      </c>
      <c r="CK154" s="772">
        <v>206.77903381737187</v>
      </c>
      <c r="CL154" s="771">
        <v>3.0308213167497797</v>
      </c>
      <c r="CM154" s="771">
        <v>3.0619592846882897</v>
      </c>
      <c r="CN154" s="771">
        <v>3.0934171570177256</v>
      </c>
      <c r="CO154" s="772">
        <v>3.1448360806680906</v>
      </c>
      <c r="CP154" s="772">
        <v>3.1962550043184557</v>
      </c>
      <c r="CQ154" s="772">
        <v>3.2476739279688207</v>
      </c>
      <c r="CR154" s="772">
        <v>3.2990928516191858</v>
      </c>
      <c r="CS154" s="772">
        <v>3.3598923563632059</v>
      </c>
      <c r="CT154" s="772">
        <v>3.4206918611072261</v>
      </c>
      <c r="CU154" s="772">
        <v>3.5892455421669962</v>
      </c>
      <c r="CV154" s="772">
        <v>3.7900657161317537</v>
      </c>
      <c r="CW154" s="772">
        <v>3.8782419007679492</v>
      </c>
      <c r="CX154" s="772">
        <v>3.9266643888782577</v>
      </c>
      <c r="CY154" s="772">
        <v>3.9768104441528016</v>
      </c>
      <c r="CZ154" s="772">
        <v>4.0281629964423091</v>
      </c>
      <c r="DA154" s="773">
        <v>0</v>
      </c>
      <c r="DB154" s="773">
        <v>0</v>
      </c>
      <c r="DC154" s="773">
        <v>0</v>
      </c>
      <c r="DD154" s="774">
        <v>0</v>
      </c>
      <c r="DE154" s="774">
        <v>0</v>
      </c>
      <c r="DF154" s="774">
        <v>0</v>
      </c>
      <c r="DG154" s="774">
        <v>0</v>
      </c>
      <c r="DH154" s="774">
        <v>0</v>
      </c>
      <c r="DI154" s="774">
        <v>0</v>
      </c>
      <c r="DJ154" s="774">
        <v>0</v>
      </c>
      <c r="DK154" s="774">
        <v>0</v>
      </c>
      <c r="DL154" s="774">
        <v>0</v>
      </c>
      <c r="DM154" s="774">
        <v>0</v>
      </c>
      <c r="DN154" s="774">
        <v>0</v>
      </c>
      <c r="DO154" s="774">
        <v>0</v>
      </c>
      <c r="DP154" s="773">
        <v>0</v>
      </c>
      <c r="DQ154" s="773">
        <v>0</v>
      </c>
      <c r="DR154" s="773">
        <v>0</v>
      </c>
      <c r="DS154" s="774">
        <v>0</v>
      </c>
      <c r="DT154" s="774">
        <v>0</v>
      </c>
      <c r="DU154" s="774">
        <v>0</v>
      </c>
      <c r="DV154" s="774">
        <v>0</v>
      </c>
      <c r="DW154" s="774">
        <v>0</v>
      </c>
      <c r="DX154" s="774">
        <v>0</v>
      </c>
      <c r="DY154" s="774">
        <v>0</v>
      </c>
      <c r="DZ154" s="774">
        <v>0</v>
      </c>
      <c r="EA154" s="774">
        <v>0</v>
      </c>
      <c r="EB154" s="774">
        <v>0</v>
      </c>
      <c r="EC154" s="774">
        <v>0</v>
      </c>
      <c r="ED154" s="774">
        <v>0</v>
      </c>
    </row>
    <row r="155" spans="1:134" ht="15" x14ac:dyDescent="0.25">
      <c r="A155" s="766">
        <v>121</v>
      </c>
      <c r="B155" s="766">
        <v>91</v>
      </c>
      <c r="C155" s="766" t="s">
        <v>3826</v>
      </c>
      <c r="D155" s="2">
        <v>99705</v>
      </c>
      <c r="E155" s="2">
        <v>99705</v>
      </c>
      <c r="F155" s="767" t="s">
        <v>3746</v>
      </c>
      <c r="G155" s="114">
        <v>312</v>
      </c>
      <c r="H155" s="114">
        <v>122</v>
      </c>
      <c r="I155" s="114">
        <v>114</v>
      </c>
      <c r="J155" s="114">
        <v>8</v>
      </c>
      <c r="K155" s="114">
        <v>2</v>
      </c>
      <c r="L155" s="114">
        <v>100</v>
      </c>
      <c r="M155" s="114">
        <v>102</v>
      </c>
      <c r="N155" s="114">
        <v>0</v>
      </c>
      <c r="O155" s="114">
        <v>0</v>
      </c>
      <c r="P155" s="114">
        <v>0</v>
      </c>
      <c r="Q155" s="114">
        <v>102</v>
      </c>
      <c r="R155" s="114">
        <v>6301</v>
      </c>
      <c r="S155" s="114">
        <v>2345.4499999999998</v>
      </c>
      <c r="T155" s="114">
        <v>2423.0098039215682</v>
      </c>
      <c r="U155" s="114">
        <v>0</v>
      </c>
      <c r="V155" s="114">
        <v>0</v>
      </c>
      <c r="W155" s="114">
        <v>0</v>
      </c>
      <c r="X155" s="114">
        <v>2423.0098039215686</v>
      </c>
      <c r="Y155" s="114">
        <v>2.392156862745098</v>
      </c>
      <c r="Z155" s="114">
        <v>119.6078431372549</v>
      </c>
      <c r="AA155" s="114">
        <v>0</v>
      </c>
      <c r="AB155" s="657">
        <v>0</v>
      </c>
      <c r="AC155" s="657">
        <v>0</v>
      </c>
      <c r="AD155" s="768">
        <v>122</v>
      </c>
      <c r="AE155" s="769">
        <v>2.2352941176470589</v>
      </c>
      <c r="AF155" s="769">
        <v>111.76470588235294</v>
      </c>
      <c r="AG155" s="770">
        <v>114</v>
      </c>
      <c r="AH155" s="769">
        <v>0</v>
      </c>
      <c r="AI155" s="769">
        <v>2.2202844593518622</v>
      </c>
      <c r="AJ155" s="769">
        <v>111.01422296759313</v>
      </c>
      <c r="AK155" s="769">
        <v>113.23450742694499</v>
      </c>
      <c r="AL155" s="769">
        <v>0</v>
      </c>
      <c r="AM155" s="769">
        <v>2.0853333375061469</v>
      </c>
      <c r="AN155" s="769">
        <v>104.26666687530734</v>
      </c>
      <c r="AO155" s="769">
        <v>106.35200021281348</v>
      </c>
      <c r="AP155" s="769">
        <v>0</v>
      </c>
      <c r="AQ155" s="769">
        <v>0</v>
      </c>
      <c r="AR155" s="769">
        <v>0</v>
      </c>
      <c r="AS155" s="769">
        <v>105.09880059199065</v>
      </c>
      <c r="AT155" s="769">
        <v>109.09083791133321</v>
      </c>
      <c r="AU155" s="769">
        <v>113.23450742694499</v>
      </c>
      <c r="AV155" s="769">
        <v>117.5355686849189</v>
      </c>
      <c r="AW155" s="769">
        <v>122</v>
      </c>
      <c r="AX155" s="769">
        <v>99.217087274265594</v>
      </c>
      <c r="AY155" s="769">
        <v>102.7226152651276</v>
      </c>
      <c r="AZ155" s="769">
        <v>106.35200021281348</v>
      </c>
      <c r="BA155" s="769">
        <v>110.10961821866761</v>
      </c>
      <c r="BB155" s="769">
        <v>114</v>
      </c>
      <c r="BC155" s="769">
        <v>0</v>
      </c>
      <c r="BD155" s="769">
        <v>0</v>
      </c>
      <c r="BE155" s="769">
        <v>0</v>
      </c>
      <c r="BF155" s="769">
        <v>0</v>
      </c>
      <c r="BG155" s="769">
        <v>0</v>
      </c>
      <c r="BH155" s="771">
        <v>123.98756243967222</v>
      </c>
      <c r="BI155" s="771">
        <v>126.00750524370179</v>
      </c>
      <c r="BJ155" s="771">
        <v>128.06035593664589</v>
      </c>
      <c r="BK155" s="772">
        <v>129.20802861050632</v>
      </c>
      <c r="BL155" s="772">
        <v>130.35570128436675</v>
      </c>
      <c r="BM155" s="772">
        <v>131.5033739582272</v>
      </c>
      <c r="BN155" s="772">
        <v>132.6510466320876</v>
      </c>
      <c r="BO155" s="772">
        <v>134.00809429518986</v>
      </c>
      <c r="BP155" s="772">
        <v>135.36514195829207</v>
      </c>
      <c r="BQ155" s="772">
        <v>139.1272676524481</v>
      </c>
      <c r="BR155" s="772">
        <v>143.60958291027859</v>
      </c>
      <c r="BS155" s="772">
        <v>145.57767929207657</v>
      </c>
      <c r="BT155" s="772">
        <v>146.65847139076806</v>
      </c>
      <c r="BU155" s="772">
        <v>147.77773358559386</v>
      </c>
      <c r="BV155" s="772">
        <v>148.92392484771378</v>
      </c>
      <c r="BW155" s="771">
        <v>115.85723047641503</v>
      </c>
      <c r="BX155" s="771">
        <v>117.74471801460659</v>
      </c>
      <c r="BY155" s="771">
        <v>119.66295554735765</v>
      </c>
      <c r="BZ155" s="772">
        <v>120.73537099670263</v>
      </c>
      <c r="CA155" s="772">
        <v>121.80778644604764</v>
      </c>
      <c r="CB155" s="772">
        <v>122.88020189539264</v>
      </c>
      <c r="CC155" s="772">
        <v>123.95261734473762</v>
      </c>
      <c r="CD155" s="772">
        <v>125.22067827583317</v>
      </c>
      <c r="CE155" s="772">
        <v>126.48873920692868</v>
      </c>
      <c r="CF155" s="772">
        <v>130.0041681342548</v>
      </c>
      <c r="CG155" s="772">
        <v>134.19256108009643</v>
      </c>
      <c r="CH155" s="772">
        <v>136.03160196144862</v>
      </c>
      <c r="CI155" s="772">
        <v>137.04152244711116</v>
      </c>
      <c r="CJ155" s="772">
        <v>138.08739039965332</v>
      </c>
      <c r="CK155" s="772">
        <v>139.15842157901125</v>
      </c>
      <c r="CL155" s="771">
        <v>0</v>
      </c>
      <c r="CM155" s="771">
        <v>0</v>
      </c>
      <c r="CN155" s="771">
        <v>0</v>
      </c>
      <c r="CO155" s="772">
        <v>0</v>
      </c>
      <c r="CP155" s="772">
        <v>0</v>
      </c>
      <c r="CQ155" s="772">
        <v>0</v>
      </c>
      <c r="CR155" s="772">
        <v>0</v>
      </c>
      <c r="CS155" s="772">
        <v>0</v>
      </c>
      <c r="CT155" s="772">
        <v>0</v>
      </c>
      <c r="CU155" s="772">
        <v>0</v>
      </c>
      <c r="CV155" s="772">
        <v>0</v>
      </c>
      <c r="CW155" s="772">
        <v>0</v>
      </c>
      <c r="CX155" s="772">
        <v>0</v>
      </c>
      <c r="CY155" s="772">
        <v>0</v>
      </c>
      <c r="CZ155" s="772">
        <v>0</v>
      </c>
      <c r="DA155" s="773">
        <v>0</v>
      </c>
      <c r="DB155" s="773">
        <v>0</v>
      </c>
      <c r="DC155" s="773">
        <v>0</v>
      </c>
      <c r="DD155" s="774">
        <v>0</v>
      </c>
      <c r="DE155" s="774">
        <v>0</v>
      </c>
      <c r="DF155" s="774">
        <v>0</v>
      </c>
      <c r="DG155" s="774">
        <v>0</v>
      </c>
      <c r="DH155" s="774">
        <v>0</v>
      </c>
      <c r="DI155" s="774">
        <v>0</v>
      </c>
      <c r="DJ155" s="774">
        <v>0</v>
      </c>
      <c r="DK155" s="774">
        <v>0</v>
      </c>
      <c r="DL155" s="774">
        <v>0</v>
      </c>
      <c r="DM155" s="774">
        <v>0</v>
      </c>
      <c r="DN155" s="774">
        <v>0</v>
      </c>
      <c r="DO155" s="774">
        <v>0</v>
      </c>
      <c r="DP155" s="773">
        <v>0</v>
      </c>
      <c r="DQ155" s="773">
        <v>0</v>
      </c>
      <c r="DR155" s="773">
        <v>0</v>
      </c>
      <c r="DS155" s="774">
        <v>0</v>
      </c>
      <c r="DT155" s="774">
        <v>0</v>
      </c>
      <c r="DU155" s="774">
        <v>0</v>
      </c>
      <c r="DV155" s="774">
        <v>0</v>
      </c>
      <c r="DW155" s="774">
        <v>0</v>
      </c>
      <c r="DX155" s="774">
        <v>0</v>
      </c>
      <c r="DY155" s="774">
        <v>0</v>
      </c>
      <c r="DZ155" s="774">
        <v>0</v>
      </c>
      <c r="EA155" s="774">
        <v>0</v>
      </c>
      <c r="EB155" s="774">
        <v>0</v>
      </c>
      <c r="EC155" s="774">
        <v>0</v>
      </c>
      <c r="ED155" s="774">
        <v>0</v>
      </c>
    </row>
    <row r="156" spans="1:134" ht="15" x14ac:dyDescent="0.25">
      <c r="A156" s="766">
        <v>90</v>
      </c>
      <c r="B156" s="766">
        <v>92</v>
      </c>
      <c r="C156" s="766" t="s">
        <v>3827</v>
      </c>
      <c r="D156" s="2">
        <v>99709</v>
      </c>
      <c r="E156" s="2">
        <v>99709</v>
      </c>
      <c r="F156" s="767" t="s">
        <v>3676</v>
      </c>
      <c r="G156" s="114">
        <v>10</v>
      </c>
      <c r="H156" s="114">
        <v>5</v>
      </c>
      <c r="I156" s="114">
        <v>4</v>
      </c>
      <c r="J156" s="114">
        <v>1</v>
      </c>
      <c r="K156" s="114">
        <v>0</v>
      </c>
      <c r="L156" s="114">
        <v>1</v>
      </c>
      <c r="M156" s="114">
        <v>1</v>
      </c>
      <c r="N156" s="114">
        <v>0</v>
      </c>
      <c r="O156" s="114">
        <v>0</v>
      </c>
      <c r="P156" s="114">
        <v>0</v>
      </c>
      <c r="Q156" s="114">
        <v>1</v>
      </c>
      <c r="R156" s="114">
        <v>0</v>
      </c>
      <c r="S156" s="114">
        <v>180</v>
      </c>
      <c r="T156" s="114">
        <v>180</v>
      </c>
      <c r="U156" s="114">
        <v>0</v>
      </c>
      <c r="V156" s="114">
        <v>0</v>
      </c>
      <c r="W156" s="114">
        <v>0</v>
      </c>
      <c r="X156" s="114">
        <v>180</v>
      </c>
      <c r="Y156" s="114">
        <v>0</v>
      </c>
      <c r="Z156" s="114">
        <v>5</v>
      </c>
      <c r="AA156" s="114">
        <v>0</v>
      </c>
      <c r="AB156" s="657">
        <v>0</v>
      </c>
      <c r="AC156" s="657">
        <v>0</v>
      </c>
      <c r="AD156" s="768">
        <v>5</v>
      </c>
      <c r="AE156" s="769">
        <v>0</v>
      </c>
      <c r="AF156" s="769">
        <v>4</v>
      </c>
      <c r="AG156" s="770">
        <v>4</v>
      </c>
      <c r="AH156" s="769">
        <v>0</v>
      </c>
      <c r="AI156" s="769">
        <v>0</v>
      </c>
      <c r="AJ156" s="769">
        <v>4.7607919750386971</v>
      </c>
      <c r="AK156" s="769">
        <v>4.7607919750386971</v>
      </c>
      <c r="AL156" s="769">
        <v>0</v>
      </c>
      <c r="AM156" s="769">
        <v>0</v>
      </c>
      <c r="AN156" s="769">
        <v>3.8158185155919053</v>
      </c>
      <c r="AO156" s="769">
        <v>3.8158185155919053</v>
      </c>
      <c r="AP156" s="769">
        <v>0</v>
      </c>
      <c r="AQ156" s="769">
        <v>0</v>
      </c>
      <c r="AR156" s="769">
        <v>0</v>
      </c>
      <c r="AS156" s="769">
        <v>4.533028045918571</v>
      </c>
      <c r="AT156" s="769">
        <v>4.6455143465104571</v>
      </c>
      <c r="AU156" s="769">
        <v>4.7607919750386971</v>
      </c>
      <c r="AV156" s="769">
        <v>4.8789301978193418</v>
      </c>
      <c r="AW156" s="769">
        <v>5</v>
      </c>
      <c r="AX156" s="769">
        <v>3.6401177359835026</v>
      </c>
      <c r="AY156" s="769">
        <v>3.7269328751535542</v>
      </c>
      <c r="AZ156" s="769">
        <v>3.8158185155919053</v>
      </c>
      <c r="BA156" s="769">
        <v>3.9068240378045722</v>
      </c>
      <c r="BB156" s="769">
        <v>4</v>
      </c>
      <c r="BC156" s="769">
        <v>0</v>
      </c>
      <c r="BD156" s="769">
        <v>0</v>
      </c>
      <c r="BE156" s="769">
        <v>0</v>
      </c>
      <c r="BF156" s="769">
        <v>0</v>
      </c>
      <c r="BG156" s="769">
        <v>0</v>
      </c>
      <c r="BH156" s="771">
        <v>5.025613145055865</v>
      </c>
      <c r="BI156" s="771">
        <v>5.0513574967516606</v>
      </c>
      <c r="BJ156" s="771">
        <v>5.0772337272103263</v>
      </c>
      <c r="BK156" s="772">
        <v>5.0438531430657498</v>
      </c>
      <c r="BL156" s="772">
        <v>5.0106920216163537</v>
      </c>
      <c r="BM156" s="772">
        <v>5.0466631056877906</v>
      </c>
      <c r="BN156" s="772">
        <v>5.0828924213335682</v>
      </c>
      <c r="BO156" s="772">
        <v>5.1193818223634251</v>
      </c>
      <c r="BP156" s="772">
        <v>5.1561331758953513</v>
      </c>
      <c r="BQ156" s="772">
        <v>5.193148362451125</v>
      </c>
      <c r="BR156" s="772">
        <v>5.2223007500393326</v>
      </c>
      <c r="BS156" s="772">
        <v>5.2516167881999438</v>
      </c>
      <c r="BT156" s="772">
        <v>5.2810973956059089</v>
      </c>
      <c r="BU156" s="772">
        <v>5.3107434960872588</v>
      </c>
      <c r="BV156" s="772">
        <v>5.3405560186600614</v>
      </c>
      <c r="BW156" s="771">
        <v>4.020490516044692</v>
      </c>
      <c r="BX156" s="771">
        <v>4.0410859974013285</v>
      </c>
      <c r="BY156" s="771">
        <v>4.061786981768261</v>
      </c>
      <c r="BZ156" s="772">
        <v>4.0350825144525997</v>
      </c>
      <c r="CA156" s="772">
        <v>4.0085536172930825</v>
      </c>
      <c r="CB156" s="772">
        <v>4.0373304845502327</v>
      </c>
      <c r="CC156" s="772">
        <v>4.0663139370668544</v>
      </c>
      <c r="CD156" s="772">
        <v>4.0955054578907397</v>
      </c>
      <c r="CE156" s="772">
        <v>4.1249065407162808</v>
      </c>
      <c r="CF156" s="772">
        <v>4.1545186899608995</v>
      </c>
      <c r="CG156" s="772">
        <v>4.1778406000314661</v>
      </c>
      <c r="CH156" s="772">
        <v>4.2012934305599554</v>
      </c>
      <c r="CI156" s="772">
        <v>4.2248779164847265</v>
      </c>
      <c r="CJ156" s="772">
        <v>4.2485947968698072</v>
      </c>
      <c r="CK156" s="772">
        <v>4.2724448149280487</v>
      </c>
      <c r="CL156" s="771">
        <v>0</v>
      </c>
      <c r="CM156" s="771">
        <v>0</v>
      </c>
      <c r="CN156" s="771">
        <v>0</v>
      </c>
      <c r="CO156" s="772">
        <v>0</v>
      </c>
      <c r="CP156" s="772">
        <v>0</v>
      </c>
      <c r="CQ156" s="772">
        <v>0</v>
      </c>
      <c r="CR156" s="772">
        <v>0</v>
      </c>
      <c r="CS156" s="772">
        <v>0</v>
      </c>
      <c r="CT156" s="772">
        <v>0</v>
      </c>
      <c r="CU156" s="772">
        <v>0</v>
      </c>
      <c r="CV156" s="772">
        <v>0</v>
      </c>
      <c r="CW156" s="772">
        <v>0</v>
      </c>
      <c r="CX156" s="772">
        <v>0</v>
      </c>
      <c r="CY156" s="772">
        <v>0</v>
      </c>
      <c r="CZ156" s="772">
        <v>0</v>
      </c>
      <c r="DA156" s="773">
        <v>0</v>
      </c>
      <c r="DB156" s="773">
        <v>0</v>
      </c>
      <c r="DC156" s="773">
        <v>0</v>
      </c>
      <c r="DD156" s="774">
        <v>0</v>
      </c>
      <c r="DE156" s="774">
        <v>0</v>
      </c>
      <c r="DF156" s="774">
        <v>0</v>
      </c>
      <c r="DG156" s="774">
        <v>0</v>
      </c>
      <c r="DH156" s="774">
        <v>0</v>
      </c>
      <c r="DI156" s="774">
        <v>0</v>
      </c>
      <c r="DJ156" s="774">
        <v>0</v>
      </c>
      <c r="DK156" s="774">
        <v>0</v>
      </c>
      <c r="DL156" s="774">
        <v>0</v>
      </c>
      <c r="DM156" s="774">
        <v>0</v>
      </c>
      <c r="DN156" s="774">
        <v>0</v>
      </c>
      <c r="DO156" s="774">
        <v>0</v>
      </c>
      <c r="DP156" s="773">
        <v>0</v>
      </c>
      <c r="DQ156" s="773">
        <v>0</v>
      </c>
      <c r="DR156" s="773">
        <v>0</v>
      </c>
      <c r="DS156" s="774">
        <v>0</v>
      </c>
      <c r="DT156" s="774">
        <v>0</v>
      </c>
      <c r="DU156" s="774">
        <v>0</v>
      </c>
      <c r="DV156" s="774">
        <v>0</v>
      </c>
      <c r="DW156" s="774">
        <v>0</v>
      </c>
      <c r="DX156" s="774">
        <v>0</v>
      </c>
      <c r="DY156" s="774">
        <v>0</v>
      </c>
      <c r="DZ156" s="774">
        <v>0</v>
      </c>
      <c r="EA156" s="774">
        <v>0</v>
      </c>
      <c r="EB156" s="774">
        <v>0</v>
      </c>
      <c r="EC156" s="774">
        <v>0</v>
      </c>
      <c r="ED156" s="774">
        <v>0</v>
      </c>
    </row>
    <row r="157" spans="1:134" ht="15" x14ac:dyDescent="0.25">
      <c r="A157" s="766">
        <v>95</v>
      </c>
      <c r="B157" s="766">
        <v>92</v>
      </c>
      <c r="C157" s="766" t="s">
        <v>3828</v>
      </c>
      <c r="D157" s="2">
        <v>99709</v>
      </c>
      <c r="E157" s="2">
        <v>99709</v>
      </c>
      <c r="F157" s="767" t="s">
        <v>3676</v>
      </c>
      <c r="G157" s="114">
        <v>118</v>
      </c>
      <c r="H157" s="114">
        <v>59</v>
      </c>
      <c r="I157" s="114">
        <v>51</v>
      </c>
      <c r="J157" s="114">
        <v>8</v>
      </c>
      <c r="K157" s="114">
        <v>0</v>
      </c>
      <c r="L157" s="114">
        <v>0</v>
      </c>
      <c r="M157" s="114">
        <v>0</v>
      </c>
      <c r="N157" s="114">
        <v>0</v>
      </c>
      <c r="O157" s="114">
        <v>0</v>
      </c>
      <c r="P157" s="114">
        <v>0</v>
      </c>
      <c r="Q157" s="114">
        <v>0</v>
      </c>
      <c r="R157" s="114">
        <v>0</v>
      </c>
      <c r="S157" s="114">
        <v>834.49503068156923</v>
      </c>
      <c r="T157" s="114">
        <v>834.49503068156923</v>
      </c>
      <c r="U157" s="114">
        <v>1408.3846153846155</v>
      </c>
      <c r="V157" s="114">
        <v>0</v>
      </c>
      <c r="W157" s="114">
        <v>0</v>
      </c>
      <c r="X157" s="114">
        <v>1365.173957061457</v>
      </c>
      <c r="Y157" s="114">
        <v>1.3518277893277892</v>
      </c>
      <c r="Z157" s="114">
        <v>57.571509009009006</v>
      </c>
      <c r="AA157" s="114">
        <v>7.6663201663201661E-2</v>
      </c>
      <c r="AB157" s="657">
        <v>0</v>
      </c>
      <c r="AC157" s="657">
        <v>0</v>
      </c>
      <c r="AD157" s="768">
        <v>59</v>
      </c>
      <c r="AE157" s="769">
        <v>1.1685291060291061</v>
      </c>
      <c r="AF157" s="769">
        <v>49.765202702702695</v>
      </c>
      <c r="AG157" s="770">
        <v>50.9337318087318</v>
      </c>
      <c r="AH157" s="769">
        <v>6.6268191268191265E-2</v>
      </c>
      <c r="AI157" s="769">
        <v>1.2871541782132081</v>
      </c>
      <c r="AJ157" s="769">
        <v>54.817195616191619</v>
      </c>
      <c r="AK157" s="769">
        <v>56.104349794404826</v>
      </c>
      <c r="AL157" s="769">
        <v>7.2995511051788753E-2</v>
      </c>
      <c r="AM157" s="769">
        <v>1.1147237496984799</v>
      </c>
      <c r="AN157" s="769">
        <v>47.473745476289317</v>
      </c>
      <c r="AO157" s="769">
        <v>48.588469225987794</v>
      </c>
      <c r="AP157" s="769">
        <v>6.3216847808987509E-2</v>
      </c>
      <c r="AQ157" s="769">
        <v>0</v>
      </c>
      <c r="AR157" s="769">
        <v>0</v>
      </c>
      <c r="AS157" s="769">
        <v>53.420227653193294</v>
      </c>
      <c r="AT157" s="769">
        <v>54.745841288188224</v>
      </c>
      <c r="AU157" s="769">
        <v>56.104349794404833</v>
      </c>
      <c r="AV157" s="769">
        <v>57.496569452337013</v>
      </c>
      <c r="AW157" s="769">
        <v>58.923336798336798</v>
      </c>
      <c r="AX157" s="769">
        <v>46.351195129197926</v>
      </c>
      <c r="AY157" s="769">
        <v>47.456649883054212</v>
      </c>
      <c r="AZ157" s="769">
        <v>48.588469225987794</v>
      </c>
      <c r="BA157" s="769">
        <v>49.747281941361187</v>
      </c>
      <c r="BB157" s="769">
        <v>50.9337318087318</v>
      </c>
      <c r="BC157" s="769">
        <v>0</v>
      </c>
      <c r="BD157" s="769">
        <v>0</v>
      </c>
      <c r="BE157" s="769">
        <v>0</v>
      </c>
      <c r="BF157" s="769">
        <v>0</v>
      </c>
      <c r="BG157" s="769">
        <v>0</v>
      </c>
      <c r="BH157" s="771">
        <v>59.225179192855073</v>
      </c>
      <c r="BI157" s="771">
        <v>59.528567813980317</v>
      </c>
      <c r="BJ157" s="771">
        <v>59.833510582457784</v>
      </c>
      <c r="BK157" s="772">
        <v>61.117874692920367</v>
      </c>
      <c r="BL157" s="772">
        <v>62.40223880338295</v>
      </c>
      <c r="BM157" s="772">
        <v>63.686602913845526</v>
      </c>
      <c r="BN157" s="772">
        <v>64.970967024308109</v>
      </c>
      <c r="BO157" s="772">
        <v>66.489643345852713</v>
      </c>
      <c r="BP157" s="772">
        <v>68.008319667397316</v>
      </c>
      <c r="BQ157" s="772">
        <v>72.218526402014362</v>
      </c>
      <c r="BR157" s="772">
        <v>77.234699549686951</v>
      </c>
      <c r="BS157" s="772">
        <v>79.437202420309475</v>
      </c>
      <c r="BT157" s="772">
        <v>80.646720268078383</v>
      </c>
      <c r="BU157" s="772">
        <v>81.899290121812356</v>
      </c>
      <c r="BV157" s="772">
        <v>83.181996379721923</v>
      </c>
      <c r="BW157" s="771">
        <v>51.194646420942512</v>
      </c>
      <c r="BX157" s="771">
        <v>51.45689760191518</v>
      </c>
      <c r="BY157" s="771">
        <v>51.720492198395704</v>
      </c>
      <c r="BZ157" s="772">
        <v>52.830705243032853</v>
      </c>
      <c r="CA157" s="772">
        <v>53.940918287670002</v>
      </c>
      <c r="CB157" s="772">
        <v>55.051131332307143</v>
      </c>
      <c r="CC157" s="772">
        <v>56.161344376944292</v>
      </c>
      <c r="CD157" s="772">
        <v>57.474098485398102</v>
      </c>
      <c r="CE157" s="772">
        <v>58.786852593851911</v>
      </c>
      <c r="CF157" s="772">
        <v>62.426183839029356</v>
      </c>
      <c r="CG157" s="772">
        <v>66.762197915831081</v>
      </c>
      <c r="CH157" s="772">
        <v>68.666056329420044</v>
      </c>
      <c r="CI157" s="772">
        <v>69.711571757152484</v>
      </c>
      <c r="CJ157" s="772">
        <v>70.794301630719147</v>
      </c>
      <c r="CK157" s="772">
        <v>71.903081616369789</v>
      </c>
      <c r="CL157" s="771">
        <v>0</v>
      </c>
      <c r="CM157" s="771">
        <v>0</v>
      </c>
      <c r="CN157" s="771">
        <v>0</v>
      </c>
      <c r="CO157" s="772">
        <v>0</v>
      </c>
      <c r="CP157" s="772">
        <v>0</v>
      </c>
      <c r="CQ157" s="772">
        <v>0</v>
      </c>
      <c r="CR157" s="772">
        <v>0</v>
      </c>
      <c r="CS157" s="772">
        <v>0</v>
      </c>
      <c r="CT157" s="772">
        <v>0</v>
      </c>
      <c r="CU157" s="772">
        <v>0</v>
      </c>
      <c r="CV157" s="772">
        <v>0</v>
      </c>
      <c r="CW157" s="772">
        <v>0</v>
      </c>
      <c r="CX157" s="772">
        <v>0</v>
      </c>
      <c r="CY157" s="772">
        <v>0</v>
      </c>
      <c r="CZ157" s="772">
        <v>0</v>
      </c>
      <c r="DA157" s="773">
        <v>7.7055918804130985E-2</v>
      </c>
      <c r="DB157" s="773">
        <v>7.7450647689279617E-2</v>
      </c>
      <c r="DC157" s="773">
        <v>7.7847398624066852E-2</v>
      </c>
      <c r="DD157" s="774">
        <v>7.951844222341968E-2</v>
      </c>
      <c r="DE157" s="774">
        <v>8.1189485822772509E-2</v>
      </c>
      <c r="DF157" s="774">
        <v>8.2860529422125323E-2</v>
      </c>
      <c r="DG157" s="774">
        <v>8.4531573021478151E-2</v>
      </c>
      <c r="DH157" s="774">
        <v>8.6507472477039701E-2</v>
      </c>
      <c r="DI157" s="774">
        <v>8.8483371932601237E-2</v>
      </c>
      <c r="DJ157" s="774">
        <v>9.3961132451228682E-2</v>
      </c>
      <c r="DK157" s="774">
        <v>0.10048750917211417</v>
      </c>
      <c r="DL157" s="774">
        <v>0.10335311269881534</v>
      </c>
      <c r="DM157" s="774">
        <v>0.10492677630507205</v>
      </c>
      <c r="DN157" s="774">
        <v>0.10655645345018522</v>
      </c>
      <c r="DO157" s="774">
        <v>0.10822534007249796</v>
      </c>
      <c r="DP157" s="773">
        <v>0</v>
      </c>
      <c r="DQ157" s="773">
        <v>0</v>
      </c>
      <c r="DR157" s="773">
        <v>0</v>
      </c>
      <c r="DS157" s="774">
        <v>0</v>
      </c>
      <c r="DT157" s="774">
        <v>0</v>
      </c>
      <c r="DU157" s="774">
        <v>0</v>
      </c>
      <c r="DV157" s="774">
        <v>0</v>
      </c>
      <c r="DW157" s="774">
        <v>0</v>
      </c>
      <c r="DX157" s="774">
        <v>0</v>
      </c>
      <c r="DY157" s="774">
        <v>0</v>
      </c>
      <c r="DZ157" s="774">
        <v>0</v>
      </c>
      <c r="EA157" s="774">
        <v>0</v>
      </c>
      <c r="EB157" s="774">
        <v>0</v>
      </c>
      <c r="EC157" s="774">
        <v>0</v>
      </c>
      <c r="ED157" s="774">
        <v>0</v>
      </c>
    </row>
    <row r="158" spans="1:134" ht="15" x14ac:dyDescent="0.25">
      <c r="A158" s="766">
        <v>97</v>
      </c>
      <c r="B158" s="766">
        <v>92</v>
      </c>
      <c r="C158" s="766" t="s">
        <v>3829</v>
      </c>
      <c r="D158" s="2">
        <v>99709</v>
      </c>
      <c r="E158" s="2">
        <v>99709</v>
      </c>
      <c r="F158" s="767" t="s">
        <v>3676</v>
      </c>
      <c r="G158" s="114">
        <v>38</v>
      </c>
      <c r="H158" s="114">
        <v>13</v>
      </c>
      <c r="I158" s="114">
        <v>13</v>
      </c>
      <c r="J158" s="114">
        <v>0</v>
      </c>
      <c r="K158" s="114">
        <v>0</v>
      </c>
      <c r="L158" s="114">
        <v>16</v>
      </c>
      <c r="M158" s="114">
        <v>16</v>
      </c>
      <c r="N158" s="114">
        <v>0</v>
      </c>
      <c r="O158" s="114">
        <v>0</v>
      </c>
      <c r="P158" s="114">
        <v>0</v>
      </c>
      <c r="Q158" s="114">
        <v>16</v>
      </c>
      <c r="R158" s="114">
        <v>0</v>
      </c>
      <c r="S158" s="114">
        <v>1753</v>
      </c>
      <c r="T158" s="114">
        <v>1753</v>
      </c>
      <c r="U158" s="114">
        <v>0</v>
      </c>
      <c r="V158" s="114">
        <v>0</v>
      </c>
      <c r="W158" s="114">
        <v>0</v>
      </c>
      <c r="X158" s="114">
        <v>1753</v>
      </c>
      <c r="Y158" s="114">
        <v>0</v>
      </c>
      <c r="Z158" s="114">
        <v>13</v>
      </c>
      <c r="AA158" s="114">
        <v>0</v>
      </c>
      <c r="AB158" s="657">
        <v>0</v>
      </c>
      <c r="AC158" s="657">
        <v>0</v>
      </c>
      <c r="AD158" s="768">
        <v>13</v>
      </c>
      <c r="AE158" s="769">
        <v>0</v>
      </c>
      <c r="AF158" s="769">
        <v>13</v>
      </c>
      <c r="AG158" s="770">
        <v>13</v>
      </c>
      <c r="AH158" s="769">
        <v>0</v>
      </c>
      <c r="AI158" s="769">
        <v>0</v>
      </c>
      <c r="AJ158" s="769">
        <v>12.378059135100612</v>
      </c>
      <c r="AK158" s="769">
        <v>12.378059135100612</v>
      </c>
      <c r="AL158" s="769">
        <v>0</v>
      </c>
      <c r="AM158" s="769">
        <v>0</v>
      </c>
      <c r="AN158" s="769">
        <v>12.401410175673693</v>
      </c>
      <c r="AO158" s="769">
        <v>12.401410175673693</v>
      </c>
      <c r="AP158" s="769">
        <v>0</v>
      </c>
      <c r="AQ158" s="769">
        <v>0</v>
      </c>
      <c r="AR158" s="769">
        <v>0</v>
      </c>
      <c r="AS158" s="769">
        <v>11.785872919388284</v>
      </c>
      <c r="AT158" s="769">
        <v>12.078337300927188</v>
      </c>
      <c r="AU158" s="769">
        <v>12.378059135100612</v>
      </c>
      <c r="AV158" s="769">
        <v>12.685218514330289</v>
      </c>
      <c r="AW158" s="769">
        <v>13</v>
      </c>
      <c r="AX158" s="769">
        <v>11.830382641946384</v>
      </c>
      <c r="AY158" s="769">
        <v>12.112531844249052</v>
      </c>
      <c r="AZ158" s="769">
        <v>12.401410175673693</v>
      </c>
      <c r="BA158" s="769">
        <v>12.697178122864859</v>
      </c>
      <c r="BB158" s="769">
        <v>13</v>
      </c>
      <c r="BC158" s="769">
        <v>0</v>
      </c>
      <c r="BD158" s="769">
        <v>0</v>
      </c>
      <c r="BE158" s="769">
        <v>0</v>
      </c>
      <c r="BF158" s="769">
        <v>0</v>
      </c>
      <c r="BG158" s="769">
        <v>0</v>
      </c>
      <c r="BH158" s="771">
        <v>13.066594177145248</v>
      </c>
      <c r="BI158" s="771">
        <v>13.133529491554317</v>
      </c>
      <c r="BJ158" s="771">
        <v>13.200807690746849</v>
      </c>
      <c r="BK158" s="772">
        <v>13.294982670130793</v>
      </c>
      <c r="BL158" s="772">
        <v>13.389157649514738</v>
      </c>
      <c r="BM158" s="772">
        <v>13.483332628898685</v>
      </c>
      <c r="BN158" s="772">
        <v>13.577507608282628</v>
      </c>
      <c r="BO158" s="772">
        <v>13.688863344640628</v>
      </c>
      <c r="BP158" s="772">
        <v>13.800219080998632</v>
      </c>
      <c r="BQ158" s="772">
        <v>14.108929149432342</v>
      </c>
      <c r="BR158" s="772">
        <v>14.476736065648822</v>
      </c>
      <c r="BS158" s="772">
        <v>14.638232841169318</v>
      </c>
      <c r="BT158" s="772">
        <v>14.726919777724342</v>
      </c>
      <c r="BU158" s="772">
        <v>14.81876346845926</v>
      </c>
      <c r="BV158" s="772">
        <v>14.912816887120096</v>
      </c>
      <c r="BW158" s="771">
        <v>13.066594177145248</v>
      </c>
      <c r="BX158" s="771">
        <v>13.133529491554317</v>
      </c>
      <c r="BY158" s="771">
        <v>13.200807690746849</v>
      </c>
      <c r="BZ158" s="772">
        <v>13.294982670130793</v>
      </c>
      <c r="CA158" s="772">
        <v>13.389157649514738</v>
      </c>
      <c r="CB158" s="772">
        <v>13.483332628898685</v>
      </c>
      <c r="CC158" s="772">
        <v>13.577507608282628</v>
      </c>
      <c r="CD158" s="772">
        <v>13.688863344640628</v>
      </c>
      <c r="CE158" s="772">
        <v>13.800219080998632</v>
      </c>
      <c r="CF158" s="772">
        <v>14.108929149432342</v>
      </c>
      <c r="CG158" s="772">
        <v>14.476736065648822</v>
      </c>
      <c r="CH158" s="772">
        <v>14.638232841169318</v>
      </c>
      <c r="CI158" s="772">
        <v>14.726919777724342</v>
      </c>
      <c r="CJ158" s="772">
        <v>14.81876346845926</v>
      </c>
      <c r="CK158" s="772">
        <v>14.912816887120096</v>
      </c>
      <c r="CL158" s="771">
        <v>0</v>
      </c>
      <c r="CM158" s="771">
        <v>0</v>
      </c>
      <c r="CN158" s="771">
        <v>0</v>
      </c>
      <c r="CO158" s="772">
        <v>0</v>
      </c>
      <c r="CP158" s="772">
        <v>0</v>
      </c>
      <c r="CQ158" s="772">
        <v>0</v>
      </c>
      <c r="CR158" s="772">
        <v>0</v>
      </c>
      <c r="CS158" s="772">
        <v>0</v>
      </c>
      <c r="CT158" s="772">
        <v>0</v>
      </c>
      <c r="CU158" s="772">
        <v>0</v>
      </c>
      <c r="CV158" s="772">
        <v>0</v>
      </c>
      <c r="CW158" s="772">
        <v>0</v>
      </c>
      <c r="CX158" s="772">
        <v>0</v>
      </c>
      <c r="CY158" s="772">
        <v>0</v>
      </c>
      <c r="CZ158" s="772">
        <v>0</v>
      </c>
      <c r="DA158" s="773">
        <v>0</v>
      </c>
      <c r="DB158" s="773">
        <v>0</v>
      </c>
      <c r="DC158" s="773">
        <v>0</v>
      </c>
      <c r="DD158" s="774">
        <v>0</v>
      </c>
      <c r="DE158" s="774">
        <v>0</v>
      </c>
      <c r="DF158" s="774">
        <v>0</v>
      </c>
      <c r="DG158" s="774">
        <v>0</v>
      </c>
      <c r="DH158" s="774">
        <v>0</v>
      </c>
      <c r="DI158" s="774">
        <v>0</v>
      </c>
      <c r="DJ158" s="774">
        <v>0</v>
      </c>
      <c r="DK158" s="774">
        <v>0</v>
      </c>
      <c r="DL158" s="774">
        <v>0</v>
      </c>
      <c r="DM158" s="774">
        <v>0</v>
      </c>
      <c r="DN158" s="774">
        <v>0</v>
      </c>
      <c r="DO158" s="774">
        <v>0</v>
      </c>
      <c r="DP158" s="773">
        <v>0</v>
      </c>
      <c r="DQ158" s="773">
        <v>0</v>
      </c>
      <c r="DR158" s="773">
        <v>0</v>
      </c>
      <c r="DS158" s="774">
        <v>0</v>
      </c>
      <c r="DT158" s="774">
        <v>0</v>
      </c>
      <c r="DU158" s="774">
        <v>0</v>
      </c>
      <c r="DV158" s="774">
        <v>0</v>
      </c>
      <c r="DW158" s="774">
        <v>0</v>
      </c>
      <c r="DX158" s="774">
        <v>0</v>
      </c>
      <c r="DY158" s="774">
        <v>0</v>
      </c>
      <c r="DZ158" s="774">
        <v>0</v>
      </c>
      <c r="EA158" s="774">
        <v>0</v>
      </c>
      <c r="EB158" s="774">
        <v>0</v>
      </c>
      <c r="EC158" s="774">
        <v>0</v>
      </c>
      <c r="ED158" s="774">
        <v>0</v>
      </c>
    </row>
    <row r="159" spans="1:134" ht="15" x14ac:dyDescent="0.25">
      <c r="A159" s="766">
        <v>98</v>
      </c>
      <c r="B159" s="766">
        <v>92</v>
      </c>
      <c r="C159" s="766" t="s">
        <v>3830</v>
      </c>
      <c r="D159" s="2">
        <v>99709</v>
      </c>
      <c r="E159" s="2">
        <v>99709</v>
      </c>
      <c r="F159" s="767" t="s">
        <v>3676</v>
      </c>
      <c r="G159" s="114">
        <v>2</v>
      </c>
      <c r="H159" s="114">
        <v>1</v>
      </c>
      <c r="I159" s="114">
        <v>1</v>
      </c>
      <c r="J159" s="114">
        <v>0</v>
      </c>
      <c r="K159" s="114">
        <v>0</v>
      </c>
      <c r="L159" s="114">
        <v>23</v>
      </c>
      <c r="M159" s="114">
        <v>23</v>
      </c>
      <c r="N159" s="114">
        <v>0</v>
      </c>
      <c r="O159" s="114">
        <v>0</v>
      </c>
      <c r="P159" s="114">
        <v>0</v>
      </c>
      <c r="Q159" s="114">
        <v>23</v>
      </c>
      <c r="R159" s="114">
        <v>0</v>
      </c>
      <c r="S159" s="114">
        <v>2423.5652173913045</v>
      </c>
      <c r="T159" s="114">
        <v>2423.5652173913045</v>
      </c>
      <c r="U159" s="114">
        <v>0</v>
      </c>
      <c r="V159" s="114">
        <v>0</v>
      </c>
      <c r="W159" s="114">
        <v>0</v>
      </c>
      <c r="X159" s="114">
        <v>2423.5652173913045</v>
      </c>
      <c r="Y159" s="114">
        <v>0</v>
      </c>
      <c r="Z159" s="114">
        <v>1</v>
      </c>
      <c r="AA159" s="114">
        <v>0</v>
      </c>
      <c r="AB159" s="657">
        <v>0</v>
      </c>
      <c r="AC159" s="657">
        <v>0</v>
      </c>
      <c r="AD159" s="768">
        <v>1</v>
      </c>
      <c r="AE159" s="769">
        <v>0</v>
      </c>
      <c r="AF159" s="769">
        <v>1</v>
      </c>
      <c r="AG159" s="770">
        <v>1</v>
      </c>
      <c r="AH159" s="769">
        <v>0</v>
      </c>
      <c r="AI159" s="769">
        <v>0</v>
      </c>
      <c r="AJ159" s="769">
        <v>0.95215839500773936</v>
      </c>
      <c r="AK159" s="769">
        <v>0.95215839500773936</v>
      </c>
      <c r="AL159" s="769">
        <v>0</v>
      </c>
      <c r="AM159" s="769">
        <v>0</v>
      </c>
      <c r="AN159" s="769">
        <v>0.95395462889797633</v>
      </c>
      <c r="AO159" s="769">
        <v>0.95395462889797633</v>
      </c>
      <c r="AP159" s="769">
        <v>0</v>
      </c>
      <c r="AQ159" s="769">
        <v>0</v>
      </c>
      <c r="AR159" s="769">
        <v>0</v>
      </c>
      <c r="AS159" s="769">
        <v>0.90660560918371424</v>
      </c>
      <c r="AT159" s="769">
        <v>0.92910286930209141</v>
      </c>
      <c r="AU159" s="769">
        <v>0.95215839500773936</v>
      </c>
      <c r="AV159" s="769">
        <v>0.97578603956386833</v>
      </c>
      <c r="AW159" s="769">
        <v>1</v>
      </c>
      <c r="AX159" s="769">
        <v>0.91002943399587566</v>
      </c>
      <c r="AY159" s="769">
        <v>0.93173321878838855</v>
      </c>
      <c r="AZ159" s="769">
        <v>0.95395462889797633</v>
      </c>
      <c r="BA159" s="769">
        <v>0.97670600945114305</v>
      </c>
      <c r="BB159" s="769">
        <v>1</v>
      </c>
      <c r="BC159" s="769">
        <v>0</v>
      </c>
      <c r="BD159" s="769">
        <v>0</v>
      </c>
      <c r="BE159" s="769">
        <v>0</v>
      </c>
      <c r="BF159" s="769">
        <v>0</v>
      </c>
      <c r="BG159" s="769">
        <v>0</v>
      </c>
      <c r="BH159" s="771">
        <v>1.005122629011173</v>
      </c>
      <c r="BI159" s="771">
        <v>1.0102714993503321</v>
      </c>
      <c r="BJ159" s="771">
        <v>1.0154467454420653</v>
      </c>
      <c r="BK159" s="772">
        <v>1.0226909746254456</v>
      </c>
      <c r="BL159" s="772">
        <v>1.0299352038088259</v>
      </c>
      <c r="BM159" s="772">
        <v>1.0371794329922064</v>
      </c>
      <c r="BN159" s="772">
        <v>1.0444236621755867</v>
      </c>
      <c r="BO159" s="772">
        <v>1.0529894880492792</v>
      </c>
      <c r="BP159" s="772">
        <v>1.0615553139229716</v>
      </c>
      <c r="BQ159" s="772">
        <v>1.0853022422640264</v>
      </c>
      <c r="BR159" s="772">
        <v>1.1135950819729863</v>
      </c>
      <c r="BS159" s="772">
        <v>1.1260179108591781</v>
      </c>
      <c r="BT159" s="772">
        <v>1.1328399829018725</v>
      </c>
      <c r="BU159" s="772">
        <v>1.1399048821891737</v>
      </c>
      <c r="BV159" s="772">
        <v>1.1471397605476996</v>
      </c>
      <c r="BW159" s="771">
        <v>1.005122629011173</v>
      </c>
      <c r="BX159" s="771">
        <v>1.0102714993503321</v>
      </c>
      <c r="BY159" s="771">
        <v>1.0154467454420653</v>
      </c>
      <c r="BZ159" s="772">
        <v>1.0226909746254456</v>
      </c>
      <c r="CA159" s="772">
        <v>1.0299352038088259</v>
      </c>
      <c r="CB159" s="772">
        <v>1.0371794329922064</v>
      </c>
      <c r="CC159" s="772">
        <v>1.0444236621755867</v>
      </c>
      <c r="CD159" s="772">
        <v>1.0529894880492792</v>
      </c>
      <c r="CE159" s="772">
        <v>1.0615553139229716</v>
      </c>
      <c r="CF159" s="772">
        <v>1.0853022422640264</v>
      </c>
      <c r="CG159" s="772">
        <v>1.1135950819729863</v>
      </c>
      <c r="CH159" s="772">
        <v>1.1260179108591781</v>
      </c>
      <c r="CI159" s="772">
        <v>1.1328399829018725</v>
      </c>
      <c r="CJ159" s="772">
        <v>1.1399048821891737</v>
      </c>
      <c r="CK159" s="772">
        <v>1.1471397605476996</v>
      </c>
      <c r="CL159" s="771">
        <v>0</v>
      </c>
      <c r="CM159" s="771">
        <v>0</v>
      </c>
      <c r="CN159" s="771">
        <v>0</v>
      </c>
      <c r="CO159" s="772">
        <v>0</v>
      </c>
      <c r="CP159" s="772">
        <v>0</v>
      </c>
      <c r="CQ159" s="772">
        <v>0</v>
      </c>
      <c r="CR159" s="772">
        <v>0</v>
      </c>
      <c r="CS159" s="772">
        <v>0</v>
      </c>
      <c r="CT159" s="772">
        <v>0</v>
      </c>
      <c r="CU159" s="772">
        <v>0</v>
      </c>
      <c r="CV159" s="772">
        <v>0</v>
      </c>
      <c r="CW159" s="772">
        <v>0</v>
      </c>
      <c r="CX159" s="772">
        <v>0</v>
      </c>
      <c r="CY159" s="772">
        <v>0</v>
      </c>
      <c r="CZ159" s="772">
        <v>0</v>
      </c>
      <c r="DA159" s="773">
        <v>0</v>
      </c>
      <c r="DB159" s="773">
        <v>0</v>
      </c>
      <c r="DC159" s="773">
        <v>0</v>
      </c>
      <c r="DD159" s="774">
        <v>0</v>
      </c>
      <c r="DE159" s="774">
        <v>0</v>
      </c>
      <c r="DF159" s="774">
        <v>0</v>
      </c>
      <c r="DG159" s="774">
        <v>0</v>
      </c>
      <c r="DH159" s="774">
        <v>0</v>
      </c>
      <c r="DI159" s="774">
        <v>0</v>
      </c>
      <c r="DJ159" s="774">
        <v>0</v>
      </c>
      <c r="DK159" s="774">
        <v>0</v>
      </c>
      <c r="DL159" s="774">
        <v>0</v>
      </c>
      <c r="DM159" s="774">
        <v>0</v>
      </c>
      <c r="DN159" s="774">
        <v>0</v>
      </c>
      <c r="DO159" s="774">
        <v>0</v>
      </c>
      <c r="DP159" s="773">
        <v>0</v>
      </c>
      <c r="DQ159" s="773">
        <v>0</v>
      </c>
      <c r="DR159" s="773">
        <v>0</v>
      </c>
      <c r="DS159" s="774">
        <v>0</v>
      </c>
      <c r="DT159" s="774">
        <v>0</v>
      </c>
      <c r="DU159" s="774">
        <v>0</v>
      </c>
      <c r="DV159" s="774">
        <v>0</v>
      </c>
      <c r="DW159" s="774">
        <v>0</v>
      </c>
      <c r="DX159" s="774">
        <v>0</v>
      </c>
      <c r="DY159" s="774">
        <v>0</v>
      </c>
      <c r="DZ159" s="774">
        <v>0</v>
      </c>
      <c r="EA159" s="774">
        <v>0</v>
      </c>
      <c r="EB159" s="774">
        <v>0</v>
      </c>
      <c r="EC159" s="774">
        <v>0</v>
      </c>
      <c r="ED159" s="774">
        <v>0</v>
      </c>
    </row>
    <row r="160" spans="1:134" ht="15" x14ac:dyDescent="0.25">
      <c r="A160" s="766">
        <v>101</v>
      </c>
      <c r="B160" s="766">
        <v>92</v>
      </c>
      <c r="C160" s="766" t="s">
        <v>3831</v>
      </c>
      <c r="D160" s="2">
        <v>99709</v>
      </c>
      <c r="E160" s="2">
        <v>99709</v>
      </c>
      <c r="F160" s="767" t="s">
        <v>3746</v>
      </c>
      <c r="G160" s="114">
        <v>487</v>
      </c>
      <c r="H160" s="114">
        <v>178</v>
      </c>
      <c r="I160" s="114">
        <v>173</v>
      </c>
      <c r="J160" s="114">
        <v>5</v>
      </c>
      <c r="K160" s="114">
        <v>0</v>
      </c>
      <c r="L160" s="114">
        <v>127</v>
      </c>
      <c r="M160" s="114">
        <v>127</v>
      </c>
      <c r="N160" s="114">
        <v>0</v>
      </c>
      <c r="O160" s="114">
        <v>0</v>
      </c>
      <c r="P160" s="114">
        <v>0</v>
      </c>
      <c r="Q160" s="114">
        <v>127</v>
      </c>
      <c r="R160" s="114">
        <v>0</v>
      </c>
      <c r="S160" s="114">
        <v>3062.748031496063</v>
      </c>
      <c r="T160" s="114">
        <v>3062.748031496063</v>
      </c>
      <c r="U160" s="114">
        <v>0</v>
      </c>
      <c r="V160" s="114">
        <v>0</v>
      </c>
      <c r="W160" s="114">
        <v>0</v>
      </c>
      <c r="X160" s="114">
        <v>3062.748031496063</v>
      </c>
      <c r="Y160" s="114">
        <v>0</v>
      </c>
      <c r="Z160" s="114">
        <v>178</v>
      </c>
      <c r="AA160" s="114">
        <v>0</v>
      </c>
      <c r="AB160" s="657">
        <v>0</v>
      </c>
      <c r="AC160" s="657">
        <v>0</v>
      </c>
      <c r="AD160" s="768">
        <v>178</v>
      </c>
      <c r="AE160" s="769">
        <v>0</v>
      </c>
      <c r="AF160" s="769">
        <v>173</v>
      </c>
      <c r="AG160" s="770">
        <v>173</v>
      </c>
      <c r="AH160" s="769">
        <v>0</v>
      </c>
      <c r="AI160" s="769">
        <v>0</v>
      </c>
      <c r="AJ160" s="769">
        <v>169.48419431137759</v>
      </c>
      <c r="AK160" s="769">
        <v>169.48419431137759</v>
      </c>
      <c r="AL160" s="769">
        <v>0</v>
      </c>
      <c r="AM160" s="769">
        <v>0</v>
      </c>
      <c r="AN160" s="769">
        <v>165.0341507993499</v>
      </c>
      <c r="AO160" s="769">
        <v>165.0341507993499</v>
      </c>
      <c r="AP160" s="769">
        <v>0</v>
      </c>
      <c r="AQ160" s="769">
        <v>0</v>
      </c>
      <c r="AR160" s="769">
        <v>0</v>
      </c>
      <c r="AS160" s="769">
        <v>161.37579843470112</v>
      </c>
      <c r="AT160" s="769">
        <v>165.38031073577227</v>
      </c>
      <c r="AU160" s="769">
        <v>169.48419431137759</v>
      </c>
      <c r="AV160" s="769">
        <v>173.68991504236857</v>
      </c>
      <c r="AW160" s="769">
        <v>178</v>
      </c>
      <c r="AX160" s="769">
        <v>157.43509208128648</v>
      </c>
      <c r="AY160" s="769">
        <v>161.18984685039123</v>
      </c>
      <c r="AZ160" s="769">
        <v>165.0341507993499</v>
      </c>
      <c r="BA160" s="769">
        <v>168.97013963504773</v>
      </c>
      <c r="BB160" s="769">
        <v>173</v>
      </c>
      <c r="BC160" s="769">
        <v>0</v>
      </c>
      <c r="BD160" s="769">
        <v>0</v>
      </c>
      <c r="BE160" s="769">
        <v>0</v>
      </c>
      <c r="BF160" s="769">
        <v>0</v>
      </c>
      <c r="BG160" s="769">
        <v>0</v>
      </c>
      <c r="BH160" s="771">
        <v>179.43875859760942</v>
      </c>
      <c r="BI160" s="771">
        <v>180.8891465564671</v>
      </c>
      <c r="BJ160" s="771">
        <v>182.35125787569373</v>
      </c>
      <c r="BK160" s="772">
        <v>183.51023024834234</v>
      </c>
      <c r="BL160" s="772">
        <v>184.66920262099092</v>
      </c>
      <c r="BM160" s="772">
        <v>185.82817499363952</v>
      </c>
      <c r="BN160" s="772">
        <v>186.9871473662881</v>
      </c>
      <c r="BO160" s="772">
        <v>188.35755618208088</v>
      </c>
      <c r="BP160" s="772">
        <v>189.7279649978737</v>
      </c>
      <c r="BQ160" s="772">
        <v>193.52713164291703</v>
      </c>
      <c r="BR160" s="772">
        <v>198.05357865838243</v>
      </c>
      <c r="BS160" s="772">
        <v>200.04105242609106</v>
      </c>
      <c r="BT160" s="772">
        <v>201.13248573411508</v>
      </c>
      <c r="BU160" s="772">
        <v>202.26276790524128</v>
      </c>
      <c r="BV160" s="772">
        <v>203.42024428053895</v>
      </c>
      <c r="BW160" s="771">
        <v>174.39834403026083</v>
      </c>
      <c r="BX160" s="771">
        <v>175.80799075431915</v>
      </c>
      <c r="BY160" s="771">
        <v>177.22903153087088</v>
      </c>
      <c r="BZ160" s="772">
        <v>178.3554484997934</v>
      </c>
      <c r="CA160" s="772">
        <v>179.48186546871591</v>
      </c>
      <c r="CB160" s="772">
        <v>180.60828243763842</v>
      </c>
      <c r="CC160" s="772">
        <v>181.73469940656094</v>
      </c>
      <c r="CD160" s="772">
        <v>183.0666135926966</v>
      </c>
      <c r="CE160" s="772">
        <v>184.39852777883229</v>
      </c>
      <c r="CF160" s="772">
        <v>188.09097625968903</v>
      </c>
      <c r="CG160" s="772">
        <v>192.49027588707958</v>
      </c>
      <c r="CH160" s="772">
        <v>194.42192173996489</v>
      </c>
      <c r="CI160" s="772">
        <v>195.48269680899952</v>
      </c>
      <c r="CJ160" s="772">
        <v>196.58122948093677</v>
      </c>
      <c r="CK160" s="772">
        <v>197.70619247490583</v>
      </c>
      <c r="CL160" s="771">
        <v>0</v>
      </c>
      <c r="CM160" s="771">
        <v>0</v>
      </c>
      <c r="CN160" s="771">
        <v>0</v>
      </c>
      <c r="CO160" s="772">
        <v>0</v>
      </c>
      <c r="CP160" s="772">
        <v>0</v>
      </c>
      <c r="CQ160" s="772">
        <v>0</v>
      </c>
      <c r="CR160" s="772">
        <v>0</v>
      </c>
      <c r="CS160" s="772">
        <v>0</v>
      </c>
      <c r="CT160" s="772">
        <v>0</v>
      </c>
      <c r="CU160" s="772">
        <v>0</v>
      </c>
      <c r="CV160" s="772">
        <v>0</v>
      </c>
      <c r="CW160" s="772">
        <v>0</v>
      </c>
      <c r="CX160" s="772">
        <v>0</v>
      </c>
      <c r="CY160" s="772">
        <v>0</v>
      </c>
      <c r="CZ160" s="772">
        <v>0</v>
      </c>
      <c r="DA160" s="773">
        <v>0</v>
      </c>
      <c r="DB160" s="773">
        <v>0</v>
      </c>
      <c r="DC160" s="773">
        <v>0</v>
      </c>
      <c r="DD160" s="774">
        <v>0</v>
      </c>
      <c r="DE160" s="774">
        <v>0</v>
      </c>
      <c r="DF160" s="774">
        <v>0</v>
      </c>
      <c r="DG160" s="774">
        <v>0</v>
      </c>
      <c r="DH160" s="774">
        <v>0</v>
      </c>
      <c r="DI160" s="774">
        <v>0</v>
      </c>
      <c r="DJ160" s="774">
        <v>0</v>
      </c>
      <c r="DK160" s="774">
        <v>0</v>
      </c>
      <c r="DL160" s="774">
        <v>0</v>
      </c>
      <c r="DM160" s="774">
        <v>0</v>
      </c>
      <c r="DN160" s="774">
        <v>0</v>
      </c>
      <c r="DO160" s="774">
        <v>0</v>
      </c>
      <c r="DP160" s="773">
        <v>0</v>
      </c>
      <c r="DQ160" s="773">
        <v>0</v>
      </c>
      <c r="DR160" s="773">
        <v>0</v>
      </c>
      <c r="DS160" s="774">
        <v>0</v>
      </c>
      <c r="DT160" s="774">
        <v>0</v>
      </c>
      <c r="DU160" s="774">
        <v>0</v>
      </c>
      <c r="DV160" s="774">
        <v>0</v>
      </c>
      <c r="DW160" s="774">
        <v>0</v>
      </c>
      <c r="DX160" s="774">
        <v>0</v>
      </c>
      <c r="DY160" s="774">
        <v>0</v>
      </c>
      <c r="DZ160" s="774">
        <v>0</v>
      </c>
      <c r="EA160" s="774">
        <v>0</v>
      </c>
      <c r="EB160" s="774">
        <v>0</v>
      </c>
      <c r="EC160" s="774">
        <v>0</v>
      </c>
      <c r="ED160" s="774">
        <v>0</v>
      </c>
    </row>
    <row r="161" spans="1:134" ht="15" x14ac:dyDescent="0.25">
      <c r="A161" s="766">
        <v>102</v>
      </c>
      <c r="B161" s="766">
        <v>92</v>
      </c>
      <c r="C161" s="766" t="s">
        <v>3832</v>
      </c>
      <c r="D161" s="2">
        <v>99709</v>
      </c>
      <c r="E161" s="2">
        <v>99709</v>
      </c>
      <c r="F161" s="767" t="s">
        <v>3746</v>
      </c>
      <c r="G161" s="114">
        <v>320</v>
      </c>
      <c r="H161" s="114">
        <v>172</v>
      </c>
      <c r="I161" s="114">
        <v>149</v>
      </c>
      <c r="J161" s="114">
        <v>23</v>
      </c>
      <c r="K161" s="114">
        <v>1</v>
      </c>
      <c r="L161" s="114">
        <v>89</v>
      </c>
      <c r="M161" s="114">
        <v>90</v>
      </c>
      <c r="N161" s="114">
        <v>12</v>
      </c>
      <c r="O161" s="114">
        <v>0</v>
      </c>
      <c r="P161" s="114">
        <v>0</v>
      </c>
      <c r="Q161" s="114">
        <v>102</v>
      </c>
      <c r="R161" s="114">
        <v>4000</v>
      </c>
      <c r="S161" s="114">
        <v>2038.6629213483145</v>
      </c>
      <c r="T161" s="114">
        <v>2060.4555555555557</v>
      </c>
      <c r="U161" s="114">
        <v>4407.75</v>
      </c>
      <c r="V161" s="114">
        <v>0</v>
      </c>
      <c r="W161" s="114">
        <v>0</v>
      </c>
      <c r="X161" s="114">
        <v>2336.6078431372548</v>
      </c>
      <c r="Y161" s="114">
        <v>1.9111111111111112</v>
      </c>
      <c r="Z161" s="114">
        <v>170.0888888888889</v>
      </c>
      <c r="AA161" s="114">
        <v>0</v>
      </c>
      <c r="AB161" s="657">
        <v>12</v>
      </c>
      <c r="AC161" s="657">
        <v>0</v>
      </c>
      <c r="AD161" s="768">
        <v>184</v>
      </c>
      <c r="AE161" s="769">
        <v>1.6555555555555557</v>
      </c>
      <c r="AF161" s="769">
        <v>147.34444444444446</v>
      </c>
      <c r="AG161" s="770">
        <v>149.00000000000003</v>
      </c>
      <c r="AH161" s="769">
        <v>0</v>
      </c>
      <c r="AI161" s="769">
        <v>1.819680488237013</v>
      </c>
      <c r="AJ161" s="769">
        <v>161.95156345309417</v>
      </c>
      <c r="AK161" s="769">
        <v>163.77124394133119</v>
      </c>
      <c r="AL161" s="769">
        <v>0</v>
      </c>
      <c r="AM161" s="769">
        <v>1.5793248856199831</v>
      </c>
      <c r="AN161" s="769">
        <v>140.55991482017851</v>
      </c>
      <c r="AO161" s="769">
        <v>142.1392397057985</v>
      </c>
      <c r="AP161" s="769">
        <v>0</v>
      </c>
      <c r="AQ161" s="769">
        <v>11.51598886201489</v>
      </c>
      <c r="AR161" s="769">
        <v>0</v>
      </c>
      <c r="AS161" s="769">
        <v>155.93616477959884</v>
      </c>
      <c r="AT161" s="769">
        <v>159.8056935199597</v>
      </c>
      <c r="AU161" s="769">
        <v>163.77124394133116</v>
      </c>
      <c r="AV161" s="769">
        <v>167.83519880498537</v>
      </c>
      <c r="AW161" s="769">
        <v>172</v>
      </c>
      <c r="AX161" s="769">
        <v>135.59438566538549</v>
      </c>
      <c r="AY161" s="769">
        <v>138.82824959946993</v>
      </c>
      <c r="AZ161" s="769">
        <v>142.1392397057985</v>
      </c>
      <c r="BA161" s="769">
        <v>145.52919540822035</v>
      </c>
      <c r="BB161" s="769">
        <v>149.00000000000003</v>
      </c>
      <c r="BC161" s="769">
        <v>11.051499955837585</v>
      </c>
      <c r="BD161" s="769">
        <v>11.281354103120055</v>
      </c>
      <c r="BE161" s="769">
        <v>11.51598886201489</v>
      </c>
      <c r="BF161" s="769">
        <v>11.755503661867436</v>
      </c>
      <c r="BG161" s="769">
        <v>12</v>
      </c>
      <c r="BH161" s="771">
        <v>173.39026111679112</v>
      </c>
      <c r="BI161" s="771">
        <v>174.79175959388954</v>
      </c>
      <c r="BJ161" s="771">
        <v>176.20458626190631</v>
      </c>
      <c r="BK161" s="772">
        <v>177.35666116041367</v>
      </c>
      <c r="BL161" s="772">
        <v>178.50873605892102</v>
      </c>
      <c r="BM161" s="772">
        <v>179.66081095742842</v>
      </c>
      <c r="BN161" s="772">
        <v>180.81288585593578</v>
      </c>
      <c r="BO161" s="772">
        <v>182.17513886094918</v>
      </c>
      <c r="BP161" s="772">
        <v>183.5373918659626</v>
      </c>
      <c r="BQ161" s="772">
        <v>187.31394826221069</v>
      </c>
      <c r="BR161" s="772">
        <v>191.81345671384352</v>
      </c>
      <c r="BS161" s="772">
        <v>193.78910228854019</v>
      </c>
      <c r="BT161" s="772">
        <v>194.87404007242867</v>
      </c>
      <c r="BU161" s="772">
        <v>195.99759551543636</v>
      </c>
      <c r="BV161" s="772">
        <v>197.1481833198275</v>
      </c>
      <c r="BW161" s="771">
        <v>150.20435410698769</v>
      </c>
      <c r="BX161" s="771">
        <v>151.418442904009</v>
      </c>
      <c r="BY161" s="771">
        <v>152.64234507572118</v>
      </c>
      <c r="BZ161" s="772">
        <v>153.64036344710254</v>
      </c>
      <c r="CA161" s="772">
        <v>154.63838181848394</v>
      </c>
      <c r="CB161" s="772">
        <v>155.63640018986533</v>
      </c>
      <c r="CC161" s="772">
        <v>156.63441856124669</v>
      </c>
      <c r="CD161" s="772">
        <v>157.81450982721762</v>
      </c>
      <c r="CE161" s="772">
        <v>158.99460109318855</v>
      </c>
      <c r="CF161" s="772">
        <v>162.26615285505463</v>
      </c>
      <c r="CG161" s="772">
        <v>166.16398285094584</v>
      </c>
      <c r="CH161" s="772">
        <v>167.87544326158425</v>
      </c>
      <c r="CI161" s="772">
        <v>168.81530215576672</v>
      </c>
      <c r="CJ161" s="772">
        <v>169.78861471976757</v>
      </c>
      <c r="CK161" s="772">
        <v>170.78534485264126</v>
      </c>
      <c r="CL161" s="771">
        <v>12.096994961636589</v>
      </c>
      <c r="CM161" s="771">
        <v>12.194773925155085</v>
      </c>
      <c r="CN161" s="771">
        <v>12.293343227574859</v>
      </c>
      <c r="CO161" s="772">
        <v>12.373720546075372</v>
      </c>
      <c r="CP161" s="772">
        <v>12.454097864575886</v>
      </c>
      <c r="CQ161" s="772">
        <v>12.534475183076401</v>
      </c>
      <c r="CR161" s="772">
        <v>12.614852501576914</v>
      </c>
      <c r="CS161" s="772">
        <v>12.709893408903431</v>
      </c>
      <c r="CT161" s="772">
        <v>12.804934316229948</v>
      </c>
      <c r="CU161" s="772">
        <v>13.068414995037955</v>
      </c>
      <c r="CV161" s="772">
        <v>13.38233418933792</v>
      </c>
      <c r="CW161" s="772">
        <v>13.520169927107453</v>
      </c>
      <c r="CX161" s="772">
        <v>13.595863260867116</v>
      </c>
      <c r="CY161" s="772">
        <v>13.674250849914165</v>
      </c>
      <c r="CZ161" s="772">
        <v>13.754524417662383</v>
      </c>
      <c r="DA161" s="773">
        <v>0</v>
      </c>
      <c r="DB161" s="773">
        <v>0</v>
      </c>
      <c r="DC161" s="773">
        <v>0</v>
      </c>
      <c r="DD161" s="774">
        <v>0</v>
      </c>
      <c r="DE161" s="774">
        <v>0</v>
      </c>
      <c r="DF161" s="774">
        <v>0</v>
      </c>
      <c r="DG161" s="774">
        <v>0</v>
      </c>
      <c r="DH161" s="774">
        <v>0</v>
      </c>
      <c r="DI161" s="774">
        <v>0</v>
      </c>
      <c r="DJ161" s="774">
        <v>0</v>
      </c>
      <c r="DK161" s="774">
        <v>0</v>
      </c>
      <c r="DL161" s="774">
        <v>0</v>
      </c>
      <c r="DM161" s="774">
        <v>0</v>
      </c>
      <c r="DN161" s="774">
        <v>0</v>
      </c>
      <c r="DO161" s="774">
        <v>0</v>
      </c>
      <c r="DP161" s="773">
        <v>0</v>
      </c>
      <c r="DQ161" s="773">
        <v>0</v>
      </c>
      <c r="DR161" s="773">
        <v>0</v>
      </c>
      <c r="DS161" s="774">
        <v>0</v>
      </c>
      <c r="DT161" s="774">
        <v>0</v>
      </c>
      <c r="DU161" s="774">
        <v>0</v>
      </c>
      <c r="DV161" s="774">
        <v>0</v>
      </c>
      <c r="DW161" s="774">
        <v>0</v>
      </c>
      <c r="DX161" s="774">
        <v>0</v>
      </c>
      <c r="DY161" s="774">
        <v>0</v>
      </c>
      <c r="DZ161" s="774">
        <v>0</v>
      </c>
      <c r="EA161" s="774">
        <v>0</v>
      </c>
      <c r="EB161" s="774">
        <v>0</v>
      </c>
      <c r="EC161" s="774">
        <v>0</v>
      </c>
      <c r="ED161" s="774">
        <v>0</v>
      </c>
    </row>
    <row r="162" spans="1:134" ht="15" x14ac:dyDescent="0.25">
      <c r="A162" s="766">
        <v>103</v>
      </c>
      <c r="B162" s="766">
        <v>92</v>
      </c>
      <c r="C162" s="766" t="s">
        <v>3833</v>
      </c>
      <c r="D162" s="2">
        <v>99709</v>
      </c>
      <c r="E162" s="2">
        <v>99709</v>
      </c>
      <c r="F162" s="767" t="s">
        <v>3746</v>
      </c>
      <c r="G162" s="114">
        <v>138</v>
      </c>
      <c r="H162" s="114">
        <v>55</v>
      </c>
      <c r="I162" s="114">
        <v>49</v>
      </c>
      <c r="J162" s="114">
        <v>6</v>
      </c>
      <c r="K162" s="114">
        <v>3</v>
      </c>
      <c r="L162" s="114">
        <v>127</v>
      </c>
      <c r="M162" s="114">
        <v>130</v>
      </c>
      <c r="N162" s="114">
        <v>5</v>
      </c>
      <c r="O162" s="114">
        <v>0</v>
      </c>
      <c r="P162" s="114">
        <v>0</v>
      </c>
      <c r="Q162" s="114">
        <v>135</v>
      </c>
      <c r="R162" s="114">
        <v>3599</v>
      </c>
      <c r="S162" s="114">
        <v>2650.1732283464567</v>
      </c>
      <c r="T162" s="114">
        <v>2672.0692307692307</v>
      </c>
      <c r="U162" s="114">
        <v>6711.2</v>
      </c>
      <c r="V162" s="114">
        <v>0</v>
      </c>
      <c r="W162" s="114">
        <v>0</v>
      </c>
      <c r="X162" s="114">
        <v>2821.6666666666665</v>
      </c>
      <c r="Y162" s="114">
        <v>1.2692307692307692</v>
      </c>
      <c r="Z162" s="114">
        <v>53.730769230769234</v>
      </c>
      <c r="AA162" s="114">
        <v>0</v>
      </c>
      <c r="AB162" s="657">
        <v>5</v>
      </c>
      <c r="AC162" s="657">
        <v>0</v>
      </c>
      <c r="AD162" s="768">
        <v>60</v>
      </c>
      <c r="AE162" s="769">
        <v>1.1307692307692307</v>
      </c>
      <c r="AF162" s="769">
        <v>47.869230769230768</v>
      </c>
      <c r="AG162" s="770">
        <v>49</v>
      </c>
      <c r="AH162" s="769">
        <v>0</v>
      </c>
      <c r="AI162" s="769">
        <v>1.2085087321252075</v>
      </c>
      <c r="AJ162" s="769">
        <v>51.160202993300459</v>
      </c>
      <c r="AK162" s="769">
        <v>52.368711725425669</v>
      </c>
      <c r="AL162" s="769">
        <v>0</v>
      </c>
      <c r="AM162" s="769">
        <v>1.0787025419077116</v>
      </c>
      <c r="AN162" s="769">
        <v>45.665074274093129</v>
      </c>
      <c r="AO162" s="769">
        <v>46.743776816000839</v>
      </c>
      <c r="AP162" s="769">
        <v>0</v>
      </c>
      <c r="AQ162" s="769">
        <v>4.7983286925062041</v>
      </c>
      <c r="AR162" s="769">
        <v>0</v>
      </c>
      <c r="AS162" s="769">
        <v>49.863308505104278</v>
      </c>
      <c r="AT162" s="769">
        <v>51.100657811615022</v>
      </c>
      <c r="AU162" s="769">
        <v>52.368711725425662</v>
      </c>
      <c r="AV162" s="769">
        <v>53.668232176012758</v>
      </c>
      <c r="AW162" s="769">
        <v>55</v>
      </c>
      <c r="AX162" s="769">
        <v>44.591442265797909</v>
      </c>
      <c r="AY162" s="769">
        <v>45.654927720631036</v>
      </c>
      <c r="AZ162" s="769">
        <v>46.743776816000839</v>
      </c>
      <c r="BA162" s="769">
        <v>47.858594463106009</v>
      </c>
      <c r="BB162" s="769">
        <v>49</v>
      </c>
      <c r="BC162" s="769">
        <v>4.6047916482656603</v>
      </c>
      <c r="BD162" s="769">
        <v>4.700564209633356</v>
      </c>
      <c r="BE162" s="769">
        <v>4.7983286925062041</v>
      </c>
      <c r="BF162" s="769">
        <v>4.8981265257780979</v>
      </c>
      <c r="BG162" s="769">
        <v>5</v>
      </c>
      <c r="BH162" s="771">
        <v>55.44456024083437</v>
      </c>
      <c r="BI162" s="771">
        <v>55.892713823627474</v>
      </c>
      <c r="BJ162" s="771">
        <v>56.344489793051437</v>
      </c>
      <c r="BK162" s="772">
        <v>56.942449897558646</v>
      </c>
      <c r="BL162" s="772">
        <v>57.540410002065855</v>
      </c>
      <c r="BM162" s="772">
        <v>58.138370106573049</v>
      </c>
      <c r="BN162" s="772">
        <v>58.736330211080258</v>
      </c>
      <c r="BO162" s="772">
        <v>59.443378815557672</v>
      </c>
      <c r="BP162" s="772">
        <v>60.150427420035072</v>
      </c>
      <c r="BQ162" s="772">
        <v>62.110569126363067</v>
      </c>
      <c r="BR162" s="772">
        <v>64.445943803352634</v>
      </c>
      <c r="BS162" s="772">
        <v>65.471360845113892</v>
      </c>
      <c r="BT162" s="772">
        <v>66.034474850529946</v>
      </c>
      <c r="BU162" s="772">
        <v>66.617632534974746</v>
      </c>
      <c r="BV162" s="772">
        <v>67.214820794739651</v>
      </c>
      <c r="BW162" s="771">
        <v>49.396062760016072</v>
      </c>
      <c r="BX162" s="771">
        <v>49.795326861049929</v>
      </c>
      <c r="BY162" s="771">
        <v>50.197818179264004</v>
      </c>
      <c r="BZ162" s="772">
        <v>50.730546272370425</v>
      </c>
      <c r="CA162" s="772">
        <v>51.263274365476846</v>
      </c>
      <c r="CB162" s="772">
        <v>51.79600245858326</v>
      </c>
      <c r="CC162" s="772">
        <v>52.328730551689681</v>
      </c>
      <c r="CD162" s="772">
        <v>52.958646581133195</v>
      </c>
      <c r="CE162" s="772">
        <v>53.588562610576702</v>
      </c>
      <c r="CF162" s="772">
        <v>55.334870676214365</v>
      </c>
      <c r="CG162" s="772">
        <v>57.415477206623251</v>
      </c>
      <c r="CH162" s="772">
        <v>58.329030571101462</v>
      </c>
      <c r="CI162" s="772">
        <v>58.830713957744862</v>
      </c>
      <c r="CJ162" s="772">
        <v>59.350254440250225</v>
      </c>
      <c r="CK162" s="772">
        <v>59.882294889858962</v>
      </c>
      <c r="CL162" s="771">
        <v>5.040414567348579</v>
      </c>
      <c r="CM162" s="771">
        <v>5.0811558021479524</v>
      </c>
      <c r="CN162" s="771">
        <v>5.1222263448228578</v>
      </c>
      <c r="CO162" s="772">
        <v>5.1765863543235131</v>
      </c>
      <c r="CP162" s="772">
        <v>5.2309463638241684</v>
      </c>
      <c r="CQ162" s="772">
        <v>5.285306373324822</v>
      </c>
      <c r="CR162" s="772">
        <v>5.3396663828254773</v>
      </c>
      <c r="CS162" s="772">
        <v>5.4039435286870612</v>
      </c>
      <c r="CT162" s="772">
        <v>5.4682206745486432</v>
      </c>
      <c r="CU162" s="772">
        <v>5.6464153751239152</v>
      </c>
      <c r="CV162" s="772">
        <v>5.8587221639411489</v>
      </c>
      <c r="CW162" s="772">
        <v>5.9519418950103535</v>
      </c>
      <c r="CX162" s="772">
        <v>6.0031340773209045</v>
      </c>
      <c r="CY162" s="772">
        <v>6.0561484122704314</v>
      </c>
      <c r="CZ162" s="772">
        <v>6.1104382540672413</v>
      </c>
      <c r="DA162" s="773">
        <v>0</v>
      </c>
      <c r="DB162" s="773">
        <v>0</v>
      </c>
      <c r="DC162" s="773">
        <v>0</v>
      </c>
      <c r="DD162" s="774">
        <v>0</v>
      </c>
      <c r="DE162" s="774">
        <v>0</v>
      </c>
      <c r="DF162" s="774">
        <v>0</v>
      </c>
      <c r="DG162" s="774">
        <v>0</v>
      </c>
      <c r="DH162" s="774">
        <v>0</v>
      </c>
      <c r="DI162" s="774">
        <v>0</v>
      </c>
      <c r="DJ162" s="774">
        <v>0</v>
      </c>
      <c r="DK162" s="774">
        <v>0</v>
      </c>
      <c r="DL162" s="774">
        <v>0</v>
      </c>
      <c r="DM162" s="774">
        <v>0</v>
      </c>
      <c r="DN162" s="774">
        <v>0</v>
      </c>
      <c r="DO162" s="774">
        <v>0</v>
      </c>
      <c r="DP162" s="773">
        <v>0</v>
      </c>
      <c r="DQ162" s="773">
        <v>0</v>
      </c>
      <c r="DR162" s="773">
        <v>0</v>
      </c>
      <c r="DS162" s="774">
        <v>0</v>
      </c>
      <c r="DT162" s="774">
        <v>0</v>
      </c>
      <c r="DU162" s="774">
        <v>0</v>
      </c>
      <c r="DV162" s="774">
        <v>0</v>
      </c>
      <c r="DW162" s="774">
        <v>0</v>
      </c>
      <c r="DX162" s="774">
        <v>0</v>
      </c>
      <c r="DY162" s="774">
        <v>0</v>
      </c>
      <c r="DZ162" s="774">
        <v>0</v>
      </c>
      <c r="EA162" s="774">
        <v>0</v>
      </c>
      <c r="EB162" s="774">
        <v>0</v>
      </c>
      <c r="EC162" s="774">
        <v>0</v>
      </c>
      <c r="ED162" s="774">
        <v>0</v>
      </c>
    </row>
    <row r="163" spans="1:134" ht="15" x14ac:dyDescent="0.25">
      <c r="A163" s="766">
        <v>104</v>
      </c>
      <c r="B163" s="766">
        <v>92</v>
      </c>
      <c r="C163" s="766" t="s">
        <v>3834</v>
      </c>
      <c r="D163" s="2">
        <v>99709</v>
      </c>
      <c r="E163" s="2">
        <v>99709</v>
      </c>
      <c r="F163" s="767" t="s">
        <v>3746</v>
      </c>
      <c r="G163" s="114">
        <v>100</v>
      </c>
      <c r="H163" s="114">
        <v>47</v>
      </c>
      <c r="I163" s="114">
        <v>43</v>
      </c>
      <c r="J163" s="114">
        <v>4</v>
      </c>
      <c r="K163" s="114">
        <v>1</v>
      </c>
      <c r="L163" s="114">
        <v>44</v>
      </c>
      <c r="M163" s="114">
        <v>45</v>
      </c>
      <c r="N163" s="114">
        <v>17</v>
      </c>
      <c r="O163" s="114">
        <v>0</v>
      </c>
      <c r="P163" s="114">
        <v>0</v>
      </c>
      <c r="Q163" s="114">
        <v>62</v>
      </c>
      <c r="R163" s="114">
        <v>4608</v>
      </c>
      <c r="S163" s="114">
        <v>2256.7727272727275</v>
      </c>
      <c r="T163" s="114">
        <v>2309.0222222222224</v>
      </c>
      <c r="U163" s="114">
        <v>10169.117647058823</v>
      </c>
      <c r="V163" s="114">
        <v>0</v>
      </c>
      <c r="W163" s="114">
        <v>0</v>
      </c>
      <c r="X163" s="114">
        <v>4464.2096774193551</v>
      </c>
      <c r="Y163" s="114">
        <v>1.0444444444444445</v>
      </c>
      <c r="Z163" s="114">
        <v>45.955555555555556</v>
      </c>
      <c r="AA163" s="114">
        <v>0</v>
      </c>
      <c r="AB163" s="657">
        <v>17</v>
      </c>
      <c r="AC163" s="657">
        <v>0</v>
      </c>
      <c r="AD163" s="768">
        <v>64</v>
      </c>
      <c r="AE163" s="769">
        <v>0.9555555555555556</v>
      </c>
      <c r="AF163" s="769">
        <v>42.044444444444444</v>
      </c>
      <c r="AG163" s="770">
        <v>43</v>
      </c>
      <c r="AH163" s="769">
        <v>0</v>
      </c>
      <c r="AI163" s="769">
        <v>0.99447654589697232</v>
      </c>
      <c r="AJ163" s="769">
        <v>43.756968019466775</v>
      </c>
      <c r="AK163" s="769">
        <v>44.751444565363748</v>
      </c>
      <c r="AL163" s="769">
        <v>0</v>
      </c>
      <c r="AM163" s="769">
        <v>0.91155664539139958</v>
      </c>
      <c r="AN163" s="769">
        <v>40.108492397221582</v>
      </c>
      <c r="AO163" s="769">
        <v>41.020049042612982</v>
      </c>
      <c r="AP163" s="769">
        <v>0</v>
      </c>
      <c r="AQ163" s="769">
        <v>16.314317554521097</v>
      </c>
      <c r="AR163" s="769">
        <v>0</v>
      </c>
      <c r="AS163" s="769">
        <v>42.610463631634566</v>
      </c>
      <c r="AT163" s="769">
        <v>43.667834857198294</v>
      </c>
      <c r="AU163" s="769">
        <v>44.751444565363748</v>
      </c>
      <c r="AV163" s="769">
        <v>45.861943859501814</v>
      </c>
      <c r="AW163" s="769">
        <v>47</v>
      </c>
      <c r="AX163" s="769">
        <v>39.131265661822653</v>
      </c>
      <c r="AY163" s="769">
        <v>40.06452840790071</v>
      </c>
      <c r="AZ163" s="769">
        <v>41.020049042612982</v>
      </c>
      <c r="BA163" s="769">
        <v>41.998358406399149</v>
      </c>
      <c r="BB163" s="769">
        <v>43</v>
      </c>
      <c r="BC163" s="769">
        <v>15.656291604103245</v>
      </c>
      <c r="BD163" s="769">
        <v>15.981918312753411</v>
      </c>
      <c r="BE163" s="769">
        <v>16.314317554521097</v>
      </c>
      <c r="BF163" s="769">
        <v>16.653630187645533</v>
      </c>
      <c r="BG163" s="769">
        <v>17</v>
      </c>
      <c r="BH163" s="771">
        <v>48.102708341346109</v>
      </c>
      <c r="BI163" s="771">
        <v>49.231288293034225</v>
      </c>
      <c r="BJ163" s="771">
        <v>50.386346851671334</v>
      </c>
      <c r="BK163" s="772">
        <v>50.522569639454744</v>
      </c>
      <c r="BL163" s="772">
        <v>50.65879242723814</v>
      </c>
      <c r="BM163" s="772">
        <v>50.795015215021543</v>
      </c>
      <c r="BN163" s="772">
        <v>50.931238002804946</v>
      </c>
      <c r="BO163" s="772">
        <v>51.092312514756976</v>
      </c>
      <c r="BP163" s="772">
        <v>51.253387026708985</v>
      </c>
      <c r="BQ163" s="772">
        <v>51.699931814018122</v>
      </c>
      <c r="BR163" s="772">
        <v>52.231959363381904</v>
      </c>
      <c r="BS163" s="772">
        <v>52.465562185738172</v>
      </c>
      <c r="BT163" s="772">
        <v>52.593846596486401</v>
      </c>
      <c r="BU163" s="772">
        <v>52.726697207912807</v>
      </c>
      <c r="BV163" s="772">
        <v>52.862744159813957</v>
      </c>
      <c r="BW163" s="771">
        <v>44.008860822933677</v>
      </c>
      <c r="BX163" s="771">
        <v>45.041391417031313</v>
      </c>
      <c r="BY163" s="771">
        <v>46.098147119614197</v>
      </c>
      <c r="BZ163" s="772">
        <v>46.222776478650083</v>
      </c>
      <c r="CA163" s="772">
        <v>46.347405837685955</v>
      </c>
      <c r="CB163" s="772">
        <v>46.472035196721833</v>
      </c>
      <c r="CC163" s="772">
        <v>46.596664555757719</v>
      </c>
      <c r="CD163" s="772">
        <v>46.744030598607438</v>
      </c>
      <c r="CE163" s="772">
        <v>46.891396641457156</v>
      </c>
      <c r="CF163" s="772">
        <v>47.299937617080403</v>
      </c>
      <c r="CG163" s="772">
        <v>47.786686226072803</v>
      </c>
      <c r="CH163" s="772">
        <v>48.000407957164704</v>
      </c>
      <c r="CI163" s="772">
        <v>48.117774545721595</v>
      </c>
      <c r="CJ163" s="772">
        <v>48.239318722132992</v>
      </c>
      <c r="CK163" s="772">
        <v>48.36378721004256</v>
      </c>
      <c r="CL163" s="771">
        <v>17.398851953252848</v>
      </c>
      <c r="CM163" s="771">
        <v>17.807061723012382</v>
      </c>
      <c r="CN163" s="771">
        <v>18.224848861242823</v>
      </c>
      <c r="CO163" s="772">
        <v>18.274120933419802</v>
      </c>
      <c r="CP163" s="772">
        <v>18.323393005596774</v>
      </c>
      <c r="CQ163" s="772">
        <v>18.37266507777375</v>
      </c>
      <c r="CR163" s="772">
        <v>18.421937149950725</v>
      </c>
      <c r="CS163" s="772">
        <v>18.480198143635501</v>
      </c>
      <c r="CT163" s="772">
        <v>18.53845913732027</v>
      </c>
      <c r="CU163" s="772">
        <v>18.699975336985279</v>
      </c>
      <c r="CV163" s="772">
        <v>18.89241083356367</v>
      </c>
      <c r="CW163" s="772">
        <v>18.97690547143721</v>
      </c>
      <c r="CX163" s="772">
        <v>19.023306215750399</v>
      </c>
      <c r="CY163" s="772">
        <v>19.071358564564207</v>
      </c>
      <c r="CZ163" s="772">
        <v>19.120567036528453</v>
      </c>
      <c r="DA163" s="773">
        <v>0</v>
      </c>
      <c r="DB163" s="773">
        <v>0</v>
      </c>
      <c r="DC163" s="773">
        <v>0</v>
      </c>
      <c r="DD163" s="774">
        <v>0</v>
      </c>
      <c r="DE163" s="774">
        <v>0</v>
      </c>
      <c r="DF163" s="774">
        <v>0</v>
      </c>
      <c r="DG163" s="774">
        <v>0</v>
      </c>
      <c r="DH163" s="774">
        <v>0</v>
      </c>
      <c r="DI163" s="774">
        <v>0</v>
      </c>
      <c r="DJ163" s="774">
        <v>0</v>
      </c>
      <c r="DK163" s="774">
        <v>0</v>
      </c>
      <c r="DL163" s="774">
        <v>0</v>
      </c>
      <c r="DM163" s="774">
        <v>0</v>
      </c>
      <c r="DN163" s="774">
        <v>0</v>
      </c>
      <c r="DO163" s="774">
        <v>0</v>
      </c>
      <c r="DP163" s="773">
        <v>0</v>
      </c>
      <c r="DQ163" s="773">
        <v>0</v>
      </c>
      <c r="DR163" s="773">
        <v>0</v>
      </c>
      <c r="DS163" s="774">
        <v>0</v>
      </c>
      <c r="DT163" s="774">
        <v>0</v>
      </c>
      <c r="DU163" s="774">
        <v>0</v>
      </c>
      <c r="DV163" s="774">
        <v>0</v>
      </c>
      <c r="DW163" s="774">
        <v>0</v>
      </c>
      <c r="DX163" s="774">
        <v>0</v>
      </c>
      <c r="DY163" s="774">
        <v>0</v>
      </c>
      <c r="DZ163" s="774">
        <v>0</v>
      </c>
      <c r="EA163" s="774">
        <v>0</v>
      </c>
      <c r="EB163" s="774">
        <v>0</v>
      </c>
      <c r="EC163" s="774">
        <v>0</v>
      </c>
      <c r="ED163" s="774">
        <v>0</v>
      </c>
    </row>
    <row r="164" spans="1:134" ht="15" x14ac:dyDescent="0.25">
      <c r="A164" s="766">
        <v>105</v>
      </c>
      <c r="B164" s="766">
        <v>92</v>
      </c>
      <c r="C164" s="766" t="s">
        <v>3835</v>
      </c>
      <c r="D164" s="2">
        <v>99709</v>
      </c>
      <c r="E164" s="2">
        <v>99709</v>
      </c>
      <c r="F164" s="767" t="s">
        <v>3746</v>
      </c>
      <c r="G164" s="114">
        <v>0</v>
      </c>
      <c r="H164" s="114">
        <v>1</v>
      </c>
      <c r="I164" s="114">
        <v>0</v>
      </c>
      <c r="J164" s="114">
        <v>1</v>
      </c>
      <c r="K164" s="114">
        <v>0</v>
      </c>
      <c r="L164" s="114">
        <v>0</v>
      </c>
      <c r="M164" s="114">
        <v>0</v>
      </c>
      <c r="N164" s="114">
        <v>32</v>
      </c>
      <c r="O164" s="114">
        <v>0</v>
      </c>
      <c r="P164" s="114">
        <v>0</v>
      </c>
      <c r="Q164" s="114">
        <v>32</v>
      </c>
      <c r="R164" s="114">
        <v>0</v>
      </c>
      <c r="S164" s="114">
        <v>0</v>
      </c>
      <c r="T164" s="114">
        <v>0</v>
      </c>
      <c r="U164" s="114">
        <v>3682.09375</v>
      </c>
      <c r="V164" s="114">
        <v>0</v>
      </c>
      <c r="W164" s="114">
        <v>0</v>
      </c>
      <c r="X164" s="114">
        <v>3682.09375</v>
      </c>
      <c r="Y164" s="114">
        <v>2.2912335412335411E-2</v>
      </c>
      <c r="Z164" s="114">
        <v>0.97578828828828834</v>
      </c>
      <c r="AA164" s="114">
        <v>1.2993762993762994E-3</v>
      </c>
      <c r="AB164" s="657">
        <v>32</v>
      </c>
      <c r="AC164" s="657">
        <v>0</v>
      </c>
      <c r="AD164" s="768">
        <v>33</v>
      </c>
      <c r="AE164" s="769">
        <v>0</v>
      </c>
      <c r="AF164" s="769">
        <v>0</v>
      </c>
      <c r="AG164" s="770">
        <v>0</v>
      </c>
      <c r="AH164" s="769">
        <v>0</v>
      </c>
      <c r="AI164" s="769">
        <v>2.1816172512088276E-2</v>
      </c>
      <c r="AJ164" s="769">
        <v>0.9291050104439259</v>
      </c>
      <c r="AK164" s="769">
        <v>0.95092118295601413</v>
      </c>
      <c r="AL164" s="769">
        <v>1.2372120517252332E-3</v>
      </c>
      <c r="AM164" s="769">
        <v>0</v>
      </c>
      <c r="AN164" s="769">
        <v>0</v>
      </c>
      <c r="AO164" s="769">
        <v>0</v>
      </c>
      <c r="AP164" s="769">
        <v>0</v>
      </c>
      <c r="AQ164" s="769">
        <v>30.709303632039706</v>
      </c>
      <c r="AR164" s="769">
        <v>0</v>
      </c>
      <c r="AS164" s="769">
        <v>0.90542758734225925</v>
      </c>
      <c r="AT164" s="769">
        <v>0.92789561505403773</v>
      </c>
      <c r="AU164" s="769">
        <v>0.95092118295601413</v>
      </c>
      <c r="AV164" s="769">
        <v>0.97451812631079682</v>
      </c>
      <c r="AW164" s="769">
        <v>0.99870062370062374</v>
      </c>
      <c r="AX164" s="769">
        <v>0</v>
      </c>
      <c r="AY164" s="769">
        <v>0</v>
      </c>
      <c r="AZ164" s="769">
        <v>0</v>
      </c>
      <c r="BA164" s="769">
        <v>0</v>
      </c>
      <c r="BB164" s="769">
        <v>0</v>
      </c>
      <c r="BC164" s="769">
        <v>29.470666548900226</v>
      </c>
      <c r="BD164" s="769">
        <v>30.083610941653479</v>
      </c>
      <c r="BE164" s="769">
        <v>30.709303632039706</v>
      </c>
      <c r="BF164" s="769">
        <v>31.348009764979828</v>
      </c>
      <c r="BG164" s="769">
        <v>32</v>
      </c>
      <c r="BH164" s="771">
        <v>1.0221320174934374</v>
      </c>
      <c r="BI164" s="771">
        <v>1.046113155826351</v>
      </c>
      <c r="BJ164" s="771">
        <v>1.0706569367395771</v>
      </c>
      <c r="BK164" s="772">
        <v>1.0706569367395771</v>
      </c>
      <c r="BL164" s="772">
        <v>1.0706569367395771</v>
      </c>
      <c r="BM164" s="772">
        <v>1.0706569367395771</v>
      </c>
      <c r="BN164" s="772">
        <v>1.0706569367395771</v>
      </c>
      <c r="BO164" s="772">
        <v>1.0706569367395771</v>
      </c>
      <c r="BP164" s="772">
        <v>1.0706569367395771</v>
      </c>
      <c r="BQ164" s="772">
        <v>1.0706569367395771</v>
      </c>
      <c r="BR164" s="772">
        <v>1.0706569367395771</v>
      </c>
      <c r="BS164" s="772">
        <v>1.0706569367395771</v>
      </c>
      <c r="BT164" s="772">
        <v>1.0706569367395771</v>
      </c>
      <c r="BU164" s="772">
        <v>1.0706569367395771</v>
      </c>
      <c r="BV164" s="772">
        <v>1.0706569367395771</v>
      </c>
      <c r="BW164" s="771">
        <v>0</v>
      </c>
      <c r="BX164" s="771">
        <v>0</v>
      </c>
      <c r="BY164" s="771">
        <v>0</v>
      </c>
      <c r="BZ164" s="772">
        <v>0</v>
      </c>
      <c r="CA164" s="772">
        <v>0</v>
      </c>
      <c r="CB164" s="772">
        <v>0</v>
      </c>
      <c r="CC164" s="772">
        <v>0</v>
      </c>
      <c r="CD164" s="772">
        <v>0</v>
      </c>
      <c r="CE164" s="772">
        <v>0</v>
      </c>
      <c r="CF164" s="772">
        <v>0</v>
      </c>
      <c r="CG164" s="772">
        <v>0</v>
      </c>
      <c r="CH164" s="772">
        <v>0</v>
      </c>
      <c r="CI164" s="772">
        <v>0</v>
      </c>
      <c r="CJ164" s="772">
        <v>0</v>
      </c>
      <c r="CK164" s="772">
        <v>0</v>
      </c>
      <c r="CL164" s="771">
        <v>32.75078014729948</v>
      </c>
      <c r="CM164" s="771">
        <v>33.519175008023304</v>
      </c>
      <c r="CN164" s="771">
        <v>34.305597856457076</v>
      </c>
      <c r="CO164" s="772">
        <v>34.305597856457076</v>
      </c>
      <c r="CP164" s="772">
        <v>34.305597856457076</v>
      </c>
      <c r="CQ164" s="772">
        <v>34.305597856457076</v>
      </c>
      <c r="CR164" s="772">
        <v>34.305597856457076</v>
      </c>
      <c r="CS164" s="772">
        <v>34.305597856457076</v>
      </c>
      <c r="CT164" s="772">
        <v>34.305597856457076</v>
      </c>
      <c r="CU164" s="772">
        <v>34.305597856457076</v>
      </c>
      <c r="CV164" s="772">
        <v>34.305597856457076</v>
      </c>
      <c r="CW164" s="772">
        <v>34.305597856457076</v>
      </c>
      <c r="CX164" s="772">
        <v>34.305597856457076</v>
      </c>
      <c r="CY164" s="772">
        <v>34.305597856457076</v>
      </c>
      <c r="CZ164" s="772">
        <v>34.305597856457076</v>
      </c>
      <c r="DA164" s="773">
        <v>1.3298621096713991E-3</v>
      </c>
      <c r="DB164" s="773">
        <v>1.3610631743772457E-3</v>
      </c>
      <c r="DC164" s="773">
        <v>1.3929962747067095E-3</v>
      </c>
      <c r="DD164" s="774">
        <v>1.3929962747067095E-3</v>
      </c>
      <c r="DE164" s="774">
        <v>1.3929962747067095E-3</v>
      </c>
      <c r="DF164" s="774">
        <v>1.3929962747067095E-3</v>
      </c>
      <c r="DG164" s="774">
        <v>1.3929962747067095E-3</v>
      </c>
      <c r="DH164" s="774">
        <v>1.3929962747067095E-3</v>
      </c>
      <c r="DI164" s="774">
        <v>1.3929962747067095E-3</v>
      </c>
      <c r="DJ164" s="774">
        <v>1.3929962747067095E-3</v>
      </c>
      <c r="DK164" s="774">
        <v>1.3929962747067095E-3</v>
      </c>
      <c r="DL164" s="774">
        <v>1.3929962747067095E-3</v>
      </c>
      <c r="DM164" s="774">
        <v>1.3929962747067095E-3</v>
      </c>
      <c r="DN164" s="774">
        <v>1.3929962747067095E-3</v>
      </c>
      <c r="DO164" s="774">
        <v>1.3929962747067095E-3</v>
      </c>
      <c r="DP164" s="773">
        <v>0</v>
      </c>
      <c r="DQ164" s="773">
        <v>0</v>
      </c>
      <c r="DR164" s="773">
        <v>0</v>
      </c>
      <c r="DS164" s="774">
        <v>0</v>
      </c>
      <c r="DT164" s="774">
        <v>0</v>
      </c>
      <c r="DU164" s="774">
        <v>0</v>
      </c>
      <c r="DV164" s="774">
        <v>0</v>
      </c>
      <c r="DW164" s="774">
        <v>0</v>
      </c>
      <c r="DX164" s="774">
        <v>0</v>
      </c>
      <c r="DY164" s="774">
        <v>0</v>
      </c>
      <c r="DZ164" s="774">
        <v>0</v>
      </c>
      <c r="EA164" s="774">
        <v>0</v>
      </c>
      <c r="EB164" s="774">
        <v>0</v>
      </c>
      <c r="EC164" s="774">
        <v>0</v>
      </c>
      <c r="ED164" s="774">
        <v>0</v>
      </c>
    </row>
    <row r="165" spans="1:134" ht="15" x14ac:dyDescent="0.25">
      <c r="A165" s="766">
        <v>106</v>
      </c>
      <c r="B165" s="766">
        <v>92</v>
      </c>
      <c r="C165" s="766" t="s">
        <v>3836</v>
      </c>
      <c r="D165" s="2">
        <v>99709</v>
      </c>
      <c r="E165" s="2">
        <v>99709</v>
      </c>
      <c r="F165" s="767" t="s">
        <v>3746</v>
      </c>
      <c r="G165" s="114">
        <v>15</v>
      </c>
      <c r="H165" s="114">
        <v>14</v>
      </c>
      <c r="I165" s="114">
        <v>8</v>
      </c>
      <c r="J165" s="114">
        <v>6</v>
      </c>
      <c r="K165" s="114">
        <v>0</v>
      </c>
      <c r="L165" s="114">
        <v>5</v>
      </c>
      <c r="M165" s="114">
        <v>5</v>
      </c>
      <c r="N165" s="114">
        <v>2</v>
      </c>
      <c r="O165" s="114">
        <v>0</v>
      </c>
      <c r="P165" s="114">
        <v>0</v>
      </c>
      <c r="Q165" s="114">
        <v>7</v>
      </c>
      <c r="R165" s="114">
        <v>0</v>
      </c>
      <c r="S165" s="114">
        <v>971.8</v>
      </c>
      <c r="T165" s="114">
        <v>971.8</v>
      </c>
      <c r="U165" s="114">
        <v>13200.5</v>
      </c>
      <c r="V165" s="114">
        <v>0</v>
      </c>
      <c r="W165" s="114">
        <v>0</v>
      </c>
      <c r="X165" s="114">
        <v>4465.7142857142853</v>
      </c>
      <c r="Y165" s="114">
        <v>0</v>
      </c>
      <c r="Z165" s="114">
        <v>14</v>
      </c>
      <c r="AA165" s="114">
        <v>0</v>
      </c>
      <c r="AB165" s="657">
        <v>2</v>
      </c>
      <c r="AC165" s="657">
        <v>0</v>
      </c>
      <c r="AD165" s="768">
        <v>16</v>
      </c>
      <c r="AE165" s="769">
        <v>0</v>
      </c>
      <c r="AF165" s="769">
        <v>8</v>
      </c>
      <c r="AG165" s="770">
        <v>8</v>
      </c>
      <c r="AH165" s="769">
        <v>0</v>
      </c>
      <c r="AI165" s="769">
        <v>0</v>
      </c>
      <c r="AJ165" s="769">
        <v>13.330217530108351</v>
      </c>
      <c r="AK165" s="769">
        <v>13.330217530108351</v>
      </c>
      <c r="AL165" s="769">
        <v>0</v>
      </c>
      <c r="AM165" s="769">
        <v>0</v>
      </c>
      <c r="AN165" s="769">
        <v>7.6316370311838106</v>
      </c>
      <c r="AO165" s="769">
        <v>7.6316370311838106</v>
      </c>
      <c r="AP165" s="769">
        <v>0</v>
      </c>
      <c r="AQ165" s="769">
        <v>1.9193314770024816</v>
      </c>
      <c r="AR165" s="769">
        <v>0</v>
      </c>
      <c r="AS165" s="769">
        <v>12.692478528571998</v>
      </c>
      <c r="AT165" s="769">
        <v>13.007440170229279</v>
      </c>
      <c r="AU165" s="769">
        <v>13.330217530108351</v>
      </c>
      <c r="AV165" s="769">
        <v>13.661004553894157</v>
      </c>
      <c r="AW165" s="769">
        <v>14</v>
      </c>
      <c r="AX165" s="769">
        <v>7.2802354719670053</v>
      </c>
      <c r="AY165" s="769">
        <v>7.4538657503071084</v>
      </c>
      <c r="AZ165" s="769">
        <v>7.6316370311838106</v>
      </c>
      <c r="BA165" s="769">
        <v>7.8136480756091444</v>
      </c>
      <c r="BB165" s="769">
        <v>8</v>
      </c>
      <c r="BC165" s="769">
        <v>1.8419166593062641</v>
      </c>
      <c r="BD165" s="769">
        <v>1.8802256838533424</v>
      </c>
      <c r="BE165" s="769">
        <v>1.9193314770024816</v>
      </c>
      <c r="BF165" s="769">
        <v>1.9592506103112393</v>
      </c>
      <c r="BG165" s="769">
        <v>2</v>
      </c>
      <c r="BH165" s="771">
        <v>14.255258368998255</v>
      </c>
      <c r="BI165" s="771">
        <v>14.515170797635342</v>
      </c>
      <c r="BJ165" s="771">
        <v>14.779822142173591</v>
      </c>
      <c r="BK165" s="772">
        <v>16.97139202012454</v>
      </c>
      <c r="BL165" s="772">
        <v>19.162961898075487</v>
      </c>
      <c r="BM165" s="772">
        <v>21.354531776026434</v>
      </c>
      <c r="BN165" s="772">
        <v>23.546101653977381</v>
      </c>
      <c r="BO165" s="772">
        <v>26.13748929362092</v>
      </c>
      <c r="BP165" s="772">
        <v>28.728876933264456</v>
      </c>
      <c r="BQ165" s="772">
        <v>35.912947388339461</v>
      </c>
      <c r="BR165" s="772">
        <v>44.472275606461544</v>
      </c>
      <c r="BS165" s="772">
        <v>48.230508110808266</v>
      </c>
      <c r="BT165" s="772">
        <v>50.294364349409996</v>
      </c>
      <c r="BU165" s="772">
        <v>52.431682216758496</v>
      </c>
      <c r="BV165" s="772">
        <v>54.620423224229746</v>
      </c>
      <c r="BW165" s="771">
        <v>8.14586192514186</v>
      </c>
      <c r="BX165" s="771">
        <v>8.2943833129344817</v>
      </c>
      <c r="BY165" s="771">
        <v>8.4456126526706239</v>
      </c>
      <c r="BZ165" s="772">
        <v>9.6979382972140229</v>
      </c>
      <c r="CA165" s="772">
        <v>10.950263941757422</v>
      </c>
      <c r="CB165" s="772">
        <v>12.202589586300819</v>
      </c>
      <c r="CC165" s="772">
        <v>13.454915230844218</v>
      </c>
      <c r="CD165" s="772">
        <v>14.935708167783384</v>
      </c>
      <c r="CE165" s="772">
        <v>16.416501104722546</v>
      </c>
      <c r="CF165" s="772">
        <v>20.521684221908263</v>
      </c>
      <c r="CG165" s="772">
        <v>25.412728917978026</v>
      </c>
      <c r="CH165" s="772">
        <v>27.560290349033295</v>
      </c>
      <c r="CI165" s="772">
        <v>28.739636771091426</v>
      </c>
      <c r="CJ165" s="772">
        <v>29.960961266719142</v>
      </c>
      <c r="CK165" s="772">
        <v>31.211670413845571</v>
      </c>
      <c r="CL165" s="771">
        <v>2.036465481285465</v>
      </c>
      <c r="CM165" s="771">
        <v>2.0735958282336204</v>
      </c>
      <c r="CN165" s="771">
        <v>2.111403163167656</v>
      </c>
      <c r="CO165" s="772">
        <v>2.4244845743035057</v>
      </c>
      <c r="CP165" s="772">
        <v>2.7375659854393555</v>
      </c>
      <c r="CQ165" s="772">
        <v>3.0506473965752048</v>
      </c>
      <c r="CR165" s="772">
        <v>3.3637288077110545</v>
      </c>
      <c r="CS165" s="772">
        <v>3.7339270419458459</v>
      </c>
      <c r="CT165" s="772">
        <v>4.1041252761806364</v>
      </c>
      <c r="CU165" s="772">
        <v>5.1304210554770657</v>
      </c>
      <c r="CV165" s="772">
        <v>6.3531822294945064</v>
      </c>
      <c r="CW165" s="772">
        <v>6.8900725872583237</v>
      </c>
      <c r="CX165" s="772">
        <v>7.1849091927728566</v>
      </c>
      <c r="CY165" s="772">
        <v>7.4902403166797855</v>
      </c>
      <c r="CZ165" s="772">
        <v>7.8029176034613927</v>
      </c>
      <c r="DA165" s="773">
        <v>0</v>
      </c>
      <c r="DB165" s="773">
        <v>0</v>
      </c>
      <c r="DC165" s="773">
        <v>0</v>
      </c>
      <c r="DD165" s="774">
        <v>0</v>
      </c>
      <c r="DE165" s="774">
        <v>0</v>
      </c>
      <c r="DF165" s="774">
        <v>0</v>
      </c>
      <c r="DG165" s="774">
        <v>0</v>
      </c>
      <c r="DH165" s="774">
        <v>0</v>
      </c>
      <c r="DI165" s="774">
        <v>0</v>
      </c>
      <c r="DJ165" s="774">
        <v>0</v>
      </c>
      <c r="DK165" s="774">
        <v>0</v>
      </c>
      <c r="DL165" s="774">
        <v>0</v>
      </c>
      <c r="DM165" s="774">
        <v>0</v>
      </c>
      <c r="DN165" s="774">
        <v>0</v>
      </c>
      <c r="DO165" s="774">
        <v>0</v>
      </c>
      <c r="DP165" s="773">
        <v>0</v>
      </c>
      <c r="DQ165" s="773">
        <v>0</v>
      </c>
      <c r="DR165" s="773">
        <v>0</v>
      </c>
      <c r="DS165" s="774">
        <v>0</v>
      </c>
      <c r="DT165" s="774">
        <v>0</v>
      </c>
      <c r="DU165" s="774">
        <v>0</v>
      </c>
      <c r="DV165" s="774">
        <v>0</v>
      </c>
      <c r="DW165" s="774">
        <v>0</v>
      </c>
      <c r="DX165" s="774">
        <v>0</v>
      </c>
      <c r="DY165" s="774">
        <v>0</v>
      </c>
      <c r="DZ165" s="774">
        <v>0</v>
      </c>
      <c r="EA165" s="774">
        <v>0</v>
      </c>
      <c r="EB165" s="774">
        <v>0</v>
      </c>
      <c r="EC165" s="774">
        <v>0</v>
      </c>
      <c r="ED165" s="774">
        <v>0</v>
      </c>
    </row>
    <row r="166" spans="1:134" ht="15" x14ac:dyDescent="0.25">
      <c r="A166" s="766">
        <v>107</v>
      </c>
      <c r="B166" s="766">
        <v>92</v>
      </c>
      <c r="C166" s="766" t="s">
        <v>3837</v>
      </c>
      <c r="D166" s="2">
        <v>99709</v>
      </c>
      <c r="E166" s="2">
        <v>99709</v>
      </c>
      <c r="F166" s="767" t="s">
        <v>3746</v>
      </c>
      <c r="G166" s="114">
        <v>150</v>
      </c>
      <c r="H166" s="114">
        <v>69</v>
      </c>
      <c r="I166" s="114">
        <v>59</v>
      </c>
      <c r="J166" s="114">
        <v>10</v>
      </c>
      <c r="K166" s="114">
        <v>0</v>
      </c>
      <c r="L166" s="114">
        <v>7</v>
      </c>
      <c r="M166" s="114">
        <v>7</v>
      </c>
      <c r="N166" s="114">
        <v>56</v>
      </c>
      <c r="O166" s="114">
        <v>0</v>
      </c>
      <c r="P166" s="114">
        <v>0</v>
      </c>
      <c r="Q166" s="114">
        <v>63</v>
      </c>
      <c r="R166" s="114">
        <v>0</v>
      </c>
      <c r="S166" s="114">
        <v>2052.8571428571427</v>
      </c>
      <c r="T166" s="114">
        <v>2052.8571428571427</v>
      </c>
      <c r="U166" s="114">
        <v>8787.3214285714294</v>
      </c>
      <c r="V166" s="114">
        <v>0</v>
      </c>
      <c r="W166" s="114">
        <v>0</v>
      </c>
      <c r="X166" s="114">
        <v>8039.0476190476193</v>
      </c>
      <c r="Y166" s="114">
        <v>0</v>
      </c>
      <c r="Z166" s="114">
        <v>69</v>
      </c>
      <c r="AA166" s="114">
        <v>0</v>
      </c>
      <c r="AB166" s="657">
        <v>56</v>
      </c>
      <c r="AC166" s="657">
        <v>0</v>
      </c>
      <c r="AD166" s="768">
        <v>125</v>
      </c>
      <c r="AE166" s="769">
        <v>0</v>
      </c>
      <c r="AF166" s="769">
        <v>59</v>
      </c>
      <c r="AG166" s="770">
        <v>59</v>
      </c>
      <c r="AH166" s="769">
        <v>0</v>
      </c>
      <c r="AI166" s="769">
        <v>0</v>
      </c>
      <c r="AJ166" s="769">
        <v>65.698929255534011</v>
      </c>
      <c r="AK166" s="769">
        <v>65.698929255534011</v>
      </c>
      <c r="AL166" s="769">
        <v>0</v>
      </c>
      <c r="AM166" s="769">
        <v>0</v>
      </c>
      <c r="AN166" s="769">
        <v>56.283323104980603</v>
      </c>
      <c r="AO166" s="769">
        <v>56.283323104980603</v>
      </c>
      <c r="AP166" s="769">
        <v>0</v>
      </c>
      <c r="AQ166" s="769">
        <v>53.741281356069486</v>
      </c>
      <c r="AR166" s="769">
        <v>0</v>
      </c>
      <c r="AS166" s="769">
        <v>62.555787033676282</v>
      </c>
      <c r="AT166" s="769">
        <v>64.10809798184431</v>
      </c>
      <c r="AU166" s="769">
        <v>65.698929255534011</v>
      </c>
      <c r="AV166" s="769">
        <v>67.329236729906924</v>
      </c>
      <c r="AW166" s="769">
        <v>69</v>
      </c>
      <c r="AX166" s="769">
        <v>53.69173660575666</v>
      </c>
      <c r="AY166" s="769">
        <v>54.972259908514921</v>
      </c>
      <c r="AZ166" s="769">
        <v>56.283323104980603</v>
      </c>
      <c r="BA166" s="769">
        <v>57.625654557617437</v>
      </c>
      <c r="BB166" s="769">
        <v>59</v>
      </c>
      <c r="BC166" s="769">
        <v>51.573666460575396</v>
      </c>
      <c r="BD166" s="769">
        <v>52.646319147893585</v>
      </c>
      <c r="BE166" s="769">
        <v>53.741281356069486</v>
      </c>
      <c r="BF166" s="769">
        <v>54.859017088714701</v>
      </c>
      <c r="BG166" s="769">
        <v>56</v>
      </c>
      <c r="BH166" s="771">
        <v>70.258059104348547</v>
      </c>
      <c r="BI166" s="771">
        <v>71.5390560740599</v>
      </c>
      <c r="BJ166" s="771">
        <v>72.843409129284126</v>
      </c>
      <c r="BK166" s="772">
        <v>72.843409129284126</v>
      </c>
      <c r="BL166" s="772">
        <v>72.843409129284126</v>
      </c>
      <c r="BM166" s="772">
        <v>72.843409129284126</v>
      </c>
      <c r="BN166" s="772">
        <v>72.843409129284126</v>
      </c>
      <c r="BO166" s="772">
        <v>72.843409129284126</v>
      </c>
      <c r="BP166" s="772">
        <v>72.843409129284126</v>
      </c>
      <c r="BQ166" s="772">
        <v>72.843409129284126</v>
      </c>
      <c r="BR166" s="772">
        <v>72.843409129284126</v>
      </c>
      <c r="BS166" s="772">
        <v>72.843409129284126</v>
      </c>
      <c r="BT166" s="772">
        <v>72.843409129284126</v>
      </c>
      <c r="BU166" s="772">
        <v>72.843409129284126</v>
      </c>
      <c r="BV166" s="772">
        <v>72.843409129284126</v>
      </c>
      <c r="BW166" s="771">
        <v>60.075731697921221</v>
      </c>
      <c r="BX166" s="771">
        <v>61.1710769328918</v>
      </c>
      <c r="BY166" s="771">
        <v>62.286393313445849</v>
      </c>
      <c r="BZ166" s="772">
        <v>62.286393313445849</v>
      </c>
      <c r="CA166" s="772">
        <v>62.286393313445849</v>
      </c>
      <c r="CB166" s="772">
        <v>62.286393313445849</v>
      </c>
      <c r="CC166" s="772">
        <v>62.286393313445849</v>
      </c>
      <c r="CD166" s="772">
        <v>62.286393313445849</v>
      </c>
      <c r="CE166" s="772">
        <v>62.286393313445849</v>
      </c>
      <c r="CF166" s="772">
        <v>62.286393313445849</v>
      </c>
      <c r="CG166" s="772">
        <v>62.286393313445849</v>
      </c>
      <c r="CH166" s="772">
        <v>62.286393313445849</v>
      </c>
      <c r="CI166" s="772">
        <v>62.286393313445849</v>
      </c>
      <c r="CJ166" s="772">
        <v>62.286393313445849</v>
      </c>
      <c r="CK166" s="772">
        <v>62.286393313445849</v>
      </c>
      <c r="CL166" s="771">
        <v>57.021033475993022</v>
      </c>
      <c r="CM166" s="771">
        <v>58.060683190541369</v>
      </c>
      <c r="CN166" s="771">
        <v>59.119288568694365</v>
      </c>
      <c r="CO166" s="772">
        <v>59.119288568694365</v>
      </c>
      <c r="CP166" s="772">
        <v>59.119288568694365</v>
      </c>
      <c r="CQ166" s="772">
        <v>59.119288568694365</v>
      </c>
      <c r="CR166" s="772">
        <v>59.119288568694365</v>
      </c>
      <c r="CS166" s="772">
        <v>59.119288568694365</v>
      </c>
      <c r="CT166" s="772">
        <v>59.119288568694365</v>
      </c>
      <c r="CU166" s="772">
        <v>59.119288568694365</v>
      </c>
      <c r="CV166" s="772">
        <v>59.119288568694365</v>
      </c>
      <c r="CW166" s="772">
        <v>59.119288568694365</v>
      </c>
      <c r="CX166" s="772">
        <v>59.119288568694365</v>
      </c>
      <c r="CY166" s="772">
        <v>59.119288568694365</v>
      </c>
      <c r="CZ166" s="772">
        <v>59.119288568694365</v>
      </c>
      <c r="DA166" s="773">
        <v>0</v>
      </c>
      <c r="DB166" s="773">
        <v>0</v>
      </c>
      <c r="DC166" s="773">
        <v>0</v>
      </c>
      <c r="DD166" s="774">
        <v>0</v>
      </c>
      <c r="DE166" s="774">
        <v>0</v>
      </c>
      <c r="DF166" s="774">
        <v>0</v>
      </c>
      <c r="DG166" s="774">
        <v>0</v>
      </c>
      <c r="DH166" s="774">
        <v>0</v>
      </c>
      <c r="DI166" s="774">
        <v>0</v>
      </c>
      <c r="DJ166" s="774">
        <v>0</v>
      </c>
      <c r="DK166" s="774">
        <v>0</v>
      </c>
      <c r="DL166" s="774">
        <v>0</v>
      </c>
      <c r="DM166" s="774">
        <v>0</v>
      </c>
      <c r="DN166" s="774">
        <v>0</v>
      </c>
      <c r="DO166" s="774">
        <v>0</v>
      </c>
      <c r="DP166" s="773">
        <v>0</v>
      </c>
      <c r="DQ166" s="773">
        <v>0</v>
      </c>
      <c r="DR166" s="773">
        <v>0</v>
      </c>
      <c r="DS166" s="774">
        <v>0</v>
      </c>
      <c r="DT166" s="774">
        <v>0</v>
      </c>
      <c r="DU166" s="774">
        <v>0</v>
      </c>
      <c r="DV166" s="774">
        <v>0</v>
      </c>
      <c r="DW166" s="774">
        <v>0</v>
      </c>
      <c r="DX166" s="774">
        <v>0</v>
      </c>
      <c r="DY166" s="774">
        <v>0</v>
      </c>
      <c r="DZ166" s="774">
        <v>0</v>
      </c>
      <c r="EA166" s="774">
        <v>0</v>
      </c>
      <c r="EB166" s="774">
        <v>0</v>
      </c>
      <c r="EC166" s="774">
        <v>0</v>
      </c>
      <c r="ED166" s="774">
        <v>0</v>
      </c>
    </row>
    <row r="167" spans="1:134" ht="15" x14ac:dyDescent="0.25">
      <c r="A167" s="766">
        <v>108</v>
      </c>
      <c r="B167" s="766">
        <v>92</v>
      </c>
      <c r="C167" s="766" t="s">
        <v>3838</v>
      </c>
      <c r="D167" s="2">
        <v>99701</v>
      </c>
      <c r="E167" s="2">
        <v>99701</v>
      </c>
      <c r="F167" s="767" t="s">
        <v>3746</v>
      </c>
      <c r="G167" s="114">
        <v>83</v>
      </c>
      <c r="H167" s="114">
        <v>33</v>
      </c>
      <c r="I167" s="114">
        <v>30</v>
      </c>
      <c r="J167" s="114">
        <v>3</v>
      </c>
      <c r="K167" s="114">
        <v>2</v>
      </c>
      <c r="L167" s="114">
        <v>40</v>
      </c>
      <c r="M167" s="114">
        <v>42</v>
      </c>
      <c r="N167" s="114">
        <v>68</v>
      </c>
      <c r="O167" s="114">
        <v>0</v>
      </c>
      <c r="P167" s="114">
        <v>0</v>
      </c>
      <c r="Q167" s="114">
        <v>110</v>
      </c>
      <c r="R167" s="114">
        <v>8361</v>
      </c>
      <c r="S167" s="114">
        <v>2615.5749999999998</v>
      </c>
      <c r="T167" s="114">
        <v>2889.1666666666665</v>
      </c>
      <c r="U167" s="114">
        <v>9206.2941176470595</v>
      </c>
      <c r="V167" s="114">
        <v>0</v>
      </c>
      <c r="W167" s="114">
        <v>0</v>
      </c>
      <c r="X167" s="114">
        <v>6794.3</v>
      </c>
      <c r="Y167" s="114">
        <v>1.5714285714285714</v>
      </c>
      <c r="Z167" s="114">
        <v>31.428571428571427</v>
      </c>
      <c r="AA167" s="114">
        <v>0</v>
      </c>
      <c r="AB167" s="657">
        <v>68</v>
      </c>
      <c r="AC167" s="657">
        <v>0</v>
      </c>
      <c r="AD167" s="768">
        <v>101</v>
      </c>
      <c r="AE167" s="769">
        <v>1.4285714285714284</v>
      </c>
      <c r="AF167" s="769">
        <v>28.571428571428569</v>
      </c>
      <c r="AG167" s="770">
        <v>29.999999999999996</v>
      </c>
      <c r="AH167" s="769">
        <v>0</v>
      </c>
      <c r="AI167" s="769">
        <v>1.5539857399865005</v>
      </c>
      <c r="AJ167" s="769">
        <v>31.079714799730009</v>
      </c>
      <c r="AK167" s="769">
        <v>32.633700539716507</v>
      </c>
      <c r="AL167" s="769">
        <v>0</v>
      </c>
      <c r="AM167" s="769">
        <v>1.4153160803239917</v>
      </c>
      <c r="AN167" s="769">
        <v>28.306321606479838</v>
      </c>
      <c r="AO167" s="769">
        <v>29.721637686803831</v>
      </c>
      <c r="AP167" s="769">
        <v>0</v>
      </c>
      <c r="AQ167" s="769">
        <v>67.648780801232903</v>
      </c>
      <c r="AR167" s="769">
        <v>0</v>
      </c>
      <c r="AS167" s="769">
        <v>32.27146699745132</v>
      </c>
      <c r="AT167" s="769">
        <v>32.45207836136494</v>
      </c>
      <c r="AU167" s="769">
        <v>32.633700539716507</v>
      </c>
      <c r="AV167" s="769">
        <v>32.816339189657413</v>
      </c>
      <c r="AW167" s="769">
        <v>33</v>
      </c>
      <c r="AX167" s="769">
        <v>29.445858226187919</v>
      </c>
      <c r="AY167" s="769">
        <v>29.58342660301118</v>
      </c>
      <c r="AZ167" s="769">
        <v>29.721637686803827</v>
      </c>
      <c r="BA167" s="769">
        <v>29.860494480234493</v>
      </c>
      <c r="BB167" s="769">
        <v>29.999999999999996</v>
      </c>
      <c r="BC167" s="769">
        <v>67.299375645489079</v>
      </c>
      <c r="BD167" s="769">
        <v>67.473852054714669</v>
      </c>
      <c r="BE167" s="769">
        <v>67.648780801232903</v>
      </c>
      <c r="BF167" s="769">
        <v>67.824163057746887</v>
      </c>
      <c r="BG167" s="769">
        <v>68</v>
      </c>
      <c r="BH167" s="771">
        <v>33.601680441210171</v>
      </c>
      <c r="BI167" s="771">
        <v>34.214331165854738</v>
      </c>
      <c r="BJ167" s="771">
        <v>34.838152192266321</v>
      </c>
      <c r="BK167" s="772">
        <v>35.320605075131709</v>
      </c>
      <c r="BL167" s="772">
        <v>35.803057957997105</v>
      </c>
      <c r="BM167" s="772">
        <v>36.285510840862507</v>
      </c>
      <c r="BN167" s="772">
        <v>36.767963723727895</v>
      </c>
      <c r="BO167" s="772">
        <v>37.343597013692076</v>
      </c>
      <c r="BP167" s="772">
        <v>37.919230303656256</v>
      </c>
      <c r="BQ167" s="772">
        <v>39.515051032336622</v>
      </c>
      <c r="BR167" s="772">
        <v>41.416362201189223</v>
      </c>
      <c r="BS167" s="772">
        <v>42.251190502378854</v>
      </c>
      <c r="BT167" s="772">
        <v>42.709641541684888</v>
      </c>
      <c r="BU167" s="772">
        <v>43.184410849394588</v>
      </c>
      <c r="BV167" s="772">
        <v>43.670602944986854</v>
      </c>
      <c r="BW167" s="771">
        <v>30.546982219281972</v>
      </c>
      <c r="BX167" s="771">
        <v>31.103937423504302</v>
      </c>
      <c r="BY167" s="771">
        <v>31.671047447514837</v>
      </c>
      <c r="BZ167" s="772">
        <v>32.109640977392466</v>
      </c>
      <c r="CA167" s="772">
        <v>32.548234507270095</v>
      </c>
      <c r="CB167" s="772">
        <v>32.986828037147731</v>
      </c>
      <c r="CC167" s="772">
        <v>33.42542156702536</v>
      </c>
      <c r="CD167" s="772">
        <v>33.94872455790189</v>
      </c>
      <c r="CE167" s="772">
        <v>34.472027548778414</v>
      </c>
      <c r="CF167" s="772">
        <v>35.922773665760566</v>
      </c>
      <c r="CG167" s="772">
        <v>37.651238364717479</v>
      </c>
      <c r="CH167" s="772">
        <v>38.410173183980781</v>
      </c>
      <c r="CI167" s="772">
        <v>38.826946856077171</v>
      </c>
      <c r="CJ167" s="772">
        <v>39.258555317631441</v>
      </c>
      <c r="CK167" s="772">
        <v>39.700548131806229</v>
      </c>
      <c r="CL167" s="771">
        <v>69.239826363705816</v>
      </c>
      <c r="CM167" s="771">
        <v>70.502258159943096</v>
      </c>
      <c r="CN167" s="771">
        <v>71.787707547700307</v>
      </c>
      <c r="CO167" s="772">
        <v>72.781852882089595</v>
      </c>
      <c r="CP167" s="772">
        <v>73.775998216478897</v>
      </c>
      <c r="CQ167" s="772">
        <v>74.770143550868198</v>
      </c>
      <c r="CR167" s="772">
        <v>75.764288885257486</v>
      </c>
      <c r="CS167" s="772">
        <v>76.95044233124429</v>
      </c>
      <c r="CT167" s="772">
        <v>78.136595777231079</v>
      </c>
      <c r="CU167" s="772">
        <v>81.424953642390633</v>
      </c>
      <c r="CV167" s="772">
        <v>85.342806960026294</v>
      </c>
      <c r="CW167" s="772">
        <v>87.06305921702311</v>
      </c>
      <c r="CX167" s="772">
        <v>88.007746207108269</v>
      </c>
      <c r="CY167" s="772">
        <v>88.986058719964618</v>
      </c>
      <c r="CZ167" s="772">
        <v>89.987909098760795</v>
      </c>
      <c r="DA167" s="773">
        <v>0</v>
      </c>
      <c r="DB167" s="773">
        <v>0</v>
      </c>
      <c r="DC167" s="773">
        <v>0</v>
      </c>
      <c r="DD167" s="774">
        <v>0</v>
      </c>
      <c r="DE167" s="774">
        <v>0</v>
      </c>
      <c r="DF167" s="774">
        <v>0</v>
      </c>
      <c r="DG167" s="774">
        <v>0</v>
      </c>
      <c r="DH167" s="774">
        <v>0</v>
      </c>
      <c r="DI167" s="774">
        <v>0</v>
      </c>
      <c r="DJ167" s="774">
        <v>0</v>
      </c>
      <c r="DK167" s="774">
        <v>0</v>
      </c>
      <c r="DL167" s="774">
        <v>0</v>
      </c>
      <c r="DM167" s="774">
        <v>0</v>
      </c>
      <c r="DN167" s="774">
        <v>0</v>
      </c>
      <c r="DO167" s="774">
        <v>0</v>
      </c>
      <c r="DP167" s="773">
        <v>0</v>
      </c>
      <c r="DQ167" s="773">
        <v>0</v>
      </c>
      <c r="DR167" s="773">
        <v>0</v>
      </c>
      <c r="DS167" s="774">
        <v>0</v>
      </c>
      <c r="DT167" s="774">
        <v>0</v>
      </c>
      <c r="DU167" s="774">
        <v>0</v>
      </c>
      <c r="DV167" s="774">
        <v>0</v>
      </c>
      <c r="DW167" s="774">
        <v>0</v>
      </c>
      <c r="DX167" s="774">
        <v>0</v>
      </c>
      <c r="DY167" s="774">
        <v>0</v>
      </c>
      <c r="DZ167" s="774">
        <v>0</v>
      </c>
      <c r="EA167" s="774">
        <v>0</v>
      </c>
      <c r="EB167" s="774">
        <v>0</v>
      </c>
      <c r="EC167" s="774">
        <v>0</v>
      </c>
      <c r="ED167" s="774">
        <v>0</v>
      </c>
    </row>
    <row r="168" spans="1:134" ht="15" x14ac:dyDescent="0.25">
      <c r="A168" s="766">
        <v>109</v>
      </c>
      <c r="B168" s="766">
        <v>92</v>
      </c>
      <c r="C168" s="766" t="s">
        <v>3839</v>
      </c>
      <c r="D168" s="2">
        <v>99701</v>
      </c>
      <c r="E168" s="2">
        <v>99701</v>
      </c>
      <c r="F168" s="767" t="s">
        <v>3746</v>
      </c>
      <c r="G168" s="114">
        <v>1880</v>
      </c>
      <c r="H168" s="114">
        <v>642</v>
      </c>
      <c r="I168" s="114">
        <v>593</v>
      </c>
      <c r="J168" s="114">
        <v>49</v>
      </c>
      <c r="K168" s="114">
        <v>39</v>
      </c>
      <c r="L168" s="114">
        <v>222</v>
      </c>
      <c r="M168" s="114">
        <v>261</v>
      </c>
      <c r="N168" s="114">
        <v>47</v>
      </c>
      <c r="O168" s="114">
        <v>0</v>
      </c>
      <c r="P168" s="114">
        <v>0</v>
      </c>
      <c r="Q168" s="114">
        <v>308</v>
      </c>
      <c r="R168" s="114">
        <v>4493.1794871794873</v>
      </c>
      <c r="S168" s="114">
        <v>1789.4099099099099</v>
      </c>
      <c r="T168" s="114">
        <v>2193.4214559386974</v>
      </c>
      <c r="U168" s="114">
        <v>22259.468085106382</v>
      </c>
      <c r="V168" s="114">
        <v>0</v>
      </c>
      <c r="W168" s="114">
        <v>0</v>
      </c>
      <c r="X168" s="114">
        <v>5255.4480519480521</v>
      </c>
      <c r="Y168" s="114">
        <v>95.931034482758619</v>
      </c>
      <c r="Z168" s="114">
        <v>546.06896551724139</v>
      </c>
      <c r="AA168" s="114">
        <v>0</v>
      </c>
      <c r="AB168" s="657">
        <v>47</v>
      </c>
      <c r="AC168" s="657">
        <v>0</v>
      </c>
      <c r="AD168" s="768">
        <v>689</v>
      </c>
      <c r="AE168" s="769">
        <v>88.609195402298852</v>
      </c>
      <c r="AF168" s="769">
        <v>504.39080459770122</v>
      </c>
      <c r="AG168" s="770">
        <v>593.00000000000011</v>
      </c>
      <c r="AH168" s="769">
        <v>0</v>
      </c>
      <c r="AI168" s="769">
        <v>94.866201568956456</v>
      </c>
      <c r="AJ168" s="769">
        <v>540.00760893098288</v>
      </c>
      <c r="AK168" s="769">
        <v>634.87381049993928</v>
      </c>
      <c r="AL168" s="769">
        <v>0</v>
      </c>
      <c r="AM168" s="769">
        <v>87.787013382211001</v>
      </c>
      <c r="AN168" s="769">
        <v>499.71069156027812</v>
      </c>
      <c r="AO168" s="769">
        <v>587.49770494248912</v>
      </c>
      <c r="AP168" s="769">
        <v>0</v>
      </c>
      <c r="AQ168" s="769">
        <v>46.757245553793332</v>
      </c>
      <c r="AR168" s="769">
        <v>0</v>
      </c>
      <c r="AS168" s="769">
        <v>627.8267215867802</v>
      </c>
      <c r="AT168" s="769">
        <v>631.34043357564519</v>
      </c>
      <c r="AU168" s="769">
        <v>634.8738104999394</v>
      </c>
      <c r="AV168" s="769">
        <v>638.42696241697149</v>
      </c>
      <c r="AW168" s="769">
        <v>642</v>
      </c>
      <c r="AX168" s="769">
        <v>582.04646427098135</v>
      </c>
      <c r="AY168" s="769">
        <v>584.76573251952118</v>
      </c>
      <c r="AZ168" s="769">
        <v>587.49770494248912</v>
      </c>
      <c r="BA168" s="769">
        <v>590.24244089263539</v>
      </c>
      <c r="BB168" s="769">
        <v>593.00000000000011</v>
      </c>
      <c r="BC168" s="769">
        <v>46.515744931440977</v>
      </c>
      <c r="BD168" s="769">
        <v>46.636338920170438</v>
      </c>
      <c r="BE168" s="769">
        <v>46.757245553793332</v>
      </c>
      <c r="BF168" s="769">
        <v>46.878465642854465</v>
      </c>
      <c r="BG168" s="769">
        <v>47</v>
      </c>
      <c r="BH168" s="771">
        <v>653.70541949263429</v>
      </c>
      <c r="BI168" s="771">
        <v>665.62426086299217</v>
      </c>
      <c r="BJ168" s="771">
        <v>677.7604153768176</v>
      </c>
      <c r="BK168" s="772">
        <v>682.79415327768618</v>
      </c>
      <c r="BL168" s="772">
        <v>687.82789117855475</v>
      </c>
      <c r="BM168" s="772">
        <v>692.86162907942332</v>
      </c>
      <c r="BN168" s="772">
        <v>697.8953669802919</v>
      </c>
      <c r="BO168" s="772">
        <v>703.84743189446738</v>
      </c>
      <c r="BP168" s="772">
        <v>709.79949680864308</v>
      </c>
      <c r="BQ168" s="772">
        <v>726.30032942915341</v>
      </c>
      <c r="BR168" s="772">
        <v>745.95994206163687</v>
      </c>
      <c r="BS168" s="772">
        <v>754.59209090970103</v>
      </c>
      <c r="BT168" s="772">
        <v>759.33248795326085</v>
      </c>
      <c r="BU168" s="772">
        <v>764.2416163654176</v>
      </c>
      <c r="BV168" s="772">
        <v>769.26885673559195</v>
      </c>
      <c r="BW168" s="771">
        <v>603.81201520114053</v>
      </c>
      <c r="BX168" s="771">
        <v>614.82116307126853</v>
      </c>
      <c r="BY168" s="771">
        <v>626.03103787921009</v>
      </c>
      <c r="BZ168" s="772">
        <v>630.68058083125845</v>
      </c>
      <c r="CA168" s="772">
        <v>635.33012378330682</v>
      </c>
      <c r="CB168" s="772">
        <v>639.97966673535518</v>
      </c>
      <c r="CC168" s="772">
        <v>644.62920968740355</v>
      </c>
      <c r="CD168" s="772">
        <v>650.12698927323868</v>
      </c>
      <c r="CE168" s="772">
        <v>655.62476885907381</v>
      </c>
      <c r="CF168" s="772">
        <v>670.86619213627421</v>
      </c>
      <c r="CG168" s="772">
        <v>689.02530473917557</v>
      </c>
      <c r="CH168" s="772">
        <v>696.99861356612575</v>
      </c>
      <c r="CI168" s="772">
        <v>701.3772046048033</v>
      </c>
      <c r="CJ168" s="772">
        <v>705.91164876120354</v>
      </c>
      <c r="CK168" s="772">
        <v>710.55519010000955</v>
      </c>
      <c r="CL168" s="771">
        <v>47.856938810208426</v>
      </c>
      <c r="CM168" s="771">
        <v>48.72950196349008</v>
      </c>
      <c r="CN168" s="771">
        <v>49.617974334439914</v>
      </c>
      <c r="CO168" s="772">
        <v>49.986487856777643</v>
      </c>
      <c r="CP168" s="772">
        <v>50.355001379115372</v>
      </c>
      <c r="CQ168" s="772">
        <v>50.7235149014531</v>
      </c>
      <c r="CR168" s="772">
        <v>51.092028423790836</v>
      </c>
      <c r="CS168" s="772">
        <v>51.527771493831722</v>
      </c>
      <c r="CT168" s="772">
        <v>51.963514563872621</v>
      </c>
      <c r="CU168" s="772">
        <v>53.171519444190352</v>
      </c>
      <c r="CV168" s="772">
        <v>54.610774574605813</v>
      </c>
      <c r="CW168" s="772">
        <v>55.242723166286517</v>
      </c>
      <c r="CX168" s="772">
        <v>55.589761579132798</v>
      </c>
      <c r="CY168" s="772">
        <v>55.949152599960478</v>
      </c>
      <c r="CZ168" s="772">
        <v>56.317190446375115</v>
      </c>
      <c r="DA168" s="773">
        <v>0</v>
      </c>
      <c r="DB168" s="773">
        <v>0</v>
      </c>
      <c r="DC168" s="773">
        <v>0</v>
      </c>
      <c r="DD168" s="774">
        <v>0</v>
      </c>
      <c r="DE168" s="774">
        <v>0</v>
      </c>
      <c r="DF168" s="774">
        <v>0</v>
      </c>
      <c r="DG168" s="774">
        <v>0</v>
      </c>
      <c r="DH168" s="774">
        <v>0</v>
      </c>
      <c r="DI168" s="774">
        <v>0</v>
      </c>
      <c r="DJ168" s="774">
        <v>0</v>
      </c>
      <c r="DK168" s="774">
        <v>0</v>
      </c>
      <c r="DL168" s="774">
        <v>0</v>
      </c>
      <c r="DM168" s="774">
        <v>0</v>
      </c>
      <c r="DN168" s="774">
        <v>0</v>
      </c>
      <c r="DO168" s="774">
        <v>0</v>
      </c>
      <c r="DP168" s="773">
        <v>0</v>
      </c>
      <c r="DQ168" s="773">
        <v>0</v>
      </c>
      <c r="DR168" s="773">
        <v>0</v>
      </c>
      <c r="DS168" s="774">
        <v>0</v>
      </c>
      <c r="DT168" s="774">
        <v>0</v>
      </c>
      <c r="DU168" s="774">
        <v>0</v>
      </c>
      <c r="DV168" s="774">
        <v>0</v>
      </c>
      <c r="DW168" s="774">
        <v>0</v>
      </c>
      <c r="DX168" s="774">
        <v>0</v>
      </c>
      <c r="DY168" s="774">
        <v>0</v>
      </c>
      <c r="DZ168" s="774">
        <v>0</v>
      </c>
      <c r="EA168" s="774">
        <v>0</v>
      </c>
      <c r="EB168" s="774">
        <v>0</v>
      </c>
      <c r="EC168" s="774">
        <v>0</v>
      </c>
      <c r="ED168" s="774">
        <v>0</v>
      </c>
    </row>
    <row r="169" spans="1:134" ht="15" x14ac:dyDescent="0.25">
      <c r="A169" s="766">
        <v>110</v>
      </c>
      <c r="B169" s="766">
        <v>92</v>
      </c>
      <c r="C169" s="766" t="s">
        <v>3840</v>
      </c>
      <c r="D169" s="2">
        <v>99701</v>
      </c>
      <c r="E169" s="2">
        <v>99701</v>
      </c>
      <c r="F169" s="767" t="s">
        <v>3746</v>
      </c>
      <c r="G169" s="114">
        <v>139</v>
      </c>
      <c r="H169" s="114">
        <v>64</v>
      </c>
      <c r="I169" s="114">
        <v>58</v>
      </c>
      <c r="J169" s="114">
        <v>6</v>
      </c>
      <c r="K169" s="114">
        <v>0</v>
      </c>
      <c r="L169" s="114">
        <v>31</v>
      </c>
      <c r="M169" s="114">
        <v>31</v>
      </c>
      <c r="N169" s="114">
        <v>66</v>
      </c>
      <c r="O169" s="114">
        <v>0</v>
      </c>
      <c r="P169" s="114">
        <v>0</v>
      </c>
      <c r="Q169" s="114">
        <v>97</v>
      </c>
      <c r="R169" s="114">
        <v>0</v>
      </c>
      <c r="S169" s="114">
        <v>1157.9677419354839</v>
      </c>
      <c r="T169" s="114">
        <v>1157.9677419354839</v>
      </c>
      <c r="U169" s="114">
        <v>11259.09090909091</v>
      </c>
      <c r="V169" s="114">
        <v>0</v>
      </c>
      <c r="W169" s="114">
        <v>0</v>
      </c>
      <c r="X169" s="114">
        <v>8030.8969072164946</v>
      </c>
      <c r="Y169" s="114">
        <v>0</v>
      </c>
      <c r="Z169" s="114">
        <v>64</v>
      </c>
      <c r="AA169" s="114">
        <v>0</v>
      </c>
      <c r="AB169" s="657">
        <v>66</v>
      </c>
      <c r="AC169" s="657">
        <v>0</v>
      </c>
      <c r="AD169" s="768">
        <v>130</v>
      </c>
      <c r="AE169" s="769">
        <v>0</v>
      </c>
      <c r="AF169" s="769">
        <v>58</v>
      </c>
      <c r="AG169" s="770">
        <v>58</v>
      </c>
      <c r="AH169" s="769">
        <v>0</v>
      </c>
      <c r="AI169" s="769">
        <v>0</v>
      </c>
      <c r="AJ169" s="769">
        <v>63.289601046722929</v>
      </c>
      <c r="AK169" s="769">
        <v>63.289601046722929</v>
      </c>
      <c r="AL169" s="769">
        <v>0</v>
      </c>
      <c r="AM169" s="769">
        <v>0</v>
      </c>
      <c r="AN169" s="769">
        <v>57.461832861154072</v>
      </c>
      <c r="AO169" s="769">
        <v>57.461832861154072</v>
      </c>
      <c r="AP169" s="769">
        <v>0</v>
      </c>
      <c r="AQ169" s="769">
        <v>65.659110777667223</v>
      </c>
      <c r="AR169" s="769">
        <v>0</v>
      </c>
      <c r="AS169" s="769">
        <v>62.587087510208619</v>
      </c>
      <c r="AT169" s="769">
        <v>62.93736409476837</v>
      </c>
      <c r="AU169" s="769">
        <v>63.289601046722929</v>
      </c>
      <c r="AV169" s="769">
        <v>63.643809337517403</v>
      </c>
      <c r="AW169" s="769">
        <v>64</v>
      </c>
      <c r="AX169" s="769">
        <v>56.92865923729665</v>
      </c>
      <c r="AY169" s="769">
        <v>57.194624765821615</v>
      </c>
      <c r="AZ169" s="769">
        <v>57.461832861154072</v>
      </c>
      <c r="BA169" s="769">
        <v>57.73028932845336</v>
      </c>
      <c r="BB169" s="769">
        <v>58</v>
      </c>
      <c r="BC169" s="769">
        <v>65.319982244151163</v>
      </c>
      <c r="BD169" s="769">
        <v>65.489326994281896</v>
      </c>
      <c r="BE169" s="769">
        <v>65.659110777667223</v>
      </c>
      <c r="BF169" s="769">
        <v>65.829334732519044</v>
      </c>
      <c r="BG169" s="769">
        <v>66</v>
      </c>
      <c r="BH169" s="771">
        <v>65.16689540113488</v>
      </c>
      <c r="BI169" s="771">
        <v>66.355066503475854</v>
      </c>
      <c r="BJ169" s="771">
        <v>67.564901221364991</v>
      </c>
      <c r="BK169" s="772">
        <v>68.606990311875762</v>
      </c>
      <c r="BL169" s="772">
        <v>69.649079402386519</v>
      </c>
      <c r="BM169" s="772">
        <v>70.691168492897276</v>
      </c>
      <c r="BN169" s="772">
        <v>71.733257583408033</v>
      </c>
      <c r="BO169" s="772">
        <v>72.965459584232107</v>
      </c>
      <c r="BP169" s="772">
        <v>74.197661585056181</v>
      </c>
      <c r="BQ169" s="772">
        <v>77.613679263531466</v>
      </c>
      <c r="BR169" s="772">
        <v>81.68363051078326</v>
      </c>
      <c r="BS169" s="772">
        <v>83.470665974167346</v>
      </c>
      <c r="BT169" s="772">
        <v>84.452027368238092</v>
      </c>
      <c r="BU169" s="772">
        <v>85.468319686783744</v>
      </c>
      <c r="BV169" s="772">
        <v>86.509063652461833</v>
      </c>
      <c r="BW169" s="771">
        <v>59.057498957278483</v>
      </c>
      <c r="BX169" s="771">
        <v>60.13427901877499</v>
      </c>
      <c r="BY169" s="771">
        <v>61.230691731862024</v>
      </c>
      <c r="BZ169" s="772">
        <v>62.175084970137405</v>
      </c>
      <c r="CA169" s="772">
        <v>63.119478208412787</v>
      </c>
      <c r="CB169" s="772">
        <v>64.063871446688154</v>
      </c>
      <c r="CC169" s="772">
        <v>65.008264684963535</v>
      </c>
      <c r="CD169" s="772">
        <v>66.124947748210346</v>
      </c>
      <c r="CE169" s="772">
        <v>67.241630811457156</v>
      </c>
      <c r="CF169" s="772">
        <v>70.337396832575394</v>
      </c>
      <c r="CG169" s="772">
        <v>74.025790150397327</v>
      </c>
      <c r="CH169" s="772">
        <v>75.645291039089159</v>
      </c>
      <c r="CI169" s="772">
        <v>76.534649802465765</v>
      </c>
      <c r="CJ169" s="772">
        <v>77.455664716147766</v>
      </c>
      <c r="CK169" s="772">
        <v>78.398838935043543</v>
      </c>
      <c r="CL169" s="771">
        <v>67.203360882420341</v>
      </c>
      <c r="CM169" s="771">
        <v>68.428662331709475</v>
      </c>
      <c r="CN169" s="771">
        <v>69.676304384532642</v>
      </c>
      <c r="CO169" s="772">
        <v>70.750958759121872</v>
      </c>
      <c r="CP169" s="772">
        <v>71.825613133711101</v>
      </c>
      <c r="CQ169" s="772">
        <v>72.900267508300303</v>
      </c>
      <c r="CR169" s="772">
        <v>73.974921882889532</v>
      </c>
      <c r="CS169" s="772">
        <v>75.245630196239361</v>
      </c>
      <c r="CT169" s="772">
        <v>76.516338509589175</v>
      </c>
      <c r="CU169" s="772">
        <v>80.039106740516829</v>
      </c>
      <c r="CV169" s="772">
        <v>84.236243964245233</v>
      </c>
      <c r="CW169" s="772">
        <v>86.079124285860075</v>
      </c>
      <c r="CX169" s="772">
        <v>87.091153223495525</v>
      </c>
      <c r="CY169" s="772">
        <v>88.139204676995732</v>
      </c>
      <c r="CZ169" s="772">
        <v>89.212471891601254</v>
      </c>
      <c r="DA169" s="773">
        <v>0</v>
      </c>
      <c r="DB169" s="773">
        <v>0</v>
      </c>
      <c r="DC169" s="773">
        <v>0</v>
      </c>
      <c r="DD169" s="774">
        <v>0</v>
      </c>
      <c r="DE169" s="774">
        <v>0</v>
      </c>
      <c r="DF169" s="774">
        <v>0</v>
      </c>
      <c r="DG169" s="774">
        <v>0</v>
      </c>
      <c r="DH169" s="774">
        <v>0</v>
      </c>
      <c r="DI169" s="774">
        <v>0</v>
      </c>
      <c r="DJ169" s="774">
        <v>0</v>
      </c>
      <c r="DK169" s="774">
        <v>0</v>
      </c>
      <c r="DL169" s="774">
        <v>0</v>
      </c>
      <c r="DM169" s="774">
        <v>0</v>
      </c>
      <c r="DN169" s="774">
        <v>0</v>
      </c>
      <c r="DO169" s="774">
        <v>0</v>
      </c>
      <c r="DP169" s="773">
        <v>0</v>
      </c>
      <c r="DQ169" s="773">
        <v>0</v>
      </c>
      <c r="DR169" s="773">
        <v>0</v>
      </c>
      <c r="DS169" s="774">
        <v>0</v>
      </c>
      <c r="DT169" s="774">
        <v>0</v>
      </c>
      <c r="DU169" s="774">
        <v>0</v>
      </c>
      <c r="DV169" s="774">
        <v>0</v>
      </c>
      <c r="DW169" s="774">
        <v>0</v>
      </c>
      <c r="DX169" s="774">
        <v>0</v>
      </c>
      <c r="DY169" s="774">
        <v>0</v>
      </c>
      <c r="DZ169" s="774">
        <v>0</v>
      </c>
      <c r="EA169" s="774">
        <v>0</v>
      </c>
      <c r="EB169" s="774">
        <v>0</v>
      </c>
      <c r="EC169" s="774">
        <v>0</v>
      </c>
      <c r="ED169" s="774">
        <v>0</v>
      </c>
    </row>
    <row r="170" spans="1:134" ht="15" x14ac:dyDescent="0.25">
      <c r="A170" s="766">
        <v>111</v>
      </c>
      <c r="B170" s="766">
        <v>92</v>
      </c>
      <c r="C170" s="766" t="s">
        <v>3841</v>
      </c>
      <c r="D170" s="2">
        <v>99701</v>
      </c>
      <c r="E170" s="2">
        <v>99701</v>
      </c>
      <c r="F170" s="767" t="s">
        <v>3746</v>
      </c>
      <c r="G170" s="114">
        <v>482</v>
      </c>
      <c r="H170" s="114">
        <v>178</v>
      </c>
      <c r="I170" s="114">
        <v>147</v>
      </c>
      <c r="J170" s="114">
        <v>31</v>
      </c>
      <c r="K170" s="114">
        <v>0</v>
      </c>
      <c r="L170" s="114">
        <v>14</v>
      </c>
      <c r="M170" s="114">
        <v>14</v>
      </c>
      <c r="N170" s="114">
        <v>26</v>
      </c>
      <c r="O170" s="114">
        <v>0</v>
      </c>
      <c r="P170" s="114">
        <v>0</v>
      </c>
      <c r="Q170" s="114">
        <v>40</v>
      </c>
      <c r="R170" s="114">
        <v>0</v>
      </c>
      <c r="S170" s="114">
        <v>2151.5714285714284</v>
      </c>
      <c r="T170" s="114">
        <v>2151.5714285714284</v>
      </c>
      <c r="U170" s="114">
        <v>5604.5384615384619</v>
      </c>
      <c r="V170" s="114">
        <v>0</v>
      </c>
      <c r="W170" s="114">
        <v>0</v>
      </c>
      <c r="X170" s="114">
        <v>4396</v>
      </c>
      <c r="Y170" s="114">
        <v>0</v>
      </c>
      <c r="Z170" s="114">
        <v>178</v>
      </c>
      <c r="AA170" s="114">
        <v>0</v>
      </c>
      <c r="AB170" s="657">
        <v>26</v>
      </c>
      <c r="AC170" s="657">
        <v>0</v>
      </c>
      <c r="AD170" s="768">
        <v>204</v>
      </c>
      <c r="AE170" s="769">
        <v>0</v>
      </c>
      <c r="AF170" s="769">
        <v>147</v>
      </c>
      <c r="AG170" s="770">
        <v>147</v>
      </c>
      <c r="AH170" s="769">
        <v>0</v>
      </c>
      <c r="AI170" s="769">
        <v>0</v>
      </c>
      <c r="AJ170" s="769">
        <v>176.02420291119813</v>
      </c>
      <c r="AK170" s="769">
        <v>176.02420291119813</v>
      </c>
      <c r="AL170" s="769">
        <v>0</v>
      </c>
      <c r="AM170" s="769">
        <v>0</v>
      </c>
      <c r="AN170" s="769">
        <v>145.63602466533877</v>
      </c>
      <c r="AO170" s="769">
        <v>145.63602466533877</v>
      </c>
      <c r="AP170" s="769">
        <v>0</v>
      </c>
      <c r="AQ170" s="769">
        <v>25.865710306353758</v>
      </c>
      <c r="AR170" s="769">
        <v>0</v>
      </c>
      <c r="AS170" s="769">
        <v>174.07033713776772</v>
      </c>
      <c r="AT170" s="769">
        <v>175.04454388857451</v>
      </c>
      <c r="AU170" s="769">
        <v>176.02420291119813</v>
      </c>
      <c r="AV170" s="769">
        <v>177.00934471997027</v>
      </c>
      <c r="AW170" s="769">
        <v>178</v>
      </c>
      <c r="AX170" s="769">
        <v>144.28470530832081</v>
      </c>
      <c r="AY170" s="769">
        <v>144.9587903547548</v>
      </c>
      <c r="AZ170" s="769">
        <v>145.63602466533877</v>
      </c>
      <c r="BA170" s="769">
        <v>146.31642295314904</v>
      </c>
      <c r="BB170" s="769">
        <v>147</v>
      </c>
      <c r="BC170" s="769">
        <v>25.73211421739288</v>
      </c>
      <c r="BD170" s="769">
        <v>25.7988257856262</v>
      </c>
      <c r="BE170" s="769">
        <v>25.865710306353758</v>
      </c>
      <c r="BF170" s="769">
        <v>25.932768227962047</v>
      </c>
      <c r="BG170" s="769">
        <v>26</v>
      </c>
      <c r="BH170" s="771">
        <v>181.2454278344064</v>
      </c>
      <c r="BI170" s="771">
        <v>184.55002871279223</v>
      </c>
      <c r="BJ170" s="771">
        <v>187.91488152192139</v>
      </c>
      <c r="BK170" s="772">
        <v>201.12365293471234</v>
      </c>
      <c r="BL170" s="772">
        <v>214.33242434750329</v>
      </c>
      <c r="BM170" s="772">
        <v>227.54119576029419</v>
      </c>
      <c r="BN170" s="772">
        <v>240.74996717308514</v>
      </c>
      <c r="BO170" s="772">
        <v>256.36847302971171</v>
      </c>
      <c r="BP170" s="772">
        <v>271.98697888633831</v>
      </c>
      <c r="BQ170" s="772">
        <v>315.28596077560968</v>
      </c>
      <c r="BR170" s="772">
        <v>366.87373400505913</v>
      </c>
      <c r="BS170" s="772">
        <v>389.52490956896588</v>
      </c>
      <c r="BT170" s="772">
        <v>401.96394040198737</v>
      </c>
      <c r="BU170" s="772">
        <v>414.84573049698332</v>
      </c>
      <c r="BV170" s="772">
        <v>428.03745207536167</v>
      </c>
      <c r="BW170" s="771">
        <v>149.68021287448167</v>
      </c>
      <c r="BX170" s="771">
        <v>152.4092933751711</v>
      </c>
      <c r="BY170" s="771">
        <v>155.18813249282272</v>
      </c>
      <c r="BZ170" s="772">
        <v>166.09649989552085</v>
      </c>
      <c r="CA170" s="772">
        <v>177.00486729821901</v>
      </c>
      <c r="CB170" s="772">
        <v>187.91323470091712</v>
      </c>
      <c r="CC170" s="772">
        <v>198.82160210361525</v>
      </c>
      <c r="CD170" s="772">
        <v>211.72003109757091</v>
      </c>
      <c r="CE170" s="772">
        <v>224.61846009152657</v>
      </c>
      <c r="CF170" s="772">
        <v>260.37660805626194</v>
      </c>
      <c r="CG170" s="772">
        <v>302.97999381316686</v>
      </c>
      <c r="CH170" s="772">
        <v>321.6863017226853</v>
      </c>
      <c r="CI170" s="772">
        <v>331.9589844892817</v>
      </c>
      <c r="CJ170" s="772">
        <v>342.59731675874463</v>
      </c>
      <c r="CK170" s="772">
        <v>353.49160368021444</v>
      </c>
      <c r="CL170" s="771">
        <v>26.474051256711046</v>
      </c>
      <c r="CM170" s="771">
        <v>26.956745767037066</v>
      </c>
      <c r="CN170" s="771">
        <v>27.448241121179528</v>
      </c>
      <c r="CO170" s="772">
        <v>29.377612226418655</v>
      </c>
      <c r="CP170" s="772">
        <v>31.306983331657783</v>
      </c>
      <c r="CQ170" s="772">
        <v>33.236354436896903</v>
      </c>
      <c r="CR170" s="772">
        <v>35.16572554213603</v>
      </c>
      <c r="CS170" s="772">
        <v>37.447080330182608</v>
      </c>
      <c r="CT170" s="772">
        <v>39.728435118229186</v>
      </c>
      <c r="CU170" s="772">
        <v>46.053005506549731</v>
      </c>
      <c r="CV170" s="772">
        <v>53.588298225458075</v>
      </c>
      <c r="CW170" s="772">
        <v>56.896896903332099</v>
      </c>
      <c r="CX170" s="772">
        <v>58.71383399130152</v>
      </c>
      <c r="CY170" s="772">
        <v>60.59544378045824</v>
      </c>
      <c r="CZ170" s="772">
        <v>62.522324460446086</v>
      </c>
      <c r="DA170" s="773">
        <v>0</v>
      </c>
      <c r="DB170" s="773">
        <v>0</v>
      </c>
      <c r="DC170" s="773">
        <v>0</v>
      </c>
      <c r="DD170" s="774">
        <v>0</v>
      </c>
      <c r="DE170" s="774">
        <v>0</v>
      </c>
      <c r="DF170" s="774">
        <v>0</v>
      </c>
      <c r="DG170" s="774">
        <v>0</v>
      </c>
      <c r="DH170" s="774">
        <v>0</v>
      </c>
      <c r="DI170" s="774">
        <v>0</v>
      </c>
      <c r="DJ170" s="774">
        <v>0</v>
      </c>
      <c r="DK170" s="774">
        <v>0</v>
      </c>
      <c r="DL170" s="774">
        <v>0</v>
      </c>
      <c r="DM170" s="774">
        <v>0</v>
      </c>
      <c r="DN170" s="774">
        <v>0</v>
      </c>
      <c r="DO170" s="774">
        <v>0</v>
      </c>
      <c r="DP170" s="773">
        <v>0</v>
      </c>
      <c r="DQ170" s="773">
        <v>0</v>
      </c>
      <c r="DR170" s="773">
        <v>0</v>
      </c>
      <c r="DS170" s="774">
        <v>0</v>
      </c>
      <c r="DT170" s="774">
        <v>0</v>
      </c>
      <c r="DU170" s="774">
        <v>0</v>
      </c>
      <c r="DV170" s="774">
        <v>0</v>
      </c>
      <c r="DW170" s="774">
        <v>0</v>
      </c>
      <c r="DX170" s="774">
        <v>0</v>
      </c>
      <c r="DY170" s="774">
        <v>0</v>
      </c>
      <c r="DZ170" s="774">
        <v>0</v>
      </c>
      <c r="EA170" s="774">
        <v>0</v>
      </c>
      <c r="EB170" s="774">
        <v>0</v>
      </c>
      <c r="EC170" s="774">
        <v>0</v>
      </c>
      <c r="ED170" s="774">
        <v>0</v>
      </c>
    </row>
    <row r="171" spans="1:134" ht="15" x14ac:dyDescent="0.25">
      <c r="A171" s="766">
        <v>113</v>
      </c>
      <c r="B171" s="766">
        <v>92</v>
      </c>
      <c r="C171" s="766" t="s">
        <v>3842</v>
      </c>
      <c r="D171" s="2">
        <v>99703</v>
      </c>
      <c r="E171" s="2">
        <v>99703</v>
      </c>
      <c r="F171" s="767" t="s">
        <v>3746</v>
      </c>
      <c r="G171" s="114">
        <v>228</v>
      </c>
      <c r="H171" s="114">
        <v>3</v>
      </c>
      <c r="I171" s="114">
        <v>0</v>
      </c>
      <c r="J171" s="114">
        <v>3</v>
      </c>
      <c r="K171" s="114">
        <v>0</v>
      </c>
      <c r="L171" s="114">
        <v>0</v>
      </c>
      <c r="M171" s="114">
        <v>0</v>
      </c>
      <c r="N171" s="114">
        <v>0</v>
      </c>
      <c r="O171" s="114">
        <v>0</v>
      </c>
      <c r="P171" s="114">
        <v>0</v>
      </c>
      <c r="Q171" s="114">
        <v>0</v>
      </c>
      <c r="R171" s="114">
        <v>0</v>
      </c>
      <c r="S171" s="114">
        <v>834.49503068156923</v>
      </c>
      <c r="T171" s="114">
        <v>834.49503068156923</v>
      </c>
      <c r="U171" s="114">
        <v>1408.3846153846155</v>
      </c>
      <c r="V171" s="114">
        <v>0</v>
      </c>
      <c r="W171" s="114">
        <v>0</v>
      </c>
      <c r="X171" s="114">
        <v>1365.173957061457</v>
      </c>
      <c r="Y171" s="114">
        <v>6.8737006237006237E-2</v>
      </c>
      <c r="Z171" s="114">
        <v>2.9273648648648649</v>
      </c>
      <c r="AA171" s="114">
        <v>3.8981288981288983E-3</v>
      </c>
      <c r="AB171" s="657">
        <v>0</v>
      </c>
      <c r="AC171" s="657">
        <v>0</v>
      </c>
      <c r="AD171" s="768">
        <v>3</v>
      </c>
      <c r="AE171" s="769">
        <v>0</v>
      </c>
      <c r="AF171" s="769">
        <v>0</v>
      </c>
      <c r="AG171" s="770">
        <v>0</v>
      </c>
      <c r="AH171" s="769">
        <v>0</v>
      </c>
      <c r="AI171" s="769">
        <v>6.7411677769188119E-2</v>
      </c>
      <c r="AJ171" s="769">
        <v>2.8709219063554614</v>
      </c>
      <c r="AK171" s="769">
        <v>2.9383335841246496</v>
      </c>
      <c r="AL171" s="769">
        <v>3.8229684935267363E-3</v>
      </c>
      <c r="AM171" s="769">
        <v>0</v>
      </c>
      <c r="AN171" s="769">
        <v>0</v>
      </c>
      <c r="AO171" s="769">
        <v>0</v>
      </c>
      <c r="AP171" s="769">
        <v>0</v>
      </c>
      <c r="AQ171" s="769">
        <v>0</v>
      </c>
      <c r="AR171" s="769">
        <v>0</v>
      </c>
      <c r="AS171" s="769">
        <v>2.8816791361034624</v>
      </c>
      <c r="AT171" s="769">
        <v>2.9098684823002072</v>
      </c>
      <c r="AU171" s="769">
        <v>2.9383335841246496</v>
      </c>
      <c r="AV171" s="769">
        <v>2.9670771390911508</v>
      </c>
      <c r="AW171" s="769">
        <v>2.996101871101871</v>
      </c>
      <c r="AX171" s="769">
        <v>0</v>
      </c>
      <c r="AY171" s="769">
        <v>0</v>
      </c>
      <c r="AZ171" s="769">
        <v>0</v>
      </c>
      <c r="BA171" s="769">
        <v>0</v>
      </c>
      <c r="BB171" s="769">
        <v>0</v>
      </c>
      <c r="BC171" s="769">
        <v>0</v>
      </c>
      <c r="BD171" s="769">
        <v>0</v>
      </c>
      <c r="BE171" s="769">
        <v>0</v>
      </c>
      <c r="BF171" s="769">
        <v>0</v>
      </c>
      <c r="BG171" s="769">
        <v>0</v>
      </c>
      <c r="BH171" s="771">
        <v>3.0085511972689858</v>
      </c>
      <c r="BI171" s="771">
        <v>3.0210522525590346</v>
      </c>
      <c r="BJ171" s="771">
        <v>3.033605251915553</v>
      </c>
      <c r="BK171" s="772">
        <v>3.033605251915553</v>
      </c>
      <c r="BL171" s="772">
        <v>3.033605251915553</v>
      </c>
      <c r="BM171" s="772">
        <v>3.033605251915553</v>
      </c>
      <c r="BN171" s="772">
        <v>3.033605251915553</v>
      </c>
      <c r="BO171" s="772">
        <v>3.033605251915553</v>
      </c>
      <c r="BP171" s="772">
        <v>3.033605251915553</v>
      </c>
      <c r="BQ171" s="772">
        <v>3.033605251915553</v>
      </c>
      <c r="BR171" s="772">
        <v>3.033605251915553</v>
      </c>
      <c r="BS171" s="772">
        <v>3.033605251915553</v>
      </c>
      <c r="BT171" s="772">
        <v>3.033605251915553</v>
      </c>
      <c r="BU171" s="772">
        <v>3.033605251915553</v>
      </c>
      <c r="BV171" s="772">
        <v>3.033605251915553</v>
      </c>
      <c r="BW171" s="771">
        <v>0</v>
      </c>
      <c r="BX171" s="771">
        <v>0</v>
      </c>
      <c r="BY171" s="771">
        <v>0</v>
      </c>
      <c r="BZ171" s="772">
        <v>0</v>
      </c>
      <c r="CA171" s="772">
        <v>0</v>
      </c>
      <c r="CB171" s="772">
        <v>0</v>
      </c>
      <c r="CC171" s="772">
        <v>0</v>
      </c>
      <c r="CD171" s="772">
        <v>0</v>
      </c>
      <c r="CE171" s="772">
        <v>0</v>
      </c>
      <c r="CF171" s="772">
        <v>0</v>
      </c>
      <c r="CG171" s="772">
        <v>0</v>
      </c>
      <c r="CH171" s="772">
        <v>0</v>
      </c>
      <c r="CI171" s="772">
        <v>0</v>
      </c>
      <c r="CJ171" s="772">
        <v>0</v>
      </c>
      <c r="CK171" s="772">
        <v>0</v>
      </c>
      <c r="CL171" s="771">
        <v>0</v>
      </c>
      <c r="CM171" s="771">
        <v>0</v>
      </c>
      <c r="CN171" s="771">
        <v>0</v>
      </c>
      <c r="CO171" s="772">
        <v>0</v>
      </c>
      <c r="CP171" s="772">
        <v>0</v>
      </c>
      <c r="CQ171" s="772">
        <v>0</v>
      </c>
      <c r="CR171" s="772">
        <v>0</v>
      </c>
      <c r="CS171" s="772">
        <v>0</v>
      </c>
      <c r="CT171" s="772">
        <v>0</v>
      </c>
      <c r="CU171" s="772">
        <v>0</v>
      </c>
      <c r="CV171" s="772">
        <v>0</v>
      </c>
      <c r="CW171" s="772">
        <v>0</v>
      </c>
      <c r="CX171" s="772">
        <v>0</v>
      </c>
      <c r="CY171" s="772">
        <v>0</v>
      </c>
      <c r="CZ171" s="772">
        <v>0</v>
      </c>
      <c r="DA171" s="773">
        <v>3.9143263040189776E-3</v>
      </c>
      <c r="DB171" s="773">
        <v>3.9305910129573711E-3</v>
      </c>
      <c r="DC171" s="773">
        <v>3.9469233045999908E-3</v>
      </c>
      <c r="DD171" s="774">
        <v>3.9469233045999908E-3</v>
      </c>
      <c r="DE171" s="774">
        <v>3.9469233045999908E-3</v>
      </c>
      <c r="DF171" s="774">
        <v>3.9469233045999908E-3</v>
      </c>
      <c r="DG171" s="774">
        <v>3.9469233045999908E-3</v>
      </c>
      <c r="DH171" s="774">
        <v>3.9469233045999908E-3</v>
      </c>
      <c r="DI171" s="774">
        <v>3.9469233045999908E-3</v>
      </c>
      <c r="DJ171" s="774">
        <v>3.9469233045999908E-3</v>
      </c>
      <c r="DK171" s="774">
        <v>3.9469233045999908E-3</v>
      </c>
      <c r="DL171" s="774">
        <v>3.9469233045999908E-3</v>
      </c>
      <c r="DM171" s="774">
        <v>3.9469233045999908E-3</v>
      </c>
      <c r="DN171" s="774">
        <v>3.9469233045999908E-3</v>
      </c>
      <c r="DO171" s="774">
        <v>3.9469233045999908E-3</v>
      </c>
      <c r="DP171" s="773">
        <v>0</v>
      </c>
      <c r="DQ171" s="773">
        <v>0</v>
      </c>
      <c r="DR171" s="773">
        <v>0</v>
      </c>
      <c r="DS171" s="774">
        <v>0</v>
      </c>
      <c r="DT171" s="774">
        <v>0</v>
      </c>
      <c r="DU171" s="774">
        <v>0</v>
      </c>
      <c r="DV171" s="774">
        <v>0</v>
      </c>
      <c r="DW171" s="774">
        <v>0</v>
      </c>
      <c r="DX171" s="774">
        <v>0</v>
      </c>
      <c r="DY171" s="774">
        <v>0</v>
      </c>
      <c r="DZ171" s="774">
        <v>0</v>
      </c>
      <c r="EA171" s="774">
        <v>0</v>
      </c>
      <c r="EB171" s="774">
        <v>0</v>
      </c>
      <c r="EC171" s="774">
        <v>0</v>
      </c>
      <c r="ED171" s="774">
        <v>0</v>
      </c>
    </row>
    <row r="172" spans="1:134" ht="15" x14ac:dyDescent="0.25">
      <c r="A172" s="766">
        <v>115</v>
      </c>
      <c r="B172" s="766">
        <v>92</v>
      </c>
      <c r="C172" s="766" t="s">
        <v>3843</v>
      </c>
      <c r="D172" s="2">
        <v>99705</v>
      </c>
      <c r="E172" s="2">
        <v>99705</v>
      </c>
      <c r="F172" s="767" t="s">
        <v>3746</v>
      </c>
      <c r="G172" s="114">
        <v>348</v>
      </c>
      <c r="H172" s="114">
        <v>158</v>
      </c>
      <c r="I172" s="114">
        <v>136</v>
      </c>
      <c r="J172" s="114">
        <v>22</v>
      </c>
      <c r="K172" s="114">
        <v>3</v>
      </c>
      <c r="L172" s="114">
        <v>130</v>
      </c>
      <c r="M172" s="114">
        <v>133</v>
      </c>
      <c r="N172" s="114">
        <v>6</v>
      </c>
      <c r="O172" s="114">
        <v>0</v>
      </c>
      <c r="P172" s="114">
        <v>0</v>
      </c>
      <c r="Q172" s="114">
        <v>139</v>
      </c>
      <c r="R172" s="114">
        <v>4293</v>
      </c>
      <c r="S172" s="114">
        <v>1719.2692307692307</v>
      </c>
      <c r="T172" s="114">
        <v>1777.3233082706768</v>
      </c>
      <c r="U172" s="114">
        <v>18915.166666666668</v>
      </c>
      <c r="V172" s="114">
        <v>0</v>
      </c>
      <c r="W172" s="114">
        <v>0</v>
      </c>
      <c r="X172" s="114">
        <v>2517.0863309352517</v>
      </c>
      <c r="Y172" s="114">
        <v>3.5639097744360901</v>
      </c>
      <c r="Z172" s="114">
        <v>154.4360902255639</v>
      </c>
      <c r="AA172" s="114">
        <v>0</v>
      </c>
      <c r="AB172" s="657">
        <v>6</v>
      </c>
      <c r="AC172" s="657">
        <v>0</v>
      </c>
      <c r="AD172" s="768">
        <v>164</v>
      </c>
      <c r="AE172" s="769">
        <v>3.0676691729323307</v>
      </c>
      <c r="AF172" s="769">
        <v>132.93233082706766</v>
      </c>
      <c r="AG172" s="770">
        <v>136</v>
      </c>
      <c r="AH172" s="769">
        <v>0</v>
      </c>
      <c r="AI172" s="769">
        <v>3.3078489165766007</v>
      </c>
      <c r="AJ172" s="769">
        <v>143.34011971831936</v>
      </c>
      <c r="AK172" s="769">
        <v>146.64796863489596</v>
      </c>
      <c r="AL172" s="769">
        <v>0</v>
      </c>
      <c r="AM172" s="769">
        <v>2.8618662502854435</v>
      </c>
      <c r="AN172" s="769">
        <v>124.01420417903589</v>
      </c>
      <c r="AO172" s="769">
        <v>126.87607042932133</v>
      </c>
      <c r="AP172" s="769">
        <v>0</v>
      </c>
      <c r="AQ172" s="769">
        <v>5.6406460040094561</v>
      </c>
      <c r="AR172" s="769">
        <v>0</v>
      </c>
      <c r="AS172" s="769">
        <v>136.11156142241413</v>
      </c>
      <c r="AT172" s="769">
        <v>141.28157696713646</v>
      </c>
      <c r="AU172" s="769">
        <v>146.64796863489596</v>
      </c>
      <c r="AV172" s="769">
        <v>152.21819550997694</v>
      </c>
      <c r="AW172" s="769">
        <v>158</v>
      </c>
      <c r="AX172" s="769">
        <v>118.36424446754492</v>
      </c>
      <c r="AY172" s="769">
        <v>122.54627786015223</v>
      </c>
      <c r="AZ172" s="769">
        <v>126.87607042932135</v>
      </c>
      <c r="BA172" s="769">
        <v>131.3588427871824</v>
      </c>
      <c r="BB172" s="769">
        <v>136</v>
      </c>
      <c r="BC172" s="769">
        <v>5.302814557091307</v>
      </c>
      <c r="BD172" s="769">
        <v>5.4691223922545618</v>
      </c>
      <c r="BE172" s="769">
        <v>5.6406460040094561</v>
      </c>
      <c r="BF172" s="769">
        <v>5.8175489704906429</v>
      </c>
      <c r="BG172" s="769">
        <v>6</v>
      </c>
      <c r="BH172" s="771">
        <v>161.80457323769195</v>
      </c>
      <c r="BI172" s="771">
        <v>165.70075899133934</v>
      </c>
      <c r="BJ172" s="771">
        <v>169.69076325161592</v>
      </c>
      <c r="BK172" s="772">
        <v>170.97119469236713</v>
      </c>
      <c r="BL172" s="772">
        <v>172.25162613311841</v>
      </c>
      <c r="BM172" s="772">
        <v>173.53205757386965</v>
      </c>
      <c r="BN172" s="772">
        <v>174.81248901462087</v>
      </c>
      <c r="BO172" s="772">
        <v>176.3265152121684</v>
      </c>
      <c r="BP172" s="772">
        <v>177.84054140971591</v>
      </c>
      <c r="BQ172" s="772">
        <v>182.03785666568692</v>
      </c>
      <c r="BR172" s="772">
        <v>187.03867049893771</v>
      </c>
      <c r="BS172" s="772">
        <v>189.23442939699211</v>
      </c>
      <c r="BT172" s="772">
        <v>190.44024375120608</v>
      </c>
      <c r="BU172" s="772">
        <v>191.68897828792601</v>
      </c>
      <c r="BV172" s="772">
        <v>192.96775695240007</v>
      </c>
      <c r="BW172" s="771">
        <v>139.27482253370954</v>
      </c>
      <c r="BX172" s="771">
        <v>142.62850141026678</v>
      </c>
      <c r="BY172" s="771">
        <v>146.06293545708712</v>
      </c>
      <c r="BZ172" s="772">
        <v>147.16507897570841</v>
      </c>
      <c r="CA172" s="772">
        <v>148.26722249432976</v>
      </c>
      <c r="CB172" s="772">
        <v>149.3693660129511</v>
      </c>
      <c r="CC172" s="772">
        <v>150.47150953157239</v>
      </c>
      <c r="CD172" s="772">
        <v>151.77472195477785</v>
      </c>
      <c r="CE172" s="772">
        <v>153.07793437798333</v>
      </c>
      <c r="CF172" s="772">
        <v>156.69081333248999</v>
      </c>
      <c r="CG172" s="772">
        <v>160.99531131554133</v>
      </c>
      <c r="CH172" s="772">
        <v>162.88533163285396</v>
      </c>
      <c r="CI172" s="772">
        <v>163.92324778584828</v>
      </c>
      <c r="CJ172" s="772">
        <v>164.99810789340466</v>
      </c>
      <c r="CK172" s="772">
        <v>166.09882876915449</v>
      </c>
      <c r="CL172" s="771">
        <v>6.1444774647224794</v>
      </c>
      <c r="CM172" s="771">
        <v>6.2924338857470641</v>
      </c>
      <c r="CN172" s="771">
        <v>6.4439530348714902</v>
      </c>
      <c r="CO172" s="772">
        <v>6.4925770136341949</v>
      </c>
      <c r="CP172" s="772">
        <v>6.5412009923969006</v>
      </c>
      <c r="CQ172" s="772">
        <v>6.5898249711596062</v>
      </c>
      <c r="CR172" s="772">
        <v>6.6384489499223109</v>
      </c>
      <c r="CS172" s="772">
        <v>6.6959436156519638</v>
      </c>
      <c r="CT172" s="772">
        <v>6.7534382813816167</v>
      </c>
      <c r="CU172" s="772">
        <v>6.9128299999627938</v>
      </c>
      <c r="CV172" s="772">
        <v>7.1027343227444693</v>
      </c>
      <c r="CW172" s="772">
        <v>7.1861175720376744</v>
      </c>
      <c r="CX172" s="772">
        <v>7.2319079905521289</v>
      </c>
      <c r="CY172" s="772">
        <v>7.2793282894149112</v>
      </c>
      <c r="CZ172" s="772">
        <v>7.3278895045215204</v>
      </c>
      <c r="DA172" s="773">
        <v>0</v>
      </c>
      <c r="DB172" s="773">
        <v>0</v>
      </c>
      <c r="DC172" s="773">
        <v>0</v>
      </c>
      <c r="DD172" s="774">
        <v>0</v>
      </c>
      <c r="DE172" s="774">
        <v>0</v>
      </c>
      <c r="DF172" s="774">
        <v>0</v>
      </c>
      <c r="DG172" s="774">
        <v>0</v>
      </c>
      <c r="DH172" s="774">
        <v>0</v>
      </c>
      <c r="DI172" s="774">
        <v>0</v>
      </c>
      <c r="DJ172" s="774">
        <v>0</v>
      </c>
      <c r="DK172" s="774">
        <v>0</v>
      </c>
      <c r="DL172" s="774">
        <v>0</v>
      </c>
      <c r="DM172" s="774">
        <v>0</v>
      </c>
      <c r="DN172" s="774">
        <v>0</v>
      </c>
      <c r="DO172" s="774">
        <v>0</v>
      </c>
      <c r="DP172" s="773">
        <v>0</v>
      </c>
      <c r="DQ172" s="773">
        <v>0</v>
      </c>
      <c r="DR172" s="773">
        <v>0</v>
      </c>
      <c r="DS172" s="774">
        <v>0</v>
      </c>
      <c r="DT172" s="774">
        <v>0</v>
      </c>
      <c r="DU172" s="774">
        <v>0</v>
      </c>
      <c r="DV172" s="774">
        <v>0</v>
      </c>
      <c r="DW172" s="774">
        <v>0</v>
      </c>
      <c r="DX172" s="774">
        <v>0</v>
      </c>
      <c r="DY172" s="774">
        <v>0</v>
      </c>
      <c r="DZ172" s="774">
        <v>0</v>
      </c>
      <c r="EA172" s="774">
        <v>0</v>
      </c>
      <c r="EB172" s="774">
        <v>0</v>
      </c>
      <c r="EC172" s="774">
        <v>0</v>
      </c>
      <c r="ED172" s="774">
        <v>0</v>
      </c>
    </row>
    <row r="173" spans="1:134" ht="15" x14ac:dyDescent="0.25">
      <c r="A173" s="766">
        <v>116</v>
      </c>
      <c r="B173" s="766">
        <v>92</v>
      </c>
      <c r="C173" s="766" t="s">
        <v>3844</v>
      </c>
      <c r="D173" s="2">
        <v>99705</v>
      </c>
      <c r="E173" s="2">
        <v>99705</v>
      </c>
      <c r="F173" s="767" t="s">
        <v>3746</v>
      </c>
      <c r="G173" s="114">
        <v>856</v>
      </c>
      <c r="H173" s="114">
        <v>324</v>
      </c>
      <c r="I173" s="114">
        <v>300</v>
      </c>
      <c r="J173" s="114">
        <v>24</v>
      </c>
      <c r="K173" s="114">
        <v>2</v>
      </c>
      <c r="L173" s="114">
        <v>210</v>
      </c>
      <c r="M173" s="114">
        <v>212</v>
      </c>
      <c r="N173" s="114">
        <v>11</v>
      </c>
      <c r="O173" s="114">
        <v>0</v>
      </c>
      <c r="P173" s="114">
        <v>0</v>
      </c>
      <c r="Q173" s="114">
        <v>223</v>
      </c>
      <c r="R173" s="114">
        <v>4232</v>
      </c>
      <c r="S173" s="114">
        <v>2089.361904761905</v>
      </c>
      <c r="T173" s="114">
        <v>2109.5754716981137</v>
      </c>
      <c r="U173" s="114">
        <v>3282.5454545454545</v>
      </c>
      <c r="V173" s="114">
        <v>0</v>
      </c>
      <c r="W173" s="114">
        <v>0</v>
      </c>
      <c r="X173" s="114">
        <v>2167.4349775784754</v>
      </c>
      <c r="Y173" s="114">
        <v>3.0566037735849059</v>
      </c>
      <c r="Z173" s="114">
        <v>320.94339622641508</v>
      </c>
      <c r="AA173" s="114">
        <v>0</v>
      </c>
      <c r="AB173" s="657">
        <v>11</v>
      </c>
      <c r="AC173" s="657">
        <v>0</v>
      </c>
      <c r="AD173" s="768">
        <v>335</v>
      </c>
      <c r="AE173" s="769">
        <v>2.8301886792452833</v>
      </c>
      <c r="AF173" s="769">
        <v>297.16981132075466</v>
      </c>
      <c r="AG173" s="770">
        <v>299.99999999999994</v>
      </c>
      <c r="AH173" s="769">
        <v>0</v>
      </c>
      <c r="AI173" s="769">
        <v>2.8369919893543285</v>
      </c>
      <c r="AJ173" s="769">
        <v>297.88415888220447</v>
      </c>
      <c r="AK173" s="769">
        <v>300.72115087155879</v>
      </c>
      <c r="AL173" s="769">
        <v>0</v>
      </c>
      <c r="AM173" s="769">
        <v>2.6403177808543568</v>
      </c>
      <c r="AN173" s="769">
        <v>277.23336698970735</v>
      </c>
      <c r="AO173" s="769">
        <v>279.87368477056168</v>
      </c>
      <c r="AP173" s="769">
        <v>0</v>
      </c>
      <c r="AQ173" s="769">
        <v>10.341184340684002</v>
      </c>
      <c r="AR173" s="769">
        <v>0</v>
      </c>
      <c r="AS173" s="769">
        <v>279.11484747381121</v>
      </c>
      <c r="AT173" s="769">
        <v>289.71665150222918</v>
      </c>
      <c r="AU173" s="769">
        <v>300.72115087155879</v>
      </c>
      <c r="AV173" s="769">
        <v>312.14364142552233</v>
      </c>
      <c r="AW173" s="769">
        <v>324</v>
      </c>
      <c r="AX173" s="769">
        <v>261.09759809017254</v>
      </c>
      <c r="AY173" s="769">
        <v>270.32267175033576</v>
      </c>
      <c r="AZ173" s="769">
        <v>279.87368477056174</v>
      </c>
      <c r="BA173" s="769">
        <v>289.76215320701994</v>
      </c>
      <c r="BB173" s="769">
        <v>299.99999999999994</v>
      </c>
      <c r="BC173" s="769">
        <v>9.7218266880007302</v>
      </c>
      <c r="BD173" s="769">
        <v>10.02672438580003</v>
      </c>
      <c r="BE173" s="769">
        <v>10.341184340684002</v>
      </c>
      <c r="BF173" s="769">
        <v>10.665506445899512</v>
      </c>
      <c r="BG173" s="769">
        <v>11</v>
      </c>
      <c r="BH173" s="771">
        <v>331.75995871624991</v>
      </c>
      <c r="BI173" s="771">
        <v>339.705772245086</v>
      </c>
      <c r="BJ173" s="771">
        <v>347.84189190031339</v>
      </c>
      <c r="BK173" s="772">
        <v>353.86449276365613</v>
      </c>
      <c r="BL173" s="772">
        <v>359.88709362699882</v>
      </c>
      <c r="BM173" s="772">
        <v>365.90969449034168</v>
      </c>
      <c r="BN173" s="772">
        <v>371.93229535368437</v>
      </c>
      <c r="BO173" s="772">
        <v>379.05362586328459</v>
      </c>
      <c r="BP173" s="772">
        <v>386.17495637288476</v>
      </c>
      <c r="BQ173" s="772">
        <v>405.91732888874685</v>
      </c>
      <c r="BR173" s="772">
        <v>429.43901443239605</v>
      </c>
      <c r="BS173" s="772">
        <v>439.76692345918184</v>
      </c>
      <c r="BT173" s="772">
        <v>445.43855751907296</v>
      </c>
      <c r="BU173" s="772">
        <v>451.31206972721037</v>
      </c>
      <c r="BV173" s="772">
        <v>457.32689663912004</v>
      </c>
      <c r="BW173" s="771">
        <v>307.18514695949062</v>
      </c>
      <c r="BX173" s="771">
        <v>314.5423817084129</v>
      </c>
      <c r="BY173" s="771">
        <v>322.07582583362341</v>
      </c>
      <c r="BZ173" s="772">
        <v>327.65230811449629</v>
      </c>
      <c r="CA173" s="772">
        <v>333.22879039536923</v>
      </c>
      <c r="CB173" s="772">
        <v>338.80527267624217</v>
      </c>
      <c r="CC173" s="772">
        <v>344.38175495711505</v>
      </c>
      <c r="CD173" s="772">
        <v>350.97557950304116</v>
      </c>
      <c r="CE173" s="772">
        <v>357.56940404896727</v>
      </c>
      <c r="CF173" s="772">
        <v>375.84937860069141</v>
      </c>
      <c r="CG173" s="772">
        <v>397.62871706703328</v>
      </c>
      <c r="CH173" s="772">
        <v>407.1915957955386</v>
      </c>
      <c r="CI173" s="772">
        <v>412.44310881395631</v>
      </c>
      <c r="CJ173" s="772">
        <v>417.88154604371317</v>
      </c>
      <c r="CK173" s="772">
        <v>423.45083022140733</v>
      </c>
      <c r="CL173" s="771">
        <v>11.263455388514659</v>
      </c>
      <c r="CM173" s="771">
        <v>11.533220662641808</v>
      </c>
      <c r="CN173" s="771">
        <v>11.80944694723286</v>
      </c>
      <c r="CO173" s="772">
        <v>12.0139179641982</v>
      </c>
      <c r="CP173" s="772">
        <v>12.218388981163539</v>
      </c>
      <c r="CQ173" s="772">
        <v>12.422859998128882</v>
      </c>
      <c r="CR173" s="772">
        <v>12.627331015094221</v>
      </c>
      <c r="CS173" s="772">
        <v>12.86910458177818</v>
      </c>
      <c r="CT173" s="772">
        <v>13.110878148462136</v>
      </c>
      <c r="CU173" s="772">
        <v>13.781143882025354</v>
      </c>
      <c r="CV173" s="772">
        <v>14.579719625791222</v>
      </c>
      <c r="CW173" s="772">
        <v>14.930358512503085</v>
      </c>
      <c r="CX173" s="772">
        <v>15.122913989845069</v>
      </c>
      <c r="CY173" s="772">
        <v>15.322323354936152</v>
      </c>
      <c r="CZ173" s="772">
        <v>15.526530441451603</v>
      </c>
      <c r="DA173" s="773">
        <v>0</v>
      </c>
      <c r="DB173" s="773">
        <v>0</v>
      </c>
      <c r="DC173" s="773">
        <v>0</v>
      </c>
      <c r="DD173" s="774">
        <v>0</v>
      </c>
      <c r="DE173" s="774">
        <v>0</v>
      </c>
      <c r="DF173" s="774">
        <v>0</v>
      </c>
      <c r="DG173" s="774">
        <v>0</v>
      </c>
      <c r="DH173" s="774">
        <v>0</v>
      </c>
      <c r="DI173" s="774">
        <v>0</v>
      </c>
      <c r="DJ173" s="774">
        <v>0</v>
      </c>
      <c r="DK173" s="774">
        <v>0</v>
      </c>
      <c r="DL173" s="774">
        <v>0</v>
      </c>
      <c r="DM173" s="774">
        <v>0</v>
      </c>
      <c r="DN173" s="774">
        <v>0</v>
      </c>
      <c r="DO173" s="774">
        <v>0</v>
      </c>
      <c r="DP173" s="773">
        <v>0</v>
      </c>
      <c r="DQ173" s="773">
        <v>0</v>
      </c>
      <c r="DR173" s="773">
        <v>0</v>
      </c>
      <c r="DS173" s="774">
        <v>0</v>
      </c>
      <c r="DT173" s="774">
        <v>0</v>
      </c>
      <c r="DU173" s="774">
        <v>0</v>
      </c>
      <c r="DV173" s="774">
        <v>0</v>
      </c>
      <c r="DW173" s="774">
        <v>0</v>
      </c>
      <c r="DX173" s="774">
        <v>0</v>
      </c>
      <c r="DY173" s="774">
        <v>0</v>
      </c>
      <c r="DZ173" s="774">
        <v>0</v>
      </c>
      <c r="EA173" s="774">
        <v>0</v>
      </c>
      <c r="EB173" s="774">
        <v>0</v>
      </c>
      <c r="EC173" s="774">
        <v>0</v>
      </c>
      <c r="ED173" s="774">
        <v>0</v>
      </c>
    </row>
    <row r="174" spans="1:134" ht="15" x14ac:dyDescent="0.25">
      <c r="A174" s="766">
        <v>117</v>
      </c>
      <c r="B174" s="766">
        <v>92</v>
      </c>
      <c r="C174" s="766" t="s">
        <v>3845</v>
      </c>
      <c r="D174" s="2">
        <v>99705</v>
      </c>
      <c r="E174" s="2">
        <v>99705</v>
      </c>
      <c r="F174" s="767" t="s">
        <v>3746</v>
      </c>
      <c r="G174" s="114">
        <v>81</v>
      </c>
      <c r="H174" s="114">
        <v>33</v>
      </c>
      <c r="I174" s="114">
        <v>31</v>
      </c>
      <c r="J174" s="114">
        <v>2</v>
      </c>
      <c r="K174" s="114">
        <v>1</v>
      </c>
      <c r="L174" s="114">
        <v>89</v>
      </c>
      <c r="M174" s="114">
        <v>90</v>
      </c>
      <c r="N174" s="114">
        <v>3</v>
      </c>
      <c r="O174" s="114">
        <v>0</v>
      </c>
      <c r="P174" s="114">
        <v>0</v>
      </c>
      <c r="Q174" s="114">
        <v>93</v>
      </c>
      <c r="R174" s="114">
        <v>3292</v>
      </c>
      <c r="S174" s="114">
        <v>2004.314606741573</v>
      </c>
      <c r="T174" s="114">
        <v>2018.6222222222223</v>
      </c>
      <c r="U174" s="114">
        <v>5510.666666666667</v>
      </c>
      <c r="V174" s="114">
        <v>0</v>
      </c>
      <c r="W174" s="114">
        <v>0</v>
      </c>
      <c r="X174" s="114">
        <v>2131.2688172043013</v>
      </c>
      <c r="Y174" s="114">
        <v>0.36666666666666664</v>
      </c>
      <c r="Z174" s="114">
        <v>32.633333333333333</v>
      </c>
      <c r="AA174" s="114">
        <v>0</v>
      </c>
      <c r="AB174" s="657">
        <v>3</v>
      </c>
      <c r="AC174" s="657">
        <v>0</v>
      </c>
      <c r="AD174" s="768">
        <v>36</v>
      </c>
      <c r="AE174" s="769">
        <v>0.34444444444444439</v>
      </c>
      <c r="AF174" s="769">
        <v>30.655555555555555</v>
      </c>
      <c r="AG174" s="770">
        <v>31</v>
      </c>
      <c r="AH174" s="769">
        <v>0</v>
      </c>
      <c r="AI174" s="769">
        <v>0.34032229008098219</v>
      </c>
      <c r="AJ174" s="769">
        <v>30.288683817207414</v>
      </c>
      <c r="AK174" s="769">
        <v>30.629006107288397</v>
      </c>
      <c r="AL174" s="769">
        <v>0</v>
      </c>
      <c r="AM174" s="769">
        <v>0.32133645288471901</v>
      </c>
      <c r="AN174" s="769">
        <v>28.598944306739998</v>
      </c>
      <c r="AO174" s="769">
        <v>28.920280759624717</v>
      </c>
      <c r="AP174" s="769">
        <v>0</v>
      </c>
      <c r="AQ174" s="769">
        <v>2.8203230020047281</v>
      </c>
      <c r="AR174" s="769">
        <v>0</v>
      </c>
      <c r="AS174" s="769">
        <v>28.428364094554848</v>
      </c>
      <c r="AT174" s="769">
        <v>29.508177467819639</v>
      </c>
      <c r="AU174" s="769">
        <v>30.629006107288397</v>
      </c>
      <c r="AV174" s="769">
        <v>31.792407922969865</v>
      </c>
      <c r="AW174" s="769">
        <v>33</v>
      </c>
      <c r="AX174" s="769">
        <v>26.980085135984503</v>
      </c>
      <c r="AY174" s="769">
        <v>27.933342747534699</v>
      </c>
      <c r="AZ174" s="769">
        <v>28.920280759624717</v>
      </c>
      <c r="BA174" s="769">
        <v>29.942089164725399</v>
      </c>
      <c r="BB174" s="769">
        <v>31</v>
      </c>
      <c r="BC174" s="769">
        <v>2.6514072785456535</v>
      </c>
      <c r="BD174" s="769">
        <v>2.7345611961272809</v>
      </c>
      <c r="BE174" s="769">
        <v>2.8203230020047281</v>
      </c>
      <c r="BF174" s="769">
        <v>2.9087744852453215</v>
      </c>
      <c r="BG174" s="769">
        <v>3</v>
      </c>
      <c r="BH174" s="771">
        <v>33.339034484247577</v>
      </c>
      <c r="BI174" s="771">
        <v>33.681552131571188</v>
      </c>
      <c r="BJ174" s="771">
        <v>34.027588727194981</v>
      </c>
      <c r="BK174" s="772">
        <v>35.145370464265028</v>
      </c>
      <c r="BL174" s="772">
        <v>36.263152201335082</v>
      </c>
      <c r="BM174" s="772">
        <v>37.380933938405136</v>
      </c>
      <c r="BN174" s="772">
        <v>38.498715675475182</v>
      </c>
      <c r="BO174" s="772">
        <v>39.820419266314289</v>
      </c>
      <c r="BP174" s="772">
        <v>41.142122857153403</v>
      </c>
      <c r="BQ174" s="772">
        <v>44.806264636659591</v>
      </c>
      <c r="BR174" s="772">
        <v>49.171838766903839</v>
      </c>
      <c r="BS174" s="772">
        <v>51.088676417980473</v>
      </c>
      <c r="BT174" s="772">
        <v>52.141319472923364</v>
      </c>
      <c r="BU174" s="772">
        <v>53.231430676983784</v>
      </c>
      <c r="BV174" s="772">
        <v>54.347769585426477</v>
      </c>
      <c r="BW174" s="771">
        <v>31.318486939747725</v>
      </c>
      <c r="BX174" s="771">
        <v>31.640245941778993</v>
      </c>
      <c r="BY174" s="771">
        <v>31.965310622516498</v>
      </c>
      <c r="BZ174" s="772">
        <v>33.01534801188533</v>
      </c>
      <c r="CA174" s="772">
        <v>34.065385401254169</v>
      </c>
      <c r="CB174" s="772">
        <v>35.115422790623001</v>
      </c>
      <c r="CC174" s="772">
        <v>36.165460179991832</v>
      </c>
      <c r="CD174" s="772">
        <v>37.407060522901304</v>
      </c>
      <c r="CE174" s="772">
        <v>38.648660865810776</v>
      </c>
      <c r="CF174" s="772">
        <v>42.090733446559014</v>
      </c>
      <c r="CG174" s="772">
        <v>46.191727326485427</v>
      </c>
      <c r="CH174" s="772">
        <v>47.992392998708929</v>
      </c>
      <c r="CI174" s="772">
        <v>48.981239504867396</v>
      </c>
      <c r="CJ174" s="772">
        <v>50.005283363227193</v>
      </c>
      <c r="CK174" s="772">
        <v>51.053965368127898</v>
      </c>
      <c r="CL174" s="771">
        <v>3.0308213167497797</v>
      </c>
      <c r="CM174" s="771">
        <v>3.0619592846882897</v>
      </c>
      <c r="CN174" s="771">
        <v>3.0934171570177256</v>
      </c>
      <c r="CO174" s="772">
        <v>3.1950336785695481</v>
      </c>
      <c r="CP174" s="772">
        <v>3.2966502001213711</v>
      </c>
      <c r="CQ174" s="772">
        <v>3.3982667216731941</v>
      </c>
      <c r="CR174" s="772">
        <v>3.4998832432250162</v>
      </c>
      <c r="CS174" s="772">
        <v>3.6200381151194807</v>
      </c>
      <c r="CT174" s="772">
        <v>3.7401929870139461</v>
      </c>
      <c r="CU174" s="772">
        <v>4.0732967851508723</v>
      </c>
      <c r="CV174" s="772">
        <v>4.4701671606276223</v>
      </c>
      <c r="CW174" s="772">
        <v>4.644425128907316</v>
      </c>
      <c r="CX174" s="772">
        <v>4.7401199520839414</v>
      </c>
      <c r="CY174" s="772">
        <v>4.839220970634889</v>
      </c>
      <c r="CZ174" s="772">
        <v>4.9407063259478612</v>
      </c>
      <c r="DA174" s="773">
        <v>0</v>
      </c>
      <c r="DB174" s="773">
        <v>0</v>
      </c>
      <c r="DC174" s="773">
        <v>0</v>
      </c>
      <c r="DD174" s="774">
        <v>0</v>
      </c>
      <c r="DE174" s="774">
        <v>0</v>
      </c>
      <c r="DF174" s="774">
        <v>0</v>
      </c>
      <c r="DG174" s="774">
        <v>0</v>
      </c>
      <c r="DH174" s="774">
        <v>0</v>
      </c>
      <c r="DI174" s="774">
        <v>0</v>
      </c>
      <c r="DJ174" s="774">
        <v>0</v>
      </c>
      <c r="DK174" s="774">
        <v>0</v>
      </c>
      <c r="DL174" s="774">
        <v>0</v>
      </c>
      <c r="DM174" s="774">
        <v>0</v>
      </c>
      <c r="DN174" s="774">
        <v>0</v>
      </c>
      <c r="DO174" s="774">
        <v>0</v>
      </c>
      <c r="DP174" s="773">
        <v>0</v>
      </c>
      <c r="DQ174" s="773">
        <v>0</v>
      </c>
      <c r="DR174" s="773">
        <v>0</v>
      </c>
      <c r="DS174" s="774">
        <v>0</v>
      </c>
      <c r="DT174" s="774">
        <v>0</v>
      </c>
      <c r="DU174" s="774">
        <v>0</v>
      </c>
      <c r="DV174" s="774">
        <v>0</v>
      </c>
      <c r="DW174" s="774">
        <v>0</v>
      </c>
      <c r="DX174" s="774">
        <v>0</v>
      </c>
      <c r="DY174" s="774">
        <v>0</v>
      </c>
      <c r="DZ174" s="774">
        <v>0</v>
      </c>
      <c r="EA174" s="774">
        <v>0</v>
      </c>
      <c r="EB174" s="774">
        <v>0</v>
      </c>
      <c r="EC174" s="774">
        <v>0</v>
      </c>
      <c r="ED174" s="774">
        <v>0</v>
      </c>
    </row>
    <row r="175" spans="1:134" ht="15" x14ac:dyDescent="0.25">
      <c r="A175" s="766">
        <v>118</v>
      </c>
      <c r="B175" s="766">
        <v>92</v>
      </c>
      <c r="C175" s="766" t="s">
        <v>3846</v>
      </c>
      <c r="D175" s="2">
        <v>99705</v>
      </c>
      <c r="E175" s="2">
        <v>99705</v>
      </c>
      <c r="F175" s="767" t="s">
        <v>3746</v>
      </c>
      <c r="G175" s="114">
        <v>123</v>
      </c>
      <c r="H175" s="114">
        <v>54</v>
      </c>
      <c r="I175" s="114">
        <v>49</v>
      </c>
      <c r="J175" s="114">
        <v>5</v>
      </c>
      <c r="K175" s="114">
        <v>0</v>
      </c>
      <c r="L175" s="114">
        <v>15</v>
      </c>
      <c r="M175" s="114">
        <v>15</v>
      </c>
      <c r="N175" s="114">
        <v>0</v>
      </c>
      <c r="O175" s="114">
        <v>0</v>
      </c>
      <c r="P175" s="114">
        <v>0</v>
      </c>
      <c r="Q175" s="114">
        <v>15</v>
      </c>
      <c r="R175" s="114">
        <v>0</v>
      </c>
      <c r="S175" s="114">
        <v>1687.8</v>
      </c>
      <c r="T175" s="114">
        <v>1687.8</v>
      </c>
      <c r="U175" s="114">
        <v>0</v>
      </c>
      <c r="V175" s="114">
        <v>0</v>
      </c>
      <c r="W175" s="114">
        <v>0</v>
      </c>
      <c r="X175" s="114">
        <v>1687.8</v>
      </c>
      <c r="Y175" s="114">
        <v>0</v>
      </c>
      <c r="Z175" s="114">
        <v>54</v>
      </c>
      <c r="AA175" s="114">
        <v>0</v>
      </c>
      <c r="AB175" s="657">
        <v>0</v>
      </c>
      <c r="AC175" s="657">
        <v>0</v>
      </c>
      <c r="AD175" s="768">
        <v>54</v>
      </c>
      <c r="AE175" s="769">
        <v>0</v>
      </c>
      <c r="AF175" s="769">
        <v>49</v>
      </c>
      <c r="AG175" s="770">
        <v>49</v>
      </c>
      <c r="AH175" s="769">
        <v>0</v>
      </c>
      <c r="AI175" s="769">
        <v>0</v>
      </c>
      <c r="AJ175" s="769">
        <v>50.120191811926468</v>
      </c>
      <c r="AK175" s="769">
        <v>50.120191811926468</v>
      </c>
      <c r="AL175" s="769">
        <v>0</v>
      </c>
      <c r="AM175" s="769">
        <v>0</v>
      </c>
      <c r="AN175" s="769">
        <v>45.712701845858426</v>
      </c>
      <c r="AO175" s="769">
        <v>45.712701845858426</v>
      </c>
      <c r="AP175" s="769">
        <v>0</v>
      </c>
      <c r="AQ175" s="769">
        <v>0</v>
      </c>
      <c r="AR175" s="769">
        <v>0</v>
      </c>
      <c r="AS175" s="769">
        <v>46.519141245635204</v>
      </c>
      <c r="AT175" s="769">
        <v>48.286108583704866</v>
      </c>
      <c r="AU175" s="769">
        <v>50.120191811926468</v>
      </c>
      <c r="AV175" s="769">
        <v>52.023940237587055</v>
      </c>
      <c r="AW175" s="769">
        <v>54</v>
      </c>
      <c r="AX175" s="769">
        <v>42.645941021394862</v>
      </c>
      <c r="AY175" s="769">
        <v>44.152703052554848</v>
      </c>
      <c r="AZ175" s="769">
        <v>45.712701845858426</v>
      </c>
      <c r="BA175" s="769">
        <v>47.327818357146604</v>
      </c>
      <c r="BB175" s="769">
        <v>49</v>
      </c>
      <c r="BC175" s="769">
        <v>0</v>
      </c>
      <c r="BD175" s="769">
        <v>0</v>
      </c>
      <c r="BE175" s="769">
        <v>0</v>
      </c>
      <c r="BF175" s="769">
        <v>0</v>
      </c>
      <c r="BG175" s="769">
        <v>0</v>
      </c>
      <c r="BH175" s="771">
        <v>54.554783701496042</v>
      </c>
      <c r="BI175" s="771">
        <v>55.115267124389213</v>
      </c>
      <c r="BJ175" s="771">
        <v>55.68150882631906</v>
      </c>
      <c r="BK175" s="772">
        <v>57.510606214251865</v>
      </c>
      <c r="BL175" s="772">
        <v>59.339703602184677</v>
      </c>
      <c r="BM175" s="772">
        <v>61.168800990117489</v>
      </c>
      <c r="BN175" s="772">
        <v>62.997898378050294</v>
      </c>
      <c r="BO175" s="772">
        <v>65.160686072150654</v>
      </c>
      <c r="BP175" s="772">
        <v>67.323473766251027</v>
      </c>
      <c r="BQ175" s="772">
        <v>73.319342132715704</v>
      </c>
      <c r="BR175" s="772">
        <v>80.463008891297193</v>
      </c>
      <c r="BS175" s="772">
        <v>83.599652320331685</v>
      </c>
      <c r="BT175" s="772">
        <v>85.322159137510951</v>
      </c>
      <c r="BU175" s="772">
        <v>87.105977471428005</v>
      </c>
      <c r="BV175" s="772">
        <v>88.932713867061508</v>
      </c>
      <c r="BW175" s="771">
        <v>49.503414840246407</v>
      </c>
      <c r="BX175" s="771">
        <v>50.012001649908733</v>
      </c>
      <c r="BY175" s="771">
        <v>50.525813564622851</v>
      </c>
      <c r="BZ175" s="772">
        <v>52.185550083302616</v>
      </c>
      <c r="CA175" s="772">
        <v>53.845286601982394</v>
      </c>
      <c r="CB175" s="772">
        <v>55.505023120662166</v>
      </c>
      <c r="CC175" s="772">
        <v>57.164759639341931</v>
      </c>
      <c r="CD175" s="772">
        <v>59.127289213618184</v>
      </c>
      <c r="CE175" s="772">
        <v>61.089818787894451</v>
      </c>
      <c r="CF175" s="772">
        <v>66.530514157464253</v>
      </c>
      <c r="CG175" s="772">
        <v>73.012730290251156</v>
      </c>
      <c r="CH175" s="772">
        <v>75.858943772152827</v>
      </c>
      <c r="CI175" s="772">
        <v>77.421959217371054</v>
      </c>
      <c r="CJ175" s="772">
        <v>79.040609187036523</v>
      </c>
      <c r="CK175" s="772">
        <v>80.698203323815065</v>
      </c>
      <c r="CL175" s="771">
        <v>0</v>
      </c>
      <c r="CM175" s="771">
        <v>0</v>
      </c>
      <c r="CN175" s="771">
        <v>0</v>
      </c>
      <c r="CO175" s="772">
        <v>0</v>
      </c>
      <c r="CP175" s="772">
        <v>0</v>
      </c>
      <c r="CQ175" s="772">
        <v>0</v>
      </c>
      <c r="CR175" s="772">
        <v>0</v>
      </c>
      <c r="CS175" s="772">
        <v>0</v>
      </c>
      <c r="CT175" s="772">
        <v>0</v>
      </c>
      <c r="CU175" s="772">
        <v>0</v>
      </c>
      <c r="CV175" s="772">
        <v>0</v>
      </c>
      <c r="CW175" s="772">
        <v>0</v>
      </c>
      <c r="CX175" s="772">
        <v>0</v>
      </c>
      <c r="CY175" s="772">
        <v>0</v>
      </c>
      <c r="CZ175" s="772">
        <v>0</v>
      </c>
      <c r="DA175" s="773">
        <v>0</v>
      </c>
      <c r="DB175" s="773">
        <v>0</v>
      </c>
      <c r="DC175" s="773">
        <v>0</v>
      </c>
      <c r="DD175" s="774">
        <v>0</v>
      </c>
      <c r="DE175" s="774">
        <v>0</v>
      </c>
      <c r="DF175" s="774">
        <v>0</v>
      </c>
      <c r="DG175" s="774">
        <v>0</v>
      </c>
      <c r="DH175" s="774">
        <v>0</v>
      </c>
      <c r="DI175" s="774">
        <v>0</v>
      </c>
      <c r="DJ175" s="774">
        <v>0</v>
      </c>
      <c r="DK175" s="774">
        <v>0</v>
      </c>
      <c r="DL175" s="774">
        <v>0</v>
      </c>
      <c r="DM175" s="774">
        <v>0</v>
      </c>
      <c r="DN175" s="774">
        <v>0</v>
      </c>
      <c r="DO175" s="774">
        <v>0</v>
      </c>
      <c r="DP175" s="773">
        <v>0</v>
      </c>
      <c r="DQ175" s="773">
        <v>0</v>
      </c>
      <c r="DR175" s="773">
        <v>0</v>
      </c>
      <c r="DS175" s="774">
        <v>0</v>
      </c>
      <c r="DT175" s="774">
        <v>0</v>
      </c>
      <c r="DU175" s="774">
        <v>0</v>
      </c>
      <c r="DV175" s="774">
        <v>0</v>
      </c>
      <c r="DW175" s="774">
        <v>0</v>
      </c>
      <c r="DX175" s="774">
        <v>0</v>
      </c>
      <c r="DY175" s="774">
        <v>0</v>
      </c>
      <c r="DZ175" s="774">
        <v>0</v>
      </c>
      <c r="EA175" s="774">
        <v>0</v>
      </c>
      <c r="EB175" s="774">
        <v>0</v>
      </c>
      <c r="EC175" s="774">
        <v>0</v>
      </c>
      <c r="ED175" s="774">
        <v>0</v>
      </c>
    </row>
    <row r="176" spans="1:134" ht="15" x14ac:dyDescent="0.25">
      <c r="A176" s="766">
        <v>119</v>
      </c>
      <c r="B176" s="766">
        <v>92</v>
      </c>
      <c r="C176" s="766" t="s">
        <v>3847</v>
      </c>
      <c r="D176" s="2">
        <v>99705</v>
      </c>
      <c r="E176" s="2">
        <v>99705</v>
      </c>
      <c r="F176" s="767" t="s">
        <v>3746</v>
      </c>
      <c r="G176" s="114">
        <v>274</v>
      </c>
      <c r="H176" s="114">
        <v>104</v>
      </c>
      <c r="I176" s="114">
        <v>93</v>
      </c>
      <c r="J176" s="114">
        <v>11</v>
      </c>
      <c r="K176" s="114">
        <v>1</v>
      </c>
      <c r="L176" s="114">
        <v>102</v>
      </c>
      <c r="M176" s="114">
        <v>103</v>
      </c>
      <c r="N176" s="114">
        <v>9</v>
      </c>
      <c r="O176" s="114">
        <v>0</v>
      </c>
      <c r="P176" s="114">
        <v>0</v>
      </c>
      <c r="Q176" s="114">
        <v>112</v>
      </c>
      <c r="R176" s="114">
        <v>3536</v>
      </c>
      <c r="S176" s="114">
        <v>2194.3431372549021</v>
      </c>
      <c r="T176" s="114">
        <v>2207.3689320388348</v>
      </c>
      <c r="U176" s="114">
        <v>4649.2222222222226</v>
      </c>
      <c r="V176" s="114">
        <v>0</v>
      </c>
      <c r="W176" s="114">
        <v>0</v>
      </c>
      <c r="X176" s="114">
        <v>2403.5892857142858</v>
      </c>
      <c r="Y176" s="114">
        <v>1.0097087378640777</v>
      </c>
      <c r="Z176" s="114">
        <v>102.99029126213593</v>
      </c>
      <c r="AA176" s="114">
        <v>0</v>
      </c>
      <c r="AB176" s="657">
        <v>9</v>
      </c>
      <c r="AC176" s="657">
        <v>0</v>
      </c>
      <c r="AD176" s="768">
        <v>113</v>
      </c>
      <c r="AE176" s="769">
        <v>0.90291262135922323</v>
      </c>
      <c r="AF176" s="769">
        <v>92.097087378640779</v>
      </c>
      <c r="AG176" s="770">
        <v>93</v>
      </c>
      <c r="AH176" s="769">
        <v>0</v>
      </c>
      <c r="AI176" s="769">
        <v>0.93716288177640283</v>
      </c>
      <c r="AJ176" s="769">
        <v>95.590613941193098</v>
      </c>
      <c r="AK176" s="769">
        <v>96.5277768229695</v>
      </c>
      <c r="AL176" s="769">
        <v>0</v>
      </c>
      <c r="AM176" s="769">
        <v>0.84233827455217614</v>
      </c>
      <c r="AN176" s="769">
        <v>85.918504004321974</v>
      </c>
      <c r="AO176" s="769">
        <v>86.760842278874151</v>
      </c>
      <c r="AP176" s="769">
        <v>0</v>
      </c>
      <c r="AQ176" s="769">
        <v>8.4609690060141833</v>
      </c>
      <c r="AR176" s="769">
        <v>0</v>
      </c>
      <c r="AS176" s="769">
        <v>89.592420176778916</v>
      </c>
      <c r="AT176" s="769">
        <v>92.995468383431586</v>
      </c>
      <c r="AU176" s="769">
        <v>96.5277768229695</v>
      </c>
      <c r="AV176" s="769">
        <v>100.19425527238988</v>
      </c>
      <c r="AW176" s="769">
        <v>104</v>
      </c>
      <c r="AX176" s="769">
        <v>80.940255407953515</v>
      </c>
      <c r="AY176" s="769">
        <v>83.8000282426041</v>
      </c>
      <c r="AZ176" s="769">
        <v>86.760842278874151</v>
      </c>
      <c r="BA176" s="769">
        <v>89.826267494176207</v>
      </c>
      <c r="BB176" s="769">
        <v>93</v>
      </c>
      <c r="BC176" s="769">
        <v>7.9542218356369609</v>
      </c>
      <c r="BD176" s="769">
        <v>8.2036835883818426</v>
      </c>
      <c r="BE176" s="769">
        <v>8.4609690060141833</v>
      </c>
      <c r="BF176" s="769">
        <v>8.7263234557359635</v>
      </c>
      <c r="BG176" s="769">
        <v>9</v>
      </c>
      <c r="BH176" s="771">
        <v>105.06847231399237</v>
      </c>
      <c r="BI176" s="771">
        <v>106.14792186919405</v>
      </c>
      <c r="BJ176" s="771">
        <v>107.23846144328115</v>
      </c>
      <c r="BK176" s="772">
        <v>110.76116752374433</v>
      </c>
      <c r="BL176" s="772">
        <v>114.28387360420753</v>
      </c>
      <c r="BM176" s="772">
        <v>117.80657968467072</v>
      </c>
      <c r="BN176" s="772">
        <v>121.3292857651339</v>
      </c>
      <c r="BO176" s="772">
        <v>125.49465465747534</v>
      </c>
      <c r="BP176" s="772">
        <v>129.6600235498168</v>
      </c>
      <c r="BQ176" s="772">
        <v>141.20762188523022</v>
      </c>
      <c r="BR176" s="772">
        <v>154.96579490175756</v>
      </c>
      <c r="BS176" s="772">
        <v>161.00673780212028</v>
      </c>
      <c r="BT176" s="772">
        <v>164.32415833891</v>
      </c>
      <c r="BU176" s="772">
        <v>167.75966031534284</v>
      </c>
      <c r="BV176" s="772">
        <v>171.27781929952587</v>
      </c>
      <c r="BW176" s="771">
        <v>93.955460819243171</v>
      </c>
      <c r="BX176" s="771">
        <v>94.920737825336985</v>
      </c>
      <c r="BY176" s="771">
        <v>95.895931867549493</v>
      </c>
      <c r="BZ176" s="772">
        <v>99.046044035655981</v>
      </c>
      <c r="CA176" s="772">
        <v>102.1961562037625</v>
      </c>
      <c r="CB176" s="772">
        <v>105.34626837186902</v>
      </c>
      <c r="CC176" s="772">
        <v>108.4963805399755</v>
      </c>
      <c r="CD176" s="772">
        <v>112.2211815687039</v>
      </c>
      <c r="CE176" s="772">
        <v>115.94598259743232</v>
      </c>
      <c r="CF176" s="772">
        <v>126.27220033967704</v>
      </c>
      <c r="CG176" s="772">
        <v>138.57518197945629</v>
      </c>
      <c r="CH176" s="772">
        <v>143.97717899612678</v>
      </c>
      <c r="CI176" s="772">
        <v>146.94371851460221</v>
      </c>
      <c r="CJ176" s="772">
        <v>150.01585008968158</v>
      </c>
      <c r="CK176" s="772">
        <v>153.16189610438371</v>
      </c>
      <c r="CL176" s="771">
        <v>9.0924639502493392</v>
      </c>
      <c r="CM176" s="771">
        <v>9.18587785406487</v>
      </c>
      <c r="CN176" s="771">
        <v>9.2802514710531767</v>
      </c>
      <c r="CO176" s="772">
        <v>9.585101035708643</v>
      </c>
      <c r="CP176" s="772">
        <v>9.8899506003641129</v>
      </c>
      <c r="CQ176" s="772">
        <v>10.194800165019581</v>
      </c>
      <c r="CR176" s="772">
        <v>10.499649729675049</v>
      </c>
      <c r="CS176" s="772">
        <v>10.860114345358442</v>
      </c>
      <c r="CT176" s="772">
        <v>11.220578961041838</v>
      </c>
      <c r="CU176" s="772">
        <v>12.219890355452616</v>
      </c>
      <c r="CV176" s="772">
        <v>13.410501481882866</v>
      </c>
      <c r="CW176" s="772">
        <v>13.933275386721947</v>
      </c>
      <c r="CX176" s="772">
        <v>14.220359856251825</v>
      </c>
      <c r="CY176" s="772">
        <v>14.517662911904669</v>
      </c>
      <c r="CZ176" s="772">
        <v>14.822118977843584</v>
      </c>
      <c r="DA176" s="773">
        <v>0</v>
      </c>
      <c r="DB176" s="773">
        <v>0</v>
      </c>
      <c r="DC176" s="773">
        <v>0</v>
      </c>
      <c r="DD176" s="774">
        <v>0</v>
      </c>
      <c r="DE176" s="774">
        <v>0</v>
      </c>
      <c r="DF176" s="774">
        <v>0</v>
      </c>
      <c r="DG176" s="774">
        <v>0</v>
      </c>
      <c r="DH176" s="774">
        <v>0</v>
      </c>
      <c r="DI176" s="774">
        <v>0</v>
      </c>
      <c r="DJ176" s="774">
        <v>0</v>
      </c>
      <c r="DK176" s="774">
        <v>0</v>
      </c>
      <c r="DL176" s="774">
        <v>0</v>
      </c>
      <c r="DM176" s="774">
        <v>0</v>
      </c>
      <c r="DN176" s="774">
        <v>0</v>
      </c>
      <c r="DO176" s="774">
        <v>0</v>
      </c>
      <c r="DP176" s="773">
        <v>0</v>
      </c>
      <c r="DQ176" s="773">
        <v>0</v>
      </c>
      <c r="DR176" s="773">
        <v>0</v>
      </c>
      <c r="DS176" s="774">
        <v>0</v>
      </c>
      <c r="DT176" s="774">
        <v>0</v>
      </c>
      <c r="DU176" s="774">
        <v>0</v>
      </c>
      <c r="DV176" s="774">
        <v>0</v>
      </c>
      <c r="DW176" s="774">
        <v>0</v>
      </c>
      <c r="DX176" s="774">
        <v>0</v>
      </c>
      <c r="DY176" s="774">
        <v>0</v>
      </c>
      <c r="DZ176" s="774">
        <v>0</v>
      </c>
      <c r="EA176" s="774">
        <v>0</v>
      </c>
      <c r="EB176" s="774">
        <v>0</v>
      </c>
      <c r="EC176" s="774">
        <v>0</v>
      </c>
      <c r="ED176" s="774">
        <v>0</v>
      </c>
    </row>
    <row r="177" spans="1:134" ht="15" x14ac:dyDescent="0.25">
      <c r="A177" s="766">
        <v>120</v>
      </c>
      <c r="B177" s="766">
        <v>92</v>
      </c>
      <c r="C177" s="766" t="s">
        <v>3848</v>
      </c>
      <c r="D177" s="2">
        <v>99705</v>
      </c>
      <c r="E177" s="2">
        <v>99705</v>
      </c>
      <c r="F177" s="767" t="s">
        <v>3746</v>
      </c>
      <c r="G177" s="114">
        <v>217</v>
      </c>
      <c r="H177" s="114">
        <v>77</v>
      </c>
      <c r="I177" s="114">
        <v>70</v>
      </c>
      <c r="J177" s="114">
        <v>7</v>
      </c>
      <c r="K177" s="114">
        <v>1</v>
      </c>
      <c r="L177" s="114">
        <v>147</v>
      </c>
      <c r="M177" s="114">
        <v>148</v>
      </c>
      <c r="N177" s="114">
        <v>2</v>
      </c>
      <c r="O177" s="114">
        <v>0</v>
      </c>
      <c r="P177" s="114">
        <v>0</v>
      </c>
      <c r="Q177" s="114">
        <v>150</v>
      </c>
      <c r="R177" s="114">
        <v>3024</v>
      </c>
      <c r="S177" s="114">
        <v>2220.9591836734694</v>
      </c>
      <c r="T177" s="114">
        <v>2226.385135135135</v>
      </c>
      <c r="U177" s="114">
        <v>2932</v>
      </c>
      <c r="V177" s="114">
        <v>0</v>
      </c>
      <c r="W177" s="114">
        <v>0</v>
      </c>
      <c r="X177" s="114">
        <v>2235.7933333333335</v>
      </c>
      <c r="Y177" s="114">
        <v>0.52027027027027029</v>
      </c>
      <c r="Z177" s="114">
        <v>76.479729729729726</v>
      </c>
      <c r="AA177" s="114">
        <v>0</v>
      </c>
      <c r="AB177" s="657">
        <v>2</v>
      </c>
      <c r="AC177" s="657">
        <v>0</v>
      </c>
      <c r="AD177" s="768">
        <v>79</v>
      </c>
      <c r="AE177" s="769">
        <v>0.47297297297297297</v>
      </c>
      <c r="AF177" s="769">
        <v>69.527027027027017</v>
      </c>
      <c r="AG177" s="770">
        <v>69.999999999999986</v>
      </c>
      <c r="AH177" s="769">
        <v>0</v>
      </c>
      <c r="AI177" s="769">
        <v>0.48288973592571799</v>
      </c>
      <c r="AJ177" s="769">
        <v>70.984791181080539</v>
      </c>
      <c r="AK177" s="769">
        <v>71.467680917006263</v>
      </c>
      <c r="AL177" s="769">
        <v>0</v>
      </c>
      <c r="AM177" s="769">
        <v>0.44124229580944424</v>
      </c>
      <c r="AN177" s="769">
        <v>64.862617483988302</v>
      </c>
      <c r="AO177" s="769">
        <v>65.303859779797747</v>
      </c>
      <c r="AP177" s="769">
        <v>0</v>
      </c>
      <c r="AQ177" s="769">
        <v>1.8802153346698185</v>
      </c>
      <c r="AR177" s="769">
        <v>0</v>
      </c>
      <c r="AS177" s="769">
        <v>66.33284955396131</v>
      </c>
      <c r="AT177" s="769">
        <v>68.852414091579163</v>
      </c>
      <c r="AU177" s="769">
        <v>71.467680917006263</v>
      </c>
      <c r="AV177" s="769">
        <v>74.182285153596354</v>
      </c>
      <c r="AW177" s="769">
        <v>77</v>
      </c>
      <c r="AX177" s="769">
        <v>60.922772887706934</v>
      </c>
      <c r="AY177" s="769">
        <v>63.075290075078343</v>
      </c>
      <c r="AZ177" s="769">
        <v>65.303859779797733</v>
      </c>
      <c r="BA177" s="769">
        <v>67.611169081637982</v>
      </c>
      <c r="BB177" s="769">
        <v>69.999999999999986</v>
      </c>
      <c r="BC177" s="769">
        <v>1.7676048523637691</v>
      </c>
      <c r="BD177" s="769">
        <v>1.823040797418187</v>
      </c>
      <c r="BE177" s="769">
        <v>1.8802153346698185</v>
      </c>
      <c r="BF177" s="769">
        <v>1.9391829901635476</v>
      </c>
      <c r="BG177" s="769">
        <v>2</v>
      </c>
      <c r="BH177" s="771">
        <v>78.71074211457136</v>
      </c>
      <c r="BI177" s="771">
        <v>80.459492522422806</v>
      </c>
      <c r="BJ177" s="771">
        <v>82.247095670152007</v>
      </c>
      <c r="BK177" s="772">
        <v>83.298634185951684</v>
      </c>
      <c r="BL177" s="772">
        <v>84.350172701751362</v>
      </c>
      <c r="BM177" s="772">
        <v>85.401711217551025</v>
      </c>
      <c r="BN177" s="772">
        <v>86.453249733350717</v>
      </c>
      <c r="BO177" s="772">
        <v>87.696625059808525</v>
      </c>
      <c r="BP177" s="772">
        <v>88.940000386266334</v>
      </c>
      <c r="BQ177" s="772">
        <v>92.386993730960853</v>
      </c>
      <c r="BR177" s="772">
        <v>96.493850364317012</v>
      </c>
      <c r="BS177" s="772">
        <v>98.297090256145495</v>
      </c>
      <c r="BT177" s="772">
        <v>99.287350410657325</v>
      </c>
      <c r="BU177" s="772">
        <v>100.31285823526984</v>
      </c>
      <c r="BV177" s="772">
        <v>101.36303942895283</v>
      </c>
      <c r="BW177" s="771">
        <v>71.555220104155765</v>
      </c>
      <c r="BX177" s="771">
        <v>73.144993202202542</v>
      </c>
      <c r="BY177" s="771">
        <v>74.770086972865442</v>
      </c>
      <c r="BZ177" s="772">
        <v>75.726031078137879</v>
      </c>
      <c r="CA177" s="772">
        <v>76.681975183410316</v>
      </c>
      <c r="CB177" s="772">
        <v>77.637919288682738</v>
      </c>
      <c r="CC177" s="772">
        <v>78.593863393955175</v>
      </c>
      <c r="CD177" s="772">
        <v>79.72420459982591</v>
      </c>
      <c r="CE177" s="772">
        <v>80.854545805696659</v>
      </c>
      <c r="CF177" s="772">
        <v>83.988176119055296</v>
      </c>
      <c r="CG177" s="772">
        <v>87.721682149379077</v>
      </c>
      <c r="CH177" s="772">
        <v>89.360991141950436</v>
      </c>
      <c r="CI177" s="772">
        <v>90.261227646052092</v>
      </c>
      <c r="CJ177" s="772">
        <v>91.193507486608922</v>
      </c>
      <c r="CK177" s="772">
        <v>92.148217662684374</v>
      </c>
      <c r="CL177" s="771">
        <v>2.0444348601187365</v>
      </c>
      <c r="CM177" s="771">
        <v>2.0898569486343588</v>
      </c>
      <c r="CN177" s="771">
        <v>2.1362881992247273</v>
      </c>
      <c r="CO177" s="772">
        <v>2.1636008879467972</v>
      </c>
      <c r="CP177" s="772">
        <v>2.1909135766688665</v>
      </c>
      <c r="CQ177" s="772">
        <v>2.2182262653909359</v>
      </c>
      <c r="CR177" s="772">
        <v>2.2455389541130053</v>
      </c>
      <c r="CS177" s="772">
        <v>2.2778344171378837</v>
      </c>
      <c r="CT177" s="772">
        <v>2.3101298801627621</v>
      </c>
      <c r="CU177" s="772">
        <v>2.3996621748301519</v>
      </c>
      <c r="CV177" s="772">
        <v>2.5063337756965458</v>
      </c>
      <c r="CW177" s="772">
        <v>2.5531711754842985</v>
      </c>
      <c r="CX177" s="772">
        <v>2.5788922184586314</v>
      </c>
      <c r="CY177" s="772">
        <v>2.6055287853316842</v>
      </c>
      <c r="CZ177" s="772">
        <v>2.6328062189338395</v>
      </c>
      <c r="DA177" s="773">
        <v>0</v>
      </c>
      <c r="DB177" s="773">
        <v>0</v>
      </c>
      <c r="DC177" s="773">
        <v>0</v>
      </c>
      <c r="DD177" s="774">
        <v>0</v>
      </c>
      <c r="DE177" s="774">
        <v>0</v>
      </c>
      <c r="DF177" s="774">
        <v>0</v>
      </c>
      <c r="DG177" s="774">
        <v>0</v>
      </c>
      <c r="DH177" s="774">
        <v>0</v>
      </c>
      <c r="DI177" s="774">
        <v>0</v>
      </c>
      <c r="DJ177" s="774">
        <v>0</v>
      </c>
      <c r="DK177" s="774">
        <v>0</v>
      </c>
      <c r="DL177" s="774">
        <v>0</v>
      </c>
      <c r="DM177" s="774">
        <v>0</v>
      </c>
      <c r="DN177" s="774">
        <v>0</v>
      </c>
      <c r="DO177" s="774">
        <v>0</v>
      </c>
      <c r="DP177" s="773">
        <v>0</v>
      </c>
      <c r="DQ177" s="773">
        <v>0</v>
      </c>
      <c r="DR177" s="773">
        <v>0</v>
      </c>
      <c r="DS177" s="774">
        <v>0</v>
      </c>
      <c r="DT177" s="774">
        <v>0</v>
      </c>
      <c r="DU177" s="774">
        <v>0</v>
      </c>
      <c r="DV177" s="774">
        <v>0</v>
      </c>
      <c r="DW177" s="774">
        <v>0</v>
      </c>
      <c r="DX177" s="774">
        <v>0</v>
      </c>
      <c r="DY177" s="774">
        <v>0</v>
      </c>
      <c r="DZ177" s="774">
        <v>0</v>
      </c>
      <c r="EA177" s="774">
        <v>0</v>
      </c>
      <c r="EB177" s="774">
        <v>0</v>
      </c>
      <c r="EC177" s="774">
        <v>0</v>
      </c>
      <c r="ED177" s="774">
        <v>0</v>
      </c>
    </row>
    <row r="178" spans="1:134" ht="15" x14ac:dyDescent="0.25">
      <c r="A178" s="766">
        <v>121</v>
      </c>
      <c r="B178" s="766">
        <v>92</v>
      </c>
      <c r="C178" s="766" t="s">
        <v>3849</v>
      </c>
      <c r="D178" s="2">
        <v>99705</v>
      </c>
      <c r="E178" s="2">
        <v>99705</v>
      </c>
      <c r="F178" s="767" t="s">
        <v>3746</v>
      </c>
      <c r="G178" s="114">
        <v>524</v>
      </c>
      <c r="H178" s="114">
        <v>203</v>
      </c>
      <c r="I178" s="114">
        <v>184</v>
      </c>
      <c r="J178" s="114">
        <v>19</v>
      </c>
      <c r="K178" s="114">
        <v>0</v>
      </c>
      <c r="L178" s="114">
        <v>131</v>
      </c>
      <c r="M178" s="114">
        <v>131</v>
      </c>
      <c r="N178" s="114">
        <v>2</v>
      </c>
      <c r="O178" s="114">
        <v>0</v>
      </c>
      <c r="P178" s="114">
        <v>0</v>
      </c>
      <c r="Q178" s="114">
        <v>133</v>
      </c>
      <c r="R178" s="114">
        <v>0</v>
      </c>
      <c r="S178" s="114">
        <v>1959.0916030534352</v>
      </c>
      <c r="T178" s="114">
        <v>1959.0916030534352</v>
      </c>
      <c r="U178" s="114">
        <v>5122</v>
      </c>
      <c r="V178" s="114">
        <v>0</v>
      </c>
      <c r="W178" s="114">
        <v>0</v>
      </c>
      <c r="X178" s="114">
        <v>2006.6541353383459</v>
      </c>
      <c r="Y178" s="114">
        <v>0</v>
      </c>
      <c r="Z178" s="114">
        <v>203</v>
      </c>
      <c r="AA178" s="114">
        <v>0</v>
      </c>
      <c r="AB178" s="657">
        <v>2</v>
      </c>
      <c r="AC178" s="657">
        <v>0</v>
      </c>
      <c r="AD178" s="768">
        <v>205</v>
      </c>
      <c r="AE178" s="769">
        <v>0</v>
      </c>
      <c r="AF178" s="769">
        <v>184</v>
      </c>
      <c r="AG178" s="770">
        <v>184</v>
      </c>
      <c r="AH178" s="769">
        <v>0</v>
      </c>
      <c r="AI178" s="769">
        <v>0</v>
      </c>
      <c r="AJ178" s="769">
        <v>188.4147951448347</v>
      </c>
      <c r="AK178" s="769">
        <v>188.4147951448347</v>
      </c>
      <c r="AL178" s="769">
        <v>0</v>
      </c>
      <c r="AM178" s="769">
        <v>0</v>
      </c>
      <c r="AN178" s="769">
        <v>171.65585999261123</v>
      </c>
      <c r="AO178" s="769">
        <v>171.65585999261123</v>
      </c>
      <c r="AP178" s="769">
        <v>0</v>
      </c>
      <c r="AQ178" s="769">
        <v>1.8802153346698185</v>
      </c>
      <c r="AR178" s="769">
        <v>0</v>
      </c>
      <c r="AS178" s="769">
        <v>174.87751246044346</v>
      </c>
      <c r="AT178" s="769">
        <v>181.52000078689051</v>
      </c>
      <c r="AU178" s="769">
        <v>188.4147951448347</v>
      </c>
      <c r="AV178" s="769">
        <v>195.57147904129948</v>
      </c>
      <c r="AW178" s="769">
        <v>203</v>
      </c>
      <c r="AX178" s="769">
        <v>160.13986016197254</v>
      </c>
      <c r="AY178" s="769">
        <v>165.79790534020597</v>
      </c>
      <c r="AZ178" s="769">
        <v>171.65585999261123</v>
      </c>
      <c r="BA178" s="769">
        <v>177.7207873003056</v>
      </c>
      <c r="BB178" s="769">
        <v>184</v>
      </c>
      <c r="BC178" s="769">
        <v>1.7676048523637691</v>
      </c>
      <c r="BD178" s="769">
        <v>1.823040797418187</v>
      </c>
      <c r="BE178" s="769">
        <v>1.8802153346698185</v>
      </c>
      <c r="BF178" s="769">
        <v>1.9391829901635476</v>
      </c>
      <c r="BG178" s="769">
        <v>2</v>
      </c>
      <c r="BH178" s="771">
        <v>206.30717356765132</v>
      </c>
      <c r="BI178" s="771">
        <v>209.66822593829068</v>
      </c>
      <c r="BJ178" s="771">
        <v>213.0840348781895</v>
      </c>
      <c r="BK178" s="772">
        <v>215.55936068661063</v>
      </c>
      <c r="BL178" s="772">
        <v>218.03468649503171</v>
      </c>
      <c r="BM178" s="772">
        <v>220.51001230345278</v>
      </c>
      <c r="BN178" s="772">
        <v>222.98533811187389</v>
      </c>
      <c r="BO178" s="772">
        <v>225.91224852826929</v>
      </c>
      <c r="BP178" s="772">
        <v>228.83915894466472</v>
      </c>
      <c r="BQ178" s="772">
        <v>236.95339485649845</v>
      </c>
      <c r="BR178" s="772">
        <v>246.62095154918032</v>
      </c>
      <c r="BS178" s="772">
        <v>250.86578535788112</v>
      </c>
      <c r="BT178" s="772">
        <v>253.19686166244242</v>
      </c>
      <c r="BU178" s="772">
        <v>255.61091112126854</v>
      </c>
      <c r="BV178" s="772">
        <v>258.08304178808015</v>
      </c>
      <c r="BW178" s="771">
        <v>186.99763515491549</v>
      </c>
      <c r="BX178" s="771">
        <v>190.04410626918957</v>
      </c>
      <c r="BY178" s="771">
        <v>193.14020895362989</v>
      </c>
      <c r="BZ178" s="772">
        <v>195.38385402136134</v>
      </c>
      <c r="CA178" s="772">
        <v>197.62749908909277</v>
      </c>
      <c r="CB178" s="772">
        <v>199.87114415682419</v>
      </c>
      <c r="CC178" s="772">
        <v>202.11478922455566</v>
      </c>
      <c r="CD178" s="772">
        <v>204.76775236059876</v>
      </c>
      <c r="CE178" s="772">
        <v>207.42071549664192</v>
      </c>
      <c r="CF178" s="772">
        <v>214.77549090441238</v>
      </c>
      <c r="CG178" s="772">
        <v>223.5382023894048</v>
      </c>
      <c r="CH178" s="772">
        <v>227.38573648202032</v>
      </c>
      <c r="CI178" s="772">
        <v>229.49863323098231</v>
      </c>
      <c r="CJ178" s="772">
        <v>231.68673717395771</v>
      </c>
      <c r="CK178" s="772">
        <v>233.92748615274263</v>
      </c>
      <c r="CL178" s="771">
        <v>2.0325829908142987</v>
      </c>
      <c r="CM178" s="771">
        <v>2.0656968072737998</v>
      </c>
      <c r="CN178" s="771">
        <v>2.099350097322064</v>
      </c>
      <c r="CO178" s="772">
        <v>2.1237375437104493</v>
      </c>
      <c r="CP178" s="772">
        <v>2.1481249900988346</v>
      </c>
      <c r="CQ178" s="772">
        <v>2.1725124364872195</v>
      </c>
      <c r="CR178" s="772">
        <v>2.1968998828756048</v>
      </c>
      <c r="CS178" s="772">
        <v>2.2257364387021603</v>
      </c>
      <c r="CT178" s="772">
        <v>2.2545729945287163</v>
      </c>
      <c r="CU178" s="772">
        <v>2.3345162054827431</v>
      </c>
      <c r="CV178" s="772">
        <v>2.4297630694500523</v>
      </c>
      <c r="CW178" s="772">
        <v>2.4715840921958732</v>
      </c>
      <c r="CX178" s="772">
        <v>2.4945503612063291</v>
      </c>
      <c r="CY178" s="772">
        <v>2.5183340997169315</v>
      </c>
      <c r="CZ178" s="772">
        <v>2.5426900668776371</v>
      </c>
      <c r="DA178" s="773">
        <v>0</v>
      </c>
      <c r="DB178" s="773">
        <v>0</v>
      </c>
      <c r="DC178" s="773">
        <v>0</v>
      </c>
      <c r="DD178" s="774">
        <v>0</v>
      </c>
      <c r="DE178" s="774">
        <v>0</v>
      </c>
      <c r="DF178" s="774">
        <v>0</v>
      </c>
      <c r="DG178" s="774">
        <v>0</v>
      </c>
      <c r="DH178" s="774">
        <v>0</v>
      </c>
      <c r="DI178" s="774">
        <v>0</v>
      </c>
      <c r="DJ178" s="774">
        <v>0</v>
      </c>
      <c r="DK178" s="774">
        <v>0</v>
      </c>
      <c r="DL178" s="774">
        <v>0</v>
      </c>
      <c r="DM178" s="774">
        <v>0</v>
      </c>
      <c r="DN178" s="774">
        <v>0</v>
      </c>
      <c r="DO178" s="774">
        <v>0</v>
      </c>
      <c r="DP178" s="773">
        <v>0</v>
      </c>
      <c r="DQ178" s="773">
        <v>0</v>
      </c>
      <c r="DR178" s="773">
        <v>0</v>
      </c>
      <c r="DS178" s="774">
        <v>0</v>
      </c>
      <c r="DT178" s="774">
        <v>0</v>
      </c>
      <c r="DU178" s="774">
        <v>0</v>
      </c>
      <c r="DV178" s="774">
        <v>0</v>
      </c>
      <c r="DW178" s="774">
        <v>0</v>
      </c>
      <c r="DX178" s="774">
        <v>0</v>
      </c>
      <c r="DY178" s="774">
        <v>0</v>
      </c>
      <c r="DZ178" s="774">
        <v>0</v>
      </c>
      <c r="EA178" s="774">
        <v>0</v>
      </c>
      <c r="EB178" s="774">
        <v>0</v>
      </c>
      <c r="EC178" s="774">
        <v>0</v>
      </c>
      <c r="ED178" s="774">
        <v>0</v>
      </c>
    </row>
    <row r="179" spans="1:134" ht="15" x14ac:dyDescent="0.25">
      <c r="A179" s="766">
        <v>122</v>
      </c>
      <c r="B179" s="766">
        <v>92</v>
      </c>
      <c r="C179" s="766" t="s">
        <v>3850</v>
      </c>
      <c r="D179" s="2">
        <v>99705</v>
      </c>
      <c r="E179" s="2">
        <v>99705</v>
      </c>
      <c r="F179" s="767" t="s">
        <v>3676</v>
      </c>
      <c r="G179" s="114">
        <v>2</v>
      </c>
      <c r="H179" s="114">
        <v>1</v>
      </c>
      <c r="I179" s="114">
        <v>1</v>
      </c>
      <c r="J179" s="114">
        <v>0</v>
      </c>
      <c r="K179" s="114">
        <v>0</v>
      </c>
      <c r="L179" s="114">
        <v>0</v>
      </c>
      <c r="M179" s="114">
        <v>0</v>
      </c>
      <c r="N179" s="114">
        <v>0</v>
      </c>
      <c r="O179" s="114">
        <v>0</v>
      </c>
      <c r="P179" s="114">
        <v>0</v>
      </c>
      <c r="Q179" s="114">
        <v>0</v>
      </c>
      <c r="R179" s="114">
        <v>0</v>
      </c>
      <c r="S179" s="114">
        <v>834.49503068156923</v>
      </c>
      <c r="T179" s="114">
        <v>834.49503068156923</v>
      </c>
      <c r="U179" s="114">
        <v>1408.3846153846155</v>
      </c>
      <c r="V179" s="114">
        <v>0</v>
      </c>
      <c r="W179" s="114">
        <v>0</v>
      </c>
      <c r="X179" s="114">
        <v>1365.173957061457</v>
      </c>
      <c r="Y179" s="114">
        <v>2.2912335412335411E-2</v>
      </c>
      <c r="Z179" s="114">
        <v>0.97578828828828834</v>
      </c>
      <c r="AA179" s="114">
        <v>1.2993762993762994E-3</v>
      </c>
      <c r="AB179" s="657">
        <v>0</v>
      </c>
      <c r="AC179" s="657">
        <v>0</v>
      </c>
      <c r="AD179" s="768">
        <v>1</v>
      </c>
      <c r="AE179" s="769">
        <v>2.2912335412335411E-2</v>
      </c>
      <c r="AF179" s="769">
        <v>0.97578828828828834</v>
      </c>
      <c r="AG179" s="770">
        <v>0.99870062370062374</v>
      </c>
      <c r="AH179" s="769">
        <v>1.2993762993762994E-3</v>
      </c>
      <c r="AI179" s="769">
        <v>2.1266123068989742E-2</v>
      </c>
      <c r="AJ179" s="769">
        <v>0.90567955883037798</v>
      </c>
      <c r="AK179" s="769">
        <v>0.92694568189936777</v>
      </c>
      <c r="AL179" s="769">
        <v>1.2060183214928021E-3</v>
      </c>
      <c r="AM179" s="769">
        <v>2.1375199128497804E-2</v>
      </c>
      <c r="AN179" s="769">
        <v>0.91032487933067496</v>
      </c>
      <c r="AO179" s="769">
        <v>0.9317000784591728</v>
      </c>
      <c r="AP179" s="769">
        <v>1.2122041093666051E-3</v>
      </c>
      <c r="AQ179" s="769">
        <v>0</v>
      </c>
      <c r="AR179" s="769">
        <v>0</v>
      </c>
      <c r="AS179" s="769">
        <v>0.86034621066728312</v>
      </c>
      <c r="AT179" s="769">
        <v>0.89302531034485355</v>
      </c>
      <c r="AU179" s="769">
        <v>0.92694568189936777</v>
      </c>
      <c r="AV179" s="769">
        <v>0.96215447338226234</v>
      </c>
      <c r="AW179" s="769">
        <v>0.99870062370062374</v>
      </c>
      <c r="AX179" s="769">
        <v>0.86919444686463387</v>
      </c>
      <c r="AY179" s="769">
        <v>0.8999047362582645</v>
      </c>
      <c r="AZ179" s="769">
        <v>0.93170007845917269</v>
      </c>
      <c r="BA179" s="769">
        <v>0.96461881044228859</v>
      </c>
      <c r="BB179" s="769">
        <v>0.99870062370062374</v>
      </c>
      <c r="BC179" s="769">
        <v>0</v>
      </c>
      <c r="BD179" s="769">
        <v>0</v>
      </c>
      <c r="BE179" s="769">
        <v>0</v>
      </c>
      <c r="BF179" s="769">
        <v>0</v>
      </c>
      <c r="BG179" s="769">
        <v>0</v>
      </c>
      <c r="BH179" s="771">
        <v>1.0149709503247597</v>
      </c>
      <c r="BI179" s="771">
        <v>1.0315063449003654</v>
      </c>
      <c r="BJ179" s="771">
        <v>1.0483111257807551</v>
      </c>
      <c r="BK179" s="772">
        <v>1.0483111257807551</v>
      </c>
      <c r="BL179" s="772">
        <v>1.0483111257807551</v>
      </c>
      <c r="BM179" s="772">
        <v>1.0483111257807551</v>
      </c>
      <c r="BN179" s="772">
        <v>1.0483111257807551</v>
      </c>
      <c r="BO179" s="772">
        <v>1.0483111257807551</v>
      </c>
      <c r="BP179" s="772">
        <v>1.0483111257807551</v>
      </c>
      <c r="BQ179" s="772">
        <v>1.0483111257807551</v>
      </c>
      <c r="BR179" s="772">
        <v>1.0483111257807551</v>
      </c>
      <c r="BS179" s="772">
        <v>1.0483111257807551</v>
      </c>
      <c r="BT179" s="772">
        <v>1.0483111257807551</v>
      </c>
      <c r="BU179" s="772">
        <v>1.0483111257807551</v>
      </c>
      <c r="BV179" s="772">
        <v>1.0483111257807551</v>
      </c>
      <c r="BW179" s="771">
        <v>1.0149709503247597</v>
      </c>
      <c r="BX179" s="771">
        <v>1.0315063449003654</v>
      </c>
      <c r="BY179" s="771">
        <v>1.0483111257807551</v>
      </c>
      <c r="BZ179" s="772">
        <v>1.0483111257807551</v>
      </c>
      <c r="CA179" s="772">
        <v>1.0483111257807551</v>
      </c>
      <c r="CB179" s="772">
        <v>1.0483111257807551</v>
      </c>
      <c r="CC179" s="772">
        <v>1.0483111257807551</v>
      </c>
      <c r="CD179" s="772">
        <v>1.0483111257807551</v>
      </c>
      <c r="CE179" s="772">
        <v>1.0483111257807551</v>
      </c>
      <c r="CF179" s="772">
        <v>1.0483111257807551</v>
      </c>
      <c r="CG179" s="772">
        <v>1.0483111257807551</v>
      </c>
      <c r="CH179" s="772">
        <v>1.0483111257807551</v>
      </c>
      <c r="CI179" s="772">
        <v>1.0483111257807551</v>
      </c>
      <c r="CJ179" s="772">
        <v>1.0483111257807551</v>
      </c>
      <c r="CK179" s="772">
        <v>1.0483111257807551</v>
      </c>
      <c r="CL179" s="771">
        <v>0</v>
      </c>
      <c r="CM179" s="771">
        <v>0</v>
      </c>
      <c r="CN179" s="771">
        <v>0</v>
      </c>
      <c r="CO179" s="772">
        <v>0</v>
      </c>
      <c r="CP179" s="772">
        <v>0</v>
      </c>
      <c r="CQ179" s="772">
        <v>0</v>
      </c>
      <c r="CR179" s="772">
        <v>0</v>
      </c>
      <c r="CS179" s="772">
        <v>0</v>
      </c>
      <c r="CT179" s="772">
        <v>0</v>
      </c>
      <c r="CU179" s="772">
        <v>0</v>
      </c>
      <c r="CV179" s="772">
        <v>0</v>
      </c>
      <c r="CW179" s="772">
        <v>0</v>
      </c>
      <c r="CX179" s="772">
        <v>0</v>
      </c>
      <c r="CY179" s="772">
        <v>0</v>
      </c>
      <c r="CZ179" s="772">
        <v>0</v>
      </c>
      <c r="DA179" s="773">
        <v>1.3205450823897472E-3</v>
      </c>
      <c r="DB179" s="773">
        <v>1.3420587365344334E-3</v>
      </c>
      <c r="DC179" s="773">
        <v>1.3639228802768087E-3</v>
      </c>
      <c r="DD179" s="774">
        <v>1.3639228802768087E-3</v>
      </c>
      <c r="DE179" s="774">
        <v>1.3639228802768087E-3</v>
      </c>
      <c r="DF179" s="774">
        <v>1.3639228802768087E-3</v>
      </c>
      <c r="DG179" s="774">
        <v>1.3639228802768087E-3</v>
      </c>
      <c r="DH179" s="774">
        <v>1.3639228802768087E-3</v>
      </c>
      <c r="DI179" s="774">
        <v>1.3639228802768087E-3</v>
      </c>
      <c r="DJ179" s="774">
        <v>1.3639228802768087E-3</v>
      </c>
      <c r="DK179" s="774">
        <v>1.3639228802768087E-3</v>
      </c>
      <c r="DL179" s="774">
        <v>1.3639228802768087E-3</v>
      </c>
      <c r="DM179" s="774">
        <v>1.3639228802768087E-3</v>
      </c>
      <c r="DN179" s="774">
        <v>1.3639228802768087E-3</v>
      </c>
      <c r="DO179" s="774">
        <v>1.3639228802768087E-3</v>
      </c>
      <c r="DP179" s="773">
        <v>0</v>
      </c>
      <c r="DQ179" s="773">
        <v>0</v>
      </c>
      <c r="DR179" s="773">
        <v>0</v>
      </c>
      <c r="DS179" s="774">
        <v>0</v>
      </c>
      <c r="DT179" s="774">
        <v>0</v>
      </c>
      <c r="DU179" s="774">
        <v>0</v>
      </c>
      <c r="DV179" s="774">
        <v>0</v>
      </c>
      <c r="DW179" s="774">
        <v>0</v>
      </c>
      <c r="DX179" s="774">
        <v>0</v>
      </c>
      <c r="DY179" s="774">
        <v>0</v>
      </c>
      <c r="DZ179" s="774">
        <v>0</v>
      </c>
      <c r="EA179" s="774">
        <v>0</v>
      </c>
      <c r="EB179" s="774">
        <v>0</v>
      </c>
      <c r="EC179" s="774">
        <v>0</v>
      </c>
      <c r="ED179" s="774">
        <v>0</v>
      </c>
    </row>
    <row r="180" spans="1:134" ht="15" x14ac:dyDescent="0.25">
      <c r="A180" s="766">
        <v>124</v>
      </c>
      <c r="B180" s="766">
        <v>92</v>
      </c>
      <c r="C180" s="766" t="s">
        <v>3851</v>
      </c>
      <c r="D180" s="2">
        <v>99705</v>
      </c>
      <c r="E180" s="2">
        <v>99705</v>
      </c>
      <c r="F180" s="767" t="s">
        <v>3676</v>
      </c>
      <c r="G180" s="114">
        <v>143</v>
      </c>
      <c r="H180" s="114">
        <v>62</v>
      </c>
      <c r="I180" s="114">
        <v>51</v>
      </c>
      <c r="J180" s="114">
        <v>11</v>
      </c>
      <c r="K180" s="114">
        <v>0</v>
      </c>
      <c r="L180" s="114">
        <v>0</v>
      </c>
      <c r="M180" s="114">
        <v>0</v>
      </c>
      <c r="N180" s="114">
        <v>0</v>
      </c>
      <c r="O180" s="114">
        <v>0</v>
      </c>
      <c r="P180" s="114">
        <v>0</v>
      </c>
      <c r="Q180" s="114">
        <v>0</v>
      </c>
      <c r="R180" s="114">
        <v>0</v>
      </c>
      <c r="S180" s="114">
        <v>834.49503068156923</v>
      </c>
      <c r="T180" s="114">
        <v>834.49503068156923</v>
      </c>
      <c r="U180" s="114">
        <v>1408.3846153846155</v>
      </c>
      <c r="V180" s="114">
        <v>0</v>
      </c>
      <c r="W180" s="114">
        <v>0</v>
      </c>
      <c r="X180" s="114">
        <v>1365.173957061457</v>
      </c>
      <c r="Y180" s="114">
        <v>1.4205647955647955</v>
      </c>
      <c r="Z180" s="114">
        <v>60.498873873873876</v>
      </c>
      <c r="AA180" s="114">
        <v>8.0561330561330566E-2</v>
      </c>
      <c r="AB180" s="657">
        <v>0</v>
      </c>
      <c r="AC180" s="657">
        <v>0</v>
      </c>
      <c r="AD180" s="768">
        <v>62</v>
      </c>
      <c r="AE180" s="769">
        <v>1.1685291060291059</v>
      </c>
      <c r="AF180" s="769">
        <v>49.765202702702702</v>
      </c>
      <c r="AG180" s="770">
        <v>50.933731808731807</v>
      </c>
      <c r="AH180" s="769">
        <v>6.6268191268191265E-2</v>
      </c>
      <c r="AI180" s="769">
        <v>1.3184996302773642</v>
      </c>
      <c r="AJ180" s="769">
        <v>56.152132647483434</v>
      </c>
      <c r="AK180" s="769">
        <v>57.470632277760799</v>
      </c>
      <c r="AL180" s="769">
        <v>7.4773135932553733E-2</v>
      </c>
      <c r="AM180" s="769">
        <v>1.0901351555533878</v>
      </c>
      <c r="AN180" s="769">
        <v>46.426568845864416</v>
      </c>
      <c r="AO180" s="769">
        <v>47.516704001417807</v>
      </c>
      <c r="AP180" s="769">
        <v>6.1822409577696857E-2</v>
      </c>
      <c r="AQ180" s="769">
        <v>0</v>
      </c>
      <c r="AR180" s="769">
        <v>0</v>
      </c>
      <c r="AS180" s="769">
        <v>53.341465061371551</v>
      </c>
      <c r="AT180" s="769">
        <v>55.367569241380913</v>
      </c>
      <c r="AU180" s="769">
        <v>57.470632277760799</v>
      </c>
      <c r="AV180" s="769">
        <v>59.653577349700264</v>
      </c>
      <c r="AW180" s="769">
        <v>61.919438669438669</v>
      </c>
      <c r="AX180" s="769">
        <v>44.328916790096329</v>
      </c>
      <c r="AY180" s="769">
        <v>45.895141549171484</v>
      </c>
      <c r="AZ180" s="769">
        <v>47.516704001417807</v>
      </c>
      <c r="BA180" s="769">
        <v>49.195559332556712</v>
      </c>
      <c r="BB180" s="769">
        <v>50.933731808731807</v>
      </c>
      <c r="BC180" s="769">
        <v>0</v>
      </c>
      <c r="BD180" s="769">
        <v>0</v>
      </c>
      <c r="BE180" s="769">
        <v>0</v>
      </c>
      <c r="BF180" s="769">
        <v>0</v>
      </c>
      <c r="BG180" s="769">
        <v>0</v>
      </c>
      <c r="BH180" s="771">
        <v>62.928198920135095</v>
      </c>
      <c r="BI180" s="771">
        <v>63.953393383822657</v>
      </c>
      <c r="BJ180" s="771">
        <v>64.995289798406816</v>
      </c>
      <c r="BK180" s="772">
        <v>67.309998588836066</v>
      </c>
      <c r="BL180" s="772">
        <v>69.624707379265317</v>
      </c>
      <c r="BM180" s="772">
        <v>71.939416169694567</v>
      </c>
      <c r="BN180" s="772">
        <v>74.254124960123818</v>
      </c>
      <c r="BO180" s="772">
        <v>76.991116287318363</v>
      </c>
      <c r="BP180" s="772">
        <v>79.728107614512936</v>
      </c>
      <c r="BQ180" s="772">
        <v>87.315833290398231</v>
      </c>
      <c r="BR180" s="772">
        <v>96.356089075069036</v>
      </c>
      <c r="BS180" s="772">
        <v>100.32548740537543</v>
      </c>
      <c r="BT180" s="772">
        <v>102.50530664168481</v>
      </c>
      <c r="BU180" s="772">
        <v>104.76271513468646</v>
      </c>
      <c r="BV180" s="772">
        <v>107.07443610737272</v>
      </c>
      <c r="BW180" s="771">
        <v>51.763518466562736</v>
      </c>
      <c r="BX180" s="771">
        <v>52.606823589918633</v>
      </c>
      <c r="BY180" s="771">
        <v>53.463867414818516</v>
      </c>
      <c r="BZ180" s="772">
        <v>55.36790206501032</v>
      </c>
      <c r="CA180" s="772">
        <v>57.271936715202116</v>
      </c>
      <c r="CB180" s="772">
        <v>59.17597136539392</v>
      </c>
      <c r="CC180" s="772">
        <v>61.080006015585724</v>
      </c>
      <c r="CD180" s="772">
        <v>63.331402107310282</v>
      </c>
      <c r="CE180" s="772">
        <v>65.582798199034841</v>
      </c>
      <c r="CF180" s="772">
        <v>71.824314480811452</v>
      </c>
      <c r="CG180" s="772">
        <v>79.26065391658905</v>
      </c>
      <c r="CH180" s="772">
        <v>82.525804156034638</v>
      </c>
      <c r="CI180" s="772">
        <v>84.318881269773001</v>
      </c>
      <c r="CJ180" s="772">
        <v>86.175781804338868</v>
      </c>
      <c r="CK180" s="772">
        <v>88.077358733484019</v>
      </c>
      <c r="CL180" s="771">
        <v>0</v>
      </c>
      <c r="CM180" s="771">
        <v>0</v>
      </c>
      <c r="CN180" s="771">
        <v>0</v>
      </c>
      <c r="CO180" s="772">
        <v>0</v>
      </c>
      <c r="CP180" s="772">
        <v>0</v>
      </c>
      <c r="CQ180" s="772">
        <v>0</v>
      </c>
      <c r="CR180" s="772">
        <v>0</v>
      </c>
      <c r="CS180" s="772">
        <v>0</v>
      </c>
      <c r="CT180" s="772">
        <v>0</v>
      </c>
      <c r="CU180" s="772">
        <v>0</v>
      </c>
      <c r="CV180" s="772">
        <v>0</v>
      </c>
      <c r="CW180" s="772">
        <v>0</v>
      </c>
      <c r="CX180" s="772">
        <v>0</v>
      </c>
      <c r="CY180" s="772">
        <v>0</v>
      </c>
      <c r="CZ180" s="772">
        <v>0</v>
      </c>
      <c r="DA180" s="773">
        <v>8.1873795108164324E-2</v>
      </c>
      <c r="DB180" s="773">
        <v>8.3207641665134877E-2</v>
      </c>
      <c r="DC180" s="773">
        <v>8.4563218577162147E-2</v>
      </c>
      <c r="DD180" s="774">
        <v>8.7574809509284507E-2</v>
      </c>
      <c r="DE180" s="774">
        <v>9.0586400441406881E-2</v>
      </c>
      <c r="DF180" s="774">
        <v>9.3597991373529241E-2</v>
      </c>
      <c r="DG180" s="774">
        <v>9.6609582305651601E-2</v>
      </c>
      <c r="DH180" s="774">
        <v>0.1001705910581816</v>
      </c>
      <c r="DI180" s="774">
        <v>0.10373159981071163</v>
      </c>
      <c r="DJ180" s="774">
        <v>0.11360373834295893</v>
      </c>
      <c r="DK180" s="774">
        <v>0.12536571568445101</v>
      </c>
      <c r="DL180" s="774">
        <v>0.13053016836504741</v>
      </c>
      <c r="DM180" s="774">
        <v>0.13336625896654283</v>
      </c>
      <c r="DN180" s="774">
        <v>0.13630329837976382</v>
      </c>
      <c r="DO180" s="774">
        <v>0.13931100196119273</v>
      </c>
      <c r="DP180" s="773">
        <v>0</v>
      </c>
      <c r="DQ180" s="773">
        <v>0</v>
      </c>
      <c r="DR180" s="773">
        <v>0</v>
      </c>
      <c r="DS180" s="774">
        <v>0</v>
      </c>
      <c r="DT180" s="774">
        <v>0</v>
      </c>
      <c r="DU180" s="774">
        <v>0</v>
      </c>
      <c r="DV180" s="774">
        <v>0</v>
      </c>
      <c r="DW180" s="774">
        <v>0</v>
      </c>
      <c r="DX180" s="774">
        <v>0</v>
      </c>
      <c r="DY180" s="774">
        <v>0</v>
      </c>
      <c r="DZ180" s="774">
        <v>0</v>
      </c>
      <c r="EA180" s="774">
        <v>0</v>
      </c>
      <c r="EB180" s="774">
        <v>0</v>
      </c>
      <c r="EC180" s="774">
        <v>0</v>
      </c>
      <c r="ED180" s="774">
        <v>0</v>
      </c>
    </row>
    <row r="181" spans="1:134" ht="15" x14ac:dyDescent="0.25">
      <c r="A181" s="766">
        <v>85</v>
      </c>
      <c r="B181" s="766">
        <v>93</v>
      </c>
      <c r="C181" s="766" t="s">
        <v>3852</v>
      </c>
      <c r="D181" s="2">
        <v>99709</v>
      </c>
      <c r="E181" s="2">
        <v>99709</v>
      </c>
      <c r="F181" s="767" t="s">
        <v>3676</v>
      </c>
      <c r="G181" s="114">
        <v>0</v>
      </c>
      <c r="H181" s="114">
        <v>1</v>
      </c>
      <c r="I181" s="114">
        <v>0</v>
      </c>
      <c r="J181" s="114">
        <v>1</v>
      </c>
      <c r="K181" s="114">
        <v>0</v>
      </c>
      <c r="L181" s="114">
        <v>0</v>
      </c>
      <c r="M181" s="114">
        <v>0</v>
      </c>
      <c r="N181" s="114">
        <v>0</v>
      </c>
      <c r="O181" s="114">
        <v>0</v>
      </c>
      <c r="P181" s="114">
        <v>0</v>
      </c>
      <c r="Q181" s="114">
        <v>0</v>
      </c>
      <c r="R181" s="114">
        <v>0</v>
      </c>
      <c r="S181" s="114">
        <v>834.49503068156923</v>
      </c>
      <c r="T181" s="114">
        <v>834.49503068156923</v>
      </c>
      <c r="U181" s="114">
        <v>1408.3846153846155</v>
      </c>
      <c r="V181" s="114">
        <v>0</v>
      </c>
      <c r="W181" s="114">
        <v>0</v>
      </c>
      <c r="X181" s="114">
        <v>1365.173957061457</v>
      </c>
      <c r="Y181" s="114">
        <v>2.2912335412335411E-2</v>
      </c>
      <c r="Z181" s="114">
        <v>0.97578828828828834</v>
      </c>
      <c r="AA181" s="114">
        <v>1.2993762993762994E-3</v>
      </c>
      <c r="AB181" s="657">
        <v>0</v>
      </c>
      <c r="AC181" s="657">
        <v>0</v>
      </c>
      <c r="AD181" s="768">
        <v>1</v>
      </c>
      <c r="AE181" s="769">
        <v>0</v>
      </c>
      <c r="AF181" s="769">
        <v>0</v>
      </c>
      <c r="AG181" s="770">
        <v>0</v>
      </c>
      <c r="AH181" s="769">
        <v>0</v>
      </c>
      <c r="AI181" s="769">
        <v>2.1816172512088276E-2</v>
      </c>
      <c r="AJ181" s="769">
        <v>0.9291050104439259</v>
      </c>
      <c r="AK181" s="769">
        <v>0.95092118295601413</v>
      </c>
      <c r="AL181" s="769">
        <v>1.2372120517252332E-3</v>
      </c>
      <c r="AM181" s="769">
        <v>0</v>
      </c>
      <c r="AN181" s="769">
        <v>0</v>
      </c>
      <c r="AO181" s="769">
        <v>0</v>
      </c>
      <c r="AP181" s="769">
        <v>0</v>
      </c>
      <c r="AQ181" s="769">
        <v>0</v>
      </c>
      <c r="AR181" s="769">
        <v>0</v>
      </c>
      <c r="AS181" s="769">
        <v>0.90542758734225925</v>
      </c>
      <c r="AT181" s="769">
        <v>0.92789561505403773</v>
      </c>
      <c r="AU181" s="769">
        <v>0.95092118295601413</v>
      </c>
      <c r="AV181" s="769">
        <v>0.97451812631079682</v>
      </c>
      <c r="AW181" s="769">
        <v>0.99870062370062374</v>
      </c>
      <c r="AX181" s="769">
        <v>0</v>
      </c>
      <c r="AY181" s="769">
        <v>0</v>
      </c>
      <c r="AZ181" s="769">
        <v>0</v>
      </c>
      <c r="BA181" s="769">
        <v>0</v>
      </c>
      <c r="BB181" s="769">
        <v>0</v>
      </c>
      <c r="BC181" s="769">
        <v>0</v>
      </c>
      <c r="BD181" s="769">
        <v>0</v>
      </c>
      <c r="BE181" s="769">
        <v>0</v>
      </c>
      <c r="BF181" s="769">
        <v>0</v>
      </c>
      <c r="BG181" s="769">
        <v>0</v>
      </c>
      <c r="BH181" s="771">
        <v>1.0038165964890691</v>
      </c>
      <c r="BI181" s="771">
        <v>1.0089587765081409</v>
      </c>
      <c r="BJ181" s="771">
        <v>1.0141272980077591</v>
      </c>
      <c r="BK181" s="772">
        <v>1.0074598559668233</v>
      </c>
      <c r="BL181" s="772">
        <v>1.0008362494319984</v>
      </c>
      <c r="BM181" s="772">
        <v>1.0080211182514647</v>
      </c>
      <c r="BN181" s="772">
        <v>1.0152575662778016</v>
      </c>
      <c r="BO181" s="772">
        <v>1.0225459637911978</v>
      </c>
      <c r="BP181" s="772">
        <v>1.0298866837300331</v>
      </c>
      <c r="BQ181" s="772">
        <v>1.0372801017099622</v>
      </c>
      <c r="BR181" s="772">
        <v>1.0431030032433033</v>
      </c>
      <c r="BS181" s="772">
        <v>1.0489585923623903</v>
      </c>
      <c r="BT181" s="772">
        <v>1.0548470525630722</v>
      </c>
      <c r="BU181" s="772">
        <v>1.0607685683712753</v>
      </c>
      <c r="BV181" s="772">
        <v>1.0667233253487847</v>
      </c>
      <c r="BW181" s="771">
        <v>0</v>
      </c>
      <c r="BX181" s="771">
        <v>0</v>
      </c>
      <c r="BY181" s="771">
        <v>0</v>
      </c>
      <c r="BZ181" s="772">
        <v>0</v>
      </c>
      <c r="CA181" s="772">
        <v>0</v>
      </c>
      <c r="CB181" s="772">
        <v>0</v>
      </c>
      <c r="CC181" s="772">
        <v>0</v>
      </c>
      <c r="CD181" s="772">
        <v>0</v>
      </c>
      <c r="CE181" s="772">
        <v>0</v>
      </c>
      <c r="CF181" s="772">
        <v>0</v>
      </c>
      <c r="CG181" s="772">
        <v>0</v>
      </c>
      <c r="CH181" s="772">
        <v>0</v>
      </c>
      <c r="CI181" s="772">
        <v>0</v>
      </c>
      <c r="CJ181" s="772">
        <v>0</v>
      </c>
      <c r="CK181" s="772">
        <v>0</v>
      </c>
      <c r="CL181" s="771">
        <v>0</v>
      </c>
      <c r="CM181" s="771">
        <v>0</v>
      </c>
      <c r="CN181" s="771">
        <v>0</v>
      </c>
      <c r="CO181" s="772">
        <v>0</v>
      </c>
      <c r="CP181" s="772">
        <v>0</v>
      </c>
      <c r="CQ181" s="772">
        <v>0</v>
      </c>
      <c r="CR181" s="772">
        <v>0</v>
      </c>
      <c r="CS181" s="772">
        <v>0</v>
      </c>
      <c r="CT181" s="772">
        <v>0</v>
      </c>
      <c r="CU181" s="772">
        <v>0</v>
      </c>
      <c r="CV181" s="772">
        <v>0</v>
      </c>
      <c r="CW181" s="772">
        <v>0</v>
      </c>
      <c r="CX181" s="772">
        <v>0</v>
      </c>
      <c r="CY181" s="772">
        <v>0</v>
      </c>
      <c r="CZ181" s="772">
        <v>0</v>
      </c>
      <c r="DA181" s="773">
        <v>1.3060325221039152E-3</v>
      </c>
      <c r="DB181" s="773">
        <v>1.31272284219118E-3</v>
      </c>
      <c r="DC181" s="773">
        <v>1.319447434306218E-3</v>
      </c>
      <c r="DD181" s="774">
        <v>1.3107726463268583E-3</v>
      </c>
      <c r="DE181" s="774">
        <v>1.3021548912724413E-3</v>
      </c>
      <c r="DF181" s="774">
        <v>1.3115028860935009E-3</v>
      </c>
      <c r="DG181" s="774">
        <v>1.3209179889120501E-3</v>
      </c>
      <c r="DH181" s="774">
        <v>1.3304006814873768E-3</v>
      </c>
      <c r="DI181" s="774">
        <v>1.3399514490372536E-3</v>
      </c>
      <c r="DJ181" s="774">
        <v>1.3495707802627665E-3</v>
      </c>
      <c r="DK181" s="774">
        <v>1.3571467645632363E-3</v>
      </c>
      <c r="DL181" s="774">
        <v>1.3647652775987383E-3</v>
      </c>
      <c r="DM181" s="774">
        <v>1.3724265581096437E-3</v>
      </c>
      <c r="DN181" s="774">
        <v>1.3801308461765228E-3</v>
      </c>
      <c r="DO181" s="774">
        <v>1.3878783832276668E-3</v>
      </c>
      <c r="DP181" s="773">
        <v>0</v>
      </c>
      <c r="DQ181" s="773">
        <v>0</v>
      </c>
      <c r="DR181" s="773">
        <v>0</v>
      </c>
      <c r="DS181" s="774">
        <v>0</v>
      </c>
      <c r="DT181" s="774">
        <v>0</v>
      </c>
      <c r="DU181" s="774">
        <v>0</v>
      </c>
      <c r="DV181" s="774">
        <v>0</v>
      </c>
      <c r="DW181" s="774">
        <v>0</v>
      </c>
      <c r="DX181" s="774">
        <v>0</v>
      </c>
      <c r="DY181" s="774">
        <v>0</v>
      </c>
      <c r="DZ181" s="774">
        <v>0</v>
      </c>
      <c r="EA181" s="774">
        <v>0</v>
      </c>
      <c r="EB181" s="774">
        <v>0</v>
      </c>
      <c r="EC181" s="774">
        <v>0</v>
      </c>
      <c r="ED181" s="774">
        <v>0</v>
      </c>
    </row>
    <row r="182" spans="1:134" ht="15" x14ac:dyDescent="0.25">
      <c r="A182" s="766">
        <v>93</v>
      </c>
      <c r="B182" s="766">
        <v>93</v>
      </c>
      <c r="C182" s="766" t="s">
        <v>3853</v>
      </c>
      <c r="D182" s="2">
        <v>99709</v>
      </c>
      <c r="E182" s="2">
        <v>99709</v>
      </c>
      <c r="F182" s="767" t="s">
        <v>3676</v>
      </c>
      <c r="G182" s="114">
        <v>3</v>
      </c>
      <c r="H182" s="114">
        <v>1</v>
      </c>
      <c r="I182" s="114">
        <v>1</v>
      </c>
      <c r="J182" s="114">
        <v>0</v>
      </c>
      <c r="K182" s="114">
        <v>0</v>
      </c>
      <c r="L182" s="114">
        <v>10</v>
      </c>
      <c r="M182" s="114">
        <v>10</v>
      </c>
      <c r="N182" s="114">
        <v>0</v>
      </c>
      <c r="O182" s="114">
        <v>0</v>
      </c>
      <c r="P182" s="114">
        <v>0</v>
      </c>
      <c r="Q182" s="114">
        <v>10</v>
      </c>
      <c r="R182" s="114">
        <v>0</v>
      </c>
      <c r="S182" s="114">
        <v>1771.8</v>
      </c>
      <c r="T182" s="114">
        <v>1771.8</v>
      </c>
      <c r="U182" s="114">
        <v>0</v>
      </c>
      <c r="V182" s="114">
        <v>0</v>
      </c>
      <c r="W182" s="114">
        <v>0</v>
      </c>
      <c r="X182" s="114">
        <v>1771.8</v>
      </c>
      <c r="Y182" s="114">
        <v>0</v>
      </c>
      <c r="Z182" s="114">
        <v>1</v>
      </c>
      <c r="AA182" s="114">
        <v>0</v>
      </c>
      <c r="AB182" s="657">
        <v>0</v>
      </c>
      <c r="AC182" s="657">
        <v>0</v>
      </c>
      <c r="AD182" s="768">
        <v>1</v>
      </c>
      <c r="AE182" s="769">
        <v>0</v>
      </c>
      <c r="AF182" s="769">
        <v>1</v>
      </c>
      <c r="AG182" s="770">
        <v>1</v>
      </c>
      <c r="AH182" s="769">
        <v>0</v>
      </c>
      <c r="AI182" s="769">
        <v>0</v>
      </c>
      <c r="AJ182" s="769">
        <v>0.95215839500773936</v>
      </c>
      <c r="AK182" s="769">
        <v>0.95215839500773936</v>
      </c>
      <c r="AL182" s="769">
        <v>0</v>
      </c>
      <c r="AM182" s="769">
        <v>0</v>
      </c>
      <c r="AN182" s="769">
        <v>0.95395462889797633</v>
      </c>
      <c r="AO182" s="769">
        <v>0.95395462889797633</v>
      </c>
      <c r="AP182" s="769">
        <v>0</v>
      </c>
      <c r="AQ182" s="769">
        <v>0</v>
      </c>
      <c r="AR182" s="769">
        <v>0</v>
      </c>
      <c r="AS182" s="769">
        <v>0.90660560918371424</v>
      </c>
      <c r="AT182" s="769">
        <v>0.92910286930209141</v>
      </c>
      <c r="AU182" s="769">
        <v>0.95215839500773936</v>
      </c>
      <c r="AV182" s="769">
        <v>0.97578603956386833</v>
      </c>
      <c r="AW182" s="769">
        <v>1</v>
      </c>
      <c r="AX182" s="769">
        <v>0.91002943399587566</v>
      </c>
      <c r="AY182" s="769">
        <v>0.93173321878838855</v>
      </c>
      <c r="AZ182" s="769">
        <v>0.95395462889797633</v>
      </c>
      <c r="BA182" s="769">
        <v>0.97670600945114305</v>
      </c>
      <c r="BB182" s="769">
        <v>1</v>
      </c>
      <c r="BC182" s="769">
        <v>0</v>
      </c>
      <c r="BD182" s="769">
        <v>0</v>
      </c>
      <c r="BE182" s="769">
        <v>0</v>
      </c>
      <c r="BF182" s="769">
        <v>0</v>
      </c>
      <c r="BG182" s="769">
        <v>0</v>
      </c>
      <c r="BH182" s="771">
        <v>1.005122629011173</v>
      </c>
      <c r="BI182" s="771">
        <v>1.0102714993503321</v>
      </c>
      <c r="BJ182" s="771">
        <v>1.0154467454420653</v>
      </c>
      <c r="BK182" s="772">
        <v>1.0087706286131499</v>
      </c>
      <c r="BL182" s="772">
        <v>1.0021384043232706</v>
      </c>
      <c r="BM182" s="772">
        <v>1.0093326211375582</v>
      </c>
      <c r="BN182" s="772">
        <v>1.0165784842667136</v>
      </c>
      <c r="BO182" s="772">
        <v>1.0238763644726849</v>
      </c>
      <c r="BP182" s="772">
        <v>1.0312266351790702</v>
      </c>
      <c r="BQ182" s="772">
        <v>1.0386296724902249</v>
      </c>
      <c r="BR182" s="772">
        <v>1.0444601500078665</v>
      </c>
      <c r="BS182" s="772">
        <v>1.0503233576399889</v>
      </c>
      <c r="BT182" s="772">
        <v>1.0562194791211816</v>
      </c>
      <c r="BU182" s="772">
        <v>1.0621486992174518</v>
      </c>
      <c r="BV182" s="772">
        <v>1.0681112037320122</v>
      </c>
      <c r="BW182" s="771">
        <v>1.005122629011173</v>
      </c>
      <c r="BX182" s="771">
        <v>1.0102714993503321</v>
      </c>
      <c r="BY182" s="771">
        <v>1.0154467454420653</v>
      </c>
      <c r="BZ182" s="772">
        <v>1.0087706286131499</v>
      </c>
      <c r="CA182" s="772">
        <v>1.0021384043232706</v>
      </c>
      <c r="CB182" s="772">
        <v>1.0093326211375582</v>
      </c>
      <c r="CC182" s="772">
        <v>1.0165784842667136</v>
      </c>
      <c r="CD182" s="772">
        <v>1.0238763644726849</v>
      </c>
      <c r="CE182" s="772">
        <v>1.0312266351790702</v>
      </c>
      <c r="CF182" s="772">
        <v>1.0386296724902249</v>
      </c>
      <c r="CG182" s="772">
        <v>1.0444601500078665</v>
      </c>
      <c r="CH182" s="772">
        <v>1.0503233576399889</v>
      </c>
      <c r="CI182" s="772">
        <v>1.0562194791211816</v>
      </c>
      <c r="CJ182" s="772">
        <v>1.0621486992174518</v>
      </c>
      <c r="CK182" s="772">
        <v>1.0681112037320122</v>
      </c>
      <c r="CL182" s="771">
        <v>0</v>
      </c>
      <c r="CM182" s="771">
        <v>0</v>
      </c>
      <c r="CN182" s="771">
        <v>0</v>
      </c>
      <c r="CO182" s="772">
        <v>0</v>
      </c>
      <c r="CP182" s="772">
        <v>0</v>
      </c>
      <c r="CQ182" s="772">
        <v>0</v>
      </c>
      <c r="CR182" s="772">
        <v>0</v>
      </c>
      <c r="CS182" s="772">
        <v>0</v>
      </c>
      <c r="CT182" s="772">
        <v>0</v>
      </c>
      <c r="CU182" s="772">
        <v>0</v>
      </c>
      <c r="CV182" s="772">
        <v>0</v>
      </c>
      <c r="CW182" s="772">
        <v>0</v>
      </c>
      <c r="CX182" s="772">
        <v>0</v>
      </c>
      <c r="CY182" s="772">
        <v>0</v>
      </c>
      <c r="CZ182" s="772">
        <v>0</v>
      </c>
      <c r="DA182" s="773">
        <v>0</v>
      </c>
      <c r="DB182" s="773">
        <v>0</v>
      </c>
      <c r="DC182" s="773">
        <v>0</v>
      </c>
      <c r="DD182" s="774">
        <v>0</v>
      </c>
      <c r="DE182" s="774">
        <v>0</v>
      </c>
      <c r="DF182" s="774">
        <v>0</v>
      </c>
      <c r="DG182" s="774">
        <v>0</v>
      </c>
      <c r="DH182" s="774">
        <v>0</v>
      </c>
      <c r="DI182" s="774">
        <v>0</v>
      </c>
      <c r="DJ182" s="774">
        <v>0</v>
      </c>
      <c r="DK182" s="774">
        <v>0</v>
      </c>
      <c r="DL182" s="774">
        <v>0</v>
      </c>
      <c r="DM182" s="774">
        <v>0</v>
      </c>
      <c r="DN182" s="774">
        <v>0</v>
      </c>
      <c r="DO182" s="774">
        <v>0</v>
      </c>
      <c r="DP182" s="773">
        <v>0</v>
      </c>
      <c r="DQ182" s="773">
        <v>0</v>
      </c>
      <c r="DR182" s="773">
        <v>0</v>
      </c>
      <c r="DS182" s="774">
        <v>0</v>
      </c>
      <c r="DT182" s="774">
        <v>0</v>
      </c>
      <c r="DU182" s="774">
        <v>0</v>
      </c>
      <c r="DV182" s="774">
        <v>0</v>
      </c>
      <c r="DW182" s="774">
        <v>0</v>
      </c>
      <c r="DX182" s="774">
        <v>0</v>
      </c>
      <c r="DY182" s="774">
        <v>0</v>
      </c>
      <c r="DZ182" s="774">
        <v>0</v>
      </c>
      <c r="EA182" s="774">
        <v>0</v>
      </c>
      <c r="EB182" s="774">
        <v>0</v>
      </c>
      <c r="EC182" s="774">
        <v>0</v>
      </c>
      <c r="ED182" s="774">
        <v>0</v>
      </c>
    </row>
    <row r="183" spans="1:134" ht="15" x14ac:dyDescent="0.25">
      <c r="A183" s="766">
        <v>98</v>
      </c>
      <c r="B183" s="766">
        <v>93</v>
      </c>
      <c r="C183" s="766" t="s">
        <v>3854</v>
      </c>
      <c r="D183" s="2">
        <v>99709</v>
      </c>
      <c r="E183" s="2">
        <v>99725</v>
      </c>
      <c r="F183" s="767" t="s">
        <v>3676</v>
      </c>
      <c r="G183" s="114">
        <v>39</v>
      </c>
      <c r="H183" s="114">
        <v>18</v>
      </c>
      <c r="I183" s="114">
        <v>18</v>
      </c>
      <c r="J183" s="114">
        <v>0</v>
      </c>
      <c r="K183" s="114">
        <v>0</v>
      </c>
      <c r="L183" s="114">
        <v>22</v>
      </c>
      <c r="M183" s="114">
        <v>22</v>
      </c>
      <c r="N183" s="114">
        <v>0</v>
      </c>
      <c r="O183" s="114">
        <v>0</v>
      </c>
      <c r="P183" s="114">
        <v>0</v>
      </c>
      <c r="Q183" s="114">
        <v>22</v>
      </c>
      <c r="R183" s="114">
        <v>0</v>
      </c>
      <c r="S183" s="114">
        <v>1831.2272727272727</v>
      </c>
      <c r="T183" s="114">
        <v>1831.2272727272727</v>
      </c>
      <c r="U183" s="114">
        <v>0</v>
      </c>
      <c r="V183" s="114">
        <v>0</v>
      </c>
      <c r="W183" s="114">
        <v>0</v>
      </c>
      <c r="X183" s="114">
        <v>1831.2272727272727</v>
      </c>
      <c r="Y183" s="114">
        <v>0</v>
      </c>
      <c r="Z183" s="114">
        <v>18</v>
      </c>
      <c r="AA183" s="114">
        <v>0</v>
      </c>
      <c r="AB183" s="657">
        <v>0</v>
      </c>
      <c r="AC183" s="657">
        <v>0</v>
      </c>
      <c r="AD183" s="768">
        <v>18</v>
      </c>
      <c r="AE183" s="769">
        <v>0</v>
      </c>
      <c r="AF183" s="769">
        <v>18</v>
      </c>
      <c r="AG183" s="770">
        <v>18</v>
      </c>
      <c r="AH183" s="769">
        <v>0</v>
      </c>
      <c r="AI183" s="769">
        <v>0</v>
      </c>
      <c r="AJ183" s="769">
        <v>17.13885111013931</v>
      </c>
      <c r="AK183" s="769">
        <v>17.13885111013931</v>
      </c>
      <c r="AL183" s="769">
        <v>0</v>
      </c>
      <c r="AM183" s="769">
        <v>0</v>
      </c>
      <c r="AN183" s="769">
        <v>17.171183320163575</v>
      </c>
      <c r="AO183" s="769">
        <v>17.171183320163575</v>
      </c>
      <c r="AP183" s="769">
        <v>0</v>
      </c>
      <c r="AQ183" s="769">
        <v>0</v>
      </c>
      <c r="AR183" s="769">
        <v>0</v>
      </c>
      <c r="AS183" s="769">
        <v>16.318900965306856</v>
      </c>
      <c r="AT183" s="769">
        <v>16.723851647437645</v>
      </c>
      <c r="AU183" s="769">
        <v>17.13885111013931</v>
      </c>
      <c r="AV183" s="769">
        <v>17.564148712149631</v>
      </c>
      <c r="AW183" s="769">
        <v>18</v>
      </c>
      <c r="AX183" s="769">
        <v>16.380529811925761</v>
      </c>
      <c r="AY183" s="769">
        <v>16.771197938190994</v>
      </c>
      <c r="AZ183" s="769">
        <v>17.171183320163575</v>
      </c>
      <c r="BA183" s="769">
        <v>17.580708170120573</v>
      </c>
      <c r="BB183" s="769">
        <v>18</v>
      </c>
      <c r="BC183" s="769">
        <v>0</v>
      </c>
      <c r="BD183" s="769">
        <v>0</v>
      </c>
      <c r="BE183" s="769">
        <v>0</v>
      </c>
      <c r="BF183" s="769">
        <v>0</v>
      </c>
      <c r="BG183" s="769">
        <v>0</v>
      </c>
      <c r="BH183" s="771">
        <v>18.092207322201112</v>
      </c>
      <c r="BI183" s="771">
        <v>18.184886988305976</v>
      </c>
      <c r="BJ183" s="771">
        <v>18.278041417957176</v>
      </c>
      <c r="BK183" s="772">
        <v>18.408437543258021</v>
      </c>
      <c r="BL183" s="772">
        <v>18.538833668558869</v>
      </c>
      <c r="BM183" s="772">
        <v>18.669229793859717</v>
      </c>
      <c r="BN183" s="772">
        <v>18.799625919160562</v>
      </c>
      <c r="BO183" s="772">
        <v>18.953810784887025</v>
      </c>
      <c r="BP183" s="772">
        <v>19.107995650613489</v>
      </c>
      <c r="BQ183" s="772">
        <v>19.535440360752474</v>
      </c>
      <c r="BR183" s="772">
        <v>20.044711475513754</v>
      </c>
      <c r="BS183" s="772">
        <v>20.268322395465209</v>
      </c>
      <c r="BT183" s="772">
        <v>20.391119692233705</v>
      </c>
      <c r="BU183" s="772">
        <v>20.518287879405129</v>
      </c>
      <c r="BV183" s="772">
        <v>20.648515689858595</v>
      </c>
      <c r="BW183" s="771">
        <v>18.092207322201112</v>
      </c>
      <c r="BX183" s="771">
        <v>18.184886988305976</v>
      </c>
      <c r="BY183" s="771">
        <v>18.278041417957176</v>
      </c>
      <c r="BZ183" s="772">
        <v>18.408437543258021</v>
      </c>
      <c r="CA183" s="772">
        <v>18.538833668558869</v>
      </c>
      <c r="CB183" s="772">
        <v>18.669229793859717</v>
      </c>
      <c r="CC183" s="772">
        <v>18.799625919160562</v>
      </c>
      <c r="CD183" s="772">
        <v>18.953810784887025</v>
      </c>
      <c r="CE183" s="772">
        <v>19.107995650613489</v>
      </c>
      <c r="CF183" s="772">
        <v>19.535440360752474</v>
      </c>
      <c r="CG183" s="772">
        <v>20.044711475513754</v>
      </c>
      <c r="CH183" s="772">
        <v>20.268322395465209</v>
      </c>
      <c r="CI183" s="772">
        <v>20.391119692233705</v>
      </c>
      <c r="CJ183" s="772">
        <v>20.518287879405129</v>
      </c>
      <c r="CK183" s="772">
        <v>20.648515689858595</v>
      </c>
      <c r="CL183" s="771">
        <v>0</v>
      </c>
      <c r="CM183" s="771">
        <v>0</v>
      </c>
      <c r="CN183" s="771">
        <v>0</v>
      </c>
      <c r="CO183" s="772">
        <v>0</v>
      </c>
      <c r="CP183" s="772">
        <v>0</v>
      </c>
      <c r="CQ183" s="772">
        <v>0</v>
      </c>
      <c r="CR183" s="772">
        <v>0</v>
      </c>
      <c r="CS183" s="772">
        <v>0</v>
      </c>
      <c r="CT183" s="772">
        <v>0</v>
      </c>
      <c r="CU183" s="772">
        <v>0</v>
      </c>
      <c r="CV183" s="772">
        <v>0</v>
      </c>
      <c r="CW183" s="772">
        <v>0</v>
      </c>
      <c r="CX183" s="772">
        <v>0</v>
      </c>
      <c r="CY183" s="772">
        <v>0</v>
      </c>
      <c r="CZ183" s="772">
        <v>0</v>
      </c>
      <c r="DA183" s="773">
        <v>0</v>
      </c>
      <c r="DB183" s="773">
        <v>0</v>
      </c>
      <c r="DC183" s="773">
        <v>0</v>
      </c>
      <c r="DD183" s="774">
        <v>0</v>
      </c>
      <c r="DE183" s="774">
        <v>0</v>
      </c>
      <c r="DF183" s="774">
        <v>0</v>
      </c>
      <c r="DG183" s="774">
        <v>0</v>
      </c>
      <c r="DH183" s="774">
        <v>0</v>
      </c>
      <c r="DI183" s="774">
        <v>0</v>
      </c>
      <c r="DJ183" s="774">
        <v>0</v>
      </c>
      <c r="DK183" s="774">
        <v>0</v>
      </c>
      <c r="DL183" s="774">
        <v>0</v>
      </c>
      <c r="DM183" s="774">
        <v>0</v>
      </c>
      <c r="DN183" s="774">
        <v>0</v>
      </c>
      <c r="DO183" s="774">
        <v>0</v>
      </c>
      <c r="DP183" s="773">
        <v>0</v>
      </c>
      <c r="DQ183" s="773">
        <v>0</v>
      </c>
      <c r="DR183" s="773">
        <v>0</v>
      </c>
      <c r="DS183" s="774">
        <v>0</v>
      </c>
      <c r="DT183" s="774">
        <v>0</v>
      </c>
      <c r="DU183" s="774">
        <v>0</v>
      </c>
      <c r="DV183" s="774">
        <v>0</v>
      </c>
      <c r="DW183" s="774">
        <v>0</v>
      </c>
      <c r="DX183" s="774">
        <v>0</v>
      </c>
      <c r="DY183" s="774">
        <v>0</v>
      </c>
      <c r="DZ183" s="774">
        <v>0</v>
      </c>
      <c r="EA183" s="774">
        <v>0</v>
      </c>
      <c r="EB183" s="774">
        <v>0</v>
      </c>
      <c r="EC183" s="774">
        <v>0</v>
      </c>
      <c r="ED183" s="774">
        <v>0</v>
      </c>
    </row>
    <row r="184" spans="1:134" ht="15" x14ac:dyDescent="0.25">
      <c r="A184" s="766">
        <v>99</v>
      </c>
      <c r="B184" s="766">
        <v>93</v>
      </c>
      <c r="C184" s="766" t="s">
        <v>3855</v>
      </c>
      <c r="D184" s="2">
        <v>99709</v>
      </c>
      <c r="E184" s="2">
        <v>99725</v>
      </c>
      <c r="F184" s="767" t="s">
        <v>3746</v>
      </c>
      <c r="G184" s="114">
        <v>1</v>
      </c>
      <c r="H184" s="114">
        <v>2</v>
      </c>
      <c r="I184" s="114">
        <v>1</v>
      </c>
      <c r="J184" s="114">
        <v>1</v>
      </c>
      <c r="K184" s="114">
        <v>0</v>
      </c>
      <c r="L184" s="114">
        <v>6</v>
      </c>
      <c r="M184" s="114">
        <v>6</v>
      </c>
      <c r="N184" s="114">
        <v>0</v>
      </c>
      <c r="O184" s="114">
        <v>0</v>
      </c>
      <c r="P184" s="114">
        <v>0</v>
      </c>
      <c r="Q184" s="114">
        <v>6</v>
      </c>
      <c r="R184" s="114">
        <v>0</v>
      </c>
      <c r="S184" s="114">
        <v>1641.3333333333333</v>
      </c>
      <c r="T184" s="114">
        <v>1641.3333333333333</v>
      </c>
      <c r="U184" s="114">
        <v>0</v>
      </c>
      <c r="V184" s="114">
        <v>0</v>
      </c>
      <c r="W184" s="114">
        <v>0</v>
      </c>
      <c r="X184" s="114">
        <v>1641.3333333333333</v>
      </c>
      <c r="Y184" s="114">
        <v>0</v>
      </c>
      <c r="Z184" s="114">
        <v>2</v>
      </c>
      <c r="AA184" s="114">
        <v>0</v>
      </c>
      <c r="AB184" s="657">
        <v>0</v>
      </c>
      <c r="AC184" s="657">
        <v>0</v>
      </c>
      <c r="AD184" s="768">
        <v>2</v>
      </c>
      <c r="AE184" s="769">
        <v>0</v>
      </c>
      <c r="AF184" s="769">
        <v>1</v>
      </c>
      <c r="AG184" s="770">
        <v>1</v>
      </c>
      <c r="AH184" s="769">
        <v>0</v>
      </c>
      <c r="AI184" s="769">
        <v>0</v>
      </c>
      <c r="AJ184" s="769">
        <v>1.9043167900154787</v>
      </c>
      <c r="AK184" s="769">
        <v>1.9043167900154787</v>
      </c>
      <c r="AL184" s="769">
        <v>0</v>
      </c>
      <c r="AM184" s="769">
        <v>0</v>
      </c>
      <c r="AN184" s="769">
        <v>0.95395462889797633</v>
      </c>
      <c r="AO184" s="769">
        <v>0.95395462889797633</v>
      </c>
      <c r="AP184" s="769">
        <v>0</v>
      </c>
      <c r="AQ184" s="769">
        <v>0</v>
      </c>
      <c r="AR184" s="769">
        <v>0</v>
      </c>
      <c r="AS184" s="769">
        <v>1.8132112183674285</v>
      </c>
      <c r="AT184" s="769">
        <v>1.8582057386041828</v>
      </c>
      <c r="AU184" s="769">
        <v>1.9043167900154787</v>
      </c>
      <c r="AV184" s="769">
        <v>1.9515720791277367</v>
      </c>
      <c r="AW184" s="769">
        <v>2</v>
      </c>
      <c r="AX184" s="769">
        <v>0.91002943399587566</v>
      </c>
      <c r="AY184" s="769">
        <v>0.93173321878838855</v>
      </c>
      <c r="AZ184" s="769">
        <v>0.95395462889797633</v>
      </c>
      <c r="BA184" s="769">
        <v>0.97670600945114305</v>
      </c>
      <c r="BB184" s="769">
        <v>1</v>
      </c>
      <c r="BC184" s="769">
        <v>0</v>
      </c>
      <c r="BD184" s="769">
        <v>0</v>
      </c>
      <c r="BE184" s="769">
        <v>0</v>
      </c>
      <c r="BF184" s="769">
        <v>0</v>
      </c>
      <c r="BG184" s="769">
        <v>0</v>
      </c>
      <c r="BH184" s="771">
        <v>2.0186866484247719</v>
      </c>
      <c r="BI184" s="771">
        <v>2.0375478922642194</v>
      </c>
      <c r="BJ184" s="771">
        <v>2.0565853628199076</v>
      </c>
      <c r="BK184" s="772">
        <v>2.0853119622732286</v>
      </c>
      <c r="BL184" s="772">
        <v>2.1140385617265496</v>
      </c>
      <c r="BM184" s="772">
        <v>2.1427651611798706</v>
      </c>
      <c r="BN184" s="772">
        <v>2.171491760633192</v>
      </c>
      <c r="BO184" s="772">
        <v>2.2054590803619734</v>
      </c>
      <c r="BP184" s="772">
        <v>2.2394264000907551</v>
      </c>
      <c r="BQ184" s="772">
        <v>2.3335935614866448</v>
      </c>
      <c r="BR184" s="772">
        <v>2.4457872888166592</v>
      </c>
      <c r="BS184" s="772">
        <v>2.4950493456148486</v>
      </c>
      <c r="BT184" s="772">
        <v>2.5221019037340455</v>
      </c>
      <c r="BU184" s="772">
        <v>2.5501173801728583</v>
      </c>
      <c r="BV184" s="772">
        <v>2.5788068994354023</v>
      </c>
      <c r="BW184" s="771">
        <v>1.0093433242123859</v>
      </c>
      <c r="BX184" s="771">
        <v>1.0187739461321097</v>
      </c>
      <c r="BY184" s="771">
        <v>1.0282926814099538</v>
      </c>
      <c r="BZ184" s="772">
        <v>1.0426559811366143</v>
      </c>
      <c r="CA184" s="772">
        <v>1.0570192808632748</v>
      </c>
      <c r="CB184" s="772">
        <v>1.0713825805899353</v>
      </c>
      <c r="CC184" s="772">
        <v>1.085745880316596</v>
      </c>
      <c r="CD184" s="772">
        <v>1.1027295401809867</v>
      </c>
      <c r="CE184" s="772">
        <v>1.1197132000453776</v>
      </c>
      <c r="CF184" s="772">
        <v>1.1667967807433224</v>
      </c>
      <c r="CG184" s="772">
        <v>1.2228936444083296</v>
      </c>
      <c r="CH184" s="772">
        <v>1.2475246728074243</v>
      </c>
      <c r="CI184" s="772">
        <v>1.2610509518670228</v>
      </c>
      <c r="CJ184" s="772">
        <v>1.2750586900864291</v>
      </c>
      <c r="CK184" s="772">
        <v>1.2894034497177012</v>
      </c>
      <c r="CL184" s="771">
        <v>0</v>
      </c>
      <c r="CM184" s="771">
        <v>0</v>
      </c>
      <c r="CN184" s="771">
        <v>0</v>
      </c>
      <c r="CO184" s="772">
        <v>0</v>
      </c>
      <c r="CP184" s="772">
        <v>0</v>
      </c>
      <c r="CQ184" s="772">
        <v>0</v>
      </c>
      <c r="CR184" s="772">
        <v>0</v>
      </c>
      <c r="CS184" s="772">
        <v>0</v>
      </c>
      <c r="CT184" s="772">
        <v>0</v>
      </c>
      <c r="CU184" s="772">
        <v>0</v>
      </c>
      <c r="CV184" s="772">
        <v>0</v>
      </c>
      <c r="CW184" s="772">
        <v>0</v>
      </c>
      <c r="CX184" s="772">
        <v>0</v>
      </c>
      <c r="CY184" s="772">
        <v>0</v>
      </c>
      <c r="CZ184" s="772">
        <v>0</v>
      </c>
      <c r="DA184" s="773">
        <v>0</v>
      </c>
      <c r="DB184" s="773">
        <v>0</v>
      </c>
      <c r="DC184" s="773">
        <v>0</v>
      </c>
      <c r="DD184" s="774">
        <v>0</v>
      </c>
      <c r="DE184" s="774">
        <v>0</v>
      </c>
      <c r="DF184" s="774">
        <v>0</v>
      </c>
      <c r="DG184" s="774">
        <v>0</v>
      </c>
      <c r="DH184" s="774">
        <v>0</v>
      </c>
      <c r="DI184" s="774">
        <v>0</v>
      </c>
      <c r="DJ184" s="774">
        <v>0</v>
      </c>
      <c r="DK184" s="774">
        <v>0</v>
      </c>
      <c r="DL184" s="774">
        <v>0</v>
      </c>
      <c r="DM184" s="774">
        <v>0</v>
      </c>
      <c r="DN184" s="774">
        <v>0</v>
      </c>
      <c r="DO184" s="774">
        <v>0</v>
      </c>
      <c r="DP184" s="773">
        <v>0</v>
      </c>
      <c r="DQ184" s="773">
        <v>0</v>
      </c>
      <c r="DR184" s="773">
        <v>0</v>
      </c>
      <c r="DS184" s="774">
        <v>0</v>
      </c>
      <c r="DT184" s="774">
        <v>0</v>
      </c>
      <c r="DU184" s="774">
        <v>0</v>
      </c>
      <c r="DV184" s="774">
        <v>0</v>
      </c>
      <c r="DW184" s="774">
        <v>0</v>
      </c>
      <c r="DX184" s="774">
        <v>0</v>
      </c>
      <c r="DY184" s="774">
        <v>0</v>
      </c>
      <c r="DZ184" s="774">
        <v>0</v>
      </c>
      <c r="EA184" s="774">
        <v>0</v>
      </c>
      <c r="EB184" s="774">
        <v>0</v>
      </c>
      <c r="EC184" s="774">
        <v>0</v>
      </c>
      <c r="ED184" s="774">
        <v>0</v>
      </c>
    </row>
    <row r="185" spans="1:134" ht="15" x14ac:dyDescent="0.25">
      <c r="A185" s="766">
        <v>100</v>
      </c>
      <c r="B185" s="766">
        <v>93</v>
      </c>
      <c r="C185" s="766" t="s">
        <v>3856</v>
      </c>
      <c r="D185" s="2">
        <v>99709</v>
      </c>
      <c r="E185" s="2">
        <v>99709</v>
      </c>
      <c r="F185" s="767" t="s">
        <v>3746</v>
      </c>
      <c r="G185" s="114">
        <v>887</v>
      </c>
      <c r="H185" s="114">
        <v>411</v>
      </c>
      <c r="I185" s="114">
        <v>362</v>
      </c>
      <c r="J185" s="114">
        <v>49</v>
      </c>
      <c r="K185" s="114">
        <v>0</v>
      </c>
      <c r="L185" s="114">
        <v>5</v>
      </c>
      <c r="M185" s="114">
        <v>5</v>
      </c>
      <c r="N185" s="114">
        <v>0</v>
      </c>
      <c r="O185" s="114">
        <v>0</v>
      </c>
      <c r="P185" s="114">
        <v>0</v>
      </c>
      <c r="Q185" s="114">
        <v>5</v>
      </c>
      <c r="R185" s="114">
        <v>0</v>
      </c>
      <c r="S185" s="114">
        <v>1424.4</v>
      </c>
      <c r="T185" s="114">
        <v>1424.4</v>
      </c>
      <c r="U185" s="114">
        <v>0</v>
      </c>
      <c r="V185" s="114">
        <v>0</v>
      </c>
      <c r="W185" s="114">
        <v>0</v>
      </c>
      <c r="X185" s="114">
        <v>1424.4</v>
      </c>
      <c r="Y185" s="114">
        <v>0</v>
      </c>
      <c r="Z185" s="114">
        <v>411</v>
      </c>
      <c r="AA185" s="114">
        <v>0</v>
      </c>
      <c r="AB185" s="657">
        <v>0</v>
      </c>
      <c r="AC185" s="657">
        <v>0</v>
      </c>
      <c r="AD185" s="768">
        <v>411</v>
      </c>
      <c r="AE185" s="769">
        <v>0</v>
      </c>
      <c r="AF185" s="769">
        <v>362</v>
      </c>
      <c r="AG185" s="770">
        <v>362</v>
      </c>
      <c r="AH185" s="769">
        <v>0</v>
      </c>
      <c r="AI185" s="769">
        <v>0</v>
      </c>
      <c r="AJ185" s="769">
        <v>391.33710034818085</v>
      </c>
      <c r="AK185" s="769">
        <v>391.33710034818085</v>
      </c>
      <c r="AL185" s="769">
        <v>0</v>
      </c>
      <c r="AM185" s="769">
        <v>0</v>
      </c>
      <c r="AN185" s="769">
        <v>345.3315756610674</v>
      </c>
      <c r="AO185" s="769">
        <v>345.3315756610674</v>
      </c>
      <c r="AP185" s="769">
        <v>0</v>
      </c>
      <c r="AQ185" s="769">
        <v>0</v>
      </c>
      <c r="AR185" s="769">
        <v>0</v>
      </c>
      <c r="AS185" s="769">
        <v>372.61490537450652</v>
      </c>
      <c r="AT185" s="769">
        <v>381.86127928315955</v>
      </c>
      <c r="AU185" s="769">
        <v>391.33710034818085</v>
      </c>
      <c r="AV185" s="769">
        <v>401.04806226074993</v>
      </c>
      <c r="AW185" s="769">
        <v>411</v>
      </c>
      <c r="AX185" s="769">
        <v>329.430655106507</v>
      </c>
      <c r="AY185" s="769">
        <v>337.28742520139667</v>
      </c>
      <c r="AZ185" s="769">
        <v>345.3315756610674</v>
      </c>
      <c r="BA185" s="769">
        <v>353.56757542131379</v>
      </c>
      <c r="BB185" s="769">
        <v>362</v>
      </c>
      <c r="BC185" s="769">
        <v>0</v>
      </c>
      <c r="BD185" s="769">
        <v>0</v>
      </c>
      <c r="BE185" s="769">
        <v>0</v>
      </c>
      <c r="BF185" s="769">
        <v>0</v>
      </c>
      <c r="BG185" s="769">
        <v>0</v>
      </c>
      <c r="BH185" s="771">
        <v>414.84010625129059</v>
      </c>
      <c r="BI185" s="771">
        <v>418.71609186029707</v>
      </c>
      <c r="BJ185" s="771">
        <v>422.628292059491</v>
      </c>
      <c r="BK185" s="772">
        <v>428.53160824714848</v>
      </c>
      <c r="BL185" s="772">
        <v>434.43492443480596</v>
      </c>
      <c r="BM185" s="772">
        <v>440.33824062246345</v>
      </c>
      <c r="BN185" s="772">
        <v>446.24155681012093</v>
      </c>
      <c r="BO185" s="772">
        <v>453.22184101438557</v>
      </c>
      <c r="BP185" s="772">
        <v>460.20212521865017</v>
      </c>
      <c r="BQ185" s="772">
        <v>479.55347688550552</v>
      </c>
      <c r="BR185" s="772">
        <v>502.60928785182347</v>
      </c>
      <c r="BS185" s="772">
        <v>512.73264052385139</v>
      </c>
      <c r="BT185" s="772">
        <v>518.29194121734633</v>
      </c>
      <c r="BU185" s="772">
        <v>524.04912162552239</v>
      </c>
      <c r="BV185" s="772">
        <v>529.94481783397521</v>
      </c>
      <c r="BW185" s="771">
        <v>365.38228336488373</v>
      </c>
      <c r="BX185" s="771">
        <v>368.79616849982369</v>
      </c>
      <c r="BY185" s="771">
        <v>372.24195067040324</v>
      </c>
      <c r="BZ185" s="772">
        <v>377.44146517145435</v>
      </c>
      <c r="CA185" s="772">
        <v>382.64097967250547</v>
      </c>
      <c r="CB185" s="772">
        <v>387.84049417355658</v>
      </c>
      <c r="CC185" s="772">
        <v>393.04000867460769</v>
      </c>
      <c r="CD185" s="772">
        <v>399.18809354551718</v>
      </c>
      <c r="CE185" s="772">
        <v>405.33617841642666</v>
      </c>
      <c r="CF185" s="772">
        <v>422.38043462908269</v>
      </c>
      <c r="CG185" s="772">
        <v>442.6874992758153</v>
      </c>
      <c r="CH185" s="772">
        <v>451.60393155628753</v>
      </c>
      <c r="CI185" s="772">
        <v>456.50044457586222</v>
      </c>
      <c r="CJ185" s="772">
        <v>461.57124581128727</v>
      </c>
      <c r="CK185" s="772">
        <v>466.76404879780779</v>
      </c>
      <c r="CL185" s="771">
        <v>0</v>
      </c>
      <c r="CM185" s="771">
        <v>0</v>
      </c>
      <c r="CN185" s="771">
        <v>0</v>
      </c>
      <c r="CO185" s="772">
        <v>0</v>
      </c>
      <c r="CP185" s="772">
        <v>0</v>
      </c>
      <c r="CQ185" s="772">
        <v>0</v>
      </c>
      <c r="CR185" s="772">
        <v>0</v>
      </c>
      <c r="CS185" s="772">
        <v>0</v>
      </c>
      <c r="CT185" s="772">
        <v>0</v>
      </c>
      <c r="CU185" s="772">
        <v>0</v>
      </c>
      <c r="CV185" s="772">
        <v>0</v>
      </c>
      <c r="CW185" s="772">
        <v>0</v>
      </c>
      <c r="CX185" s="772">
        <v>0</v>
      </c>
      <c r="CY185" s="772">
        <v>0</v>
      </c>
      <c r="CZ185" s="772">
        <v>0</v>
      </c>
      <c r="DA185" s="773">
        <v>0</v>
      </c>
      <c r="DB185" s="773">
        <v>0</v>
      </c>
      <c r="DC185" s="773">
        <v>0</v>
      </c>
      <c r="DD185" s="774">
        <v>0</v>
      </c>
      <c r="DE185" s="774">
        <v>0</v>
      </c>
      <c r="DF185" s="774">
        <v>0</v>
      </c>
      <c r="DG185" s="774">
        <v>0</v>
      </c>
      <c r="DH185" s="774">
        <v>0</v>
      </c>
      <c r="DI185" s="774">
        <v>0</v>
      </c>
      <c r="DJ185" s="774">
        <v>0</v>
      </c>
      <c r="DK185" s="774">
        <v>0</v>
      </c>
      <c r="DL185" s="774">
        <v>0</v>
      </c>
      <c r="DM185" s="774">
        <v>0</v>
      </c>
      <c r="DN185" s="774">
        <v>0</v>
      </c>
      <c r="DO185" s="774">
        <v>0</v>
      </c>
      <c r="DP185" s="773">
        <v>0</v>
      </c>
      <c r="DQ185" s="773">
        <v>0</v>
      </c>
      <c r="DR185" s="773">
        <v>0</v>
      </c>
      <c r="DS185" s="774">
        <v>0</v>
      </c>
      <c r="DT185" s="774">
        <v>0</v>
      </c>
      <c r="DU185" s="774">
        <v>0</v>
      </c>
      <c r="DV185" s="774">
        <v>0</v>
      </c>
      <c r="DW185" s="774">
        <v>0</v>
      </c>
      <c r="DX185" s="774">
        <v>0</v>
      </c>
      <c r="DY185" s="774">
        <v>0</v>
      </c>
      <c r="DZ185" s="774">
        <v>0</v>
      </c>
      <c r="EA185" s="774">
        <v>0</v>
      </c>
      <c r="EB185" s="774">
        <v>0</v>
      </c>
      <c r="EC185" s="774">
        <v>0</v>
      </c>
      <c r="ED185" s="774">
        <v>0</v>
      </c>
    </row>
    <row r="186" spans="1:134" ht="15" x14ac:dyDescent="0.25">
      <c r="A186" s="766">
        <v>101</v>
      </c>
      <c r="B186" s="766">
        <v>93</v>
      </c>
      <c r="C186" s="766" t="s">
        <v>3857</v>
      </c>
      <c r="D186" s="2">
        <v>99709</v>
      </c>
      <c r="E186" s="2">
        <v>99709</v>
      </c>
      <c r="F186" s="767" t="s">
        <v>3746</v>
      </c>
      <c r="G186" s="114">
        <v>31</v>
      </c>
      <c r="H186" s="114">
        <v>12</v>
      </c>
      <c r="I186" s="114">
        <v>12</v>
      </c>
      <c r="J186" s="114">
        <v>0</v>
      </c>
      <c r="K186" s="114">
        <v>0</v>
      </c>
      <c r="L186" s="114">
        <v>48</v>
      </c>
      <c r="M186" s="114">
        <v>48</v>
      </c>
      <c r="N186" s="114">
        <v>0</v>
      </c>
      <c r="O186" s="114">
        <v>0</v>
      </c>
      <c r="P186" s="114">
        <v>0</v>
      </c>
      <c r="Q186" s="114">
        <v>48</v>
      </c>
      <c r="R186" s="114">
        <v>0</v>
      </c>
      <c r="S186" s="114">
        <v>2905.4166666666665</v>
      </c>
      <c r="T186" s="114">
        <v>2905.4166666666665</v>
      </c>
      <c r="U186" s="114">
        <v>0</v>
      </c>
      <c r="V186" s="114">
        <v>0</v>
      </c>
      <c r="W186" s="114">
        <v>0</v>
      </c>
      <c r="X186" s="114">
        <v>2905.4166666666665</v>
      </c>
      <c r="Y186" s="114">
        <v>0</v>
      </c>
      <c r="Z186" s="114">
        <v>12</v>
      </c>
      <c r="AA186" s="114">
        <v>0</v>
      </c>
      <c r="AB186" s="657">
        <v>0</v>
      </c>
      <c r="AC186" s="657">
        <v>0</v>
      </c>
      <c r="AD186" s="768">
        <v>12</v>
      </c>
      <c r="AE186" s="769">
        <v>0</v>
      </c>
      <c r="AF186" s="769">
        <v>12</v>
      </c>
      <c r="AG186" s="770">
        <v>12</v>
      </c>
      <c r="AH186" s="769">
        <v>0</v>
      </c>
      <c r="AI186" s="769">
        <v>0</v>
      </c>
      <c r="AJ186" s="769">
        <v>11.425900740092873</v>
      </c>
      <c r="AK186" s="769">
        <v>11.425900740092873</v>
      </c>
      <c r="AL186" s="769">
        <v>0</v>
      </c>
      <c r="AM186" s="769">
        <v>0</v>
      </c>
      <c r="AN186" s="769">
        <v>11.447455546775716</v>
      </c>
      <c r="AO186" s="769">
        <v>11.447455546775716</v>
      </c>
      <c r="AP186" s="769">
        <v>0</v>
      </c>
      <c r="AQ186" s="769">
        <v>0</v>
      </c>
      <c r="AR186" s="769">
        <v>0</v>
      </c>
      <c r="AS186" s="769">
        <v>10.87926731020457</v>
      </c>
      <c r="AT186" s="769">
        <v>11.149234431625096</v>
      </c>
      <c r="AU186" s="769">
        <v>11.425900740092873</v>
      </c>
      <c r="AV186" s="769">
        <v>11.709432474766421</v>
      </c>
      <c r="AW186" s="769">
        <v>12</v>
      </c>
      <c r="AX186" s="769">
        <v>10.920353207950507</v>
      </c>
      <c r="AY186" s="769">
        <v>11.180798625460662</v>
      </c>
      <c r="AZ186" s="769">
        <v>11.447455546775716</v>
      </c>
      <c r="BA186" s="769">
        <v>11.720472113413717</v>
      </c>
      <c r="BB186" s="769">
        <v>12</v>
      </c>
      <c r="BC186" s="769">
        <v>0</v>
      </c>
      <c r="BD186" s="769">
        <v>0</v>
      </c>
      <c r="BE186" s="769">
        <v>0</v>
      </c>
      <c r="BF186" s="769">
        <v>0</v>
      </c>
      <c r="BG186" s="769">
        <v>0</v>
      </c>
      <c r="BH186" s="771">
        <v>12.096994961636589</v>
      </c>
      <c r="BI186" s="771">
        <v>12.194773925155085</v>
      </c>
      <c r="BJ186" s="771">
        <v>12.293343227574859</v>
      </c>
      <c r="BK186" s="772">
        <v>12.371476196517461</v>
      </c>
      <c r="BL186" s="772">
        <v>12.449609165460062</v>
      </c>
      <c r="BM186" s="772">
        <v>12.527742134402665</v>
      </c>
      <c r="BN186" s="772">
        <v>12.605875103345266</v>
      </c>
      <c r="BO186" s="772">
        <v>12.698262214522307</v>
      </c>
      <c r="BP186" s="772">
        <v>12.79064932569935</v>
      </c>
      <c r="BQ186" s="772">
        <v>13.046772919747216</v>
      </c>
      <c r="BR186" s="772">
        <v>13.351926651126906</v>
      </c>
      <c r="BS186" s="772">
        <v>13.485913646702768</v>
      </c>
      <c r="BT186" s="772">
        <v>13.559493420277422</v>
      </c>
      <c r="BU186" s="772">
        <v>13.635692218330874</v>
      </c>
      <c r="BV186" s="772">
        <v>13.71372433351948</v>
      </c>
      <c r="BW186" s="771">
        <v>12.096994961636589</v>
      </c>
      <c r="BX186" s="771">
        <v>12.194773925155085</v>
      </c>
      <c r="BY186" s="771">
        <v>12.293343227574859</v>
      </c>
      <c r="BZ186" s="772">
        <v>12.371476196517461</v>
      </c>
      <c r="CA186" s="772">
        <v>12.449609165460062</v>
      </c>
      <c r="CB186" s="772">
        <v>12.527742134402665</v>
      </c>
      <c r="CC186" s="772">
        <v>12.605875103345266</v>
      </c>
      <c r="CD186" s="772">
        <v>12.698262214522307</v>
      </c>
      <c r="CE186" s="772">
        <v>12.79064932569935</v>
      </c>
      <c r="CF186" s="772">
        <v>13.046772919747216</v>
      </c>
      <c r="CG186" s="772">
        <v>13.351926651126906</v>
      </c>
      <c r="CH186" s="772">
        <v>13.485913646702768</v>
      </c>
      <c r="CI186" s="772">
        <v>13.559493420277422</v>
      </c>
      <c r="CJ186" s="772">
        <v>13.635692218330874</v>
      </c>
      <c r="CK186" s="772">
        <v>13.71372433351948</v>
      </c>
      <c r="CL186" s="771">
        <v>0</v>
      </c>
      <c r="CM186" s="771">
        <v>0</v>
      </c>
      <c r="CN186" s="771">
        <v>0</v>
      </c>
      <c r="CO186" s="772">
        <v>0</v>
      </c>
      <c r="CP186" s="772">
        <v>0</v>
      </c>
      <c r="CQ186" s="772">
        <v>0</v>
      </c>
      <c r="CR186" s="772">
        <v>0</v>
      </c>
      <c r="CS186" s="772">
        <v>0</v>
      </c>
      <c r="CT186" s="772">
        <v>0</v>
      </c>
      <c r="CU186" s="772">
        <v>0</v>
      </c>
      <c r="CV186" s="772">
        <v>0</v>
      </c>
      <c r="CW186" s="772">
        <v>0</v>
      </c>
      <c r="CX186" s="772">
        <v>0</v>
      </c>
      <c r="CY186" s="772">
        <v>0</v>
      </c>
      <c r="CZ186" s="772">
        <v>0</v>
      </c>
      <c r="DA186" s="773">
        <v>0</v>
      </c>
      <c r="DB186" s="773">
        <v>0</v>
      </c>
      <c r="DC186" s="773">
        <v>0</v>
      </c>
      <c r="DD186" s="774">
        <v>0</v>
      </c>
      <c r="DE186" s="774">
        <v>0</v>
      </c>
      <c r="DF186" s="774">
        <v>0</v>
      </c>
      <c r="DG186" s="774">
        <v>0</v>
      </c>
      <c r="DH186" s="774">
        <v>0</v>
      </c>
      <c r="DI186" s="774">
        <v>0</v>
      </c>
      <c r="DJ186" s="774">
        <v>0</v>
      </c>
      <c r="DK186" s="774">
        <v>0</v>
      </c>
      <c r="DL186" s="774">
        <v>0</v>
      </c>
      <c r="DM186" s="774">
        <v>0</v>
      </c>
      <c r="DN186" s="774">
        <v>0</v>
      </c>
      <c r="DO186" s="774">
        <v>0</v>
      </c>
      <c r="DP186" s="773">
        <v>0</v>
      </c>
      <c r="DQ186" s="773">
        <v>0</v>
      </c>
      <c r="DR186" s="773">
        <v>0</v>
      </c>
      <c r="DS186" s="774">
        <v>0</v>
      </c>
      <c r="DT186" s="774">
        <v>0</v>
      </c>
      <c r="DU186" s="774">
        <v>0</v>
      </c>
      <c r="DV186" s="774">
        <v>0</v>
      </c>
      <c r="DW186" s="774">
        <v>0</v>
      </c>
      <c r="DX186" s="774">
        <v>0</v>
      </c>
      <c r="DY186" s="774">
        <v>0</v>
      </c>
      <c r="DZ186" s="774">
        <v>0</v>
      </c>
      <c r="EA186" s="774">
        <v>0</v>
      </c>
      <c r="EB186" s="774">
        <v>0</v>
      </c>
      <c r="EC186" s="774">
        <v>0</v>
      </c>
      <c r="ED186" s="774">
        <v>0</v>
      </c>
    </row>
    <row r="187" spans="1:134" ht="15" x14ac:dyDescent="0.25">
      <c r="A187" s="766">
        <v>102</v>
      </c>
      <c r="B187" s="766">
        <v>93</v>
      </c>
      <c r="C187" s="766" t="s">
        <v>3858</v>
      </c>
      <c r="D187" s="2">
        <v>99709</v>
      </c>
      <c r="E187" s="2">
        <v>99709</v>
      </c>
      <c r="F187" s="767" t="s">
        <v>3746</v>
      </c>
      <c r="G187" s="114">
        <v>407</v>
      </c>
      <c r="H187" s="114">
        <v>201</v>
      </c>
      <c r="I187" s="114">
        <v>179</v>
      </c>
      <c r="J187" s="114">
        <v>22</v>
      </c>
      <c r="K187" s="114">
        <v>0</v>
      </c>
      <c r="L187" s="114">
        <v>75</v>
      </c>
      <c r="M187" s="114">
        <v>75</v>
      </c>
      <c r="N187" s="114">
        <v>0</v>
      </c>
      <c r="O187" s="114">
        <v>0</v>
      </c>
      <c r="P187" s="114">
        <v>0</v>
      </c>
      <c r="Q187" s="114">
        <v>75</v>
      </c>
      <c r="R187" s="114">
        <v>0</v>
      </c>
      <c r="S187" s="114">
        <v>2481.4133333333334</v>
      </c>
      <c r="T187" s="114">
        <v>2481.4133333333334</v>
      </c>
      <c r="U187" s="114">
        <v>0</v>
      </c>
      <c r="V187" s="114">
        <v>0</v>
      </c>
      <c r="W187" s="114">
        <v>0</v>
      </c>
      <c r="X187" s="114">
        <v>2481.4133333333334</v>
      </c>
      <c r="Y187" s="114">
        <v>0</v>
      </c>
      <c r="Z187" s="114">
        <v>201</v>
      </c>
      <c r="AA187" s="114">
        <v>0</v>
      </c>
      <c r="AB187" s="657">
        <v>0</v>
      </c>
      <c r="AC187" s="657">
        <v>0</v>
      </c>
      <c r="AD187" s="768">
        <v>201</v>
      </c>
      <c r="AE187" s="769">
        <v>0</v>
      </c>
      <c r="AF187" s="769">
        <v>179</v>
      </c>
      <c r="AG187" s="770">
        <v>179</v>
      </c>
      <c r="AH187" s="769">
        <v>0</v>
      </c>
      <c r="AI187" s="769">
        <v>0</v>
      </c>
      <c r="AJ187" s="769">
        <v>191.38383739655561</v>
      </c>
      <c r="AK187" s="769">
        <v>191.38383739655561</v>
      </c>
      <c r="AL187" s="769">
        <v>0</v>
      </c>
      <c r="AM187" s="769">
        <v>0</v>
      </c>
      <c r="AN187" s="769">
        <v>170.75787857273775</v>
      </c>
      <c r="AO187" s="769">
        <v>170.75787857273775</v>
      </c>
      <c r="AP187" s="769">
        <v>0</v>
      </c>
      <c r="AQ187" s="769">
        <v>0</v>
      </c>
      <c r="AR187" s="769">
        <v>0</v>
      </c>
      <c r="AS187" s="769">
        <v>182.22772744592655</v>
      </c>
      <c r="AT187" s="769">
        <v>186.74967672972036</v>
      </c>
      <c r="AU187" s="769">
        <v>191.38383739655561</v>
      </c>
      <c r="AV187" s="769">
        <v>196.13299395233756</v>
      </c>
      <c r="AW187" s="769">
        <v>201</v>
      </c>
      <c r="AX187" s="769">
        <v>162.89526868526175</v>
      </c>
      <c r="AY187" s="769">
        <v>166.78024616312155</v>
      </c>
      <c r="AZ187" s="769">
        <v>170.75787857273775</v>
      </c>
      <c r="BA187" s="769">
        <v>174.8303756917546</v>
      </c>
      <c r="BB187" s="769">
        <v>179</v>
      </c>
      <c r="BC187" s="769">
        <v>0</v>
      </c>
      <c r="BD187" s="769">
        <v>0</v>
      </c>
      <c r="BE187" s="769">
        <v>0</v>
      </c>
      <c r="BF187" s="769">
        <v>0</v>
      </c>
      <c r="BG187" s="769">
        <v>0</v>
      </c>
      <c r="BH187" s="771">
        <v>202.62466560741288</v>
      </c>
      <c r="BI187" s="771">
        <v>204.26246324634766</v>
      </c>
      <c r="BJ187" s="771">
        <v>205.91349906187889</v>
      </c>
      <c r="BK187" s="772">
        <v>208.02169178986384</v>
      </c>
      <c r="BL187" s="772">
        <v>210.12988451784878</v>
      </c>
      <c r="BM187" s="772">
        <v>212.23807724583375</v>
      </c>
      <c r="BN187" s="772">
        <v>214.34626997381869</v>
      </c>
      <c r="BO187" s="772">
        <v>216.83906960218124</v>
      </c>
      <c r="BP187" s="772">
        <v>219.33186923054376</v>
      </c>
      <c r="BQ187" s="772">
        <v>226.24262541637034</v>
      </c>
      <c r="BR187" s="772">
        <v>234.47631839026383</v>
      </c>
      <c r="BS187" s="772">
        <v>238.09157086998326</v>
      </c>
      <c r="BT187" s="772">
        <v>240.07690875840802</v>
      </c>
      <c r="BU187" s="772">
        <v>242.1329134656589</v>
      </c>
      <c r="BV187" s="772">
        <v>244.23838494608808</v>
      </c>
      <c r="BW187" s="771">
        <v>180.44684151107913</v>
      </c>
      <c r="BX187" s="771">
        <v>181.90537771689668</v>
      </c>
      <c r="BY187" s="771">
        <v>183.3757031446583</v>
      </c>
      <c r="BZ187" s="772">
        <v>185.25314840987872</v>
      </c>
      <c r="CA187" s="772">
        <v>187.13059367509916</v>
      </c>
      <c r="CB187" s="772">
        <v>189.00803894031958</v>
      </c>
      <c r="CC187" s="772">
        <v>190.88548420554</v>
      </c>
      <c r="CD187" s="772">
        <v>193.10544009348476</v>
      </c>
      <c r="CE187" s="772">
        <v>195.32539598142949</v>
      </c>
      <c r="CF187" s="772">
        <v>201.479750992688</v>
      </c>
      <c r="CG187" s="772">
        <v>208.8122437405832</v>
      </c>
      <c r="CH187" s="772">
        <v>212.03179694391542</v>
      </c>
      <c r="CI187" s="772">
        <v>213.7998341679355</v>
      </c>
      <c r="CJ187" s="772">
        <v>215.63080353409424</v>
      </c>
      <c r="CK187" s="772">
        <v>217.50582539975005</v>
      </c>
      <c r="CL187" s="771">
        <v>0</v>
      </c>
      <c r="CM187" s="771">
        <v>0</v>
      </c>
      <c r="CN187" s="771">
        <v>0</v>
      </c>
      <c r="CO187" s="772">
        <v>0</v>
      </c>
      <c r="CP187" s="772">
        <v>0</v>
      </c>
      <c r="CQ187" s="772">
        <v>0</v>
      </c>
      <c r="CR187" s="772">
        <v>0</v>
      </c>
      <c r="CS187" s="772">
        <v>0</v>
      </c>
      <c r="CT187" s="772">
        <v>0</v>
      </c>
      <c r="CU187" s="772">
        <v>0</v>
      </c>
      <c r="CV187" s="772">
        <v>0</v>
      </c>
      <c r="CW187" s="772">
        <v>0</v>
      </c>
      <c r="CX187" s="772">
        <v>0</v>
      </c>
      <c r="CY187" s="772">
        <v>0</v>
      </c>
      <c r="CZ187" s="772">
        <v>0</v>
      </c>
      <c r="DA187" s="773">
        <v>0</v>
      </c>
      <c r="DB187" s="773">
        <v>0</v>
      </c>
      <c r="DC187" s="773">
        <v>0</v>
      </c>
      <c r="DD187" s="774">
        <v>0</v>
      </c>
      <c r="DE187" s="774">
        <v>0</v>
      </c>
      <c r="DF187" s="774">
        <v>0</v>
      </c>
      <c r="DG187" s="774">
        <v>0</v>
      </c>
      <c r="DH187" s="774">
        <v>0</v>
      </c>
      <c r="DI187" s="774">
        <v>0</v>
      </c>
      <c r="DJ187" s="774">
        <v>0</v>
      </c>
      <c r="DK187" s="774">
        <v>0</v>
      </c>
      <c r="DL187" s="774">
        <v>0</v>
      </c>
      <c r="DM187" s="774">
        <v>0</v>
      </c>
      <c r="DN187" s="774">
        <v>0</v>
      </c>
      <c r="DO187" s="774">
        <v>0</v>
      </c>
      <c r="DP187" s="773">
        <v>0</v>
      </c>
      <c r="DQ187" s="773">
        <v>0</v>
      </c>
      <c r="DR187" s="773">
        <v>0</v>
      </c>
      <c r="DS187" s="774">
        <v>0</v>
      </c>
      <c r="DT187" s="774">
        <v>0</v>
      </c>
      <c r="DU187" s="774">
        <v>0</v>
      </c>
      <c r="DV187" s="774">
        <v>0</v>
      </c>
      <c r="DW187" s="774">
        <v>0</v>
      </c>
      <c r="DX187" s="774">
        <v>0</v>
      </c>
      <c r="DY187" s="774">
        <v>0</v>
      </c>
      <c r="DZ187" s="774">
        <v>0</v>
      </c>
      <c r="EA187" s="774">
        <v>0</v>
      </c>
      <c r="EB187" s="774">
        <v>0</v>
      </c>
      <c r="EC187" s="774">
        <v>0</v>
      </c>
      <c r="ED187" s="774">
        <v>0</v>
      </c>
    </row>
    <row r="188" spans="1:134" ht="15" x14ac:dyDescent="0.25">
      <c r="A188" s="766">
        <v>103</v>
      </c>
      <c r="B188" s="766">
        <v>93</v>
      </c>
      <c r="C188" s="766" t="s">
        <v>3859</v>
      </c>
      <c r="D188" s="2">
        <v>99709</v>
      </c>
      <c r="E188" s="2">
        <v>99709</v>
      </c>
      <c r="F188" s="767" t="s">
        <v>3746</v>
      </c>
      <c r="G188" s="114">
        <v>36</v>
      </c>
      <c r="H188" s="114">
        <v>17</v>
      </c>
      <c r="I188" s="114">
        <v>16</v>
      </c>
      <c r="J188" s="114">
        <v>1</v>
      </c>
      <c r="K188" s="114">
        <v>1</v>
      </c>
      <c r="L188" s="114">
        <v>103</v>
      </c>
      <c r="M188" s="114">
        <v>104</v>
      </c>
      <c r="N188" s="114">
        <v>2</v>
      </c>
      <c r="O188" s="114">
        <v>0</v>
      </c>
      <c r="P188" s="114">
        <v>0</v>
      </c>
      <c r="Q188" s="114">
        <v>106</v>
      </c>
      <c r="R188" s="114">
        <v>1909</v>
      </c>
      <c r="S188" s="114">
        <v>3238.8155339805826</v>
      </c>
      <c r="T188" s="114">
        <v>3226.0288461538462</v>
      </c>
      <c r="U188" s="114">
        <v>4132</v>
      </c>
      <c r="V188" s="114">
        <v>0</v>
      </c>
      <c r="W188" s="114">
        <v>0</v>
      </c>
      <c r="X188" s="114">
        <v>3243.1226415094338</v>
      </c>
      <c r="Y188" s="114">
        <v>0.16346153846153846</v>
      </c>
      <c r="Z188" s="114">
        <v>16.83653846153846</v>
      </c>
      <c r="AA188" s="114">
        <v>0</v>
      </c>
      <c r="AB188" s="657">
        <v>2</v>
      </c>
      <c r="AC188" s="657">
        <v>0</v>
      </c>
      <c r="AD188" s="768">
        <v>19</v>
      </c>
      <c r="AE188" s="769">
        <v>0.15384615384615385</v>
      </c>
      <c r="AF188" s="769">
        <v>15.846153846153845</v>
      </c>
      <c r="AG188" s="770">
        <v>15.999999999999998</v>
      </c>
      <c r="AH188" s="769">
        <v>0</v>
      </c>
      <c r="AI188" s="769">
        <v>0.15564127610703432</v>
      </c>
      <c r="AJ188" s="769">
        <v>16.031051439024534</v>
      </c>
      <c r="AK188" s="769">
        <v>16.186692715131567</v>
      </c>
      <c r="AL188" s="769">
        <v>0</v>
      </c>
      <c r="AM188" s="769">
        <v>0.14676225059968867</v>
      </c>
      <c r="AN188" s="769">
        <v>15.116511811767932</v>
      </c>
      <c r="AO188" s="769">
        <v>15.263274062367621</v>
      </c>
      <c r="AP188" s="769">
        <v>0</v>
      </c>
      <c r="AQ188" s="769">
        <v>1.9193314770024816</v>
      </c>
      <c r="AR188" s="769">
        <v>0</v>
      </c>
      <c r="AS188" s="769">
        <v>15.412295356123142</v>
      </c>
      <c r="AT188" s="769">
        <v>15.794748778135553</v>
      </c>
      <c r="AU188" s="769">
        <v>16.186692715131567</v>
      </c>
      <c r="AV188" s="769">
        <v>16.588362672585763</v>
      </c>
      <c r="AW188" s="769">
        <v>17</v>
      </c>
      <c r="AX188" s="769">
        <v>14.560470943934009</v>
      </c>
      <c r="AY188" s="769">
        <v>14.907731500614215</v>
      </c>
      <c r="AZ188" s="769">
        <v>15.26327406236762</v>
      </c>
      <c r="BA188" s="769">
        <v>15.627296151218287</v>
      </c>
      <c r="BB188" s="769">
        <v>15.999999999999998</v>
      </c>
      <c r="BC188" s="769">
        <v>1.8419166593062641</v>
      </c>
      <c r="BD188" s="769">
        <v>1.8802256838533424</v>
      </c>
      <c r="BE188" s="769">
        <v>1.9193314770024816</v>
      </c>
      <c r="BF188" s="769">
        <v>1.9592506103112393</v>
      </c>
      <c r="BG188" s="769">
        <v>2</v>
      </c>
      <c r="BH188" s="771">
        <v>17.137409528985167</v>
      </c>
      <c r="BI188" s="771">
        <v>17.275929727303037</v>
      </c>
      <c r="BJ188" s="771">
        <v>17.415569572397715</v>
      </c>
      <c r="BK188" s="772">
        <v>17.593874429988482</v>
      </c>
      <c r="BL188" s="772">
        <v>17.772179287579249</v>
      </c>
      <c r="BM188" s="772">
        <v>17.950484145170016</v>
      </c>
      <c r="BN188" s="772">
        <v>18.128789002760783</v>
      </c>
      <c r="BO188" s="772">
        <v>18.339622802174532</v>
      </c>
      <c r="BP188" s="772">
        <v>18.550456601588277</v>
      </c>
      <c r="BQ188" s="772">
        <v>19.134948418299974</v>
      </c>
      <c r="BR188" s="772">
        <v>19.831330411116838</v>
      </c>
      <c r="BS188" s="772">
        <v>20.137098033779676</v>
      </c>
      <c r="BT188" s="772">
        <v>20.305012183546946</v>
      </c>
      <c r="BU188" s="772">
        <v>20.478903128936324</v>
      </c>
      <c r="BV188" s="772">
        <v>20.656977831261177</v>
      </c>
      <c r="BW188" s="771">
        <v>16.129326615515449</v>
      </c>
      <c r="BX188" s="771">
        <v>16.259698566873443</v>
      </c>
      <c r="BY188" s="771">
        <v>16.391124303433141</v>
      </c>
      <c r="BZ188" s="772">
        <v>16.558940639989157</v>
      </c>
      <c r="CA188" s="772">
        <v>16.726756976545172</v>
      </c>
      <c r="CB188" s="772">
        <v>16.894573313101187</v>
      </c>
      <c r="CC188" s="772">
        <v>17.062389649657206</v>
      </c>
      <c r="CD188" s="772">
        <v>17.260821460870144</v>
      </c>
      <c r="CE188" s="772">
        <v>17.459253272083082</v>
      </c>
      <c r="CF188" s="772">
        <v>18.009363217223505</v>
      </c>
      <c r="CG188" s="772">
        <v>18.66478156340408</v>
      </c>
      <c r="CH188" s="772">
        <v>18.952562855322046</v>
      </c>
      <c r="CI188" s="772">
        <v>19.110599702161828</v>
      </c>
      <c r="CJ188" s="772">
        <v>19.274261768410653</v>
      </c>
      <c r="CK188" s="772">
        <v>19.441861488245809</v>
      </c>
      <c r="CL188" s="771">
        <v>2.0161658269394316</v>
      </c>
      <c r="CM188" s="771">
        <v>2.0324623208591808</v>
      </c>
      <c r="CN188" s="771">
        <v>2.0488905379291431</v>
      </c>
      <c r="CO188" s="772">
        <v>2.069867579998645</v>
      </c>
      <c r="CP188" s="772">
        <v>2.0908446220681469</v>
      </c>
      <c r="CQ188" s="772">
        <v>2.1118216641376488</v>
      </c>
      <c r="CR188" s="772">
        <v>2.1327987062071512</v>
      </c>
      <c r="CS188" s="772">
        <v>2.1576026826087684</v>
      </c>
      <c r="CT188" s="772">
        <v>2.1824066590103857</v>
      </c>
      <c r="CU188" s="772">
        <v>2.2511704021529386</v>
      </c>
      <c r="CV188" s="772">
        <v>2.3330976954255105</v>
      </c>
      <c r="CW188" s="772">
        <v>2.3690703569152562</v>
      </c>
      <c r="CX188" s="772">
        <v>2.3888249627702289</v>
      </c>
      <c r="CY188" s="772">
        <v>2.4092827210513321</v>
      </c>
      <c r="CZ188" s="772">
        <v>2.4302326860307271</v>
      </c>
      <c r="DA188" s="773">
        <v>0</v>
      </c>
      <c r="DB188" s="773">
        <v>0</v>
      </c>
      <c r="DC188" s="773">
        <v>0</v>
      </c>
      <c r="DD188" s="774">
        <v>0</v>
      </c>
      <c r="DE188" s="774">
        <v>0</v>
      </c>
      <c r="DF188" s="774">
        <v>0</v>
      </c>
      <c r="DG188" s="774">
        <v>0</v>
      </c>
      <c r="DH188" s="774">
        <v>0</v>
      </c>
      <c r="DI188" s="774">
        <v>0</v>
      </c>
      <c r="DJ188" s="774">
        <v>0</v>
      </c>
      <c r="DK188" s="774">
        <v>0</v>
      </c>
      <c r="DL188" s="774">
        <v>0</v>
      </c>
      <c r="DM188" s="774">
        <v>0</v>
      </c>
      <c r="DN188" s="774">
        <v>0</v>
      </c>
      <c r="DO188" s="774">
        <v>0</v>
      </c>
      <c r="DP188" s="773">
        <v>0</v>
      </c>
      <c r="DQ188" s="773">
        <v>0</v>
      </c>
      <c r="DR188" s="773">
        <v>0</v>
      </c>
      <c r="DS188" s="774">
        <v>0</v>
      </c>
      <c r="DT188" s="774">
        <v>0</v>
      </c>
      <c r="DU188" s="774">
        <v>0</v>
      </c>
      <c r="DV188" s="774">
        <v>0</v>
      </c>
      <c r="DW188" s="774">
        <v>0</v>
      </c>
      <c r="DX188" s="774">
        <v>0</v>
      </c>
      <c r="DY188" s="774">
        <v>0</v>
      </c>
      <c r="DZ188" s="774">
        <v>0</v>
      </c>
      <c r="EA188" s="774">
        <v>0</v>
      </c>
      <c r="EB188" s="774">
        <v>0</v>
      </c>
      <c r="EC188" s="774">
        <v>0</v>
      </c>
      <c r="ED188" s="774">
        <v>0</v>
      </c>
    </row>
    <row r="189" spans="1:134" ht="15" x14ac:dyDescent="0.25">
      <c r="A189" s="766">
        <v>104</v>
      </c>
      <c r="B189" s="766">
        <v>93</v>
      </c>
      <c r="C189" s="766" t="s">
        <v>3860</v>
      </c>
      <c r="D189" s="2">
        <v>99709</v>
      </c>
      <c r="E189" s="2">
        <v>99709</v>
      </c>
      <c r="F189" s="767" t="s">
        <v>3746</v>
      </c>
      <c r="G189" s="114">
        <v>1012</v>
      </c>
      <c r="H189" s="114">
        <v>428</v>
      </c>
      <c r="I189" s="114">
        <v>392</v>
      </c>
      <c r="J189" s="114">
        <v>36</v>
      </c>
      <c r="K189" s="114">
        <v>2</v>
      </c>
      <c r="L189" s="114">
        <v>251</v>
      </c>
      <c r="M189" s="114">
        <v>253</v>
      </c>
      <c r="N189" s="114">
        <v>22</v>
      </c>
      <c r="O189" s="114">
        <v>0</v>
      </c>
      <c r="P189" s="114">
        <v>0</v>
      </c>
      <c r="Q189" s="114">
        <v>275</v>
      </c>
      <c r="R189" s="114">
        <v>3374.5</v>
      </c>
      <c r="S189" s="114">
        <v>2335.4621513944221</v>
      </c>
      <c r="T189" s="114">
        <v>2343.675889328063</v>
      </c>
      <c r="U189" s="114">
        <v>7944.363636363636</v>
      </c>
      <c r="V189" s="114">
        <v>0</v>
      </c>
      <c r="W189" s="114">
        <v>0</v>
      </c>
      <c r="X189" s="114">
        <v>2791.7309090909089</v>
      </c>
      <c r="Y189" s="114">
        <v>3.383399209486166</v>
      </c>
      <c r="Z189" s="114">
        <v>424.61660079051381</v>
      </c>
      <c r="AA189" s="114">
        <v>0</v>
      </c>
      <c r="AB189" s="657">
        <v>22</v>
      </c>
      <c r="AC189" s="657">
        <v>0</v>
      </c>
      <c r="AD189" s="768">
        <v>450</v>
      </c>
      <c r="AE189" s="769">
        <v>3.0988142292490117</v>
      </c>
      <c r="AF189" s="769">
        <v>388.90118577075094</v>
      </c>
      <c r="AG189" s="770">
        <v>391.99999999999994</v>
      </c>
      <c r="AH189" s="769">
        <v>0</v>
      </c>
      <c r="AI189" s="769">
        <v>3.2215319609748021</v>
      </c>
      <c r="AJ189" s="769">
        <v>404.30226110233764</v>
      </c>
      <c r="AK189" s="769">
        <v>407.52379306331244</v>
      </c>
      <c r="AL189" s="769">
        <v>0</v>
      </c>
      <c r="AM189" s="769">
        <v>2.9561281780870097</v>
      </c>
      <c r="AN189" s="769">
        <v>370.99408634991966</v>
      </c>
      <c r="AO189" s="769">
        <v>373.95021452800665</v>
      </c>
      <c r="AP189" s="769">
        <v>0</v>
      </c>
      <c r="AQ189" s="769">
        <v>21.1126462470273</v>
      </c>
      <c r="AR189" s="769">
        <v>0</v>
      </c>
      <c r="AS189" s="769">
        <v>388.02720073062966</v>
      </c>
      <c r="AT189" s="769">
        <v>397.6560280612951</v>
      </c>
      <c r="AU189" s="769">
        <v>407.52379306331244</v>
      </c>
      <c r="AV189" s="769">
        <v>417.63642493333566</v>
      </c>
      <c r="AW189" s="769">
        <v>428</v>
      </c>
      <c r="AX189" s="769">
        <v>356.73153812638321</v>
      </c>
      <c r="AY189" s="769">
        <v>365.23942176504823</v>
      </c>
      <c r="AZ189" s="769">
        <v>373.95021452800665</v>
      </c>
      <c r="BA189" s="769">
        <v>382.86875570484801</v>
      </c>
      <c r="BB189" s="769">
        <v>391.99999999999994</v>
      </c>
      <c r="BC189" s="769">
        <v>20.261083252368906</v>
      </c>
      <c r="BD189" s="769">
        <v>20.682482522386767</v>
      </c>
      <c r="BE189" s="769">
        <v>21.1126462470273</v>
      </c>
      <c r="BF189" s="769">
        <v>21.551756713423632</v>
      </c>
      <c r="BG189" s="769">
        <v>22</v>
      </c>
      <c r="BH189" s="771">
        <v>438.04168447013052</v>
      </c>
      <c r="BI189" s="771">
        <v>448.31896573231171</v>
      </c>
      <c r="BJ189" s="771">
        <v>458.8373713301134</v>
      </c>
      <c r="BK189" s="772">
        <v>465.33061380234255</v>
      </c>
      <c r="BL189" s="772">
        <v>471.82385627457171</v>
      </c>
      <c r="BM189" s="772">
        <v>478.31709874680092</v>
      </c>
      <c r="BN189" s="772">
        <v>484.81034121903008</v>
      </c>
      <c r="BO189" s="772">
        <v>492.48817456262185</v>
      </c>
      <c r="BP189" s="772">
        <v>500.16600790621357</v>
      </c>
      <c r="BQ189" s="772">
        <v>521.45116603495831</v>
      </c>
      <c r="BR189" s="772">
        <v>546.81097503708963</v>
      </c>
      <c r="BS189" s="772">
        <v>557.9459678854821</v>
      </c>
      <c r="BT189" s="772">
        <v>564.06081693496515</v>
      </c>
      <c r="BU189" s="772">
        <v>570.39332008375686</v>
      </c>
      <c r="BV189" s="772">
        <v>576.87818110206479</v>
      </c>
      <c r="BW189" s="771">
        <v>401.19705680441859</v>
      </c>
      <c r="BX189" s="771">
        <v>410.60989384828542</v>
      </c>
      <c r="BY189" s="771">
        <v>420.24357374159911</v>
      </c>
      <c r="BZ189" s="772">
        <v>426.19065563205197</v>
      </c>
      <c r="CA189" s="772">
        <v>432.13773752250489</v>
      </c>
      <c r="CB189" s="772">
        <v>438.08481941295776</v>
      </c>
      <c r="CC189" s="772">
        <v>444.03190130341062</v>
      </c>
      <c r="CD189" s="772">
        <v>451.06393558071898</v>
      </c>
      <c r="CE189" s="772">
        <v>458.09596985802733</v>
      </c>
      <c r="CF189" s="772">
        <v>477.59078758341968</v>
      </c>
      <c r="CG189" s="772">
        <v>500.8175285386427</v>
      </c>
      <c r="CH189" s="772">
        <v>511.01593320352555</v>
      </c>
      <c r="CI189" s="772">
        <v>516.61644915538852</v>
      </c>
      <c r="CJ189" s="772">
        <v>522.41631185241272</v>
      </c>
      <c r="CK189" s="772">
        <v>528.35571727104991</v>
      </c>
      <c r="CL189" s="771">
        <v>22.516161351268394</v>
      </c>
      <c r="CM189" s="771">
        <v>23.04443281801602</v>
      </c>
      <c r="CN189" s="771">
        <v>23.585098526314241</v>
      </c>
      <c r="CO189" s="772">
        <v>23.918863326288637</v>
      </c>
      <c r="CP189" s="772">
        <v>24.252628126263033</v>
      </c>
      <c r="CQ189" s="772">
        <v>24.58639292623743</v>
      </c>
      <c r="CR189" s="772">
        <v>24.920157726211826</v>
      </c>
      <c r="CS189" s="772">
        <v>25.314812711162805</v>
      </c>
      <c r="CT189" s="772">
        <v>25.709467696113784</v>
      </c>
      <c r="CU189" s="772">
        <v>26.803564609273561</v>
      </c>
      <c r="CV189" s="772">
        <v>28.107106193495259</v>
      </c>
      <c r="CW189" s="772">
        <v>28.67946563897338</v>
      </c>
      <c r="CX189" s="772">
        <v>28.993780309741201</v>
      </c>
      <c r="CY189" s="772">
        <v>29.319282808043575</v>
      </c>
      <c r="CZ189" s="772">
        <v>29.652616785620154</v>
      </c>
      <c r="DA189" s="773">
        <v>0</v>
      </c>
      <c r="DB189" s="773">
        <v>0</v>
      </c>
      <c r="DC189" s="773">
        <v>0</v>
      </c>
      <c r="DD189" s="774">
        <v>0</v>
      </c>
      <c r="DE189" s="774">
        <v>0</v>
      </c>
      <c r="DF189" s="774">
        <v>0</v>
      </c>
      <c r="DG189" s="774">
        <v>0</v>
      </c>
      <c r="DH189" s="774">
        <v>0</v>
      </c>
      <c r="DI189" s="774">
        <v>0</v>
      </c>
      <c r="DJ189" s="774">
        <v>0</v>
      </c>
      <c r="DK189" s="774">
        <v>0</v>
      </c>
      <c r="DL189" s="774">
        <v>0</v>
      </c>
      <c r="DM189" s="774">
        <v>0</v>
      </c>
      <c r="DN189" s="774">
        <v>0</v>
      </c>
      <c r="DO189" s="774">
        <v>0</v>
      </c>
      <c r="DP189" s="773">
        <v>0</v>
      </c>
      <c r="DQ189" s="773">
        <v>0</v>
      </c>
      <c r="DR189" s="773">
        <v>0</v>
      </c>
      <c r="DS189" s="774">
        <v>0</v>
      </c>
      <c r="DT189" s="774">
        <v>0</v>
      </c>
      <c r="DU189" s="774">
        <v>0</v>
      </c>
      <c r="DV189" s="774">
        <v>0</v>
      </c>
      <c r="DW189" s="774">
        <v>0</v>
      </c>
      <c r="DX189" s="774">
        <v>0</v>
      </c>
      <c r="DY189" s="774">
        <v>0</v>
      </c>
      <c r="DZ189" s="774">
        <v>0</v>
      </c>
      <c r="EA189" s="774">
        <v>0</v>
      </c>
      <c r="EB189" s="774">
        <v>0</v>
      </c>
      <c r="EC189" s="774">
        <v>0</v>
      </c>
      <c r="ED189" s="774">
        <v>0</v>
      </c>
    </row>
    <row r="190" spans="1:134" ht="15" x14ac:dyDescent="0.25">
      <c r="A190" s="766">
        <v>105</v>
      </c>
      <c r="B190" s="766">
        <v>93</v>
      </c>
      <c r="C190" s="766" t="s">
        <v>3861</v>
      </c>
      <c r="D190" s="2">
        <v>99709</v>
      </c>
      <c r="E190" s="2">
        <v>99709</v>
      </c>
      <c r="F190" s="767" t="s">
        <v>3746</v>
      </c>
      <c r="G190" s="114">
        <v>115</v>
      </c>
      <c r="H190" s="114">
        <v>46</v>
      </c>
      <c r="I190" s="114">
        <v>42</v>
      </c>
      <c r="J190" s="114">
        <v>4</v>
      </c>
      <c r="K190" s="114">
        <v>0</v>
      </c>
      <c r="L190" s="114">
        <v>21</v>
      </c>
      <c r="M190" s="114">
        <v>21</v>
      </c>
      <c r="N190" s="114">
        <v>16</v>
      </c>
      <c r="O190" s="114">
        <v>0</v>
      </c>
      <c r="P190" s="114">
        <v>0</v>
      </c>
      <c r="Q190" s="114">
        <v>37</v>
      </c>
      <c r="R190" s="114">
        <v>0</v>
      </c>
      <c r="S190" s="114">
        <v>2972.1428571428573</v>
      </c>
      <c r="T190" s="114">
        <v>2972.1428571428573</v>
      </c>
      <c r="U190" s="114">
        <v>32241.4375</v>
      </c>
      <c r="V190" s="114">
        <v>0</v>
      </c>
      <c r="W190" s="114">
        <v>0</v>
      </c>
      <c r="X190" s="114">
        <v>15629.135135135135</v>
      </c>
      <c r="Y190" s="114">
        <v>0</v>
      </c>
      <c r="Z190" s="114">
        <v>46</v>
      </c>
      <c r="AA190" s="114">
        <v>0</v>
      </c>
      <c r="AB190" s="657">
        <v>16</v>
      </c>
      <c r="AC190" s="657">
        <v>0</v>
      </c>
      <c r="AD190" s="768">
        <v>62</v>
      </c>
      <c r="AE190" s="769">
        <v>0</v>
      </c>
      <c r="AF190" s="769">
        <v>42</v>
      </c>
      <c r="AG190" s="770">
        <v>42</v>
      </c>
      <c r="AH190" s="769">
        <v>0</v>
      </c>
      <c r="AI190" s="769">
        <v>0</v>
      </c>
      <c r="AJ190" s="769">
        <v>43.799286170356012</v>
      </c>
      <c r="AK190" s="769">
        <v>43.799286170356012</v>
      </c>
      <c r="AL190" s="769">
        <v>0</v>
      </c>
      <c r="AM190" s="769">
        <v>0</v>
      </c>
      <c r="AN190" s="769">
        <v>40.066094413715007</v>
      </c>
      <c r="AO190" s="769">
        <v>40.066094413715007</v>
      </c>
      <c r="AP190" s="769">
        <v>0</v>
      </c>
      <c r="AQ190" s="769">
        <v>15.354651816019853</v>
      </c>
      <c r="AR190" s="769">
        <v>0</v>
      </c>
      <c r="AS190" s="769">
        <v>41.703858022450852</v>
      </c>
      <c r="AT190" s="769">
        <v>42.738731987896202</v>
      </c>
      <c r="AU190" s="769">
        <v>43.799286170356012</v>
      </c>
      <c r="AV190" s="769">
        <v>44.886157819937942</v>
      </c>
      <c r="AW190" s="769">
        <v>46</v>
      </c>
      <c r="AX190" s="769">
        <v>38.221236227826779</v>
      </c>
      <c r="AY190" s="769">
        <v>39.132795189112322</v>
      </c>
      <c r="AZ190" s="769">
        <v>40.066094413715007</v>
      </c>
      <c r="BA190" s="769">
        <v>41.021652396948006</v>
      </c>
      <c r="BB190" s="769">
        <v>42</v>
      </c>
      <c r="BC190" s="769">
        <v>14.735333274450113</v>
      </c>
      <c r="BD190" s="769">
        <v>15.041805470826739</v>
      </c>
      <c r="BE190" s="769">
        <v>15.354651816019853</v>
      </c>
      <c r="BF190" s="769">
        <v>15.674004882489914</v>
      </c>
      <c r="BG190" s="769">
        <v>16</v>
      </c>
      <c r="BH190" s="771">
        <v>47.079246461743004</v>
      </c>
      <c r="BI190" s="771">
        <v>48.183814074033499</v>
      </c>
      <c r="BJ190" s="771">
        <v>49.31429691865705</v>
      </c>
      <c r="BK190" s="772">
        <v>50.100897858296968</v>
      </c>
      <c r="BL190" s="772">
        <v>50.887498797936892</v>
      </c>
      <c r="BM190" s="772">
        <v>51.674099737576803</v>
      </c>
      <c r="BN190" s="772">
        <v>52.460700677216721</v>
      </c>
      <c r="BO190" s="772">
        <v>53.390804696633488</v>
      </c>
      <c r="BP190" s="772">
        <v>54.320908716050248</v>
      </c>
      <c r="BQ190" s="772">
        <v>56.899424065825393</v>
      </c>
      <c r="BR190" s="772">
        <v>59.971548613072891</v>
      </c>
      <c r="BS190" s="772">
        <v>61.320458017717755</v>
      </c>
      <c r="BT190" s="772">
        <v>62.061219821801174</v>
      </c>
      <c r="BU190" s="772">
        <v>62.82834856347624</v>
      </c>
      <c r="BV190" s="772">
        <v>63.613934161465494</v>
      </c>
      <c r="BW190" s="771">
        <v>42.985398943330566</v>
      </c>
      <c r="BX190" s="771">
        <v>43.993917198030587</v>
      </c>
      <c r="BY190" s="771">
        <v>45.026097186599912</v>
      </c>
      <c r="BZ190" s="772">
        <v>45.744298044532016</v>
      </c>
      <c r="CA190" s="772">
        <v>46.46249890246412</v>
      </c>
      <c r="CB190" s="772">
        <v>47.180699760396209</v>
      </c>
      <c r="CC190" s="772">
        <v>47.898900618328312</v>
      </c>
      <c r="CD190" s="772">
        <v>48.748126027361003</v>
      </c>
      <c r="CE190" s="772">
        <v>49.597351436393701</v>
      </c>
      <c r="CF190" s="772">
        <v>51.951648060101441</v>
      </c>
      <c r="CG190" s="772">
        <v>54.756631342370895</v>
      </c>
      <c r="CH190" s="772">
        <v>55.988244277046647</v>
      </c>
      <c r="CI190" s="772">
        <v>56.664592011209763</v>
      </c>
      <c r="CJ190" s="772">
        <v>57.365013905782654</v>
      </c>
      <c r="CK190" s="772">
        <v>58.082287712642405</v>
      </c>
      <c r="CL190" s="771">
        <v>16.37539007364974</v>
      </c>
      <c r="CM190" s="771">
        <v>16.759587504011652</v>
      </c>
      <c r="CN190" s="771">
        <v>17.152798928228538</v>
      </c>
      <c r="CO190" s="772">
        <v>17.426399255059817</v>
      </c>
      <c r="CP190" s="772">
        <v>17.699999581891092</v>
      </c>
      <c r="CQ190" s="772">
        <v>17.973599908722367</v>
      </c>
      <c r="CR190" s="772">
        <v>18.247200235553642</v>
      </c>
      <c r="CS190" s="772">
        <v>18.570714677089907</v>
      </c>
      <c r="CT190" s="772">
        <v>18.894229118626175</v>
      </c>
      <c r="CU190" s="772">
        <v>19.791104022895787</v>
      </c>
      <c r="CV190" s="772">
        <v>20.859669082807962</v>
      </c>
      <c r="CW190" s="772">
        <v>21.328854962684435</v>
      </c>
      <c r="CX190" s="772">
        <v>21.586511242365624</v>
      </c>
      <c r="CY190" s="772">
        <v>21.853338630774346</v>
      </c>
      <c r="CZ190" s="772">
        <v>22.126585795292346</v>
      </c>
      <c r="DA190" s="773">
        <v>0</v>
      </c>
      <c r="DB190" s="773">
        <v>0</v>
      </c>
      <c r="DC190" s="773">
        <v>0</v>
      </c>
      <c r="DD190" s="774">
        <v>0</v>
      </c>
      <c r="DE190" s="774">
        <v>0</v>
      </c>
      <c r="DF190" s="774">
        <v>0</v>
      </c>
      <c r="DG190" s="774">
        <v>0</v>
      </c>
      <c r="DH190" s="774">
        <v>0</v>
      </c>
      <c r="DI190" s="774">
        <v>0</v>
      </c>
      <c r="DJ190" s="774">
        <v>0</v>
      </c>
      <c r="DK190" s="774">
        <v>0</v>
      </c>
      <c r="DL190" s="774">
        <v>0</v>
      </c>
      <c r="DM190" s="774">
        <v>0</v>
      </c>
      <c r="DN190" s="774">
        <v>0</v>
      </c>
      <c r="DO190" s="774">
        <v>0</v>
      </c>
      <c r="DP190" s="773">
        <v>0</v>
      </c>
      <c r="DQ190" s="773">
        <v>0</v>
      </c>
      <c r="DR190" s="773">
        <v>0</v>
      </c>
      <c r="DS190" s="774">
        <v>0</v>
      </c>
      <c r="DT190" s="774">
        <v>0</v>
      </c>
      <c r="DU190" s="774">
        <v>0</v>
      </c>
      <c r="DV190" s="774">
        <v>0</v>
      </c>
      <c r="DW190" s="774">
        <v>0</v>
      </c>
      <c r="DX190" s="774">
        <v>0</v>
      </c>
      <c r="DY190" s="774">
        <v>0</v>
      </c>
      <c r="DZ190" s="774">
        <v>0</v>
      </c>
      <c r="EA190" s="774">
        <v>0</v>
      </c>
      <c r="EB190" s="774">
        <v>0</v>
      </c>
      <c r="EC190" s="774">
        <v>0</v>
      </c>
      <c r="ED190" s="774">
        <v>0</v>
      </c>
    </row>
    <row r="191" spans="1:134" ht="15" x14ac:dyDescent="0.25">
      <c r="A191" s="766">
        <v>106</v>
      </c>
      <c r="B191" s="766">
        <v>93</v>
      </c>
      <c r="C191" s="766" t="s">
        <v>3862</v>
      </c>
      <c r="D191" s="2">
        <v>99709</v>
      </c>
      <c r="E191" s="2">
        <v>99709</v>
      </c>
      <c r="F191" s="767" t="s">
        <v>3746</v>
      </c>
      <c r="G191" s="114">
        <v>1331</v>
      </c>
      <c r="H191" s="114">
        <v>702</v>
      </c>
      <c r="I191" s="114">
        <v>631</v>
      </c>
      <c r="J191" s="114">
        <v>71</v>
      </c>
      <c r="K191" s="114">
        <v>12</v>
      </c>
      <c r="L191" s="114">
        <v>124</v>
      </c>
      <c r="M191" s="114">
        <v>136</v>
      </c>
      <c r="N191" s="114">
        <v>47</v>
      </c>
      <c r="O191" s="114">
        <v>0</v>
      </c>
      <c r="P191" s="114">
        <v>0</v>
      </c>
      <c r="Q191" s="114">
        <v>183</v>
      </c>
      <c r="R191" s="114">
        <v>47279.75</v>
      </c>
      <c r="S191" s="114">
        <v>2468.7177419354839</v>
      </c>
      <c r="T191" s="775">
        <v>1244.2706552706552</v>
      </c>
      <c r="U191" s="114">
        <v>16585.340425531915</v>
      </c>
      <c r="V191" s="114">
        <v>0</v>
      </c>
      <c r="W191" s="114">
        <v>0</v>
      </c>
      <c r="X191" s="775">
        <v>2206.9279038718291</v>
      </c>
      <c r="Y191" s="114">
        <v>61.941176470588232</v>
      </c>
      <c r="Z191" s="114">
        <v>640.05882352941171</v>
      </c>
      <c r="AA191" s="114">
        <v>0</v>
      </c>
      <c r="AB191" s="657">
        <v>47</v>
      </c>
      <c r="AC191" s="657">
        <v>0</v>
      </c>
      <c r="AD191" s="768">
        <v>749</v>
      </c>
      <c r="AE191" s="769">
        <v>55.67647058823529</v>
      </c>
      <c r="AF191" s="769">
        <v>575.32352941176464</v>
      </c>
      <c r="AG191" s="770">
        <v>630.99999999999989</v>
      </c>
      <c r="AH191" s="769">
        <v>0</v>
      </c>
      <c r="AI191" s="769">
        <v>58.97781117312644</v>
      </c>
      <c r="AJ191" s="769">
        <v>609.43738212230653</v>
      </c>
      <c r="AK191" s="769">
        <v>668.41519329543303</v>
      </c>
      <c r="AL191" s="769">
        <v>0</v>
      </c>
      <c r="AM191" s="769">
        <v>53.112826838349086</v>
      </c>
      <c r="AN191" s="769">
        <v>548.8325439962739</v>
      </c>
      <c r="AO191" s="769">
        <v>601.94537083462296</v>
      </c>
      <c r="AP191" s="769">
        <v>0</v>
      </c>
      <c r="AQ191" s="769">
        <v>45.104289709558323</v>
      </c>
      <c r="AR191" s="769">
        <v>0</v>
      </c>
      <c r="AS191" s="769">
        <v>636.43713764696736</v>
      </c>
      <c r="AT191" s="769">
        <v>652.23021425006812</v>
      </c>
      <c r="AU191" s="769">
        <v>668.41519329543303</v>
      </c>
      <c r="AV191" s="769">
        <v>685.00179977383561</v>
      </c>
      <c r="AW191" s="769">
        <v>702</v>
      </c>
      <c r="AX191" s="769">
        <v>574.22857285139742</v>
      </c>
      <c r="AY191" s="769">
        <v>587.92366105547308</v>
      </c>
      <c r="AZ191" s="769">
        <v>601.94537083462296</v>
      </c>
      <c r="BA191" s="769">
        <v>616.30149196367108</v>
      </c>
      <c r="BB191" s="769">
        <v>630.99999999999989</v>
      </c>
      <c r="BC191" s="769">
        <v>43.285041493697207</v>
      </c>
      <c r="BD191" s="769">
        <v>44.185303570553543</v>
      </c>
      <c r="BE191" s="769">
        <v>45.104289709558323</v>
      </c>
      <c r="BF191" s="769">
        <v>46.042389342314124</v>
      </c>
      <c r="BG191" s="769">
        <v>47</v>
      </c>
      <c r="BH191" s="771">
        <v>715.89236146209851</v>
      </c>
      <c r="BI191" s="771">
        <v>730.05964843273489</v>
      </c>
      <c r="BJ191" s="771">
        <v>744.50730160213686</v>
      </c>
      <c r="BK191" s="772">
        <v>747.05257918628581</v>
      </c>
      <c r="BL191" s="772">
        <v>749.59785677043465</v>
      </c>
      <c r="BM191" s="772">
        <v>752.14313435458348</v>
      </c>
      <c r="BN191" s="772">
        <v>754.68841193873243</v>
      </c>
      <c r="BO191" s="772">
        <v>757.69803574191792</v>
      </c>
      <c r="BP191" s="772">
        <v>760.70765954510318</v>
      </c>
      <c r="BQ191" s="772">
        <v>769.05120070991632</v>
      </c>
      <c r="BR191" s="772">
        <v>778.99195891623401</v>
      </c>
      <c r="BS191" s="772">
        <v>783.35675013077503</v>
      </c>
      <c r="BT191" s="772">
        <v>785.75370177437503</v>
      </c>
      <c r="BU191" s="772">
        <v>788.23597136235151</v>
      </c>
      <c r="BV191" s="772">
        <v>790.7779635113917</v>
      </c>
      <c r="BW191" s="771">
        <v>643.48729356493459</v>
      </c>
      <c r="BX191" s="771">
        <v>656.22170678213047</v>
      </c>
      <c r="BY191" s="771">
        <v>669.20813007257584</v>
      </c>
      <c r="BZ191" s="772">
        <v>671.49597929707443</v>
      </c>
      <c r="CA191" s="772">
        <v>673.7838285215729</v>
      </c>
      <c r="CB191" s="772">
        <v>676.07167774607126</v>
      </c>
      <c r="CC191" s="772">
        <v>678.35952697056985</v>
      </c>
      <c r="CD191" s="772">
        <v>681.06475862272089</v>
      </c>
      <c r="CE191" s="772">
        <v>683.7699902748717</v>
      </c>
      <c r="CF191" s="772">
        <v>691.26966901418382</v>
      </c>
      <c r="CG191" s="772">
        <v>700.20502290048933</v>
      </c>
      <c r="CH191" s="772">
        <v>704.12836087253413</v>
      </c>
      <c r="CI191" s="772">
        <v>706.28288578294951</v>
      </c>
      <c r="CJ191" s="772">
        <v>708.51409961487707</v>
      </c>
      <c r="CK191" s="772">
        <v>710.7989956918633</v>
      </c>
      <c r="CL191" s="771">
        <v>47.93011536854506</v>
      </c>
      <c r="CM191" s="771">
        <v>48.878637430681678</v>
      </c>
      <c r="CN191" s="771">
        <v>49.845930449145911</v>
      </c>
      <c r="CO191" s="772">
        <v>50.016340771731386</v>
      </c>
      <c r="CP191" s="772">
        <v>50.186751094316847</v>
      </c>
      <c r="CQ191" s="772">
        <v>50.357161416902308</v>
      </c>
      <c r="CR191" s="772">
        <v>50.527571739487776</v>
      </c>
      <c r="CS191" s="772">
        <v>50.729070769045777</v>
      </c>
      <c r="CT191" s="772">
        <v>50.930569798603763</v>
      </c>
      <c r="CU191" s="772">
        <v>51.489182953512909</v>
      </c>
      <c r="CV191" s="772">
        <v>52.154732292112527</v>
      </c>
      <c r="CW191" s="772">
        <v>52.446961903342483</v>
      </c>
      <c r="CX191" s="772">
        <v>52.607441571788641</v>
      </c>
      <c r="CY191" s="772">
        <v>52.773633410299887</v>
      </c>
      <c r="CZ191" s="772">
        <v>52.943823767856706</v>
      </c>
      <c r="DA191" s="773">
        <v>0</v>
      </c>
      <c r="DB191" s="773">
        <v>0</v>
      </c>
      <c r="DC191" s="773">
        <v>0</v>
      </c>
      <c r="DD191" s="774">
        <v>0</v>
      </c>
      <c r="DE191" s="774">
        <v>0</v>
      </c>
      <c r="DF191" s="774">
        <v>0</v>
      </c>
      <c r="DG191" s="774">
        <v>0</v>
      </c>
      <c r="DH191" s="774">
        <v>0</v>
      </c>
      <c r="DI191" s="774">
        <v>0</v>
      </c>
      <c r="DJ191" s="774">
        <v>0</v>
      </c>
      <c r="DK191" s="774">
        <v>0</v>
      </c>
      <c r="DL191" s="774">
        <v>0</v>
      </c>
      <c r="DM191" s="774">
        <v>0</v>
      </c>
      <c r="DN191" s="774">
        <v>0</v>
      </c>
      <c r="DO191" s="774">
        <v>0</v>
      </c>
      <c r="DP191" s="773">
        <v>0</v>
      </c>
      <c r="DQ191" s="773">
        <v>0</v>
      </c>
      <c r="DR191" s="773">
        <v>0</v>
      </c>
      <c r="DS191" s="774">
        <v>0</v>
      </c>
      <c r="DT191" s="774">
        <v>0</v>
      </c>
      <c r="DU191" s="774">
        <v>0</v>
      </c>
      <c r="DV191" s="774">
        <v>0</v>
      </c>
      <c r="DW191" s="774">
        <v>0</v>
      </c>
      <c r="DX191" s="774">
        <v>0</v>
      </c>
      <c r="DY191" s="774">
        <v>0</v>
      </c>
      <c r="DZ191" s="774">
        <v>0</v>
      </c>
      <c r="EA191" s="774">
        <v>0</v>
      </c>
      <c r="EB191" s="774">
        <v>0</v>
      </c>
      <c r="EC191" s="774">
        <v>0</v>
      </c>
      <c r="ED191" s="774">
        <v>0</v>
      </c>
    </row>
    <row r="192" spans="1:134" ht="15" x14ac:dyDescent="0.25">
      <c r="A192" s="766">
        <v>107</v>
      </c>
      <c r="B192" s="766">
        <v>93</v>
      </c>
      <c r="C192" s="766" t="s">
        <v>3863</v>
      </c>
      <c r="D192" s="2">
        <v>99709</v>
      </c>
      <c r="E192" s="2">
        <v>99709</v>
      </c>
      <c r="F192" s="767" t="s">
        <v>3746</v>
      </c>
      <c r="G192" s="114">
        <v>1588</v>
      </c>
      <c r="H192" s="114">
        <v>792</v>
      </c>
      <c r="I192" s="114">
        <v>718</v>
      </c>
      <c r="J192" s="114">
        <v>74</v>
      </c>
      <c r="K192" s="114">
        <v>7</v>
      </c>
      <c r="L192" s="114">
        <v>238</v>
      </c>
      <c r="M192" s="114">
        <v>245</v>
      </c>
      <c r="N192" s="114">
        <v>51</v>
      </c>
      <c r="O192" s="114">
        <v>0</v>
      </c>
      <c r="P192" s="114">
        <v>0</v>
      </c>
      <c r="Q192" s="114">
        <v>296</v>
      </c>
      <c r="R192" s="114">
        <v>4707.5714285714284</v>
      </c>
      <c r="S192" s="114">
        <v>2186.3025210084033</v>
      </c>
      <c r="T192" s="114">
        <v>2258.338775510204</v>
      </c>
      <c r="U192" s="114">
        <v>14416.333333333334</v>
      </c>
      <c r="V192" s="114">
        <v>0</v>
      </c>
      <c r="W192" s="114">
        <v>0</v>
      </c>
      <c r="X192" s="114">
        <v>4353.1283783783783</v>
      </c>
      <c r="Y192" s="114">
        <v>22.62857142857143</v>
      </c>
      <c r="Z192" s="114">
        <v>769.37142857142862</v>
      </c>
      <c r="AA192" s="114">
        <v>0</v>
      </c>
      <c r="AB192" s="657">
        <v>51</v>
      </c>
      <c r="AC192" s="657">
        <v>0</v>
      </c>
      <c r="AD192" s="768">
        <v>843</v>
      </c>
      <c r="AE192" s="769">
        <v>20.514285714285716</v>
      </c>
      <c r="AF192" s="769">
        <v>697.48571428571427</v>
      </c>
      <c r="AG192" s="770">
        <v>718</v>
      </c>
      <c r="AH192" s="769">
        <v>0</v>
      </c>
      <c r="AI192" s="769">
        <v>21.54598425274656</v>
      </c>
      <c r="AJ192" s="769">
        <v>732.56346459338306</v>
      </c>
      <c r="AK192" s="769">
        <v>754.10944884612957</v>
      </c>
      <c r="AL192" s="769">
        <v>0</v>
      </c>
      <c r="AM192" s="769">
        <v>19.569697815678488</v>
      </c>
      <c r="AN192" s="769">
        <v>665.36972573306844</v>
      </c>
      <c r="AO192" s="769">
        <v>684.93942354874696</v>
      </c>
      <c r="AP192" s="769">
        <v>0</v>
      </c>
      <c r="AQ192" s="769">
        <v>48.942952663563283</v>
      </c>
      <c r="AR192" s="769">
        <v>0</v>
      </c>
      <c r="AS192" s="769">
        <v>718.03164247350162</v>
      </c>
      <c r="AT192" s="769">
        <v>735.84947248725632</v>
      </c>
      <c r="AU192" s="769">
        <v>754.10944884612957</v>
      </c>
      <c r="AV192" s="769">
        <v>772.82254333458377</v>
      </c>
      <c r="AW192" s="769">
        <v>792</v>
      </c>
      <c r="AX192" s="769">
        <v>653.40113360903877</v>
      </c>
      <c r="AY192" s="769">
        <v>668.98445109006298</v>
      </c>
      <c r="AZ192" s="769">
        <v>684.93942354874696</v>
      </c>
      <c r="BA192" s="769">
        <v>701.27491478592071</v>
      </c>
      <c r="BB192" s="769">
        <v>718</v>
      </c>
      <c r="BC192" s="769">
        <v>46.968874812309735</v>
      </c>
      <c r="BD192" s="769">
        <v>47.945754938260229</v>
      </c>
      <c r="BE192" s="769">
        <v>48.942952663563283</v>
      </c>
      <c r="BF192" s="769">
        <v>49.960890562936605</v>
      </c>
      <c r="BG192" s="769">
        <v>51</v>
      </c>
      <c r="BH192" s="771">
        <v>807.67343344441883</v>
      </c>
      <c r="BI192" s="771">
        <v>823.65703925744447</v>
      </c>
      <c r="BJ192" s="771">
        <v>839.95695565369283</v>
      </c>
      <c r="BK192" s="772">
        <v>842.47676918810646</v>
      </c>
      <c r="BL192" s="772">
        <v>844.9965827225202</v>
      </c>
      <c r="BM192" s="772">
        <v>847.51639625693372</v>
      </c>
      <c r="BN192" s="772">
        <v>850.03620979134735</v>
      </c>
      <c r="BO192" s="772">
        <v>853.01572402586089</v>
      </c>
      <c r="BP192" s="772">
        <v>855.99523826037444</v>
      </c>
      <c r="BQ192" s="772">
        <v>864.25530705717892</v>
      </c>
      <c r="BR192" s="772">
        <v>874.09661365045883</v>
      </c>
      <c r="BS192" s="772">
        <v>878.41773761972081</v>
      </c>
      <c r="BT192" s="772">
        <v>880.79070912997668</v>
      </c>
      <c r="BU192" s="772">
        <v>883.24814502726326</v>
      </c>
      <c r="BV192" s="772">
        <v>885.76470599547167</v>
      </c>
      <c r="BW192" s="771">
        <v>732.20899648117768</v>
      </c>
      <c r="BX192" s="771">
        <v>746.69918457934989</v>
      </c>
      <c r="BY192" s="771">
        <v>761.47612898908005</v>
      </c>
      <c r="BZ192" s="772">
        <v>763.76050540032884</v>
      </c>
      <c r="CA192" s="772">
        <v>766.04488181157762</v>
      </c>
      <c r="CB192" s="772">
        <v>768.32925822282618</v>
      </c>
      <c r="CC192" s="772">
        <v>770.61363463407497</v>
      </c>
      <c r="CD192" s="772">
        <v>773.31475991233344</v>
      </c>
      <c r="CE192" s="772">
        <v>776.01588519059192</v>
      </c>
      <c r="CF192" s="772">
        <v>783.50417988264439</v>
      </c>
      <c r="CG192" s="772">
        <v>792.42597045584512</v>
      </c>
      <c r="CH192" s="772">
        <v>796.34335304414083</v>
      </c>
      <c r="CI192" s="772">
        <v>798.49460751934748</v>
      </c>
      <c r="CJ192" s="772">
        <v>800.72243450703911</v>
      </c>
      <c r="CK192" s="772">
        <v>803.00386225347052</v>
      </c>
      <c r="CL192" s="771">
        <v>52.009274123314846</v>
      </c>
      <c r="CM192" s="771">
        <v>53.038521467335443</v>
      </c>
      <c r="CN192" s="771">
        <v>54.088137295881737</v>
      </c>
      <c r="CO192" s="772">
        <v>54.250398015900799</v>
      </c>
      <c r="CP192" s="772">
        <v>54.412658735919862</v>
      </c>
      <c r="CQ192" s="772">
        <v>54.574919455938911</v>
      </c>
      <c r="CR192" s="772">
        <v>54.737180175957974</v>
      </c>
      <c r="CS192" s="772">
        <v>54.929042834998619</v>
      </c>
      <c r="CT192" s="772">
        <v>55.120905494039263</v>
      </c>
      <c r="CU192" s="772">
        <v>55.652803863530458</v>
      </c>
      <c r="CV192" s="772">
        <v>56.2865243638553</v>
      </c>
      <c r="CW192" s="772">
        <v>56.56477855884566</v>
      </c>
      <c r="CX192" s="772">
        <v>56.717583542460623</v>
      </c>
      <c r="CY192" s="772">
        <v>56.875827520694983</v>
      </c>
      <c r="CZ192" s="772">
        <v>57.037878795162953</v>
      </c>
      <c r="DA192" s="773">
        <v>0</v>
      </c>
      <c r="DB192" s="773">
        <v>0</v>
      </c>
      <c r="DC192" s="773">
        <v>0</v>
      </c>
      <c r="DD192" s="774">
        <v>0</v>
      </c>
      <c r="DE192" s="774">
        <v>0</v>
      </c>
      <c r="DF192" s="774">
        <v>0</v>
      </c>
      <c r="DG192" s="774">
        <v>0</v>
      </c>
      <c r="DH192" s="774">
        <v>0</v>
      </c>
      <c r="DI192" s="774">
        <v>0</v>
      </c>
      <c r="DJ192" s="774">
        <v>0</v>
      </c>
      <c r="DK192" s="774">
        <v>0</v>
      </c>
      <c r="DL192" s="774">
        <v>0</v>
      </c>
      <c r="DM192" s="774">
        <v>0</v>
      </c>
      <c r="DN192" s="774">
        <v>0</v>
      </c>
      <c r="DO192" s="774">
        <v>0</v>
      </c>
      <c r="DP192" s="773">
        <v>0</v>
      </c>
      <c r="DQ192" s="773">
        <v>0</v>
      </c>
      <c r="DR192" s="773">
        <v>0</v>
      </c>
      <c r="DS192" s="774">
        <v>0</v>
      </c>
      <c r="DT192" s="774">
        <v>0</v>
      </c>
      <c r="DU192" s="774">
        <v>0</v>
      </c>
      <c r="DV192" s="774">
        <v>0</v>
      </c>
      <c r="DW192" s="774">
        <v>0</v>
      </c>
      <c r="DX192" s="774">
        <v>0</v>
      </c>
      <c r="DY192" s="774">
        <v>0</v>
      </c>
      <c r="DZ192" s="774">
        <v>0</v>
      </c>
      <c r="EA192" s="774">
        <v>0</v>
      </c>
      <c r="EB192" s="774">
        <v>0</v>
      </c>
      <c r="EC192" s="774">
        <v>0</v>
      </c>
      <c r="ED192" s="774">
        <v>0</v>
      </c>
    </row>
    <row r="193" spans="1:134" ht="15" x14ac:dyDescent="0.25">
      <c r="A193" s="766">
        <v>108</v>
      </c>
      <c r="B193" s="766">
        <v>93</v>
      </c>
      <c r="C193" s="766" t="s">
        <v>3864</v>
      </c>
      <c r="D193" s="2">
        <v>99701</v>
      </c>
      <c r="E193" s="2">
        <v>99701</v>
      </c>
      <c r="F193" s="767" t="s">
        <v>3746</v>
      </c>
      <c r="G193" s="114">
        <v>812</v>
      </c>
      <c r="H193" s="114">
        <v>218</v>
      </c>
      <c r="I193" s="114">
        <v>198</v>
      </c>
      <c r="J193" s="114">
        <v>20</v>
      </c>
      <c r="K193" s="114">
        <v>6</v>
      </c>
      <c r="L193" s="114">
        <v>145</v>
      </c>
      <c r="M193" s="114">
        <v>151</v>
      </c>
      <c r="N193" s="114">
        <v>16</v>
      </c>
      <c r="O193" s="114">
        <v>0</v>
      </c>
      <c r="P193" s="114">
        <v>0</v>
      </c>
      <c r="Q193" s="114">
        <v>167</v>
      </c>
      <c r="R193" s="114">
        <v>6159.333333333333</v>
      </c>
      <c r="S193" s="114">
        <v>2271.7931034482758</v>
      </c>
      <c r="T193" s="114">
        <v>2426.2649006622519</v>
      </c>
      <c r="U193" s="114">
        <v>20159.5</v>
      </c>
      <c r="V193" s="114">
        <v>0</v>
      </c>
      <c r="W193" s="114">
        <v>0</v>
      </c>
      <c r="X193" s="114">
        <v>4125.2574850299397</v>
      </c>
      <c r="Y193" s="114">
        <v>8.6622516556291398</v>
      </c>
      <c r="Z193" s="114">
        <v>209.33774834437085</v>
      </c>
      <c r="AA193" s="114">
        <v>0</v>
      </c>
      <c r="AB193" s="657">
        <v>16</v>
      </c>
      <c r="AC193" s="657">
        <v>0</v>
      </c>
      <c r="AD193" s="768">
        <v>234</v>
      </c>
      <c r="AE193" s="769">
        <v>7.8675496688741724</v>
      </c>
      <c r="AF193" s="769">
        <v>190.13245033112582</v>
      </c>
      <c r="AG193" s="770">
        <v>198</v>
      </c>
      <c r="AH193" s="769">
        <v>0</v>
      </c>
      <c r="AI193" s="769">
        <v>8.5661008039231792</v>
      </c>
      <c r="AJ193" s="769">
        <v>207.01410276147678</v>
      </c>
      <c r="AK193" s="769">
        <v>215.58020356539996</v>
      </c>
      <c r="AL193" s="769">
        <v>0</v>
      </c>
      <c r="AM193" s="769">
        <v>7.7945486913737199</v>
      </c>
      <c r="AN193" s="769">
        <v>188.36826004153156</v>
      </c>
      <c r="AO193" s="769">
        <v>196.16280873290526</v>
      </c>
      <c r="AP193" s="769">
        <v>0</v>
      </c>
      <c r="AQ193" s="769">
        <v>15.917360188525389</v>
      </c>
      <c r="AR193" s="769">
        <v>0</v>
      </c>
      <c r="AS193" s="769">
        <v>213.18726683164812</v>
      </c>
      <c r="AT193" s="769">
        <v>214.38039644780474</v>
      </c>
      <c r="AU193" s="769">
        <v>215.58020356539998</v>
      </c>
      <c r="AV193" s="769">
        <v>216.78672555591865</v>
      </c>
      <c r="AW193" s="769">
        <v>218</v>
      </c>
      <c r="AX193" s="769">
        <v>194.34266429284028</v>
      </c>
      <c r="AY193" s="769">
        <v>195.2506155798738</v>
      </c>
      <c r="AZ193" s="769">
        <v>196.16280873290529</v>
      </c>
      <c r="BA193" s="769">
        <v>197.07926356954769</v>
      </c>
      <c r="BB193" s="769">
        <v>198</v>
      </c>
      <c r="BC193" s="769">
        <v>15.835147210703312</v>
      </c>
      <c r="BD193" s="769">
        <v>15.876200483462277</v>
      </c>
      <c r="BE193" s="769">
        <v>15.917360188525389</v>
      </c>
      <c r="BF193" s="769">
        <v>15.958626601822797</v>
      </c>
      <c r="BG193" s="769">
        <v>16</v>
      </c>
      <c r="BH193" s="771">
        <v>219.36917062203432</v>
      </c>
      <c r="BI193" s="771">
        <v>220.74694045595965</v>
      </c>
      <c r="BJ193" s="771">
        <v>222.13336350997918</v>
      </c>
      <c r="BK193" s="772">
        <v>222.67488494956913</v>
      </c>
      <c r="BL193" s="772">
        <v>223.21640638915912</v>
      </c>
      <c r="BM193" s="772">
        <v>223.75792782874913</v>
      </c>
      <c r="BN193" s="772">
        <v>224.29944926833906</v>
      </c>
      <c r="BO193" s="772">
        <v>224.93976285325994</v>
      </c>
      <c r="BP193" s="772">
        <v>225.58007643818084</v>
      </c>
      <c r="BQ193" s="772">
        <v>227.3552095124615</v>
      </c>
      <c r="BR193" s="772">
        <v>229.47015906767902</v>
      </c>
      <c r="BS193" s="772">
        <v>230.39879177820455</v>
      </c>
      <c r="BT193" s="772">
        <v>230.90875607944747</v>
      </c>
      <c r="BU193" s="772">
        <v>231.43687223035482</v>
      </c>
      <c r="BV193" s="772">
        <v>231.97769467602726</v>
      </c>
      <c r="BW193" s="771">
        <v>199.24355863836143</v>
      </c>
      <c r="BX193" s="771">
        <v>200.49492757009176</v>
      </c>
      <c r="BY193" s="771">
        <v>201.75415584851319</v>
      </c>
      <c r="BZ193" s="772">
        <v>202.24599642208571</v>
      </c>
      <c r="CA193" s="772">
        <v>202.73783699565828</v>
      </c>
      <c r="CB193" s="772">
        <v>203.22967756923086</v>
      </c>
      <c r="CC193" s="772">
        <v>203.72151814280338</v>
      </c>
      <c r="CD193" s="772">
        <v>204.30308736213516</v>
      </c>
      <c r="CE193" s="772">
        <v>204.884656581467</v>
      </c>
      <c r="CF193" s="772">
        <v>206.4969334104008</v>
      </c>
      <c r="CG193" s="772">
        <v>208.41785089633231</v>
      </c>
      <c r="CH193" s="772">
        <v>209.26128794534173</v>
      </c>
      <c r="CI193" s="772">
        <v>209.72446653087431</v>
      </c>
      <c r="CJ193" s="772">
        <v>210.20413165876263</v>
      </c>
      <c r="CK193" s="772">
        <v>210.69533736629998</v>
      </c>
      <c r="CL193" s="771">
        <v>16.100489586938298</v>
      </c>
      <c r="CM193" s="771">
        <v>16.201610308694285</v>
      </c>
      <c r="CN193" s="771">
        <v>16.303366129172783</v>
      </c>
      <c r="CO193" s="772">
        <v>16.343110821986723</v>
      </c>
      <c r="CP193" s="772">
        <v>16.382855514800671</v>
      </c>
      <c r="CQ193" s="772">
        <v>16.422600207614614</v>
      </c>
      <c r="CR193" s="772">
        <v>16.462344900428555</v>
      </c>
      <c r="CS193" s="772">
        <v>16.509340392899812</v>
      </c>
      <c r="CT193" s="772">
        <v>16.55633588537107</v>
      </c>
      <c r="CU193" s="772">
        <v>16.686620881648548</v>
      </c>
      <c r="CV193" s="772">
        <v>16.841846537077359</v>
      </c>
      <c r="CW193" s="772">
        <v>16.910003066290241</v>
      </c>
      <c r="CX193" s="772">
        <v>16.947431638858529</v>
      </c>
      <c r="CY193" s="772">
        <v>16.986192457273749</v>
      </c>
      <c r="CZ193" s="772">
        <v>17.025885847781819</v>
      </c>
      <c r="DA193" s="773">
        <v>0</v>
      </c>
      <c r="DB193" s="773">
        <v>0</v>
      </c>
      <c r="DC193" s="773">
        <v>0</v>
      </c>
      <c r="DD193" s="774">
        <v>0</v>
      </c>
      <c r="DE193" s="774">
        <v>0</v>
      </c>
      <c r="DF193" s="774">
        <v>0</v>
      </c>
      <c r="DG193" s="774">
        <v>0</v>
      </c>
      <c r="DH193" s="774">
        <v>0</v>
      </c>
      <c r="DI193" s="774">
        <v>0</v>
      </c>
      <c r="DJ193" s="774">
        <v>0</v>
      </c>
      <c r="DK193" s="774">
        <v>0</v>
      </c>
      <c r="DL193" s="774">
        <v>0</v>
      </c>
      <c r="DM193" s="774">
        <v>0</v>
      </c>
      <c r="DN193" s="774">
        <v>0</v>
      </c>
      <c r="DO193" s="774">
        <v>0</v>
      </c>
      <c r="DP193" s="773">
        <v>0</v>
      </c>
      <c r="DQ193" s="773">
        <v>0</v>
      </c>
      <c r="DR193" s="773">
        <v>0</v>
      </c>
      <c r="DS193" s="774">
        <v>0</v>
      </c>
      <c r="DT193" s="774">
        <v>0</v>
      </c>
      <c r="DU193" s="774">
        <v>0</v>
      </c>
      <c r="DV193" s="774">
        <v>0</v>
      </c>
      <c r="DW193" s="774">
        <v>0</v>
      </c>
      <c r="DX193" s="774">
        <v>0</v>
      </c>
      <c r="DY193" s="774">
        <v>0</v>
      </c>
      <c r="DZ193" s="774">
        <v>0</v>
      </c>
      <c r="EA193" s="774">
        <v>0</v>
      </c>
      <c r="EB193" s="774">
        <v>0</v>
      </c>
      <c r="EC193" s="774">
        <v>0</v>
      </c>
      <c r="ED193" s="774">
        <v>0</v>
      </c>
    </row>
    <row r="194" spans="1:134" ht="15" x14ac:dyDescent="0.25">
      <c r="A194" s="766">
        <v>109</v>
      </c>
      <c r="B194" s="766">
        <v>93</v>
      </c>
      <c r="C194" s="766" t="s">
        <v>3865</v>
      </c>
      <c r="D194" s="2">
        <v>99701</v>
      </c>
      <c r="E194" s="2">
        <v>99701</v>
      </c>
      <c r="F194" s="767" t="s">
        <v>3746</v>
      </c>
      <c r="G194" s="114">
        <v>2761</v>
      </c>
      <c r="H194" s="114">
        <v>1287</v>
      </c>
      <c r="I194" s="114">
        <v>1159</v>
      </c>
      <c r="J194" s="114">
        <v>128</v>
      </c>
      <c r="K194" s="114">
        <v>83</v>
      </c>
      <c r="L194" s="114">
        <v>402</v>
      </c>
      <c r="M194" s="114">
        <v>485</v>
      </c>
      <c r="N194" s="114">
        <v>57</v>
      </c>
      <c r="O194" s="114">
        <v>0</v>
      </c>
      <c r="P194" s="114">
        <v>0</v>
      </c>
      <c r="Q194" s="114">
        <v>542</v>
      </c>
      <c r="R194" s="114">
        <v>4661.674698795181</v>
      </c>
      <c r="S194" s="114">
        <v>1732.8034825870648</v>
      </c>
      <c r="T194" s="114">
        <v>2234.0329896907215</v>
      </c>
      <c r="U194" s="114">
        <v>6918</v>
      </c>
      <c r="V194" s="114">
        <v>0</v>
      </c>
      <c r="W194" s="114">
        <v>0</v>
      </c>
      <c r="X194" s="114">
        <v>2726.6273062730629</v>
      </c>
      <c r="Y194" s="114">
        <v>220.24948453608246</v>
      </c>
      <c r="Z194" s="114">
        <v>1066.7505154639175</v>
      </c>
      <c r="AA194" s="114">
        <v>0</v>
      </c>
      <c r="AB194" s="657">
        <v>57</v>
      </c>
      <c r="AC194" s="657">
        <v>0</v>
      </c>
      <c r="AD194" s="768">
        <v>1344</v>
      </c>
      <c r="AE194" s="769">
        <v>198.3443298969072</v>
      </c>
      <c r="AF194" s="769">
        <v>960.65567010309269</v>
      </c>
      <c r="AG194" s="770">
        <v>1159</v>
      </c>
      <c r="AH194" s="769">
        <v>0</v>
      </c>
      <c r="AI194" s="769">
        <v>217.80471885992233</v>
      </c>
      <c r="AJ194" s="769">
        <v>1054.9096021890216</v>
      </c>
      <c r="AK194" s="769">
        <v>1272.7143210489439</v>
      </c>
      <c r="AL194" s="769">
        <v>0</v>
      </c>
      <c r="AM194" s="769">
        <v>196.50394368092563</v>
      </c>
      <c r="AN194" s="769">
        <v>951.74199228592886</v>
      </c>
      <c r="AO194" s="769">
        <v>1148.2459359668544</v>
      </c>
      <c r="AP194" s="769">
        <v>0</v>
      </c>
      <c r="AQ194" s="769">
        <v>56.705595671621701</v>
      </c>
      <c r="AR194" s="769">
        <v>0</v>
      </c>
      <c r="AS194" s="769">
        <v>1258.5872129006016</v>
      </c>
      <c r="AT194" s="769">
        <v>1265.6310560932327</v>
      </c>
      <c r="AU194" s="769">
        <v>1272.7143210489439</v>
      </c>
      <c r="AV194" s="769">
        <v>1279.8372283966389</v>
      </c>
      <c r="AW194" s="769">
        <v>1287</v>
      </c>
      <c r="AX194" s="769">
        <v>1137.5916561383933</v>
      </c>
      <c r="AY194" s="769">
        <v>1142.9063810963321</v>
      </c>
      <c r="AZ194" s="769">
        <v>1148.2459359668546</v>
      </c>
      <c r="BA194" s="769">
        <v>1153.6104367530595</v>
      </c>
      <c r="BB194" s="769">
        <v>1159</v>
      </c>
      <c r="BC194" s="769">
        <v>56.412711938130549</v>
      </c>
      <c r="BD194" s="769">
        <v>56.55896422233436</v>
      </c>
      <c r="BE194" s="769">
        <v>56.705595671621701</v>
      </c>
      <c r="BF194" s="769">
        <v>56.852607268993715</v>
      </c>
      <c r="BG194" s="769">
        <v>57</v>
      </c>
      <c r="BH194" s="771">
        <v>1300.35802538853</v>
      </c>
      <c r="BI194" s="771">
        <v>1313.8546963421575</v>
      </c>
      <c r="BJ194" s="771">
        <v>1327.4914518903922</v>
      </c>
      <c r="BK194" s="772">
        <v>1337.7916834032687</v>
      </c>
      <c r="BL194" s="772">
        <v>1348.091914916145</v>
      </c>
      <c r="BM194" s="772">
        <v>1358.3921464290215</v>
      </c>
      <c r="BN194" s="772">
        <v>1368.692377941898</v>
      </c>
      <c r="BO194" s="772">
        <v>1380.8717261326528</v>
      </c>
      <c r="BP194" s="772">
        <v>1393.0510743234079</v>
      </c>
      <c r="BQ194" s="772">
        <v>1426.815723872832</v>
      </c>
      <c r="BR194" s="772">
        <v>1467.0439927171653</v>
      </c>
      <c r="BS194" s="772">
        <v>1484.7074335517243</v>
      </c>
      <c r="BT194" s="772">
        <v>1494.4074195210369</v>
      </c>
      <c r="BU194" s="772">
        <v>1504.452670220905</v>
      </c>
      <c r="BV194" s="772">
        <v>1514.739606232162</v>
      </c>
      <c r="BW194" s="771">
        <v>1171.0294882869514</v>
      </c>
      <c r="BX194" s="771">
        <v>1183.1838329918885</v>
      </c>
      <c r="BY194" s="771">
        <v>1195.4643300240596</v>
      </c>
      <c r="BZ194" s="772">
        <v>1204.7401406871704</v>
      </c>
      <c r="CA194" s="772">
        <v>1214.0159513502815</v>
      </c>
      <c r="CB194" s="772">
        <v>1223.2917620133924</v>
      </c>
      <c r="CC194" s="772">
        <v>1232.5675726765032</v>
      </c>
      <c r="CD194" s="772">
        <v>1243.5356104022878</v>
      </c>
      <c r="CE194" s="772">
        <v>1254.5036481280729</v>
      </c>
      <c r="CF194" s="772">
        <v>1284.910197333809</v>
      </c>
      <c r="CG194" s="772">
        <v>1321.1375194710138</v>
      </c>
      <c r="CH194" s="772">
        <v>1337.0442233771939</v>
      </c>
      <c r="CI194" s="772">
        <v>1345.7794865772196</v>
      </c>
      <c r="CJ194" s="772">
        <v>1354.8256758244204</v>
      </c>
      <c r="CK194" s="772">
        <v>1364.0895133046433</v>
      </c>
      <c r="CL194" s="771">
        <v>57.591614178046783</v>
      </c>
      <c r="CM194" s="771">
        <v>58.189368835666656</v>
      </c>
      <c r="CN194" s="771">
        <v>58.793327706101287</v>
      </c>
      <c r="CO194" s="772">
        <v>59.249515115762485</v>
      </c>
      <c r="CP194" s="772">
        <v>59.705702525423675</v>
      </c>
      <c r="CQ194" s="772">
        <v>60.161889935084872</v>
      </c>
      <c r="CR194" s="772">
        <v>60.618077344746062</v>
      </c>
      <c r="CS194" s="772">
        <v>61.157489036178092</v>
      </c>
      <c r="CT194" s="772">
        <v>61.696900727610135</v>
      </c>
      <c r="CU194" s="772">
        <v>63.192304786908643</v>
      </c>
      <c r="CV194" s="772">
        <v>64.9739763674269</v>
      </c>
      <c r="CW194" s="772">
        <v>65.756273280845591</v>
      </c>
      <c r="CX194" s="772">
        <v>66.185876389043585</v>
      </c>
      <c r="CY194" s="772">
        <v>66.630770942184597</v>
      </c>
      <c r="CZ194" s="772">
        <v>67.086369506785729</v>
      </c>
      <c r="DA194" s="773">
        <v>0</v>
      </c>
      <c r="DB194" s="773">
        <v>0</v>
      </c>
      <c r="DC194" s="773">
        <v>0</v>
      </c>
      <c r="DD194" s="774">
        <v>0</v>
      </c>
      <c r="DE194" s="774">
        <v>0</v>
      </c>
      <c r="DF194" s="774">
        <v>0</v>
      </c>
      <c r="DG194" s="774">
        <v>0</v>
      </c>
      <c r="DH194" s="774">
        <v>0</v>
      </c>
      <c r="DI194" s="774">
        <v>0</v>
      </c>
      <c r="DJ194" s="774">
        <v>0</v>
      </c>
      <c r="DK194" s="774">
        <v>0</v>
      </c>
      <c r="DL194" s="774">
        <v>0</v>
      </c>
      <c r="DM194" s="774">
        <v>0</v>
      </c>
      <c r="DN194" s="774">
        <v>0</v>
      </c>
      <c r="DO194" s="774">
        <v>0</v>
      </c>
      <c r="DP194" s="773">
        <v>0</v>
      </c>
      <c r="DQ194" s="773">
        <v>0</v>
      </c>
      <c r="DR194" s="773">
        <v>0</v>
      </c>
      <c r="DS194" s="774">
        <v>0</v>
      </c>
      <c r="DT194" s="774">
        <v>0</v>
      </c>
      <c r="DU194" s="774">
        <v>0</v>
      </c>
      <c r="DV194" s="774">
        <v>0</v>
      </c>
      <c r="DW194" s="774">
        <v>0</v>
      </c>
      <c r="DX194" s="774">
        <v>0</v>
      </c>
      <c r="DY194" s="774">
        <v>0</v>
      </c>
      <c r="DZ194" s="774">
        <v>0</v>
      </c>
      <c r="EA194" s="774">
        <v>0</v>
      </c>
      <c r="EB194" s="774">
        <v>0</v>
      </c>
      <c r="EC194" s="774">
        <v>0</v>
      </c>
      <c r="ED194" s="774">
        <v>0</v>
      </c>
    </row>
    <row r="195" spans="1:134" ht="15" x14ac:dyDescent="0.25">
      <c r="A195" s="766">
        <v>110</v>
      </c>
      <c r="B195" s="766">
        <v>93</v>
      </c>
      <c r="C195" s="766" t="s">
        <v>3866</v>
      </c>
      <c r="D195" s="2">
        <v>99703</v>
      </c>
      <c r="E195" s="2">
        <v>99703</v>
      </c>
      <c r="F195" s="767" t="s">
        <v>3746</v>
      </c>
      <c r="G195" s="114">
        <v>2965</v>
      </c>
      <c r="H195" s="114">
        <v>968</v>
      </c>
      <c r="I195" s="114">
        <v>869</v>
      </c>
      <c r="J195" s="114">
        <v>99</v>
      </c>
      <c r="K195" s="114">
        <v>10</v>
      </c>
      <c r="L195" s="114">
        <v>84</v>
      </c>
      <c r="M195" s="114">
        <v>94</v>
      </c>
      <c r="N195" s="114">
        <v>19</v>
      </c>
      <c r="O195" s="114">
        <v>0</v>
      </c>
      <c r="P195" s="114">
        <v>0</v>
      </c>
      <c r="Q195" s="114">
        <v>113</v>
      </c>
      <c r="R195" s="114">
        <v>3289.3</v>
      </c>
      <c r="S195" s="114">
        <v>2072.6309523809523</v>
      </c>
      <c r="T195" s="114">
        <v>2202.0638297872342</v>
      </c>
      <c r="U195" s="114">
        <v>7256.8421052631575</v>
      </c>
      <c r="V195" s="114">
        <v>0</v>
      </c>
      <c r="W195" s="114">
        <v>0</v>
      </c>
      <c r="X195" s="114">
        <v>3051.9823008849557</v>
      </c>
      <c r="Y195" s="114">
        <v>102.97872340425532</v>
      </c>
      <c r="Z195" s="114">
        <v>865.02127659574467</v>
      </c>
      <c r="AA195" s="114">
        <v>0</v>
      </c>
      <c r="AB195" s="657">
        <v>19</v>
      </c>
      <c r="AC195" s="657">
        <v>0</v>
      </c>
      <c r="AD195" s="768">
        <v>987</v>
      </c>
      <c r="AE195" s="769">
        <v>92.446808510638292</v>
      </c>
      <c r="AF195" s="769">
        <v>776.55319148936167</v>
      </c>
      <c r="AG195" s="770">
        <v>869</v>
      </c>
      <c r="AH195" s="769">
        <v>0</v>
      </c>
      <c r="AI195" s="769">
        <v>100.99317528136152</v>
      </c>
      <c r="AJ195" s="769">
        <v>848.34267236343669</v>
      </c>
      <c r="AK195" s="769">
        <v>949.33584764479815</v>
      </c>
      <c r="AL195" s="769">
        <v>0</v>
      </c>
      <c r="AM195" s="769">
        <v>92.74361052829876</v>
      </c>
      <c r="AN195" s="769">
        <v>779.04632843770958</v>
      </c>
      <c r="AO195" s="769">
        <v>871.78993896600832</v>
      </c>
      <c r="AP195" s="769">
        <v>0</v>
      </c>
      <c r="AQ195" s="769">
        <v>18.630295999769469</v>
      </c>
      <c r="AR195" s="769">
        <v>0</v>
      </c>
      <c r="AS195" s="769">
        <v>931.03156159449111</v>
      </c>
      <c r="AT195" s="769">
        <v>940.13915816243207</v>
      </c>
      <c r="AU195" s="769">
        <v>949.33584764479815</v>
      </c>
      <c r="AV195" s="769">
        <v>958.62250157200288</v>
      </c>
      <c r="AW195" s="769">
        <v>968</v>
      </c>
      <c r="AX195" s="769">
        <v>874.58883507751057</v>
      </c>
      <c r="AY195" s="769">
        <v>873.18826558341664</v>
      </c>
      <c r="AZ195" s="769">
        <v>871.78993896600844</v>
      </c>
      <c r="BA195" s="769">
        <v>870.39385163353575</v>
      </c>
      <c r="BB195" s="769">
        <v>869</v>
      </c>
      <c r="BC195" s="769">
        <v>18.267785738896119</v>
      </c>
      <c r="BD195" s="769">
        <v>18.448150464911166</v>
      </c>
      <c r="BE195" s="769">
        <v>18.630295999769469</v>
      </c>
      <c r="BF195" s="769">
        <v>18.814239926067167</v>
      </c>
      <c r="BG195" s="769">
        <v>19</v>
      </c>
      <c r="BH195" s="771">
        <v>972.02220893955621</v>
      </c>
      <c r="BI195" s="771">
        <v>976.06113085922948</v>
      </c>
      <c r="BJ195" s="771">
        <v>980.11683520436929</v>
      </c>
      <c r="BK195" s="772">
        <v>988.180832274404</v>
      </c>
      <c r="BL195" s="772">
        <v>996.24482934443881</v>
      </c>
      <c r="BM195" s="772">
        <v>1004.3088264144737</v>
      </c>
      <c r="BN195" s="772">
        <v>1012.3728234845086</v>
      </c>
      <c r="BO195" s="772">
        <v>1021.907971117103</v>
      </c>
      <c r="BP195" s="772">
        <v>1031.4431187496978</v>
      </c>
      <c r="BQ195" s="772">
        <v>1057.8772852727441</v>
      </c>
      <c r="BR195" s="772">
        <v>1089.3717853417706</v>
      </c>
      <c r="BS195" s="772">
        <v>1103.2004002577123</v>
      </c>
      <c r="BT195" s="772">
        <v>1110.79446824911</v>
      </c>
      <c r="BU195" s="772">
        <v>1118.6588421818933</v>
      </c>
      <c r="BV195" s="772">
        <v>1126.7124302736474</v>
      </c>
      <c r="BW195" s="771">
        <v>872.61084666164697</v>
      </c>
      <c r="BX195" s="771">
        <v>876.23669702135373</v>
      </c>
      <c r="BY195" s="771">
        <v>879.87761342210433</v>
      </c>
      <c r="BZ195" s="772">
        <v>887.1168835190673</v>
      </c>
      <c r="CA195" s="772">
        <v>894.35615361603038</v>
      </c>
      <c r="CB195" s="772">
        <v>901.59542371299358</v>
      </c>
      <c r="CC195" s="772">
        <v>908.83469380995655</v>
      </c>
      <c r="CD195" s="772">
        <v>917.39465588921757</v>
      </c>
      <c r="CE195" s="772">
        <v>925.95461796847871</v>
      </c>
      <c r="CF195" s="772">
        <v>949.68529018803179</v>
      </c>
      <c r="CG195" s="772">
        <v>977.95876184090775</v>
      </c>
      <c r="CH195" s="772">
        <v>990.37308659499195</v>
      </c>
      <c r="CI195" s="772">
        <v>997.1904885418146</v>
      </c>
      <c r="CJ195" s="772">
        <v>1004.2505515041998</v>
      </c>
      <c r="CK195" s="772">
        <v>1011.480477177479</v>
      </c>
      <c r="CL195" s="771">
        <v>19.078948315962364</v>
      </c>
      <c r="CM195" s="771">
        <v>19.15822467595595</v>
      </c>
      <c r="CN195" s="771">
        <v>19.237830443060968</v>
      </c>
      <c r="CO195" s="772">
        <v>19.396111377286857</v>
      </c>
      <c r="CP195" s="772">
        <v>19.554392311512746</v>
      </c>
      <c r="CQ195" s="772">
        <v>19.712673245738639</v>
      </c>
      <c r="CR195" s="772">
        <v>19.870954179964528</v>
      </c>
      <c r="CS195" s="772">
        <v>20.058111003331568</v>
      </c>
      <c r="CT195" s="772">
        <v>20.245267826698615</v>
      </c>
      <c r="CU195" s="772">
        <v>20.764120268783202</v>
      </c>
      <c r="CV195" s="772">
        <v>21.382297439559547</v>
      </c>
      <c r="CW195" s="772">
        <v>21.653726864562536</v>
      </c>
      <c r="CX195" s="772">
        <v>21.802783984228398</v>
      </c>
      <c r="CY195" s="772">
        <v>21.957146695718983</v>
      </c>
      <c r="CZ195" s="772">
        <v>22.11522332148688</v>
      </c>
      <c r="DA195" s="773">
        <v>0</v>
      </c>
      <c r="DB195" s="773">
        <v>0</v>
      </c>
      <c r="DC195" s="773">
        <v>0</v>
      </c>
      <c r="DD195" s="774">
        <v>0</v>
      </c>
      <c r="DE195" s="774">
        <v>0</v>
      </c>
      <c r="DF195" s="774">
        <v>0</v>
      </c>
      <c r="DG195" s="774">
        <v>0</v>
      </c>
      <c r="DH195" s="774">
        <v>0</v>
      </c>
      <c r="DI195" s="774">
        <v>0</v>
      </c>
      <c r="DJ195" s="774">
        <v>0</v>
      </c>
      <c r="DK195" s="774">
        <v>0</v>
      </c>
      <c r="DL195" s="774">
        <v>0</v>
      </c>
      <c r="DM195" s="774">
        <v>0</v>
      </c>
      <c r="DN195" s="774">
        <v>0</v>
      </c>
      <c r="DO195" s="774">
        <v>0</v>
      </c>
      <c r="DP195" s="773">
        <v>0</v>
      </c>
      <c r="DQ195" s="773">
        <v>0</v>
      </c>
      <c r="DR195" s="773">
        <v>0</v>
      </c>
      <c r="DS195" s="774">
        <v>0</v>
      </c>
      <c r="DT195" s="774">
        <v>0</v>
      </c>
      <c r="DU195" s="774">
        <v>0</v>
      </c>
      <c r="DV195" s="774">
        <v>0</v>
      </c>
      <c r="DW195" s="774">
        <v>0</v>
      </c>
      <c r="DX195" s="774">
        <v>0</v>
      </c>
      <c r="DY195" s="774">
        <v>0</v>
      </c>
      <c r="DZ195" s="774">
        <v>0</v>
      </c>
      <c r="EA195" s="774">
        <v>0</v>
      </c>
      <c r="EB195" s="774">
        <v>0</v>
      </c>
      <c r="EC195" s="774">
        <v>0</v>
      </c>
      <c r="ED195" s="774">
        <v>0</v>
      </c>
    </row>
    <row r="196" spans="1:134" ht="15" x14ac:dyDescent="0.25">
      <c r="A196" s="766">
        <v>111</v>
      </c>
      <c r="B196" s="766">
        <v>93</v>
      </c>
      <c r="C196" s="766" t="s">
        <v>3867</v>
      </c>
      <c r="D196" s="2">
        <v>99703</v>
      </c>
      <c r="E196" s="2">
        <v>99703</v>
      </c>
      <c r="F196" s="767" t="s">
        <v>3746</v>
      </c>
      <c r="G196" s="114">
        <v>1474</v>
      </c>
      <c r="H196" s="114">
        <v>447</v>
      </c>
      <c r="I196" s="114">
        <v>369</v>
      </c>
      <c r="J196" s="114">
        <v>78</v>
      </c>
      <c r="K196" s="114">
        <v>0</v>
      </c>
      <c r="L196" s="114">
        <v>0</v>
      </c>
      <c r="M196" s="114">
        <v>0</v>
      </c>
      <c r="N196" s="114">
        <v>0</v>
      </c>
      <c r="O196" s="114">
        <v>0</v>
      </c>
      <c r="P196" s="114">
        <v>0</v>
      </c>
      <c r="Q196" s="114">
        <v>0</v>
      </c>
      <c r="R196" s="114">
        <v>0</v>
      </c>
      <c r="S196" s="114">
        <v>834.49503068156923</v>
      </c>
      <c r="T196" s="114">
        <v>834.49503068156923</v>
      </c>
      <c r="U196" s="114">
        <v>1408.3846153846155</v>
      </c>
      <c r="V196" s="114">
        <v>0</v>
      </c>
      <c r="W196" s="114">
        <v>0</v>
      </c>
      <c r="X196" s="114">
        <v>1365.173957061457</v>
      </c>
      <c r="Y196" s="114">
        <v>10.241813929313929</v>
      </c>
      <c r="Z196" s="114">
        <v>436.17736486486484</v>
      </c>
      <c r="AA196" s="114">
        <v>0.58082120582120578</v>
      </c>
      <c r="AB196" s="657">
        <v>0</v>
      </c>
      <c r="AC196" s="657">
        <v>0</v>
      </c>
      <c r="AD196" s="768">
        <v>447</v>
      </c>
      <c r="AE196" s="769">
        <v>8.4546517671517663</v>
      </c>
      <c r="AF196" s="769">
        <v>360.06587837837833</v>
      </c>
      <c r="AG196" s="770">
        <v>368.52053014553007</v>
      </c>
      <c r="AH196" s="769">
        <v>0.47946985446985446</v>
      </c>
      <c r="AI196" s="769">
        <v>10.04433998760903</v>
      </c>
      <c r="AJ196" s="769">
        <v>427.76736404696373</v>
      </c>
      <c r="AK196" s="769">
        <v>437.81170403457276</v>
      </c>
      <c r="AL196" s="769">
        <v>0.56962230553548365</v>
      </c>
      <c r="AM196" s="769">
        <v>8.4817955673925134</v>
      </c>
      <c r="AN196" s="769">
        <v>361.2218758748316</v>
      </c>
      <c r="AO196" s="769">
        <v>369.70367144222411</v>
      </c>
      <c r="AP196" s="769">
        <v>0.48100920041923517</v>
      </c>
      <c r="AQ196" s="769">
        <v>0</v>
      </c>
      <c r="AR196" s="769">
        <v>0</v>
      </c>
      <c r="AS196" s="769">
        <v>429.37019127941591</v>
      </c>
      <c r="AT196" s="769">
        <v>433.57040386273087</v>
      </c>
      <c r="AU196" s="769">
        <v>437.81170403457276</v>
      </c>
      <c r="AV196" s="769">
        <v>442.09449372458147</v>
      </c>
      <c r="AW196" s="769">
        <v>446.41917879417878</v>
      </c>
      <c r="AX196" s="769">
        <v>370.89061123374654</v>
      </c>
      <c r="AY196" s="769">
        <v>370.29666576485226</v>
      </c>
      <c r="AZ196" s="769">
        <v>369.70367144222411</v>
      </c>
      <c r="BA196" s="769">
        <v>369.11162674269326</v>
      </c>
      <c r="BB196" s="769">
        <v>368.52053014553007</v>
      </c>
      <c r="BC196" s="769">
        <v>0</v>
      </c>
      <c r="BD196" s="769">
        <v>0</v>
      </c>
      <c r="BE196" s="769">
        <v>0</v>
      </c>
      <c r="BF196" s="769">
        <v>0</v>
      </c>
      <c r="BG196" s="769">
        <v>0</v>
      </c>
      <c r="BH196" s="771">
        <v>448.27412839307885</v>
      </c>
      <c r="BI196" s="771">
        <v>450.13678563129616</v>
      </c>
      <c r="BJ196" s="771">
        <v>452.00718253541737</v>
      </c>
      <c r="BK196" s="772">
        <v>457.14832415063194</v>
      </c>
      <c r="BL196" s="772">
        <v>462.28946576584639</v>
      </c>
      <c r="BM196" s="772">
        <v>467.43060738106084</v>
      </c>
      <c r="BN196" s="772">
        <v>472.5717489962754</v>
      </c>
      <c r="BO196" s="772">
        <v>478.6508117582531</v>
      </c>
      <c r="BP196" s="772">
        <v>484.72987452023085</v>
      </c>
      <c r="BQ196" s="772">
        <v>501.58278163252953</v>
      </c>
      <c r="BR196" s="772">
        <v>521.66186692348549</v>
      </c>
      <c r="BS196" s="772">
        <v>530.47819795729856</v>
      </c>
      <c r="BT196" s="772">
        <v>535.31973976842073</v>
      </c>
      <c r="BU196" s="772">
        <v>540.33361313076148</v>
      </c>
      <c r="BV196" s="772">
        <v>545.46811857895545</v>
      </c>
      <c r="BW196" s="771">
        <v>370.05179726408517</v>
      </c>
      <c r="BX196" s="771">
        <v>371.58942706476125</v>
      </c>
      <c r="BY196" s="771">
        <v>373.13344598561292</v>
      </c>
      <c r="BZ196" s="772">
        <v>377.37747564112561</v>
      </c>
      <c r="CA196" s="772">
        <v>381.62150529663819</v>
      </c>
      <c r="CB196" s="772">
        <v>385.86553495215082</v>
      </c>
      <c r="CC196" s="772">
        <v>390.10956460766351</v>
      </c>
      <c r="CD196" s="772">
        <v>395.12785131721557</v>
      </c>
      <c r="CE196" s="772">
        <v>400.14613802676763</v>
      </c>
      <c r="CF196" s="772">
        <v>414.05826940134978</v>
      </c>
      <c r="CG196" s="772">
        <v>430.63362168851478</v>
      </c>
      <c r="CH196" s="772">
        <v>437.91153254193091</v>
      </c>
      <c r="CI196" s="772">
        <v>441.90824155379687</v>
      </c>
      <c r="CJ196" s="772">
        <v>446.0472108394876</v>
      </c>
      <c r="CK196" s="772">
        <v>450.28576231685577</v>
      </c>
      <c r="CL196" s="771">
        <v>0</v>
      </c>
      <c r="CM196" s="771">
        <v>0</v>
      </c>
      <c r="CN196" s="771">
        <v>0</v>
      </c>
      <c r="CO196" s="772">
        <v>0</v>
      </c>
      <c r="CP196" s="772">
        <v>0</v>
      </c>
      <c r="CQ196" s="772">
        <v>0</v>
      </c>
      <c r="CR196" s="772">
        <v>0</v>
      </c>
      <c r="CS196" s="772">
        <v>0</v>
      </c>
      <c r="CT196" s="772">
        <v>0</v>
      </c>
      <c r="CU196" s="772">
        <v>0</v>
      </c>
      <c r="CV196" s="772">
        <v>0</v>
      </c>
      <c r="CW196" s="772">
        <v>0</v>
      </c>
      <c r="CX196" s="772">
        <v>0</v>
      </c>
      <c r="CY196" s="772">
        <v>0</v>
      </c>
      <c r="CZ196" s="772">
        <v>0</v>
      </c>
      <c r="DA196" s="773">
        <v>0.58323461929882747</v>
      </c>
      <c r="DB196" s="773">
        <v>0.58565806093064821</v>
      </c>
      <c r="DC196" s="773">
        <v>0.58809157238539855</v>
      </c>
      <c r="DD196" s="774">
        <v>0.59478054143980208</v>
      </c>
      <c r="DE196" s="774">
        <v>0.60146951049420549</v>
      </c>
      <c r="DF196" s="774">
        <v>0.60815847954860891</v>
      </c>
      <c r="DG196" s="774">
        <v>0.61484744860301244</v>
      </c>
      <c r="DH196" s="774">
        <v>0.62275671579267899</v>
      </c>
      <c r="DI196" s="774">
        <v>0.63066598298234555</v>
      </c>
      <c r="DJ196" s="774">
        <v>0.65259274217086838</v>
      </c>
      <c r="DK196" s="774">
        <v>0.67871697491996541</v>
      </c>
      <c r="DL196" s="774">
        <v>0.6901876111856603</v>
      </c>
      <c r="DM196" s="774">
        <v>0.69648678085925142</v>
      </c>
      <c r="DN196" s="774">
        <v>0.70301016540562244</v>
      </c>
      <c r="DO196" s="774">
        <v>0.70969050036293968</v>
      </c>
      <c r="DP196" s="773">
        <v>0</v>
      </c>
      <c r="DQ196" s="773">
        <v>0</v>
      </c>
      <c r="DR196" s="773">
        <v>0</v>
      </c>
      <c r="DS196" s="774">
        <v>0</v>
      </c>
      <c r="DT196" s="774">
        <v>0</v>
      </c>
      <c r="DU196" s="774">
        <v>0</v>
      </c>
      <c r="DV196" s="774">
        <v>0</v>
      </c>
      <c r="DW196" s="774">
        <v>0</v>
      </c>
      <c r="DX196" s="774">
        <v>0</v>
      </c>
      <c r="DY196" s="774">
        <v>0</v>
      </c>
      <c r="DZ196" s="774">
        <v>0</v>
      </c>
      <c r="EA196" s="774">
        <v>0</v>
      </c>
      <c r="EB196" s="774">
        <v>0</v>
      </c>
      <c r="EC196" s="774">
        <v>0</v>
      </c>
      <c r="ED196" s="774">
        <v>0</v>
      </c>
    </row>
    <row r="197" spans="1:134" ht="15" x14ac:dyDescent="0.25">
      <c r="A197" s="766">
        <v>112</v>
      </c>
      <c r="B197" s="766">
        <v>93</v>
      </c>
      <c r="C197" s="766" t="s">
        <v>3868</v>
      </c>
      <c r="D197" s="2">
        <v>99703</v>
      </c>
      <c r="E197" s="2">
        <v>99703</v>
      </c>
      <c r="F197" s="767" t="s">
        <v>3746</v>
      </c>
      <c r="G197" s="114">
        <v>279</v>
      </c>
      <c r="H197" s="114">
        <v>0</v>
      </c>
      <c r="I197" s="114">
        <v>0</v>
      </c>
      <c r="J197" s="114">
        <v>0</v>
      </c>
      <c r="K197" s="114">
        <v>0</v>
      </c>
      <c r="L197" s="114">
        <v>0</v>
      </c>
      <c r="M197" s="114">
        <v>0</v>
      </c>
      <c r="N197" s="114">
        <v>0</v>
      </c>
      <c r="O197" s="114">
        <v>0</v>
      </c>
      <c r="P197" s="114">
        <v>0</v>
      </c>
      <c r="Q197" s="114">
        <v>0</v>
      </c>
      <c r="R197" s="114">
        <v>0</v>
      </c>
      <c r="S197" s="114">
        <v>834.49503068156923</v>
      </c>
      <c r="T197" s="114">
        <v>834.49503068156923</v>
      </c>
      <c r="U197" s="114">
        <v>1408.3846153846155</v>
      </c>
      <c r="V197" s="114">
        <v>0</v>
      </c>
      <c r="W197" s="114">
        <v>0</v>
      </c>
      <c r="X197" s="114">
        <v>1365.173957061457</v>
      </c>
      <c r="Y197" s="114">
        <v>0</v>
      </c>
      <c r="Z197" s="114">
        <v>0</v>
      </c>
      <c r="AA197" s="114">
        <v>0</v>
      </c>
      <c r="AB197" s="657">
        <v>0</v>
      </c>
      <c r="AC197" s="657">
        <v>0</v>
      </c>
      <c r="AD197" s="768">
        <v>0</v>
      </c>
      <c r="AE197" s="769">
        <v>0</v>
      </c>
      <c r="AF197" s="769">
        <v>0</v>
      </c>
      <c r="AG197" s="770">
        <v>0</v>
      </c>
      <c r="AH197" s="769">
        <v>0</v>
      </c>
      <c r="AI197" s="769">
        <v>0</v>
      </c>
      <c r="AJ197" s="769">
        <v>0</v>
      </c>
      <c r="AK197" s="769">
        <v>0</v>
      </c>
      <c r="AL197" s="769">
        <v>0</v>
      </c>
      <c r="AM197" s="769">
        <v>0</v>
      </c>
      <c r="AN197" s="769">
        <v>0</v>
      </c>
      <c r="AO197" s="769">
        <v>0</v>
      </c>
      <c r="AP197" s="769">
        <v>0</v>
      </c>
      <c r="AQ197" s="769">
        <v>0</v>
      </c>
      <c r="AR197" s="769">
        <v>0</v>
      </c>
      <c r="AS197" s="769">
        <v>0</v>
      </c>
      <c r="AT197" s="769">
        <v>0</v>
      </c>
      <c r="AU197" s="769">
        <v>0</v>
      </c>
      <c r="AV197" s="769">
        <v>0</v>
      </c>
      <c r="AW197" s="769">
        <v>0</v>
      </c>
      <c r="AX197" s="769">
        <v>0</v>
      </c>
      <c r="AY197" s="769">
        <v>0</v>
      </c>
      <c r="AZ197" s="769">
        <v>0</v>
      </c>
      <c r="BA197" s="769">
        <v>0</v>
      </c>
      <c r="BB197" s="769">
        <v>0</v>
      </c>
      <c r="BC197" s="769">
        <v>0</v>
      </c>
      <c r="BD197" s="769">
        <v>0</v>
      </c>
      <c r="BE197" s="769">
        <v>0</v>
      </c>
      <c r="BF197" s="769">
        <v>0</v>
      </c>
      <c r="BG197" s="769">
        <v>0</v>
      </c>
      <c r="BH197" s="771">
        <v>0</v>
      </c>
      <c r="BI197" s="771">
        <v>0</v>
      </c>
      <c r="BJ197" s="771">
        <v>0</v>
      </c>
      <c r="BK197" s="772">
        <v>0</v>
      </c>
      <c r="BL197" s="772">
        <v>0</v>
      </c>
      <c r="BM197" s="772">
        <v>0</v>
      </c>
      <c r="BN197" s="772">
        <v>0</v>
      </c>
      <c r="BO197" s="772">
        <v>0</v>
      </c>
      <c r="BP197" s="772">
        <v>0</v>
      </c>
      <c r="BQ197" s="772">
        <v>0</v>
      </c>
      <c r="BR197" s="772">
        <v>0</v>
      </c>
      <c r="BS197" s="772">
        <v>0</v>
      </c>
      <c r="BT197" s="772">
        <v>0</v>
      </c>
      <c r="BU197" s="772">
        <v>0</v>
      </c>
      <c r="BV197" s="772">
        <v>0</v>
      </c>
      <c r="BW197" s="771">
        <v>0</v>
      </c>
      <c r="BX197" s="771">
        <v>0</v>
      </c>
      <c r="BY197" s="771">
        <v>0</v>
      </c>
      <c r="BZ197" s="772">
        <v>0</v>
      </c>
      <c r="CA197" s="772">
        <v>0</v>
      </c>
      <c r="CB197" s="772">
        <v>0</v>
      </c>
      <c r="CC197" s="772">
        <v>0</v>
      </c>
      <c r="CD197" s="772">
        <v>0</v>
      </c>
      <c r="CE197" s="772">
        <v>0</v>
      </c>
      <c r="CF197" s="772">
        <v>0</v>
      </c>
      <c r="CG197" s="772">
        <v>0</v>
      </c>
      <c r="CH197" s="772">
        <v>0</v>
      </c>
      <c r="CI197" s="772">
        <v>0</v>
      </c>
      <c r="CJ197" s="772">
        <v>0</v>
      </c>
      <c r="CK197" s="772">
        <v>0</v>
      </c>
      <c r="CL197" s="771">
        <v>0</v>
      </c>
      <c r="CM197" s="771">
        <v>0</v>
      </c>
      <c r="CN197" s="771">
        <v>0</v>
      </c>
      <c r="CO197" s="772">
        <v>0</v>
      </c>
      <c r="CP197" s="772">
        <v>0</v>
      </c>
      <c r="CQ197" s="772">
        <v>0</v>
      </c>
      <c r="CR197" s="772">
        <v>0</v>
      </c>
      <c r="CS197" s="772">
        <v>0</v>
      </c>
      <c r="CT197" s="772">
        <v>0</v>
      </c>
      <c r="CU197" s="772">
        <v>0</v>
      </c>
      <c r="CV197" s="772">
        <v>0</v>
      </c>
      <c r="CW197" s="772">
        <v>0</v>
      </c>
      <c r="CX197" s="772">
        <v>0</v>
      </c>
      <c r="CY197" s="772">
        <v>0</v>
      </c>
      <c r="CZ197" s="772">
        <v>0</v>
      </c>
      <c r="DA197" s="773">
        <v>0</v>
      </c>
      <c r="DB197" s="773">
        <v>0</v>
      </c>
      <c r="DC197" s="773">
        <v>0</v>
      </c>
      <c r="DD197" s="774">
        <v>0</v>
      </c>
      <c r="DE197" s="774">
        <v>0</v>
      </c>
      <c r="DF197" s="774">
        <v>0</v>
      </c>
      <c r="DG197" s="774">
        <v>0</v>
      </c>
      <c r="DH197" s="774">
        <v>0</v>
      </c>
      <c r="DI197" s="774">
        <v>0</v>
      </c>
      <c r="DJ197" s="774">
        <v>0</v>
      </c>
      <c r="DK197" s="774">
        <v>0</v>
      </c>
      <c r="DL197" s="774">
        <v>0</v>
      </c>
      <c r="DM197" s="774">
        <v>0</v>
      </c>
      <c r="DN197" s="774">
        <v>0</v>
      </c>
      <c r="DO197" s="774">
        <v>0</v>
      </c>
      <c r="DP197" s="773">
        <v>0</v>
      </c>
      <c r="DQ197" s="773">
        <v>0</v>
      </c>
      <c r="DR197" s="773">
        <v>0</v>
      </c>
      <c r="DS197" s="774">
        <v>0</v>
      </c>
      <c r="DT197" s="774">
        <v>0</v>
      </c>
      <c r="DU197" s="774">
        <v>0</v>
      </c>
      <c r="DV197" s="774">
        <v>0</v>
      </c>
      <c r="DW197" s="774">
        <v>0</v>
      </c>
      <c r="DX197" s="774">
        <v>0</v>
      </c>
      <c r="DY197" s="774">
        <v>0</v>
      </c>
      <c r="DZ197" s="774">
        <v>0</v>
      </c>
      <c r="EA197" s="774">
        <v>0</v>
      </c>
      <c r="EB197" s="774">
        <v>0</v>
      </c>
      <c r="EC197" s="774">
        <v>0</v>
      </c>
      <c r="ED197" s="774">
        <v>0</v>
      </c>
    </row>
    <row r="198" spans="1:134" ht="15" x14ac:dyDescent="0.25">
      <c r="A198" s="766">
        <v>113</v>
      </c>
      <c r="B198" s="766">
        <v>93</v>
      </c>
      <c r="C198" s="766" t="s">
        <v>3869</v>
      </c>
      <c r="D198" s="2">
        <v>99703</v>
      </c>
      <c r="E198" s="2">
        <v>99703</v>
      </c>
      <c r="F198" s="767" t="s">
        <v>3746</v>
      </c>
      <c r="G198" s="114">
        <v>404</v>
      </c>
      <c r="H198" s="114">
        <v>0</v>
      </c>
      <c r="I198" s="114">
        <v>0</v>
      </c>
      <c r="J198" s="114">
        <v>0</v>
      </c>
      <c r="K198" s="114">
        <v>0</v>
      </c>
      <c r="L198" s="114">
        <v>0</v>
      </c>
      <c r="M198" s="114">
        <v>0</v>
      </c>
      <c r="N198" s="114">
        <v>0</v>
      </c>
      <c r="O198" s="114">
        <v>0</v>
      </c>
      <c r="P198" s="114">
        <v>0</v>
      </c>
      <c r="Q198" s="114">
        <v>0</v>
      </c>
      <c r="R198" s="114">
        <v>0</v>
      </c>
      <c r="S198" s="114">
        <v>834.49503068156923</v>
      </c>
      <c r="T198" s="114">
        <v>834.49503068156923</v>
      </c>
      <c r="U198" s="114">
        <v>1408.3846153846155</v>
      </c>
      <c r="V198" s="114">
        <v>0</v>
      </c>
      <c r="W198" s="114">
        <v>0</v>
      </c>
      <c r="X198" s="114">
        <v>1365.173957061457</v>
      </c>
      <c r="Y198" s="114">
        <v>0</v>
      </c>
      <c r="Z198" s="114">
        <v>0</v>
      </c>
      <c r="AA198" s="114">
        <v>0</v>
      </c>
      <c r="AB198" s="657">
        <v>0</v>
      </c>
      <c r="AC198" s="657">
        <v>0</v>
      </c>
      <c r="AD198" s="768">
        <v>0</v>
      </c>
      <c r="AE198" s="769">
        <v>0</v>
      </c>
      <c r="AF198" s="769">
        <v>0</v>
      </c>
      <c r="AG198" s="770">
        <v>0</v>
      </c>
      <c r="AH198" s="769">
        <v>0</v>
      </c>
      <c r="AI198" s="769">
        <v>0</v>
      </c>
      <c r="AJ198" s="769">
        <v>0</v>
      </c>
      <c r="AK198" s="769">
        <v>0</v>
      </c>
      <c r="AL198" s="769">
        <v>0</v>
      </c>
      <c r="AM198" s="769">
        <v>0</v>
      </c>
      <c r="AN198" s="769">
        <v>0</v>
      </c>
      <c r="AO198" s="769">
        <v>0</v>
      </c>
      <c r="AP198" s="769">
        <v>0</v>
      </c>
      <c r="AQ198" s="769">
        <v>0</v>
      </c>
      <c r="AR198" s="769">
        <v>0</v>
      </c>
      <c r="AS198" s="769">
        <v>0</v>
      </c>
      <c r="AT198" s="769">
        <v>0</v>
      </c>
      <c r="AU198" s="769">
        <v>0</v>
      </c>
      <c r="AV198" s="769">
        <v>0</v>
      </c>
      <c r="AW198" s="769">
        <v>0</v>
      </c>
      <c r="AX198" s="769">
        <v>0</v>
      </c>
      <c r="AY198" s="769">
        <v>0</v>
      </c>
      <c r="AZ198" s="769">
        <v>0</v>
      </c>
      <c r="BA198" s="769">
        <v>0</v>
      </c>
      <c r="BB198" s="769">
        <v>0</v>
      </c>
      <c r="BC198" s="769">
        <v>0</v>
      </c>
      <c r="BD198" s="769">
        <v>0</v>
      </c>
      <c r="BE198" s="769">
        <v>0</v>
      </c>
      <c r="BF198" s="769">
        <v>0</v>
      </c>
      <c r="BG198" s="769">
        <v>0</v>
      </c>
      <c r="BH198" s="771">
        <v>0</v>
      </c>
      <c r="BI198" s="771">
        <v>0</v>
      </c>
      <c r="BJ198" s="771">
        <v>0</v>
      </c>
      <c r="BK198" s="772">
        <v>0</v>
      </c>
      <c r="BL198" s="772">
        <v>0</v>
      </c>
      <c r="BM198" s="772">
        <v>0</v>
      </c>
      <c r="BN198" s="772">
        <v>0</v>
      </c>
      <c r="BO198" s="772">
        <v>0</v>
      </c>
      <c r="BP198" s="772">
        <v>0</v>
      </c>
      <c r="BQ198" s="772">
        <v>0</v>
      </c>
      <c r="BR198" s="772">
        <v>0</v>
      </c>
      <c r="BS198" s="772">
        <v>0</v>
      </c>
      <c r="BT198" s="772">
        <v>0</v>
      </c>
      <c r="BU198" s="772">
        <v>0</v>
      </c>
      <c r="BV198" s="772">
        <v>0</v>
      </c>
      <c r="BW198" s="771">
        <v>0</v>
      </c>
      <c r="BX198" s="771">
        <v>0</v>
      </c>
      <c r="BY198" s="771">
        <v>0</v>
      </c>
      <c r="BZ198" s="772">
        <v>0</v>
      </c>
      <c r="CA198" s="772">
        <v>0</v>
      </c>
      <c r="CB198" s="772">
        <v>0</v>
      </c>
      <c r="CC198" s="772">
        <v>0</v>
      </c>
      <c r="CD198" s="772">
        <v>0</v>
      </c>
      <c r="CE198" s="772">
        <v>0</v>
      </c>
      <c r="CF198" s="772">
        <v>0</v>
      </c>
      <c r="CG198" s="772">
        <v>0</v>
      </c>
      <c r="CH198" s="772">
        <v>0</v>
      </c>
      <c r="CI198" s="772">
        <v>0</v>
      </c>
      <c r="CJ198" s="772">
        <v>0</v>
      </c>
      <c r="CK198" s="772">
        <v>0</v>
      </c>
      <c r="CL198" s="771">
        <v>0</v>
      </c>
      <c r="CM198" s="771">
        <v>0</v>
      </c>
      <c r="CN198" s="771">
        <v>0</v>
      </c>
      <c r="CO198" s="772">
        <v>0</v>
      </c>
      <c r="CP198" s="772">
        <v>0</v>
      </c>
      <c r="CQ198" s="772">
        <v>0</v>
      </c>
      <c r="CR198" s="772">
        <v>0</v>
      </c>
      <c r="CS198" s="772">
        <v>0</v>
      </c>
      <c r="CT198" s="772">
        <v>0</v>
      </c>
      <c r="CU198" s="772">
        <v>0</v>
      </c>
      <c r="CV198" s="772">
        <v>0</v>
      </c>
      <c r="CW198" s="772">
        <v>0</v>
      </c>
      <c r="CX198" s="772">
        <v>0</v>
      </c>
      <c r="CY198" s="772">
        <v>0</v>
      </c>
      <c r="CZ198" s="772">
        <v>0</v>
      </c>
      <c r="DA198" s="773">
        <v>0</v>
      </c>
      <c r="DB198" s="773">
        <v>0</v>
      </c>
      <c r="DC198" s="773">
        <v>0</v>
      </c>
      <c r="DD198" s="774">
        <v>0</v>
      </c>
      <c r="DE198" s="774">
        <v>0</v>
      </c>
      <c r="DF198" s="774">
        <v>0</v>
      </c>
      <c r="DG198" s="774">
        <v>0</v>
      </c>
      <c r="DH198" s="774">
        <v>0</v>
      </c>
      <c r="DI198" s="774">
        <v>0</v>
      </c>
      <c r="DJ198" s="774">
        <v>0</v>
      </c>
      <c r="DK198" s="774">
        <v>0</v>
      </c>
      <c r="DL198" s="774">
        <v>0</v>
      </c>
      <c r="DM198" s="774">
        <v>0</v>
      </c>
      <c r="DN198" s="774">
        <v>0</v>
      </c>
      <c r="DO198" s="774">
        <v>0</v>
      </c>
      <c r="DP198" s="773">
        <v>0</v>
      </c>
      <c r="DQ198" s="773">
        <v>0</v>
      </c>
      <c r="DR198" s="773">
        <v>0</v>
      </c>
      <c r="DS198" s="774">
        <v>0</v>
      </c>
      <c r="DT198" s="774">
        <v>0</v>
      </c>
      <c r="DU198" s="774">
        <v>0</v>
      </c>
      <c r="DV198" s="774">
        <v>0</v>
      </c>
      <c r="DW198" s="774">
        <v>0</v>
      </c>
      <c r="DX198" s="774">
        <v>0</v>
      </c>
      <c r="DY198" s="774">
        <v>0</v>
      </c>
      <c r="DZ198" s="774">
        <v>0</v>
      </c>
      <c r="EA198" s="774">
        <v>0</v>
      </c>
      <c r="EB198" s="774">
        <v>0</v>
      </c>
      <c r="EC198" s="774">
        <v>0</v>
      </c>
      <c r="ED198" s="774">
        <v>0</v>
      </c>
    </row>
    <row r="199" spans="1:134" ht="15" x14ac:dyDescent="0.25">
      <c r="A199" s="766">
        <v>115</v>
      </c>
      <c r="B199" s="766">
        <v>93</v>
      </c>
      <c r="C199" s="766" t="s">
        <v>3870</v>
      </c>
      <c r="D199" s="2">
        <v>99703</v>
      </c>
      <c r="E199" s="2">
        <v>99703</v>
      </c>
      <c r="F199" s="767" t="s">
        <v>3746</v>
      </c>
      <c r="G199" s="114">
        <v>56</v>
      </c>
      <c r="H199" s="114">
        <v>22</v>
      </c>
      <c r="I199" s="114">
        <v>18</v>
      </c>
      <c r="J199" s="114">
        <v>4</v>
      </c>
      <c r="K199" s="114">
        <v>0</v>
      </c>
      <c r="L199" s="114">
        <v>7</v>
      </c>
      <c r="M199" s="114">
        <v>7</v>
      </c>
      <c r="N199" s="114">
        <v>0</v>
      </c>
      <c r="O199" s="114">
        <v>0</v>
      </c>
      <c r="P199" s="114">
        <v>0</v>
      </c>
      <c r="Q199" s="114">
        <v>7</v>
      </c>
      <c r="R199" s="114">
        <v>0</v>
      </c>
      <c r="S199" s="114">
        <v>1753.1428571428571</v>
      </c>
      <c r="T199" s="114">
        <v>1753.1428571428571</v>
      </c>
      <c r="U199" s="114">
        <v>0</v>
      </c>
      <c r="V199" s="114">
        <v>0</v>
      </c>
      <c r="W199" s="114">
        <v>0</v>
      </c>
      <c r="X199" s="114">
        <v>1753.1428571428571</v>
      </c>
      <c r="Y199" s="114">
        <v>0</v>
      </c>
      <c r="Z199" s="114">
        <v>22</v>
      </c>
      <c r="AA199" s="114">
        <v>0</v>
      </c>
      <c r="AB199" s="657">
        <v>0</v>
      </c>
      <c r="AC199" s="657">
        <v>0</v>
      </c>
      <c r="AD199" s="768">
        <v>22</v>
      </c>
      <c r="AE199" s="769">
        <v>0</v>
      </c>
      <c r="AF199" s="769">
        <v>18</v>
      </c>
      <c r="AG199" s="770">
        <v>18</v>
      </c>
      <c r="AH199" s="769">
        <v>0</v>
      </c>
      <c r="AI199" s="769">
        <v>0</v>
      </c>
      <c r="AJ199" s="769">
        <v>21.575814719199958</v>
      </c>
      <c r="AK199" s="769">
        <v>21.575814719199958</v>
      </c>
      <c r="AL199" s="769">
        <v>0</v>
      </c>
      <c r="AM199" s="769">
        <v>0</v>
      </c>
      <c r="AN199" s="769">
        <v>18.05778929964114</v>
      </c>
      <c r="AO199" s="769">
        <v>18.05778929964114</v>
      </c>
      <c r="AP199" s="769">
        <v>0</v>
      </c>
      <c r="AQ199" s="769">
        <v>0</v>
      </c>
      <c r="AR199" s="769">
        <v>0</v>
      </c>
      <c r="AS199" s="769">
        <v>21.159808218056618</v>
      </c>
      <c r="AT199" s="769">
        <v>21.366799049146181</v>
      </c>
      <c r="AU199" s="769">
        <v>21.575814719199958</v>
      </c>
      <c r="AV199" s="769">
        <v>21.786875035727338</v>
      </c>
      <c r="AW199" s="769">
        <v>22</v>
      </c>
      <c r="AX199" s="769">
        <v>18.115764132790783</v>
      </c>
      <c r="AY199" s="769">
        <v>18.086753487343497</v>
      </c>
      <c r="AZ199" s="769">
        <v>18.05778929964114</v>
      </c>
      <c r="BA199" s="769">
        <v>18.028871495286126</v>
      </c>
      <c r="BB199" s="769">
        <v>18</v>
      </c>
      <c r="BC199" s="769">
        <v>0</v>
      </c>
      <c r="BD199" s="769">
        <v>0</v>
      </c>
      <c r="BE199" s="769">
        <v>0</v>
      </c>
      <c r="BF199" s="769">
        <v>0</v>
      </c>
      <c r="BG199" s="769">
        <v>0</v>
      </c>
      <c r="BH199" s="771">
        <v>22.091413839535367</v>
      </c>
      <c r="BI199" s="771">
        <v>22.183207519527944</v>
      </c>
      <c r="BJ199" s="771">
        <v>22.275382618281121</v>
      </c>
      <c r="BK199" s="772">
        <v>22.275382618281121</v>
      </c>
      <c r="BL199" s="772">
        <v>22.275382618281121</v>
      </c>
      <c r="BM199" s="772">
        <v>22.275382618281121</v>
      </c>
      <c r="BN199" s="772">
        <v>22.275382618281121</v>
      </c>
      <c r="BO199" s="772">
        <v>22.275382618281121</v>
      </c>
      <c r="BP199" s="772">
        <v>22.275382618281121</v>
      </c>
      <c r="BQ199" s="772">
        <v>22.275382618281121</v>
      </c>
      <c r="BR199" s="772">
        <v>22.275382618281121</v>
      </c>
      <c r="BS199" s="772">
        <v>22.275382618281121</v>
      </c>
      <c r="BT199" s="772">
        <v>22.275382618281121</v>
      </c>
      <c r="BU199" s="772">
        <v>22.275382618281121</v>
      </c>
      <c r="BV199" s="772">
        <v>22.275382618281121</v>
      </c>
      <c r="BW199" s="771">
        <v>18.074793141438029</v>
      </c>
      <c r="BX199" s="771">
        <v>18.149897061431954</v>
      </c>
      <c r="BY199" s="771">
        <v>18.225313051320917</v>
      </c>
      <c r="BZ199" s="772">
        <v>18.225313051320917</v>
      </c>
      <c r="CA199" s="772">
        <v>18.225313051320917</v>
      </c>
      <c r="CB199" s="772">
        <v>18.225313051320917</v>
      </c>
      <c r="CC199" s="772">
        <v>18.225313051320917</v>
      </c>
      <c r="CD199" s="772">
        <v>18.225313051320917</v>
      </c>
      <c r="CE199" s="772">
        <v>18.225313051320917</v>
      </c>
      <c r="CF199" s="772">
        <v>18.225313051320917</v>
      </c>
      <c r="CG199" s="772">
        <v>18.225313051320917</v>
      </c>
      <c r="CH199" s="772">
        <v>18.225313051320917</v>
      </c>
      <c r="CI199" s="772">
        <v>18.225313051320917</v>
      </c>
      <c r="CJ199" s="772">
        <v>18.225313051320917</v>
      </c>
      <c r="CK199" s="772">
        <v>18.225313051320917</v>
      </c>
      <c r="CL199" s="771">
        <v>0</v>
      </c>
      <c r="CM199" s="771">
        <v>0</v>
      </c>
      <c r="CN199" s="771">
        <v>0</v>
      </c>
      <c r="CO199" s="772">
        <v>0</v>
      </c>
      <c r="CP199" s="772">
        <v>0</v>
      </c>
      <c r="CQ199" s="772">
        <v>0</v>
      </c>
      <c r="CR199" s="772">
        <v>0</v>
      </c>
      <c r="CS199" s="772">
        <v>0</v>
      </c>
      <c r="CT199" s="772">
        <v>0</v>
      </c>
      <c r="CU199" s="772">
        <v>0</v>
      </c>
      <c r="CV199" s="772">
        <v>0</v>
      </c>
      <c r="CW199" s="772">
        <v>0</v>
      </c>
      <c r="CX199" s="772">
        <v>0</v>
      </c>
      <c r="CY199" s="772">
        <v>0</v>
      </c>
      <c r="CZ199" s="772">
        <v>0</v>
      </c>
      <c r="DA199" s="773">
        <v>0</v>
      </c>
      <c r="DB199" s="773">
        <v>0</v>
      </c>
      <c r="DC199" s="773">
        <v>0</v>
      </c>
      <c r="DD199" s="774">
        <v>0</v>
      </c>
      <c r="DE199" s="774">
        <v>0</v>
      </c>
      <c r="DF199" s="774">
        <v>0</v>
      </c>
      <c r="DG199" s="774">
        <v>0</v>
      </c>
      <c r="DH199" s="774">
        <v>0</v>
      </c>
      <c r="DI199" s="774">
        <v>0</v>
      </c>
      <c r="DJ199" s="774">
        <v>0</v>
      </c>
      <c r="DK199" s="774">
        <v>0</v>
      </c>
      <c r="DL199" s="774">
        <v>0</v>
      </c>
      <c r="DM199" s="774">
        <v>0</v>
      </c>
      <c r="DN199" s="774">
        <v>0</v>
      </c>
      <c r="DO199" s="774">
        <v>0</v>
      </c>
      <c r="DP199" s="773">
        <v>0</v>
      </c>
      <c r="DQ199" s="773">
        <v>0</v>
      </c>
      <c r="DR199" s="773">
        <v>0</v>
      </c>
      <c r="DS199" s="774">
        <v>0</v>
      </c>
      <c r="DT199" s="774">
        <v>0</v>
      </c>
      <c r="DU199" s="774">
        <v>0</v>
      </c>
      <c r="DV199" s="774">
        <v>0</v>
      </c>
      <c r="DW199" s="774">
        <v>0</v>
      </c>
      <c r="DX199" s="774">
        <v>0</v>
      </c>
      <c r="DY199" s="774">
        <v>0</v>
      </c>
      <c r="DZ199" s="774">
        <v>0</v>
      </c>
      <c r="EA199" s="774">
        <v>0</v>
      </c>
      <c r="EB199" s="774">
        <v>0</v>
      </c>
      <c r="EC199" s="774">
        <v>0</v>
      </c>
      <c r="ED199" s="774">
        <v>0</v>
      </c>
    </row>
    <row r="200" spans="1:134" ht="15" x14ac:dyDescent="0.25">
      <c r="A200" s="766">
        <v>116</v>
      </c>
      <c r="B200" s="766">
        <v>93</v>
      </c>
      <c r="C200" s="766" t="s">
        <v>3871</v>
      </c>
      <c r="D200" s="2">
        <v>99705</v>
      </c>
      <c r="E200" s="2">
        <v>99705</v>
      </c>
      <c r="F200" s="767" t="s">
        <v>3746</v>
      </c>
      <c r="G200" s="114">
        <v>661</v>
      </c>
      <c r="H200" s="114">
        <v>263</v>
      </c>
      <c r="I200" s="114">
        <v>244</v>
      </c>
      <c r="J200" s="114">
        <v>19</v>
      </c>
      <c r="K200" s="114">
        <v>12</v>
      </c>
      <c r="L200" s="114">
        <v>199</v>
      </c>
      <c r="M200" s="114">
        <v>211</v>
      </c>
      <c r="N200" s="114">
        <v>2</v>
      </c>
      <c r="O200" s="114">
        <v>0</v>
      </c>
      <c r="P200" s="114">
        <v>0</v>
      </c>
      <c r="Q200" s="114">
        <v>213</v>
      </c>
      <c r="R200" s="114">
        <v>6017.75</v>
      </c>
      <c r="S200" s="114">
        <v>2479.5427135678387</v>
      </c>
      <c r="T200" s="114">
        <v>2680.7677725118483</v>
      </c>
      <c r="U200" s="114">
        <v>5869</v>
      </c>
      <c r="V200" s="114">
        <v>0</v>
      </c>
      <c r="W200" s="114">
        <v>0</v>
      </c>
      <c r="X200" s="114">
        <v>2710.7042253521126</v>
      </c>
      <c r="Y200" s="114">
        <v>14.957345971563981</v>
      </c>
      <c r="Z200" s="114">
        <v>248.04265402843603</v>
      </c>
      <c r="AA200" s="114">
        <v>0</v>
      </c>
      <c r="AB200" s="657">
        <v>2</v>
      </c>
      <c r="AC200" s="657">
        <v>0</v>
      </c>
      <c r="AD200" s="768">
        <v>265</v>
      </c>
      <c r="AE200" s="769">
        <v>13.876777251184834</v>
      </c>
      <c r="AF200" s="769">
        <v>230.12322274881518</v>
      </c>
      <c r="AG200" s="770">
        <v>244</v>
      </c>
      <c r="AH200" s="769">
        <v>0</v>
      </c>
      <c r="AI200" s="769">
        <v>13.882686094298748</v>
      </c>
      <c r="AJ200" s="769">
        <v>230.22121106378759</v>
      </c>
      <c r="AK200" s="769">
        <v>244.10389715808634</v>
      </c>
      <c r="AL200" s="769">
        <v>0</v>
      </c>
      <c r="AM200" s="769">
        <v>12.945815940098024</v>
      </c>
      <c r="AN200" s="769">
        <v>214.68478100662557</v>
      </c>
      <c r="AO200" s="769">
        <v>227.63059694672359</v>
      </c>
      <c r="AP200" s="769">
        <v>0</v>
      </c>
      <c r="AQ200" s="769">
        <v>1.8802153346698185</v>
      </c>
      <c r="AR200" s="769">
        <v>0</v>
      </c>
      <c r="AS200" s="769">
        <v>226.56544717781591</v>
      </c>
      <c r="AT200" s="769">
        <v>235.17123254656258</v>
      </c>
      <c r="AU200" s="769">
        <v>244.10389715808631</v>
      </c>
      <c r="AV200" s="769">
        <v>253.37585708306287</v>
      </c>
      <c r="AW200" s="769">
        <v>263</v>
      </c>
      <c r="AX200" s="769">
        <v>212.35937978000706</v>
      </c>
      <c r="AY200" s="769">
        <v>219.86243969027313</v>
      </c>
      <c r="AZ200" s="769">
        <v>227.63059694672359</v>
      </c>
      <c r="BA200" s="769">
        <v>235.67321794170959</v>
      </c>
      <c r="BB200" s="769">
        <v>244</v>
      </c>
      <c r="BC200" s="769">
        <v>1.7676048523637691</v>
      </c>
      <c r="BD200" s="769">
        <v>1.823040797418187</v>
      </c>
      <c r="BE200" s="769">
        <v>1.8802153346698185</v>
      </c>
      <c r="BF200" s="769">
        <v>1.9391829901635476</v>
      </c>
      <c r="BG200" s="769">
        <v>2</v>
      </c>
      <c r="BH200" s="771">
        <v>269.39074245045288</v>
      </c>
      <c r="BI200" s="771">
        <v>275.93677611409214</v>
      </c>
      <c r="BJ200" s="771">
        <v>282.64187447437138</v>
      </c>
      <c r="BK200" s="772">
        <v>284.3928298144221</v>
      </c>
      <c r="BL200" s="772">
        <v>286.14378515447277</v>
      </c>
      <c r="BM200" s="772">
        <v>287.89474049452343</v>
      </c>
      <c r="BN200" s="772">
        <v>289.64569583457416</v>
      </c>
      <c r="BO200" s="772">
        <v>291.71608568224701</v>
      </c>
      <c r="BP200" s="772">
        <v>293.78647552991987</v>
      </c>
      <c r="BQ200" s="772">
        <v>299.52619054114058</v>
      </c>
      <c r="BR200" s="772">
        <v>306.36466810991425</v>
      </c>
      <c r="BS200" s="772">
        <v>309.3673089742752</v>
      </c>
      <c r="BT200" s="772">
        <v>311.01622746801507</v>
      </c>
      <c r="BU200" s="772">
        <v>312.72383814968708</v>
      </c>
      <c r="BV200" s="772">
        <v>314.47253336291152</v>
      </c>
      <c r="BW200" s="771">
        <v>249.92905383235933</v>
      </c>
      <c r="BX200" s="771">
        <v>256.00218012105887</v>
      </c>
      <c r="BY200" s="771">
        <v>262.2228797404814</v>
      </c>
      <c r="BZ200" s="772">
        <v>263.84734020805701</v>
      </c>
      <c r="CA200" s="772">
        <v>265.47180067563249</v>
      </c>
      <c r="CB200" s="772">
        <v>267.09626114320804</v>
      </c>
      <c r="CC200" s="772">
        <v>268.72072161078358</v>
      </c>
      <c r="CD200" s="772">
        <v>270.64153956832035</v>
      </c>
      <c r="CE200" s="772">
        <v>272.56235752585718</v>
      </c>
      <c r="CF200" s="772">
        <v>277.88741631953724</v>
      </c>
      <c r="CG200" s="772">
        <v>284.23185938714477</v>
      </c>
      <c r="CH200" s="772">
        <v>287.01757942860513</v>
      </c>
      <c r="CI200" s="772">
        <v>288.54737453306342</v>
      </c>
      <c r="CJ200" s="772">
        <v>290.13162170541307</v>
      </c>
      <c r="CK200" s="772">
        <v>291.75398532528669</v>
      </c>
      <c r="CL200" s="771">
        <v>2.0485988019045847</v>
      </c>
      <c r="CM200" s="771">
        <v>2.0983785255824499</v>
      </c>
      <c r="CN200" s="771">
        <v>2.1493678667252576</v>
      </c>
      <c r="CO200" s="772">
        <v>2.1626831164594837</v>
      </c>
      <c r="CP200" s="772">
        <v>2.1759983661937095</v>
      </c>
      <c r="CQ200" s="772">
        <v>2.1893136159279347</v>
      </c>
      <c r="CR200" s="772">
        <v>2.2026288656621609</v>
      </c>
      <c r="CS200" s="772">
        <v>2.2183732751501672</v>
      </c>
      <c r="CT200" s="772">
        <v>2.2341176846381736</v>
      </c>
      <c r="CU200" s="772">
        <v>2.2777657075371907</v>
      </c>
      <c r="CV200" s="772">
        <v>2.3297693392388914</v>
      </c>
      <c r="CW200" s="772">
        <v>2.3526031100705338</v>
      </c>
      <c r="CX200" s="772">
        <v>2.365142414205438</v>
      </c>
      <c r="CY200" s="772">
        <v>2.3781280467656813</v>
      </c>
      <c r="CZ200" s="772">
        <v>2.3914261092236617</v>
      </c>
      <c r="DA200" s="773">
        <v>0</v>
      </c>
      <c r="DB200" s="773">
        <v>0</v>
      </c>
      <c r="DC200" s="773">
        <v>0</v>
      </c>
      <c r="DD200" s="774">
        <v>0</v>
      </c>
      <c r="DE200" s="774">
        <v>0</v>
      </c>
      <c r="DF200" s="774">
        <v>0</v>
      </c>
      <c r="DG200" s="774">
        <v>0</v>
      </c>
      <c r="DH200" s="774">
        <v>0</v>
      </c>
      <c r="DI200" s="774">
        <v>0</v>
      </c>
      <c r="DJ200" s="774">
        <v>0</v>
      </c>
      <c r="DK200" s="774">
        <v>0</v>
      </c>
      <c r="DL200" s="774">
        <v>0</v>
      </c>
      <c r="DM200" s="774">
        <v>0</v>
      </c>
      <c r="DN200" s="774">
        <v>0</v>
      </c>
      <c r="DO200" s="774">
        <v>0</v>
      </c>
      <c r="DP200" s="773">
        <v>0</v>
      </c>
      <c r="DQ200" s="773">
        <v>0</v>
      </c>
      <c r="DR200" s="773">
        <v>0</v>
      </c>
      <c r="DS200" s="774">
        <v>0</v>
      </c>
      <c r="DT200" s="774">
        <v>0</v>
      </c>
      <c r="DU200" s="774">
        <v>0</v>
      </c>
      <c r="DV200" s="774">
        <v>0</v>
      </c>
      <c r="DW200" s="774">
        <v>0</v>
      </c>
      <c r="DX200" s="774">
        <v>0</v>
      </c>
      <c r="DY200" s="774">
        <v>0</v>
      </c>
      <c r="DZ200" s="774">
        <v>0</v>
      </c>
      <c r="EA200" s="774">
        <v>0</v>
      </c>
      <c r="EB200" s="774">
        <v>0</v>
      </c>
      <c r="EC200" s="774">
        <v>0</v>
      </c>
      <c r="ED200" s="774">
        <v>0</v>
      </c>
    </row>
    <row r="201" spans="1:134" ht="15" x14ac:dyDescent="0.25">
      <c r="A201" s="766">
        <v>117</v>
      </c>
      <c r="B201" s="766">
        <v>93</v>
      </c>
      <c r="C201" s="766" t="s">
        <v>3872</v>
      </c>
      <c r="D201" s="2">
        <v>99705</v>
      </c>
      <c r="E201" s="2">
        <v>99705</v>
      </c>
      <c r="F201" s="767" t="s">
        <v>3746</v>
      </c>
      <c r="G201" s="114">
        <v>497</v>
      </c>
      <c r="H201" s="114">
        <v>185</v>
      </c>
      <c r="I201" s="114">
        <v>176</v>
      </c>
      <c r="J201" s="114">
        <v>9</v>
      </c>
      <c r="K201" s="114">
        <v>0</v>
      </c>
      <c r="L201" s="114">
        <v>99</v>
      </c>
      <c r="M201" s="114">
        <v>99</v>
      </c>
      <c r="N201" s="114">
        <v>1</v>
      </c>
      <c r="O201" s="114">
        <v>0</v>
      </c>
      <c r="P201" s="114">
        <v>0</v>
      </c>
      <c r="Q201" s="114">
        <v>100</v>
      </c>
      <c r="R201" s="114">
        <v>0</v>
      </c>
      <c r="S201" s="114">
        <v>2126.0505050505049</v>
      </c>
      <c r="T201" s="114">
        <v>2126.0505050505049</v>
      </c>
      <c r="U201" s="114">
        <v>1344</v>
      </c>
      <c r="V201" s="114">
        <v>0</v>
      </c>
      <c r="W201" s="114">
        <v>0</v>
      </c>
      <c r="X201" s="114">
        <v>2118.23</v>
      </c>
      <c r="Y201" s="114">
        <v>0</v>
      </c>
      <c r="Z201" s="114">
        <v>185</v>
      </c>
      <c r="AA201" s="114">
        <v>0</v>
      </c>
      <c r="AB201" s="657">
        <v>1</v>
      </c>
      <c r="AC201" s="657">
        <v>0</v>
      </c>
      <c r="AD201" s="768">
        <v>186</v>
      </c>
      <c r="AE201" s="769">
        <v>0</v>
      </c>
      <c r="AF201" s="769">
        <v>176</v>
      </c>
      <c r="AG201" s="770">
        <v>176</v>
      </c>
      <c r="AH201" s="769">
        <v>0</v>
      </c>
      <c r="AI201" s="769">
        <v>0</v>
      </c>
      <c r="AJ201" s="769">
        <v>171.7080645408592</v>
      </c>
      <c r="AK201" s="769">
        <v>171.7080645408592</v>
      </c>
      <c r="AL201" s="769">
        <v>0</v>
      </c>
      <c r="AM201" s="769">
        <v>0</v>
      </c>
      <c r="AN201" s="769">
        <v>164.19256173206293</v>
      </c>
      <c r="AO201" s="769">
        <v>164.19256173206293</v>
      </c>
      <c r="AP201" s="769">
        <v>0</v>
      </c>
      <c r="AQ201" s="769">
        <v>0.94010766733490925</v>
      </c>
      <c r="AR201" s="769">
        <v>0</v>
      </c>
      <c r="AS201" s="769">
        <v>159.37113204523172</v>
      </c>
      <c r="AT201" s="769">
        <v>165.42463125898888</v>
      </c>
      <c r="AU201" s="769">
        <v>171.7080645408592</v>
      </c>
      <c r="AV201" s="769">
        <v>178.23016562877046</v>
      </c>
      <c r="AW201" s="769">
        <v>185</v>
      </c>
      <c r="AX201" s="769">
        <v>153.17725754623461</v>
      </c>
      <c r="AY201" s="769">
        <v>158.58930076019701</v>
      </c>
      <c r="AZ201" s="769">
        <v>164.19256173206293</v>
      </c>
      <c r="BA201" s="769">
        <v>169.99379654811841</v>
      </c>
      <c r="BB201" s="769">
        <v>176</v>
      </c>
      <c r="BC201" s="769">
        <v>0.88380242618188454</v>
      </c>
      <c r="BD201" s="769">
        <v>0.91152039870909352</v>
      </c>
      <c r="BE201" s="769">
        <v>0.94010766733490925</v>
      </c>
      <c r="BF201" s="769">
        <v>0.96959149508177378</v>
      </c>
      <c r="BG201" s="769">
        <v>1</v>
      </c>
      <c r="BH201" s="771">
        <v>189.49538917617409</v>
      </c>
      <c r="BI201" s="771">
        <v>194.1000136163766</v>
      </c>
      <c r="BJ201" s="771">
        <v>198.81652767208632</v>
      </c>
      <c r="BK201" s="772">
        <v>203.66572115749381</v>
      </c>
      <c r="BL201" s="772">
        <v>208.51491464290126</v>
      </c>
      <c r="BM201" s="772">
        <v>213.36410812830874</v>
      </c>
      <c r="BN201" s="772">
        <v>218.2133016137162</v>
      </c>
      <c r="BO201" s="772">
        <v>223.94715486053752</v>
      </c>
      <c r="BP201" s="772">
        <v>229.68100810735885</v>
      </c>
      <c r="BQ201" s="772">
        <v>245.57689534323814</v>
      </c>
      <c r="BR201" s="772">
        <v>264.51575695671715</v>
      </c>
      <c r="BS201" s="772">
        <v>272.83143822249724</v>
      </c>
      <c r="BT201" s="772">
        <v>277.39804516838313</v>
      </c>
      <c r="BU201" s="772">
        <v>282.12719753667614</v>
      </c>
      <c r="BV201" s="772">
        <v>286.97013170065418</v>
      </c>
      <c r="BW201" s="771">
        <v>180.27669456760344</v>
      </c>
      <c r="BX201" s="771">
        <v>184.65731025125558</v>
      </c>
      <c r="BY201" s="771">
        <v>189.14437227182268</v>
      </c>
      <c r="BZ201" s="772">
        <v>193.75765904712924</v>
      </c>
      <c r="CA201" s="772">
        <v>198.3709458224358</v>
      </c>
      <c r="CB201" s="772">
        <v>202.98423259774236</v>
      </c>
      <c r="CC201" s="772">
        <v>207.59751937304893</v>
      </c>
      <c r="CD201" s="772">
        <v>213.05242840786275</v>
      </c>
      <c r="CE201" s="772">
        <v>218.50733744267654</v>
      </c>
      <c r="CF201" s="772">
        <v>233.629911245459</v>
      </c>
      <c r="CG201" s="772">
        <v>251.64742283449849</v>
      </c>
      <c r="CH201" s="772">
        <v>259.55855744410553</v>
      </c>
      <c r="CI201" s="772">
        <v>263.90300513316453</v>
      </c>
      <c r="CJ201" s="772">
        <v>268.40209062948651</v>
      </c>
      <c r="CK201" s="772">
        <v>273.00942259089265</v>
      </c>
      <c r="CL201" s="771">
        <v>1.0242994009522923</v>
      </c>
      <c r="CM201" s="771">
        <v>1.0491892627912249</v>
      </c>
      <c r="CN201" s="771">
        <v>1.0746839333626288</v>
      </c>
      <c r="CO201" s="772">
        <v>1.100895790040507</v>
      </c>
      <c r="CP201" s="772">
        <v>1.1271076467183851</v>
      </c>
      <c r="CQ201" s="772">
        <v>1.1533195033962633</v>
      </c>
      <c r="CR201" s="772">
        <v>1.1795313600741417</v>
      </c>
      <c r="CS201" s="772">
        <v>1.210525161408311</v>
      </c>
      <c r="CT201" s="772">
        <v>1.2415189627424803</v>
      </c>
      <c r="CU201" s="772">
        <v>1.3274426775310169</v>
      </c>
      <c r="CV201" s="772">
        <v>1.4298149024687414</v>
      </c>
      <c r="CW201" s="772">
        <v>1.4747645309324178</v>
      </c>
      <c r="CX201" s="772">
        <v>1.4994488928020713</v>
      </c>
      <c r="CY201" s="772">
        <v>1.5250118785766278</v>
      </c>
      <c r="CZ201" s="772">
        <v>1.5511899010846173</v>
      </c>
      <c r="DA201" s="773">
        <v>0</v>
      </c>
      <c r="DB201" s="773">
        <v>0</v>
      </c>
      <c r="DC201" s="773">
        <v>0</v>
      </c>
      <c r="DD201" s="774">
        <v>0</v>
      </c>
      <c r="DE201" s="774">
        <v>0</v>
      </c>
      <c r="DF201" s="774">
        <v>0</v>
      </c>
      <c r="DG201" s="774">
        <v>0</v>
      </c>
      <c r="DH201" s="774">
        <v>0</v>
      </c>
      <c r="DI201" s="774">
        <v>0</v>
      </c>
      <c r="DJ201" s="774">
        <v>0</v>
      </c>
      <c r="DK201" s="774">
        <v>0</v>
      </c>
      <c r="DL201" s="774">
        <v>0</v>
      </c>
      <c r="DM201" s="774">
        <v>0</v>
      </c>
      <c r="DN201" s="774">
        <v>0</v>
      </c>
      <c r="DO201" s="774">
        <v>0</v>
      </c>
      <c r="DP201" s="773">
        <v>0</v>
      </c>
      <c r="DQ201" s="773">
        <v>0</v>
      </c>
      <c r="DR201" s="773">
        <v>0</v>
      </c>
      <c r="DS201" s="774">
        <v>0</v>
      </c>
      <c r="DT201" s="774">
        <v>0</v>
      </c>
      <c r="DU201" s="774">
        <v>0</v>
      </c>
      <c r="DV201" s="774">
        <v>0</v>
      </c>
      <c r="DW201" s="774">
        <v>0</v>
      </c>
      <c r="DX201" s="774">
        <v>0</v>
      </c>
      <c r="DY201" s="774">
        <v>0</v>
      </c>
      <c r="DZ201" s="774">
        <v>0</v>
      </c>
      <c r="EA201" s="774">
        <v>0</v>
      </c>
      <c r="EB201" s="774">
        <v>0</v>
      </c>
      <c r="EC201" s="774">
        <v>0</v>
      </c>
      <c r="ED201" s="774">
        <v>0</v>
      </c>
    </row>
    <row r="202" spans="1:134" ht="15" x14ac:dyDescent="0.25">
      <c r="A202" s="766">
        <v>118</v>
      </c>
      <c r="B202" s="766">
        <v>93</v>
      </c>
      <c r="C202" s="766" t="s">
        <v>3873</v>
      </c>
      <c r="D202" s="2">
        <v>99705</v>
      </c>
      <c r="E202" s="2">
        <v>99705</v>
      </c>
      <c r="F202" s="767" t="s">
        <v>3746</v>
      </c>
      <c r="G202" s="114">
        <v>425</v>
      </c>
      <c r="H202" s="114">
        <v>164</v>
      </c>
      <c r="I202" s="114">
        <v>146</v>
      </c>
      <c r="J202" s="114">
        <v>18</v>
      </c>
      <c r="K202" s="114">
        <v>0</v>
      </c>
      <c r="L202" s="114">
        <v>132</v>
      </c>
      <c r="M202" s="114">
        <v>132</v>
      </c>
      <c r="N202" s="114">
        <v>3</v>
      </c>
      <c r="O202" s="114">
        <v>0</v>
      </c>
      <c r="P202" s="114">
        <v>0</v>
      </c>
      <c r="Q202" s="114">
        <v>135</v>
      </c>
      <c r="R202" s="114">
        <v>0</v>
      </c>
      <c r="S202" s="114">
        <v>2217.068181818182</v>
      </c>
      <c r="T202" s="114">
        <v>2217.068181818182</v>
      </c>
      <c r="U202" s="114">
        <v>9031.3333333333339</v>
      </c>
      <c r="V202" s="114">
        <v>0</v>
      </c>
      <c r="W202" s="114">
        <v>0</v>
      </c>
      <c r="X202" s="114">
        <v>2368.4962962962964</v>
      </c>
      <c r="Y202" s="114">
        <v>0</v>
      </c>
      <c r="Z202" s="114">
        <v>164</v>
      </c>
      <c r="AA202" s="114">
        <v>0</v>
      </c>
      <c r="AB202" s="657">
        <v>3</v>
      </c>
      <c r="AC202" s="657">
        <v>0</v>
      </c>
      <c r="AD202" s="768">
        <v>167</v>
      </c>
      <c r="AE202" s="769">
        <v>0</v>
      </c>
      <c r="AF202" s="769">
        <v>146</v>
      </c>
      <c r="AG202" s="770">
        <v>146</v>
      </c>
      <c r="AH202" s="769">
        <v>0</v>
      </c>
      <c r="AI202" s="769">
        <v>0</v>
      </c>
      <c r="AJ202" s="769">
        <v>152.21687883622113</v>
      </c>
      <c r="AK202" s="769">
        <v>152.21687883622113</v>
      </c>
      <c r="AL202" s="769">
        <v>0</v>
      </c>
      <c r="AM202" s="769">
        <v>0</v>
      </c>
      <c r="AN202" s="769">
        <v>136.20519325500675</v>
      </c>
      <c r="AO202" s="769">
        <v>136.20519325500675</v>
      </c>
      <c r="AP202" s="769">
        <v>0</v>
      </c>
      <c r="AQ202" s="769">
        <v>2.8203230020047281</v>
      </c>
      <c r="AR202" s="769">
        <v>0</v>
      </c>
      <c r="AS202" s="769">
        <v>141.28035489415137</v>
      </c>
      <c r="AT202" s="769">
        <v>146.64670014310366</v>
      </c>
      <c r="AU202" s="769">
        <v>152.21687883622113</v>
      </c>
      <c r="AV202" s="769">
        <v>157.99863331415327</v>
      </c>
      <c r="AW202" s="769">
        <v>164</v>
      </c>
      <c r="AX202" s="769">
        <v>127.06749773721734</v>
      </c>
      <c r="AY202" s="769">
        <v>131.55703358516342</v>
      </c>
      <c r="AZ202" s="769">
        <v>136.20519325500675</v>
      </c>
      <c r="BA202" s="769">
        <v>141.0175812274164</v>
      </c>
      <c r="BB202" s="769">
        <v>146</v>
      </c>
      <c r="BC202" s="769">
        <v>2.6514072785456535</v>
      </c>
      <c r="BD202" s="769">
        <v>2.7345611961272809</v>
      </c>
      <c r="BE202" s="769">
        <v>2.8203230020047281</v>
      </c>
      <c r="BF202" s="769">
        <v>2.9087744852453215</v>
      </c>
      <c r="BG202" s="769">
        <v>3</v>
      </c>
      <c r="BH202" s="771">
        <v>167.98510175617594</v>
      </c>
      <c r="BI202" s="771">
        <v>172.0670390977609</v>
      </c>
      <c r="BJ202" s="771">
        <v>176.24816507147113</v>
      </c>
      <c r="BK202" s="772">
        <v>177.92418437260179</v>
      </c>
      <c r="BL202" s="772">
        <v>179.60020367373241</v>
      </c>
      <c r="BM202" s="772">
        <v>181.276222974863</v>
      </c>
      <c r="BN202" s="772">
        <v>182.95224227599365</v>
      </c>
      <c r="BO202" s="772">
        <v>184.9340251725603</v>
      </c>
      <c r="BP202" s="772">
        <v>186.915808069127</v>
      </c>
      <c r="BQ202" s="772">
        <v>192.40987917519899</v>
      </c>
      <c r="BR202" s="772">
        <v>198.95568884461159</v>
      </c>
      <c r="BS202" s="772">
        <v>201.82982499641471</v>
      </c>
      <c r="BT202" s="772">
        <v>203.40817434564448</v>
      </c>
      <c r="BU202" s="772">
        <v>205.042704019723</v>
      </c>
      <c r="BV202" s="772">
        <v>206.71655992119562</v>
      </c>
      <c r="BW202" s="771">
        <v>149.54771253903468</v>
      </c>
      <c r="BX202" s="771">
        <v>153.18163236751883</v>
      </c>
      <c r="BY202" s="771">
        <v>156.90385427094381</v>
      </c>
      <c r="BZ202" s="772">
        <v>158.39592023414548</v>
      </c>
      <c r="CA202" s="772">
        <v>159.88798619734715</v>
      </c>
      <c r="CB202" s="772">
        <v>161.38005216054879</v>
      </c>
      <c r="CC202" s="772">
        <v>162.87211812375045</v>
      </c>
      <c r="CD202" s="772">
        <v>164.63638826337686</v>
      </c>
      <c r="CE202" s="772">
        <v>166.40065840300329</v>
      </c>
      <c r="CF202" s="772">
        <v>171.29172170475033</v>
      </c>
      <c r="CG202" s="772">
        <v>177.1190888494713</v>
      </c>
      <c r="CH202" s="772">
        <v>179.67777103339358</v>
      </c>
      <c r="CI202" s="772">
        <v>181.08288691746398</v>
      </c>
      <c r="CJ202" s="772">
        <v>182.53801699316801</v>
      </c>
      <c r="CK202" s="772">
        <v>184.02815700301562</v>
      </c>
      <c r="CL202" s="771">
        <v>3.072898202856877</v>
      </c>
      <c r="CM202" s="771">
        <v>3.1475677883736748</v>
      </c>
      <c r="CN202" s="771">
        <v>3.2240518000878864</v>
      </c>
      <c r="CO202" s="772">
        <v>3.2547106897427152</v>
      </c>
      <c r="CP202" s="772">
        <v>3.2853695793975439</v>
      </c>
      <c r="CQ202" s="772">
        <v>3.3160284690523718</v>
      </c>
      <c r="CR202" s="772">
        <v>3.3466873587072006</v>
      </c>
      <c r="CS202" s="772">
        <v>3.3829394848639081</v>
      </c>
      <c r="CT202" s="772">
        <v>3.4191916110206155</v>
      </c>
      <c r="CU202" s="772">
        <v>3.5196929117414451</v>
      </c>
      <c r="CV202" s="772">
        <v>3.6394333325233825</v>
      </c>
      <c r="CW202" s="772">
        <v>3.6920089938368541</v>
      </c>
      <c r="CX202" s="772">
        <v>3.7208812380300813</v>
      </c>
      <c r="CY202" s="772">
        <v>3.7507811710924934</v>
      </c>
      <c r="CZ202" s="772">
        <v>3.7814004863633346</v>
      </c>
      <c r="DA202" s="773">
        <v>0</v>
      </c>
      <c r="DB202" s="773">
        <v>0</v>
      </c>
      <c r="DC202" s="773">
        <v>0</v>
      </c>
      <c r="DD202" s="774">
        <v>0</v>
      </c>
      <c r="DE202" s="774">
        <v>0</v>
      </c>
      <c r="DF202" s="774">
        <v>0</v>
      </c>
      <c r="DG202" s="774">
        <v>0</v>
      </c>
      <c r="DH202" s="774">
        <v>0</v>
      </c>
      <c r="DI202" s="774">
        <v>0</v>
      </c>
      <c r="DJ202" s="774">
        <v>0</v>
      </c>
      <c r="DK202" s="774">
        <v>0</v>
      </c>
      <c r="DL202" s="774">
        <v>0</v>
      </c>
      <c r="DM202" s="774">
        <v>0</v>
      </c>
      <c r="DN202" s="774">
        <v>0</v>
      </c>
      <c r="DO202" s="774">
        <v>0</v>
      </c>
      <c r="DP202" s="773">
        <v>0</v>
      </c>
      <c r="DQ202" s="773">
        <v>0</v>
      </c>
      <c r="DR202" s="773">
        <v>0</v>
      </c>
      <c r="DS202" s="774">
        <v>0</v>
      </c>
      <c r="DT202" s="774">
        <v>0</v>
      </c>
      <c r="DU202" s="774">
        <v>0</v>
      </c>
      <c r="DV202" s="774">
        <v>0</v>
      </c>
      <c r="DW202" s="774">
        <v>0</v>
      </c>
      <c r="DX202" s="774">
        <v>0</v>
      </c>
      <c r="DY202" s="774">
        <v>0</v>
      </c>
      <c r="DZ202" s="774">
        <v>0</v>
      </c>
      <c r="EA202" s="774">
        <v>0</v>
      </c>
      <c r="EB202" s="774">
        <v>0</v>
      </c>
      <c r="EC202" s="774">
        <v>0</v>
      </c>
      <c r="ED202" s="774">
        <v>0</v>
      </c>
    </row>
    <row r="203" spans="1:134" ht="15" x14ac:dyDescent="0.25">
      <c r="A203" s="766">
        <v>119</v>
      </c>
      <c r="B203" s="766">
        <v>93</v>
      </c>
      <c r="C203" s="766" t="s">
        <v>3874</v>
      </c>
      <c r="D203" s="2">
        <v>99705</v>
      </c>
      <c r="E203" s="2">
        <v>99705</v>
      </c>
      <c r="F203" s="767" t="s">
        <v>3746</v>
      </c>
      <c r="G203" s="114">
        <v>510</v>
      </c>
      <c r="H203" s="114">
        <v>185</v>
      </c>
      <c r="I203" s="114">
        <v>175</v>
      </c>
      <c r="J203" s="114">
        <v>10</v>
      </c>
      <c r="K203" s="114">
        <v>2</v>
      </c>
      <c r="L203" s="114">
        <v>102</v>
      </c>
      <c r="M203" s="114">
        <v>104</v>
      </c>
      <c r="N203" s="114">
        <v>3</v>
      </c>
      <c r="O203" s="114">
        <v>0</v>
      </c>
      <c r="P203" s="114">
        <v>0</v>
      </c>
      <c r="Q203" s="114">
        <v>107</v>
      </c>
      <c r="R203" s="114">
        <v>2336</v>
      </c>
      <c r="S203" s="114">
        <v>2328.039215686274</v>
      </c>
      <c r="T203" s="114">
        <v>2328.1923076923076</v>
      </c>
      <c r="U203" s="114">
        <v>5641</v>
      </c>
      <c r="V203" s="114">
        <v>0</v>
      </c>
      <c r="W203" s="114">
        <v>0</v>
      </c>
      <c r="X203" s="114">
        <v>2421.0747663551401</v>
      </c>
      <c r="Y203" s="114">
        <v>3.5576923076923075</v>
      </c>
      <c r="Z203" s="114">
        <v>181.44230769230768</v>
      </c>
      <c r="AA203" s="114">
        <v>0</v>
      </c>
      <c r="AB203" s="657">
        <v>3</v>
      </c>
      <c r="AC203" s="657">
        <v>0</v>
      </c>
      <c r="AD203" s="768">
        <v>188</v>
      </c>
      <c r="AE203" s="769">
        <v>3.365384615384615</v>
      </c>
      <c r="AF203" s="769">
        <v>171.63461538461536</v>
      </c>
      <c r="AG203" s="770">
        <v>174.99999999999997</v>
      </c>
      <c r="AH203" s="769">
        <v>0</v>
      </c>
      <c r="AI203" s="769">
        <v>3.3020781642472921</v>
      </c>
      <c r="AJ203" s="769">
        <v>168.40598637661188</v>
      </c>
      <c r="AK203" s="769">
        <v>171.70806454085917</v>
      </c>
      <c r="AL203" s="769">
        <v>0</v>
      </c>
      <c r="AM203" s="769">
        <v>3.1396086432595069</v>
      </c>
      <c r="AN203" s="769">
        <v>160.12004080623484</v>
      </c>
      <c r="AO203" s="769">
        <v>163.25964944949436</v>
      </c>
      <c r="AP203" s="769">
        <v>0</v>
      </c>
      <c r="AQ203" s="769">
        <v>2.8203230020047281</v>
      </c>
      <c r="AR203" s="769">
        <v>0</v>
      </c>
      <c r="AS203" s="769">
        <v>159.37113204523172</v>
      </c>
      <c r="AT203" s="769">
        <v>165.42463125898888</v>
      </c>
      <c r="AU203" s="769">
        <v>171.7080645408592</v>
      </c>
      <c r="AV203" s="769">
        <v>178.23016562877046</v>
      </c>
      <c r="AW203" s="769">
        <v>185</v>
      </c>
      <c r="AX203" s="769">
        <v>152.30693221926734</v>
      </c>
      <c r="AY203" s="769">
        <v>157.68822518769585</v>
      </c>
      <c r="AZ203" s="769">
        <v>163.25964944949436</v>
      </c>
      <c r="BA203" s="769">
        <v>169.02792270409498</v>
      </c>
      <c r="BB203" s="769">
        <v>174.99999999999997</v>
      </c>
      <c r="BC203" s="769">
        <v>2.6514072785456535</v>
      </c>
      <c r="BD203" s="769">
        <v>2.7345611961272809</v>
      </c>
      <c r="BE203" s="769">
        <v>2.8203230020047281</v>
      </c>
      <c r="BF203" s="769">
        <v>2.9087744852453215</v>
      </c>
      <c r="BG203" s="769">
        <v>3</v>
      </c>
      <c r="BH203" s="771">
        <v>189.11022456098314</v>
      </c>
      <c r="BI203" s="771">
        <v>193.31176774867819</v>
      </c>
      <c r="BJ203" s="771">
        <v>197.60665842828729</v>
      </c>
      <c r="BK203" s="772">
        <v>199.42344829352621</v>
      </c>
      <c r="BL203" s="772">
        <v>201.2402381587651</v>
      </c>
      <c r="BM203" s="772">
        <v>203.05702802400398</v>
      </c>
      <c r="BN203" s="772">
        <v>204.87381788924287</v>
      </c>
      <c r="BO203" s="772">
        <v>207.02205274498542</v>
      </c>
      <c r="BP203" s="772">
        <v>209.17028760072802</v>
      </c>
      <c r="BQ203" s="772">
        <v>215.12581132153474</v>
      </c>
      <c r="BR203" s="772">
        <v>222.22141019629055</v>
      </c>
      <c r="BS203" s="772">
        <v>225.33694796389867</v>
      </c>
      <c r="BT203" s="772">
        <v>227.04786447873389</v>
      </c>
      <c r="BU203" s="772">
        <v>228.8196799609868</v>
      </c>
      <c r="BV203" s="772">
        <v>230.63412472043228</v>
      </c>
      <c r="BW203" s="771">
        <v>178.88805026038941</v>
      </c>
      <c r="BX203" s="771">
        <v>182.86248300550636</v>
      </c>
      <c r="BY203" s="771">
        <v>186.92521743216361</v>
      </c>
      <c r="BZ203" s="772">
        <v>188.64380243982203</v>
      </c>
      <c r="CA203" s="772">
        <v>190.36238744748047</v>
      </c>
      <c r="CB203" s="772">
        <v>192.08097245513883</v>
      </c>
      <c r="CC203" s="772">
        <v>193.79955746279728</v>
      </c>
      <c r="CD203" s="772">
        <v>195.83167151552669</v>
      </c>
      <c r="CE203" s="772">
        <v>197.86378556825616</v>
      </c>
      <c r="CF203" s="772">
        <v>203.49738908793822</v>
      </c>
      <c r="CG203" s="772">
        <v>210.20944207757208</v>
      </c>
      <c r="CH203" s="772">
        <v>213.15657239828246</v>
      </c>
      <c r="CI203" s="772">
        <v>214.7750069393428</v>
      </c>
      <c r="CJ203" s="772">
        <v>216.45104861174423</v>
      </c>
      <c r="CK203" s="772">
        <v>218.16741527608454</v>
      </c>
      <c r="CL203" s="771">
        <v>3.066652290178105</v>
      </c>
      <c r="CM203" s="771">
        <v>3.1347854229515382</v>
      </c>
      <c r="CN203" s="771">
        <v>3.2044322988370908</v>
      </c>
      <c r="CO203" s="772">
        <v>3.2338937561112351</v>
      </c>
      <c r="CP203" s="772">
        <v>3.2633552133853798</v>
      </c>
      <c r="CQ203" s="772">
        <v>3.2928166706595237</v>
      </c>
      <c r="CR203" s="772">
        <v>3.3222781279336679</v>
      </c>
      <c r="CS203" s="772">
        <v>3.3571143688376011</v>
      </c>
      <c r="CT203" s="772">
        <v>3.3919506097415351</v>
      </c>
      <c r="CU203" s="772">
        <v>3.488526670078941</v>
      </c>
      <c r="CV203" s="772">
        <v>3.6035904356155219</v>
      </c>
      <c r="CW203" s="772">
        <v>3.6541126696848427</v>
      </c>
      <c r="CX203" s="772">
        <v>3.681857261817306</v>
      </c>
      <c r="CY203" s="772">
        <v>3.7105894047727586</v>
      </c>
      <c r="CZ203" s="772">
        <v>3.740012833304307</v>
      </c>
      <c r="DA203" s="773">
        <v>0</v>
      </c>
      <c r="DB203" s="773">
        <v>0</v>
      </c>
      <c r="DC203" s="773">
        <v>0</v>
      </c>
      <c r="DD203" s="774">
        <v>0</v>
      </c>
      <c r="DE203" s="774">
        <v>0</v>
      </c>
      <c r="DF203" s="774">
        <v>0</v>
      </c>
      <c r="DG203" s="774">
        <v>0</v>
      </c>
      <c r="DH203" s="774">
        <v>0</v>
      </c>
      <c r="DI203" s="774">
        <v>0</v>
      </c>
      <c r="DJ203" s="774">
        <v>0</v>
      </c>
      <c r="DK203" s="774">
        <v>0</v>
      </c>
      <c r="DL203" s="774">
        <v>0</v>
      </c>
      <c r="DM203" s="774">
        <v>0</v>
      </c>
      <c r="DN203" s="774">
        <v>0</v>
      </c>
      <c r="DO203" s="774">
        <v>0</v>
      </c>
      <c r="DP203" s="773">
        <v>0</v>
      </c>
      <c r="DQ203" s="773">
        <v>0</v>
      </c>
      <c r="DR203" s="773">
        <v>0</v>
      </c>
      <c r="DS203" s="774">
        <v>0</v>
      </c>
      <c r="DT203" s="774">
        <v>0</v>
      </c>
      <c r="DU203" s="774">
        <v>0</v>
      </c>
      <c r="DV203" s="774">
        <v>0</v>
      </c>
      <c r="DW203" s="774">
        <v>0</v>
      </c>
      <c r="DX203" s="774">
        <v>0</v>
      </c>
      <c r="DY203" s="774">
        <v>0</v>
      </c>
      <c r="DZ203" s="774">
        <v>0</v>
      </c>
      <c r="EA203" s="774">
        <v>0</v>
      </c>
      <c r="EB203" s="774">
        <v>0</v>
      </c>
      <c r="EC203" s="774">
        <v>0</v>
      </c>
      <c r="ED203" s="774">
        <v>0</v>
      </c>
    </row>
    <row r="204" spans="1:134" ht="15" x14ac:dyDescent="0.25">
      <c r="A204" s="766">
        <v>120</v>
      </c>
      <c r="B204" s="766">
        <v>93</v>
      </c>
      <c r="C204" s="766" t="s">
        <v>3875</v>
      </c>
      <c r="D204" s="2">
        <v>99705</v>
      </c>
      <c r="E204" s="2">
        <v>99705</v>
      </c>
      <c r="F204" s="767" t="s">
        <v>3746</v>
      </c>
      <c r="G204" s="114">
        <v>249</v>
      </c>
      <c r="H204" s="114">
        <v>90</v>
      </c>
      <c r="I204" s="114">
        <v>84</v>
      </c>
      <c r="J204" s="114">
        <v>6</v>
      </c>
      <c r="K204" s="114">
        <v>0</v>
      </c>
      <c r="L204" s="114">
        <v>88</v>
      </c>
      <c r="M204" s="114">
        <v>88</v>
      </c>
      <c r="N204" s="114">
        <v>1</v>
      </c>
      <c r="O204" s="114">
        <v>0</v>
      </c>
      <c r="P204" s="114">
        <v>0</v>
      </c>
      <c r="Q204" s="114">
        <v>89</v>
      </c>
      <c r="R204" s="114">
        <v>0</v>
      </c>
      <c r="S204" s="114">
        <v>2188.1363636363635</v>
      </c>
      <c r="T204" s="114">
        <v>2188.1363636363635</v>
      </c>
      <c r="U204" s="114">
        <v>5190</v>
      </c>
      <c r="V204" s="114">
        <v>0</v>
      </c>
      <c r="W204" s="114">
        <v>0</v>
      </c>
      <c r="X204" s="114">
        <v>2221.8651685393256</v>
      </c>
      <c r="Y204" s="114">
        <v>0</v>
      </c>
      <c r="Z204" s="114">
        <v>90</v>
      </c>
      <c r="AA204" s="114">
        <v>0</v>
      </c>
      <c r="AB204" s="657">
        <v>1</v>
      </c>
      <c r="AC204" s="657">
        <v>0</v>
      </c>
      <c r="AD204" s="768">
        <v>91</v>
      </c>
      <c r="AE204" s="769">
        <v>0</v>
      </c>
      <c r="AF204" s="769">
        <v>84</v>
      </c>
      <c r="AG204" s="770">
        <v>84</v>
      </c>
      <c r="AH204" s="769">
        <v>0</v>
      </c>
      <c r="AI204" s="769">
        <v>0</v>
      </c>
      <c r="AJ204" s="769">
        <v>83.533653019877448</v>
      </c>
      <c r="AK204" s="769">
        <v>83.533653019877448</v>
      </c>
      <c r="AL204" s="769">
        <v>0</v>
      </c>
      <c r="AM204" s="769">
        <v>0</v>
      </c>
      <c r="AN204" s="769">
        <v>78.3646317357573</v>
      </c>
      <c r="AO204" s="769">
        <v>78.3646317357573</v>
      </c>
      <c r="AP204" s="769">
        <v>0</v>
      </c>
      <c r="AQ204" s="769">
        <v>0.94010766733490925</v>
      </c>
      <c r="AR204" s="769">
        <v>0</v>
      </c>
      <c r="AS204" s="769">
        <v>77.531902076058671</v>
      </c>
      <c r="AT204" s="769">
        <v>80.476847639508108</v>
      </c>
      <c r="AU204" s="769">
        <v>83.533653019877448</v>
      </c>
      <c r="AV204" s="769">
        <v>86.706567062645092</v>
      </c>
      <c r="AW204" s="769">
        <v>90</v>
      </c>
      <c r="AX204" s="769">
        <v>73.107327465248332</v>
      </c>
      <c r="AY204" s="769">
        <v>75.69034809009402</v>
      </c>
      <c r="AZ204" s="769">
        <v>78.3646317357573</v>
      </c>
      <c r="BA204" s="769">
        <v>81.133402897965595</v>
      </c>
      <c r="BB204" s="769">
        <v>84</v>
      </c>
      <c r="BC204" s="769">
        <v>0.88380242618188454</v>
      </c>
      <c r="BD204" s="769">
        <v>0.91152039870909352</v>
      </c>
      <c r="BE204" s="769">
        <v>0.94010766733490925</v>
      </c>
      <c r="BF204" s="769">
        <v>0.96959149508177378</v>
      </c>
      <c r="BG204" s="769">
        <v>1</v>
      </c>
      <c r="BH204" s="771">
        <v>91.999568705343151</v>
      </c>
      <c r="BI204" s="771">
        <v>94.043562688546146</v>
      </c>
      <c r="BJ204" s="771">
        <v>96.132968965112724</v>
      </c>
      <c r="BK204" s="772">
        <v>97.016812683337051</v>
      </c>
      <c r="BL204" s="772">
        <v>97.900656401561392</v>
      </c>
      <c r="BM204" s="772">
        <v>98.784500119785704</v>
      </c>
      <c r="BN204" s="772">
        <v>99.668343838010031</v>
      </c>
      <c r="BO204" s="772">
        <v>100.71343106512803</v>
      </c>
      <c r="BP204" s="772">
        <v>101.75851829224605</v>
      </c>
      <c r="BQ204" s="772">
        <v>104.65580010236823</v>
      </c>
      <c r="BR204" s="772">
        <v>108.10771306846566</v>
      </c>
      <c r="BS204" s="772">
        <v>109.62338009054528</v>
      </c>
      <c r="BT204" s="772">
        <v>110.45571785451918</v>
      </c>
      <c r="BU204" s="772">
        <v>111.31768214318276</v>
      </c>
      <c r="BV204" s="772">
        <v>112.20038499912921</v>
      </c>
      <c r="BW204" s="771">
        <v>85.866264124986941</v>
      </c>
      <c r="BX204" s="771">
        <v>87.773991842643071</v>
      </c>
      <c r="BY204" s="771">
        <v>89.724104367438542</v>
      </c>
      <c r="BZ204" s="772">
        <v>90.549025171114593</v>
      </c>
      <c r="CA204" s="772">
        <v>91.37394597479063</v>
      </c>
      <c r="CB204" s="772">
        <v>92.198866778466652</v>
      </c>
      <c r="CC204" s="772">
        <v>93.023787582142702</v>
      </c>
      <c r="CD204" s="772">
        <v>93.999202327452835</v>
      </c>
      <c r="CE204" s="772">
        <v>94.974617072762982</v>
      </c>
      <c r="CF204" s="772">
        <v>97.678746762210352</v>
      </c>
      <c r="CG204" s="772">
        <v>100.90053219723461</v>
      </c>
      <c r="CH204" s="772">
        <v>102.3151547511756</v>
      </c>
      <c r="CI204" s="772">
        <v>103.09200333088457</v>
      </c>
      <c r="CJ204" s="772">
        <v>103.89650333363724</v>
      </c>
      <c r="CK204" s="772">
        <v>104.72035933252059</v>
      </c>
      <c r="CL204" s="771">
        <v>1.0222174300593683</v>
      </c>
      <c r="CM204" s="771">
        <v>1.0449284743171794</v>
      </c>
      <c r="CN204" s="771">
        <v>1.0681440996123637</v>
      </c>
      <c r="CO204" s="772">
        <v>1.0779645853704118</v>
      </c>
      <c r="CP204" s="772">
        <v>1.08778507112846</v>
      </c>
      <c r="CQ204" s="772">
        <v>1.097605556886508</v>
      </c>
      <c r="CR204" s="772">
        <v>1.1074260426445561</v>
      </c>
      <c r="CS204" s="772">
        <v>1.119038122945867</v>
      </c>
      <c r="CT204" s="772">
        <v>1.1306502032471784</v>
      </c>
      <c r="CU204" s="772">
        <v>1.1628422233596472</v>
      </c>
      <c r="CV204" s="772">
        <v>1.2011968118718408</v>
      </c>
      <c r="CW204" s="772">
        <v>1.2180375565616144</v>
      </c>
      <c r="CX204" s="772">
        <v>1.227285753939102</v>
      </c>
      <c r="CY204" s="772">
        <v>1.2368631349242529</v>
      </c>
      <c r="CZ204" s="772">
        <v>1.246670944434769</v>
      </c>
      <c r="DA204" s="773">
        <v>0</v>
      </c>
      <c r="DB204" s="773">
        <v>0</v>
      </c>
      <c r="DC204" s="773">
        <v>0</v>
      </c>
      <c r="DD204" s="774">
        <v>0</v>
      </c>
      <c r="DE204" s="774">
        <v>0</v>
      </c>
      <c r="DF204" s="774">
        <v>0</v>
      </c>
      <c r="DG204" s="774">
        <v>0</v>
      </c>
      <c r="DH204" s="774">
        <v>0</v>
      </c>
      <c r="DI204" s="774">
        <v>0</v>
      </c>
      <c r="DJ204" s="774">
        <v>0</v>
      </c>
      <c r="DK204" s="774">
        <v>0</v>
      </c>
      <c r="DL204" s="774">
        <v>0</v>
      </c>
      <c r="DM204" s="774">
        <v>0</v>
      </c>
      <c r="DN204" s="774">
        <v>0</v>
      </c>
      <c r="DO204" s="774">
        <v>0</v>
      </c>
      <c r="DP204" s="773">
        <v>0</v>
      </c>
      <c r="DQ204" s="773">
        <v>0</v>
      </c>
      <c r="DR204" s="773">
        <v>0</v>
      </c>
      <c r="DS204" s="774">
        <v>0</v>
      </c>
      <c r="DT204" s="774">
        <v>0</v>
      </c>
      <c r="DU204" s="774">
        <v>0</v>
      </c>
      <c r="DV204" s="774">
        <v>0</v>
      </c>
      <c r="DW204" s="774">
        <v>0</v>
      </c>
      <c r="DX204" s="774">
        <v>0</v>
      </c>
      <c r="DY204" s="774">
        <v>0</v>
      </c>
      <c r="DZ204" s="774">
        <v>0</v>
      </c>
      <c r="EA204" s="774">
        <v>0</v>
      </c>
      <c r="EB204" s="774">
        <v>0</v>
      </c>
      <c r="EC204" s="774">
        <v>0</v>
      </c>
      <c r="ED204" s="774">
        <v>0</v>
      </c>
    </row>
    <row r="205" spans="1:134" ht="15" x14ac:dyDescent="0.25">
      <c r="A205" s="766">
        <v>121</v>
      </c>
      <c r="B205" s="766">
        <v>93</v>
      </c>
      <c r="C205" s="766" t="s">
        <v>3876</v>
      </c>
      <c r="D205" s="2">
        <v>99705</v>
      </c>
      <c r="E205" s="2">
        <v>99705</v>
      </c>
      <c r="F205" s="767" t="s">
        <v>3746</v>
      </c>
      <c r="G205" s="114">
        <v>26</v>
      </c>
      <c r="H205" s="114">
        <v>17</v>
      </c>
      <c r="I205" s="114">
        <v>11</v>
      </c>
      <c r="J205" s="114">
        <v>6</v>
      </c>
      <c r="K205" s="114">
        <v>0</v>
      </c>
      <c r="L205" s="114">
        <v>16</v>
      </c>
      <c r="M205" s="114">
        <v>16</v>
      </c>
      <c r="N205" s="114">
        <v>0</v>
      </c>
      <c r="O205" s="114">
        <v>0</v>
      </c>
      <c r="P205" s="114">
        <v>0</v>
      </c>
      <c r="Q205" s="114">
        <v>16</v>
      </c>
      <c r="R205" s="114">
        <v>0</v>
      </c>
      <c r="S205" s="114">
        <v>2378.9375</v>
      </c>
      <c r="T205" s="114">
        <v>2378.9375</v>
      </c>
      <c r="U205" s="114">
        <v>0</v>
      </c>
      <c r="V205" s="114">
        <v>0</v>
      </c>
      <c r="W205" s="114">
        <v>0</v>
      </c>
      <c r="X205" s="114">
        <v>2378.9375</v>
      </c>
      <c r="Y205" s="114">
        <v>0</v>
      </c>
      <c r="Z205" s="114">
        <v>17</v>
      </c>
      <c r="AA205" s="114">
        <v>0</v>
      </c>
      <c r="AB205" s="657">
        <v>0</v>
      </c>
      <c r="AC205" s="657">
        <v>0</v>
      </c>
      <c r="AD205" s="768">
        <v>17</v>
      </c>
      <c r="AE205" s="769">
        <v>0</v>
      </c>
      <c r="AF205" s="769">
        <v>11</v>
      </c>
      <c r="AG205" s="770">
        <v>11</v>
      </c>
      <c r="AH205" s="769">
        <v>0</v>
      </c>
      <c r="AI205" s="769">
        <v>0</v>
      </c>
      <c r="AJ205" s="769">
        <v>15.778578903754628</v>
      </c>
      <c r="AK205" s="769">
        <v>15.778578903754628</v>
      </c>
      <c r="AL205" s="769">
        <v>0</v>
      </c>
      <c r="AM205" s="769">
        <v>0</v>
      </c>
      <c r="AN205" s="769">
        <v>10.262035108253933</v>
      </c>
      <c r="AO205" s="769">
        <v>10.262035108253933</v>
      </c>
      <c r="AP205" s="769">
        <v>0</v>
      </c>
      <c r="AQ205" s="769">
        <v>0</v>
      </c>
      <c r="AR205" s="769">
        <v>0</v>
      </c>
      <c r="AS205" s="769">
        <v>14.64491483658886</v>
      </c>
      <c r="AT205" s="769">
        <v>15.201182331907088</v>
      </c>
      <c r="AU205" s="769">
        <v>15.778578903754628</v>
      </c>
      <c r="AV205" s="769">
        <v>16.377907111832961</v>
      </c>
      <c r="AW205" s="769">
        <v>17</v>
      </c>
      <c r="AX205" s="769">
        <v>9.5735785966396634</v>
      </c>
      <c r="AY205" s="769">
        <v>9.9118312975123128</v>
      </c>
      <c r="AZ205" s="769">
        <v>10.262035108253933</v>
      </c>
      <c r="BA205" s="769">
        <v>10.624612284257401</v>
      </c>
      <c r="BB205" s="769">
        <v>11</v>
      </c>
      <c r="BC205" s="769">
        <v>0</v>
      </c>
      <c r="BD205" s="769">
        <v>0</v>
      </c>
      <c r="BE205" s="769">
        <v>0</v>
      </c>
      <c r="BF205" s="769">
        <v>0</v>
      </c>
      <c r="BG205" s="769">
        <v>0</v>
      </c>
      <c r="BH205" s="771">
        <v>17.276955421921539</v>
      </c>
      <c r="BI205" s="771">
        <v>17.558422861827299</v>
      </c>
      <c r="BJ205" s="771">
        <v>17.844475827237545</v>
      </c>
      <c r="BK205" s="772">
        <v>18.168796802252544</v>
      </c>
      <c r="BL205" s="772">
        <v>18.493117777267543</v>
      </c>
      <c r="BM205" s="772">
        <v>18.817438752282538</v>
      </c>
      <c r="BN205" s="772">
        <v>19.141759727297536</v>
      </c>
      <c r="BO205" s="772">
        <v>19.525248008637121</v>
      </c>
      <c r="BP205" s="772">
        <v>19.908736289976702</v>
      </c>
      <c r="BQ205" s="772">
        <v>20.971875895064169</v>
      </c>
      <c r="BR205" s="772">
        <v>22.23853396565702</v>
      </c>
      <c r="BS205" s="772">
        <v>22.79469858646409</v>
      </c>
      <c r="BT205" s="772">
        <v>23.100119770761403</v>
      </c>
      <c r="BU205" s="772">
        <v>23.416412224691072</v>
      </c>
      <c r="BV205" s="772">
        <v>23.740314567363381</v>
      </c>
      <c r="BW205" s="771">
        <v>11.179206449478643</v>
      </c>
      <c r="BX205" s="771">
        <v>11.361332440005899</v>
      </c>
      <c r="BY205" s="771">
        <v>11.546425535271352</v>
      </c>
      <c r="BZ205" s="772">
        <v>11.756280283810469</v>
      </c>
      <c r="CA205" s="772">
        <v>11.966135032349586</v>
      </c>
      <c r="CB205" s="772">
        <v>12.175989780888701</v>
      </c>
      <c r="CC205" s="772">
        <v>12.385844529427818</v>
      </c>
      <c r="CD205" s="772">
        <v>12.633984005588724</v>
      </c>
      <c r="CE205" s="772">
        <v>12.882123481749629</v>
      </c>
      <c r="CF205" s="772">
        <v>13.570037343865051</v>
      </c>
      <c r="CG205" s="772">
        <v>14.389639624836892</v>
      </c>
      <c r="CH205" s="772">
        <v>14.749510850064999</v>
      </c>
      <c r="CI205" s="772">
        <v>14.947136322257379</v>
      </c>
      <c r="CJ205" s="772">
        <v>15.151796145388341</v>
      </c>
      <c r="CK205" s="772">
        <v>15.361380014176305</v>
      </c>
      <c r="CL205" s="771">
        <v>0</v>
      </c>
      <c r="CM205" s="771">
        <v>0</v>
      </c>
      <c r="CN205" s="771">
        <v>0</v>
      </c>
      <c r="CO205" s="772">
        <v>0</v>
      </c>
      <c r="CP205" s="772">
        <v>0</v>
      </c>
      <c r="CQ205" s="772">
        <v>0</v>
      </c>
      <c r="CR205" s="772">
        <v>0</v>
      </c>
      <c r="CS205" s="772">
        <v>0</v>
      </c>
      <c r="CT205" s="772">
        <v>0</v>
      </c>
      <c r="CU205" s="772">
        <v>0</v>
      </c>
      <c r="CV205" s="772">
        <v>0</v>
      </c>
      <c r="CW205" s="772">
        <v>0</v>
      </c>
      <c r="CX205" s="772">
        <v>0</v>
      </c>
      <c r="CY205" s="772">
        <v>0</v>
      </c>
      <c r="CZ205" s="772">
        <v>0</v>
      </c>
      <c r="DA205" s="773">
        <v>0</v>
      </c>
      <c r="DB205" s="773">
        <v>0</v>
      </c>
      <c r="DC205" s="773">
        <v>0</v>
      </c>
      <c r="DD205" s="774">
        <v>0</v>
      </c>
      <c r="DE205" s="774">
        <v>0</v>
      </c>
      <c r="DF205" s="774">
        <v>0</v>
      </c>
      <c r="DG205" s="774">
        <v>0</v>
      </c>
      <c r="DH205" s="774">
        <v>0</v>
      </c>
      <c r="DI205" s="774">
        <v>0</v>
      </c>
      <c r="DJ205" s="774">
        <v>0</v>
      </c>
      <c r="DK205" s="774">
        <v>0</v>
      </c>
      <c r="DL205" s="774">
        <v>0</v>
      </c>
      <c r="DM205" s="774">
        <v>0</v>
      </c>
      <c r="DN205" s="774">
        <v>0</v>
      </c>
      <c r="DO205" s="774">
        <v>0</v>
      </c>
      <c r="DP205" s="773">
        <v>0</v>
      </c>
      <c r="DQ205" s="773">
        <v>0</v>
      </c>
      <c r="DR205" s="773">
        <v>0</v>
      </c>
      <c r="DS205" s="774">
        <v>0</v>
      </c>
      <c r="DT205" s="774">
        <v>0</v>
      </c>
      <c r="DU205" s="774">
        <v>0</v>
      </c>
      <c r="DV205" s="774">
        <v>0</v>
      </c>
      <c r="DW205" s="774">
        <v>0</v>
      </c>
      <c r="DX205" s="774">
        <v>0</v>
      </c>
      <c r="DY205" s="774">
        <v>0</v>
      </c>
      <c r="DZ205" s="774">
        <v>0</v>
      </c>
      <c r="EA205" s="774">
        <v>0</v>
      </c>
      <c r="EB205" s="774">
        <v>0</v>
      </c>
      <c r="EC205" s="774">
        <v>0</v>
      </c>
      <c r="ED205" s="774">
        <v>0</v>
      </c>
    </row>
    <row r="206" spans="1:134" ht="15" x14ac:dyDescent="0.25">
      <c r="A206" s="766">
        <v>98</v>
      </c>
      <c r="B206" s="766">
        <v>94</v>
      </c>
      <c r="C206" s="766" t="s">
        <v>3877</v>
      </c>
      <c r="D206" s="2">
        <v>99709</v>
      </c>
      <c r="E206" s="2">
        <v>99709</v>
      </c>
      <c r="F206" s="767" t="s">
        <v>3676</v>
      </c>
      <c r="G206" s="114">
        <v>58</v>
      </c>
      <c r="H206" s="114">
        <v>30</v>
      </c>
      <c r="I206" s="114">
        <v>24</v>
      </c>
      <c r="J206" s="114">
        <v>6</v>
      </c>
      <c r="K206" s="114">
        <v>0</v>
      </c>
      <c r="L206" s="114">
        <v>38</v>
      </c>
      <c r="M206" s="114">
        <v>38</v>
      </c>
      <c r="N206" s="114">
        <v>1</v>
      </c>
      <c r="O206" s="114">
        <v>0</v>
      </c>
      <c r="P206" s="114">
        <v>0</v>
      </c>
      <c r="Q206" s="114">
        <v>39</v>
      </c>
      <c r="R206" s="114">
        <v>0</v>
      </c>
      <c r="S206" s="114">
        <v>1811.2368421052631</v>
      </c>
      <c r="T206" s="114">
        <v>1811.2368421052631</v>
      </c>
      <c r="U206" s="114">
        <v>2080</v>
      </c>
      <c r="V206" s="114">
        <v>0</v>
      </c>
      <c r="W206" s="114">
        <v>0</v>
      </c>
      <c r="X206" s="114">
        <v>1818.1282051282051</v>
      </c>
      <c r="Y206" s="114">
        <v>0</v>
      </c>
      <c r="Z206" s="114">
        <v>30</v>
      </c>
      <c r="AA206" s="114">
        <v>0</v>
      </c>
      <c r="AB206" s="657">
        <v>1</v>
      </c>
      <c r="AC206" s="657">
        <v>0</v>
      </c>
      <c r="AD206" s="768">
        <v>31</v>
      </c>
      <c r="AE206" s="769">
        <v>0</v>
      </c>
      <c r="AF206" s="769">
        <v>24</v>
      </c>
      <c r="AG206" s="770">
        <v>24</v>
      </c>
      <c r="AH206" s="769">
        <v>0</v>
      </c>
      <c r="AI206" s="769">
        <v>0</v>
      </c>
      <c r="AJ206" s="769">
        <v>28.564751850232181</v>
      </c>
      <c r="AK206" s="769">
        <v>28.564751850232181</v>
      </c>
      <c r="AL206" s="769">
        <v>0</v>
      </c>
      <c r="AM206" s="769">
        <v>0</v>
      </c>
      <c r="AN206" s="769">
        <v>22.894911093551432</v>
      </c>
      <c r="AO206" s="769">
        <v>22.894911093551432</v>
      </c>
      <c r="AP206" s="769">
        <v>0</v>
      </c>
      <c r="AQ206" s="769">
        <v>0.95966573850124082</v>
      </c>
      <c r="AR206" s="769">
        <v>0</v>
      </c>
      <c r="AS206" s="769">
        <v>27.198168275511424</v>
      </c>
      <c r="AT206" s="769">
        <v>27.873086079062741</v>
      </c>
      <c r="AU206" s="769">
        <v>28.564751850232181</v>
      </c>
      <c r="AV206" s="769">
        <v>29.273581186916051</v>
      </c>
      <c r="AW206" s="769">
        <v>30</v>
      </c>
      <c r="AX206" s="769">
        <v>21.840706415901014</v>
      </c>
      <c r="AY206" s="769">
        <v>22.361597250921324</v>
      </c>
      <c r="AZ206" s="769">
        <v>22.894911093551432</v>
      </c>
      <c r="BA206" s="769">
        <v>23.440944226827433</v>
      </c>
      <c r="BB206" s="769">
        <v>24</v>
      </c>
      <c r="BC206" s="769">
        <v>0.92095832965313207</v>
      </c>
      <c r="BD206" s="769">
        <v>0.94011284192667122</v>
      </c>
      <c r="BE206" s="769">
        <v>0.95966573850124082</v>
      </c>
      <c r="BF206" s="769">
        <v>0.97962530515561963</v>
      </c>
      <c r="BG206" s="769">
        <v>1</v>
      </c>
      <c r="BH206" s="771">
        <v>30.153678870335192</v>
      </c>
      <c r="BI206" s="771">
        <v>30.308144980509965</v>
      </c>
      <c r="BJ206" s="771">
        <v>30.463402363261956</v>
      </c>
      <c r="BK206" s="772">
        <v>31.123920208024167</v>
      </c>
      <c r="BL206" s="772">
        <v>31.784438052786378</v>
      </c>
      <c r="BM206" s="772">
        <v>32.444955897548581</v>
      </c>
      <c r="BN206" s="772">
        <v>33.105473742310792</v>
      </c>
      <c r="BO206" s="772">
        <v>33.886492771592721</v>
      </c>
      <c r="BP206" s="772">
        <v>34.667511800874657</v>
      </c>
      <c r="BQ206" s="772">
        <v>36.832720759688527</v>
      </c>
      <c r="BR206" s="772">
        <v>39.412419031747405</v>
      </c>
      <c r="BS206" s="772">
        <v>40.54511375385561</v>
      </c>
      <c r="BT206" s="772">
        <v>41.167139949933301</v>
      </c>
      <c r="BU206" s="772">
        <v>41.811306766385762</v>
      </c>
      <c r="BV206" s="772">
        <v>42.470972017100593</v>
      </c>
      <c r="BW206" s="771">
        <v>24.122943096268152</v>
      </c>
      <c r="BX206" s="771">
        <v>24.246515984407971</v>
      </c>
      <c r="BY206" s="771">
        <v>24.370721890609566</v>
      </c>
      <c r="BZ206" s="772">
        <v>24.899136166419336</v>
      </c>
      <c r="CA206" s="772">
        <v>25.427550442229101</v>
      </c>
      <c r="CB206" s="772">
        <v>25.955964718038864</v>
      </c>
      <c r="CC206" s="772">
        <v>26.484378993848633</v>
      </c>
      <c r="CD206" s="772">
        <v>27.10919421727418</v>
      </c>
      <c r="CE206" s="772">
        <v>27.734009440699726</v>
      </c>
      <c r="CF206" s="772">
        <v>29.466176607750821</v>
      </c>
      <c r="CG206" s="772">
        <v>31.529935225397924</v>
      </c>
      <c r="CH206" s="772">
        <v>32.436091003084492</v>
      </c>
      <c r="CI206" s="772">
        <v>32.933711959946642</v>
      </c>
      <c r="CJ206" s="772">
        <v>33.449045413108614</v>
      </c>
      <c r="CK206" s="772">
        <v>33.976777613680476</v>
      </c>
      <c r="CL206" s="771">
        <v>1.005122629011173</v>
      </c>
      <c r="CM206" s="771">
        <v>1.0102714993503321</v>
      </c>
      <c r="CN206" s="771">
        <v>1.0154467454420653</v>
      </c>
      <c r="CO206" s="772">
        <v>1.037464006934139</v>
      </c>
      <c r="CP206" s="772">
        <v>1.0594812684262127</v>
      </c>
      <c r="CQ206" s="772">
        <v>1.081498529918286</v>
      </c>
      <c r="CR206" s="772">
        <v>1.1035157914103597</v>
      </c>
      <c r="CS206" s="772">
        <v>1.1295497590530907</v>
      </c>
      <c r="CT206" s="772">
        <v>1.155583726695822</v>
      </c>
      <c r="CU206" s="772">
        <v>1.2277573586562842</v>
      </c>
      <c r="CV206" s="772">
        <v>1.313747301058247</v>
      </c>
      <c r="CW206" s="772">
        <v>1.3515037917951871</v>
      </c>
      <c r="CX206" s="772">
        <v>1.3722379983311102</v>
      </c>
      <c r="CY206" s="772">
        <v>1.3937102255461922</v>
      </c>
      <c r="CZ206" s="772">
        <v>1.4156990672366865</v>
      </c>
      <c r="DA206" s="773">
        <v>0</v>
      </c>
      <c r="DB206" s="773">
        <v>0</v>
      </c>
      <c r="DC206" s="773">
        <v>0</v>
      </c>
      <c r="DD206" s="774">
        <v>0</v>
      </c>
      <c r="DE206" s="774">
        <v>0</v>
      </c>
      <c r="DF206" s="774">
        <v>0</v>
      </c>
      <c r="DG206" s="774">
        <v>0</v>
      </c>
      <c r="DH206" s="774">
        <v>0</v>
      </c>
      <c r="DI206" s="774">
        <v>0</v>
      </c>
      <c r="DJ206" s="774">
        <v>0</v>
      </c>
      <c r="DK206" s="774">
        <v>0</v>
      </c>
      <c r="DL206" s="774">
        <v>0</v>
      </c>
      <c r="DM206" s="774">
        <v>0</v>
      </c>
      <c r="DN206" s="774">
        <v>0</v>
      </c>
      <c r="DO206" s="774">
        <v>0</v>
      </c>
      <c r="DP206" s="773">
        <v>0</v>
      </c>
      <c r="DQ206" s="773">
        <v>0</v>
      </c>
      <c r="DR206" s="773">
        <v>0</v>
      </c>
      <c r="DS206" s="774">
        <v>0</v>
      </c>
      <c r="DT206" s="774">
        <v>0</v>
      </c>
      <c r="DU206" s="774">
        <v>0</v>
      </c>
      <c r="DV206" s="774">
        <v>0</v>
      </c>
      <c r="DW206" s="774">
        <v>0</v>
      </c>
      <c r="DX206" s="774">
        <v>0</v>
      </c>
      <c r="DY206" s="774">
        <v>0</v>
      </c>
      <c r="DZ206" s="774">
        <v>0</v>
      </c>
      <c r="EA206" s="774">
        <v>0</v>
      </c>
      <c r="EB206" s="774">
        <v>0</v>
      </c>
      <c r="EC206" s="774">
        <v>0</v>
      </c>
      <c r="ED206" s="774">
        <v>0</v>
      </c>
    </row>
    <row r="207" spans="1:134" ht="15" x14ac:dyDescent="0.25">
      <c r="A207" s="766">
        <v>99</v>
      </c>
      <c r="B207" s="766">
        <v>94</v>
      </c>
      <c r="C207" s="766" t="s">
        <v>3878</v>
      </c>
      <c r="D207" s="2">
        <v>99709</v>
      </c>
      <c r="E207" s="2">
        <v>99725</v>
      </c>
      <c r="F207" s="767" t="s">
        <v>3746</v>
      </c>
      <c r="G207" s="114">
        <v>66</v>
      </c>
      <c r="H207" s="114">
        <v>38</v>
      </c>
      <c r="I207" s="114">
        <v>34</v>
      </c>
      <c r="J207" s="114">
        <v>4</v>
      </c>
      <c r="K207" s="114">
        <v>0</v>
      </c>
      <c r="L207" s="114">
        <v>52</v>
      </c>
      <c r="M207" s="114">
        <v>52</v>
      </c>
      <c r="N207" s="114">
        <v>7</v>
      </c>
      <c r="O207" s="114">
        <v>0</v>
      </c>
      <c r="P207" s="114">
        <v>0</v>
      </c>
      <c r="Q207" s="114">
        <v>59</v>
      </c>
      <c r="R207" s="114">
        <v>0</v>
      </c>
      <c r="S207" s="114">
        <v>1350.5576923076924</v>
      </c>
      <c r="T207" s="114">
        <v>1350.5576923076924</v>
      </c>
      <c r="U207" s="114">
        <v>3115.7142857142858</v>
      </c>
      <c r="V207" s="114">
        <v>0</v>
      </c>
      <c r="W207" s="114">
        <v>0</v>
      </c>
      <c r="X207" s="114">
        <v>1559.9830508474577</v>
      </c>
      <c r="Y207" s="114">
        <v>0</v>
      </c>
      <c r="Z207" s="114">
        <v>38</v>
      </c>
      <c r="AA207" s="114">
        <v>0</v>
      </c>
      <c r="AB207" s="657">
        <v>7</v>
      </c>
      <c r="AC207" s="657">
        <v>0</v>
      </c>
      <c r="AD207" s="768">
        <v>45</v>
      </c>
      <c r="AE207" s="769">
        <v>0</v>
      </c>
      <c r="AF207" s="769">
        <v>34</v>
      </c>
      <c r="AG207" s="770">
        <v>34</v>
      </c>
      <c r="AH207" s="769">
        <v>0</v>
      </c>
      <c r="AI207" s="769">
        <v>0</v>
      </c>
      <c r="AJ207" s="769">
        <v>36.182019010294098</v>
      </c>
      <c r="AK207" s="769">
        <v>36.182019010294098</v>
      </c>
      <c r="AL207" s="769">
        <v>0</v>
      </c>
      <c r="AM207" s="769">
        <v>0</v>
      </c>
      <c r="AN207" s="769">
        <v>32.434457382531193</v>
      </c>
      <c r="AO207" s="769">
        <v>32.434457382531193</v>
      </c>
      <c r="AP207" s="769">
        <v>0</v>
      </c>
      <c r="AQ207" s="769">
        <v>6.7176601695086857</v>
      </c>
      <c r="AR207" s="769">
        <v>0</v>
      </c>
      <c r="AS207" s="769">
        <v>34.45101314898114</v>
      </c>
      <c r="AT207" s="769">
        <v>35.305909033479473</v>
      </c>
      <c r="AU207" s="769">
        <v>36.182019010294098</v>
      </c>
      <c r="AV207" s="769">
        <v>37.079869503426998</v>
      </c>
      <c r="AW207" s="769">
        <v>38</v>
      </c>
      <c r="AX207" s="769">
        <v>30.941000755859772</v>
      </c>
      <c r="AY207" s="769">
        <v>31.678929438805209</v>
      </c>
      <c r="AZ207" s="769">
        <v>32.434457382531193</v>
      </c>
      <c r="BA207" s="769">
        <v>33.208004321338862</v>
      </c>
      <c r="BB207" s="769">
        <v>34</v>
      </c>
      <c r="BC207" s="769">
        <v>6.4467083075719245</v>
      </c>
      <c r="BD207" s="769">
        <v>6.5807898934866982</v>
      </c>
      <c r="BE207" s="769">
        <v>6.7176601695086857</v>
      </c>
      <c r="BF207" s="769">
        <v>6.8573771360893376</v>
      </c>
      <c r="BG207" s="769">
        <v>7</v>
      </c>
      <c r="BH207" s="771">
        <v>38.395345683097716</v>
      </c>
      <c r="BI207" s="771">
        <v>38.794804476962369</v>
      </c>
      <c r="BJ207" s="771">
        <v>39.198419173714655</v>
      </c>
      <c r="BK207" s="772">
        <v>40.017469701864016</v>
      </c>
      <c r="BL207" s="772">
        <v>40.83652023001337</v>
      </c>
      <c r="BM207" s="772">
        <v>41.655570758162732</v>
      </c>
      <c r="BN207" s="772">
        <v>42.474621286312086</v>
      </c>
      <c r="BO207" s="772">
        <v>43.443094815832495</v>
      </c>
      <c r="BP207" s="772">
        <v>44.411568345352904</v>
      </c>
      <c r="BQ207" s="772">
        <v>47.096454991994023</v>
      </c>
      <c r="BR207" s="772">
        <v>50.295313658645917</v>
      </c>
      <c r="BS207" s="772">
        <v>51.699869519977291</v>
      </c>
      <c r="BT207" s="772">
        <v>52.471189914210662</v>
      </c>
      <c r="BU207" s="772">
        <v>53.269964959299152</v>
      </c>
      <c r="BV207" s="772">
        <v>54.087958259986245</v>
      </c>
      <c r="BW207" s="771">
        <v>34.353730348034794</v>
      </c>
      <c r="BX207" s="771">
        <v>34.711140847808437</v>
      </c>
      <c r="BY207" s="771">
        <v>35.072269787007848</v>
      </c>
      <c r="BZ207" s="772">
        <v>35.80510447008885</v>
      </c>
      <c r="CA207" s="772">
        <v>36.537939153169859</v>
      </c>
      <c r="CB207" s="772">
        <v>37.270773836250861</v>
      </c>
      <c r="CC207" s="772">
        <v>38.00360851933187</v>
      </c>
      <c r="CD207" s="772">
        <v>38.870137466797495</v>
      </c>
      <c r="CE207" s="772">
        <v>39.736666414263127</v>
      </c>
      <c r="CF207" s="772">
        <v>42.13893341388939</v>
      </c>
      <c r="CG207" s="772">
        <v>45.001070115630554</v>
      </c>
      <c r="CH207" s="772">
        <v>46.257777991558626</v>
      </c>
      <c r="CI207" s="772">
        <v>46.947906765346382</v>
      </c>
      <c r="CJ207" s="772">
        <v>47.662600226741347</v>
      </c>
      <c r="CK207" s="772">
        <v>48.394488969461371</v>
      </c>
      <c r="CL207" s="771">
        <v>7.0728268363601048</v>
      </c>
      <c r="CM207" s="771">
        <v>7.1464113510193847</v>
      </c>
      <c r="CN207" s="771">
        <v>7.2207614267369102</v>
      </c>
      <c r="CO207" s="772">
        <v>7.3716391556065286</v>
      </c>
      <c r="CP207" s="772">
        <v>7.5225168844761479</v>
      </c>
      <c r="CQ207" s="772">
        <v>7.6733946133457662</v>
      </c>
      <c r="CR207" s="772">
        <v>7.8242723422153846</v>
      </c>
      <c r="CS207" s="772">
        <v>8.0026753608112493</v>
      </c>
      <c r="CT207" s="772">
        <v>8.1810783794071149</v>
      </c>
      <c r="CU207" s="772">
        <v>8.6756627616831103</v>
      </c>
      <c r="CV207" s="772">
        <v>9.2649262002768786</v>
      </c>
      <c r="CW207" s="772">
        <v>9.5236601747326599</v>
      </c>
      <c r="CX207" s="772">
        <v>9.6657455105124903</v>
      </c>
      <c r="CY207" s="772">
        <v>9.8128882819761607</v>
      </c>
      <c r="CZ207" s="772">
        <v>9.9635712584185185</v>
      </c>
      <c r="DA207" s="773">
        <v>0</v>
      </c>
      <c r="DB207" s="773">
        <v>0</v>
      </c>
      <c r="DC207" s="773">
        <v>0</v>
      </c>
      <c r="DD207" s="774">
        <v>0</v>
      </c>
      <c r="DE207" s="774">
        <v>0</v>
      </c>
      <c r="DF207" s="774">
        <v>0</v>
      </c>
      <c r="DG207" s="774">
        <v>0</v>
      </c>
      <c r="DH207" s="774">
        <v>0</v>
      </c>
      <c r="DI207" s="774">
        <v>0</v>
      </c>
      <c r="DJ207" s="774">
        <v>0</v>
      </c>
      <c r="DK207" s="774">
        <v>0</v>
      </c>
      <c r="DL207" s="774">
        <v>0</v>
      </c>
      <c r="DM207" s="774">
        <v>0</v>
      </c>
      <c r="DN207" s="774">
        <v>0</v>
      </c>
      <c r="DO207" s="774">
        <v>0</v>
      </c>
      <c r="DP207" s="773">
        <v>0</v>
      </c>
      <c r="DQ207" s="773">
        <v>0</v>
      </c>
      <c r="DR207" s="773">
        <v>0</v>
      </c>
      <c r="DS207" s="774">
        <v>0</v>
      </c>
      <c r="DT207" s="774">
        <v>0</v>
      </c>
      <c r="DU207" s="774">
        <v>0</v>
      </c>
      <c r="DV207" s="774">
        <v>0</v>
      </c>
      <c r="DW207" s="774">
        <v>0</v>
      </c>
      <c r="DX207" s="774">
        <v>0</v>
      </c>
      <c r="DY207" s="774">
        <v>0</v>
      </c>
      <c r="DZ207" s="774">
        <v>0</v>
      </c>
      <c r="EA207" s="774">
        <v>0</v>
      </c>
      <c r="EB207" s="774">
        <v>0</v>
      </c>
      <c r="EC207" s="774">
        <v>0</v>
      </c>
      <c r="ED207" s="774">
        <v>0</v>
      </c>
    </row>
    <row r="208" spans="1:134" ht="15" x14ac:dyDescent="0.25">
      <c r="A208" s="766">
        <v>100</v>
      </c>
      <c r="B208" s="766">
        <v>94</v>
      </c>
      <c r="C208" s="766" t="s">
        <v>3879</v>
      </c>
      <c r="D208" s="2">
        <v>99709</v>
      </c>
      <c r="E208" s="2">
        <v>99709</v>
      </c>
      <c r="F208" s="767" t="s">
        <v>3746</v>
      </c>
      <c r="G208" s="114">
        <v>61</v>
      </c>
      <c r="H208" s="114">
        <v>45</v>
      </c>
      <c r="I208" s="114">
        <v>36</v>
      </c>
      <c r="J208" s="114">
        <v>9</v>
      </c>
      <c r="K208" s="114">
        <v>0</v>
      </c>
      <c r="L208" s="114">
        <v>43</v>
      </c>
      <c r="M208" s="114">
        <v>43</v>
      </c>
      <c r="N208" s="114">
        <v>1</v>
      </c>
      <c r="O208" s="114">
        <v>0</v>
      </c>
      <c r="P208" s="114">
        <v>0</v>
      </c>
      <c r="Q208" s="114">
        <v>44</v>
      </c>
      <c r="R208" s="114">
        <v>0</v>
      </c>
      <c r="S208" s="114">
        <v>1594.4418604651162</v>
      </c>
      <c r="T208" s="114">
        <v>1594.4418604651162</v>
      </c>
      <c r="U208" s="114">
        <v>2476</v>
      </c>
      <c r="V208" s="114">
        <v>0</v>
      </c>
      <c r="W208" s="114">
        <v>0</v>
      </c>
      <c r="X208" s="114">
        <v>1614.4772727272727</v>
      </c>
      <c r="Y208" s="114">
        <v>0</v>
      </c>
      <c r="Z208" s="114">
        <v>45</v>
      </c>
      <c r="AA208" s="114">
        <v>0</v>
      </c>
      <c r="AB208" s="657">
        <v>1</v>
      </c>
      <c r="AC208" s="657">
        <v>0</v>
      </c>
      <c r="AD208" s="768">
        <v>46</v>
      </c>
      <c r="AE208" s="769">
        <v>0</v>
      </c>
      <c r="AF208" s="769">
        <v>36</v>
      </c>
      <c r="AG208" s="770">
        <v>36</v>
      </c>
      <c r="AH208" s="769">
        <v>0</v>
      </c>
      <c r="AI208" s="769">
        <v>0</v>
      </c>
      <c r="AJ208" s="769">
        <v>42.84712777534827</v>
      </c>
      <c r="AK208" s="769">
        <v>42.84712777534827</v>
      </c>
      <c r="AL208" s="769">
        <v>0</v>
      </c>
      <c r="AM208" s="769">
        <v>0</v>
      </c>
      <c r="AN208" s="769">
        <v>34.34236664032715</v>
      </c>
      <c r="AO208" s="769">
        <v>34.34236664032715</v>
      </c>
      <c r="AP208" s="769">
        <v>0</v>
      </c>
      <c r="AQ208" s="769">
        <v>0.95966573850124082</v>
      </c>
      <c r="AR208" s="769">
        <v>0</v>
      </c>
      <c r="AS208" s="769">
        <v>40.797252413267138</v>
      </c>
      <c r="AT208" s="769">
        <v>41.80962911859411</v>
      </c>
      <c r="AU208" s="769">
        <v>42.84712777534827</v>
      </c>
      <c r="AV208" s="769">
        <v>43.910371780374078</v>
      </c>
      <c r="AW208" s="769">
        <v>45</v>
      </c>
      <c r="AX208" s="769">
        <v>32.761059623851523</v>
      </c>
      <c r="AY208" s="769">
        <v>33.542395876381988</v>
      </c>
      <c r="AZ208" s="769">
        <v>34.34236664032715</v>
      </c>
      <c r="BA208" s="769">
        <v>35.161416340241146</v>
      </c>
      <c r="BB208" s="769">
        <v>36</v>
      </c>
      <c r="BC208" s="769">
        <v>0.92095832965313207</v>
      </c>
      <c r="BD208" s="769">
        <v>0.94011284192667122</v>
      </c>
      <c r="BE208" s="769">
        <v>0.95966573850124082</v>
      </c>
      <c r="BF208" s="769">
        <v>0.97962530515561963</v>
      </c>
      <c r="BG208" s="769">
        <v>1</v>
      </c>
      <c r="BH208" s="771">
        <v>45.420449589557364</v>
      </c>
      <c r="BI208" s="771">
        <v>45.844827575944933</v>
      </c>
      <c r="BJ208" s="771">
        <v>46.273170663447921</v>
      </c>
      <c r="BK208" s="772">
        <v>46.509734376680804</v>
      </c>
      <c r="BL208" s="772">
        <v>46.74629808991368</v>
      </c>
      <c r="BM208" s="772">
        <v>46.982861803146562</v>
      </c>
      <c r="BN208" s="772">
        <v>47.219425516379438</v>
      </c>
      <c r="BO208" s="772">
        <v>47.499146591498892</v>
      </c>
      <c r="BP208" s="772">
        <v>47.778867666618353</v>
      </c>
      <c r="BQ208" s="772">
        <v>48.554334787278073</v>
      </c>
      <c r="BR208" s="772">
        <v>49.478250783034987</v>
      </c>
      <c r="BS208" s="772">
        <v>49.88392410669465</v>
      </c>
      <c r="BT208" s="772">
        <v>50.106702079824558</v>
      </c>
      <c r="BU208" s="772">
        <v>50.33740969090546</v>
      </c>
      <c r="BV208" s="772">
        <v>50.573668048552079</v>
      </c>
      <c r="BW208" s="771">
        <v>36.336359671645894</v>
      </c>
      <c r="BX208" s="771">
        <v>36.675862060755946</v>
      </c>
      <c r="BY208" s="771">
        <v>37.01853653075834</v>
      </c>
      <c r="BZ208" s="772">
        <v>37.20778750134464</v>
      </c>
      <c r="CA208" s="772">
        <v>37.397038471930948</v>
      </c>
      <c r="CB208" s="772">
        <v>37.586289442517248</v>
      </c>
      <c r="CC208" s="772">
        <v>37.775540413103556</v>
      </c>
      <c r="CD208" s="772">
        <v>37.999317273199118</v>
      </c>
      <c r="CE208" s="772">
        <v>38.22309413329468</v>
      </c>
      <c r="CF208" s="772">
        <v>38.843467829822458</v>
      </c>
      <c r="CG208" s="772">
        <v>39.58260062642799</v>
      </c>
      <c r="CH208" s="772">
        <v>39.907139285355719</v>
      </c>
      <c r="CI208" s="772">
        <v>40.085361663859651</v>
      </c>
      <c r="CJ208" s="772">
        <v>40.269927752724371</v>
      </c>
      <c r="CK208" s="772">
        <v>40.458934438841666</v>
      </c>
      <c r="CL208" s="771">
        <v>1.0093433242123859</v>
      </c>
      <c r="CM208" s="771">
        <v>1.0187739461321097</v>
      </c>
      <c r="CN208" s="771">
        <v>1.0282926814099538</v>
      </c>
      <c r="CO208" s="772">
        <v>1.0335496528151289</v>
      </c>
      <c r="CP208" s="772">
        <v>1.038806624220304</v>
      </c>
      <c r="CQ208" s="772">
        <v>1.0440635956254791</v>
      </c>
      <c r="CR208" s="772">
        <v>1.0493205670306542</v>
      </c>
      <c r="CS208" s="772">
        <v>1.0555365909221976</v>
      </c>
      <c r="CT208" s="772">
        <v>1.0617526148137411</v>
      </c>
      <c r="CU208" s="772">
        <v>1.0789852174950683</v>
      </c>
      <c r="CV208" s="772">
        <v>1.0995166840674442</v>
      </c>
      <c r="CW208" s="772">
        <v>1.1085316468154367</v>
      </c>
      <c r="CX208" s="772">
        <v>1.1134822684405457</v>
      </c>
      <c r="CY208" s="772">
        <v>1.1186091042423436</v>
      </c>
      <c r="CZ208" s="772">
        <v>1.1238592899678239</v>
      </c>
      <c r="DA208" s="773">
        <v>0</v>
      </c>
      <c r="DB208" s="773">
        <v>0</v>
      </c>
      <c r="DC208" s="773">
        <v>0</v>
      </c>
      <c r="DD208" s="774">
        <v>0</v>
      </c>
      <c r="DE208" s="774">
        <v>0</v>
      </c>
      <c r="DF208" s="774">
        <v>0</v>
      </c>
      <c r="DG208" s="774">
        <v>0</v>
      </c>
      <c r="DH208" s="774">
        <v>0</v>
      </c>
      <c r="DI208" s="774">
        <v>0</v>
      </c>
      <c r="DJ208" s="774">
        <v>0</v>
      </c>
      <c r="DK208" s="774">
        <v>0</v>
      </c>
      <c r="DL208" s="774">
        <v>0</v>
      </c>
      <c r="DM208" s="774">
        <v>0</v>
      </c>
      <c r="DN208" s="774">
        <v>0</v>
      </c>
      <c r="DO208" s="774">
        <v>0</v>
      </c>
      <c r="DP208" s="773">
        <v>0</v>
      </c>
      <c r="DQ208" s="773">
        <v>0</v>
      </c>
      <c r="DR208" s="773">
        <v>0</v>
      </c>
      <c r="DS208" s="774">
        <v>0</v>
      </c>
      <c r="DT208" s="774">
        <v>0</v>
      </c>
      <c r="DU208" s="774">
        <v>0</v>
      </c>
      <c r="DV208" s="774">
        <v>0</v>
      </c>
      <c r="DW208" s="774">
        <v>0</v>
      </c>
      <c r="DX208" s="774">
        <v>0</v>
      </c>
      <c r="DY208" s="774">
        <v>0</v>
      </c>
      <c r="DZ208" s="774">
        <v>0</v>
      </c>
      <c r="EA208" s="774">
        <v>0</v>
      </c>
      <c r="EB208" s="774">
        <v>0</v>
      </c>
      <c r="EC208" s="774">
        <v>0</v>
      </c>
      <c r="ED208" s="774">
        <v>0</v>
      </c>
    </row>
    <row r="209" spans="1:134" ht="15" x14ac:dyDescent="0.25">
      <c r="A209" s="766">
        <v>101</v>
      </c>
      <c r="B209" s="766">
        <v>94</v>
      </c>
      <c r="C209" s="766" t="s">
        <v>3880</v>
      </c>
      <c r="D209" s="2">
        <v>99709</v>
      </c>
      <c r="E209" s="2">
        <v>99709</v>
      </c>
      <c r="F209" s="767" t="s">
        <v>3746</v>
      </c>
      <c r="G209" s="114">
        <v>24</v>
      </c>
      <c r="H209" s="114">
        <v>12</v>
      </c>
      <c r="I209" s="114">
        <v>12</v>
      </c>
      <c r="J209" s="114">
        <v>0</v>
      </c>
      <c r="K209" s="114">
        <v>3</v>
      </c>
      <c r="L209" s="114">
        <v>27</v>
      </c>
      <c r="M209" s="114">
        <v>30</v>
      </c>
      <c r="N209" s="114">
        <v>7</v>
      </c>
      <c r="O209" s="114">
        <v>0</v>
      </c>
      <c r="P209" s="114">
        <v>0</v>
      </c>
      <c r="Q209" s="114">
        <v>37</v>
      </c>
      <c r="R209" s="114">
        <v>4389.333333333333</v>
      </c>
      <c r="S209" s="114">
        <v>1383.2222222222222</v>
      </c>
      <c r="T209" s="114">
        <v>1683.8333333333333</v>
      </c>
      <c r="U209" s="114">
        <v>4707.4285714285716</v>
      </c>
      <c r="V209" s="114">
        <v>0</v>
      </c>
      <c r="W209" s="114">
        <v>0</v>
      </c>
      <c r="X209" s="114">
        <v>2255.864864864865</v>
      </c>
      <c r="Y209" s="114">
        <v>1.2</v>
      </c>
      <c r="Z209" s="114">
        <v>10.8</v>
      </c>
      <c r="AA209" s="114">
        <v>0</v>
      </c>
      <c r="AB209" s="657">
        <v>7</v>
      </c>
      <c r="AC209" s="657">
        <v>0</v>
      </c>
      <c r="AD209" s="768">
        <v>19</v>
      </c>
      <c r="AE209" s="769">
        <v>1.2</v>
      </c>
      <c r="AF209" s="769">
        <v>10.800000000000002</v>
      </c>
      <c r="AG209" s="770">
        <v>12.000000000000002</v>
      </c>
      <c r="AH209" s="769">
        <v>0</v>
      </c>
      <c r="AI209" s="769">
        <v>1.1425900740092871</v>
      </c>
      <c r="AJ209" s="769">
        <v>10.283310666083585</v>
      </c>
      <c r="AK209" s="769">
        <v>11.425900740092873</v>
      </c>
      <c r="AL209" s="769">
        <v>0</v>
      </c>
      <c r="AM209" s="769">
        <v>1.1447455546775716</v>
      </c>
      <c r="AN209" s="769">
        <v>10.302709992098146</v>
      </c>
      <c r="AO209" s="769">
        <v>11.447455546775718</v>
      </c>
      <c r="AP209" s="769">
        <v>0</v>
      </c>
      <c r="AQ209" s="769">
        <v>6.7176601695086857</v>
      </c>
      <c r="AR209" s="769">
        <v>0</v>
      </c>
      <c r="AS209" s="769">
        <v>10.87926731020457</v>
      </c>
      <c r="AT209" s="769">
        <v>11.149234431625096</v>
      </c>
      <c r="AU209" s="769">
        <v>11.425900740092873</v>
      </c>
      <c r="AV209" s="769">
        <v>11.709432474766421</v>
      </c>
      <c r="AW209" s="769">
        <v>12</v>
      </c>
      <c r="AX209" s="769">
        <v>10.920353207950509</v>
      </c>
      <c r="AY209" s="769">
        <v>11.180798625460664</v>
      </c>
      <c r="AZ209" s="769">
        <v>11.447455546775718</v>
      </c>
      <c r="BA209" s="769">
        <v>11.720472113413718</v>
      </c>
      <c r="BB209" s="769">
        <v>12.000000000000002</v>
      </c>
      <c r="BC209" s="769">
        <v>6.4467083075719245</v>
      </c>
      <c r="BD209" s="769">
        <v>6.5807898934866982</v>
      </c>
      <c r="BE209" s="769">
        <v>6.7176601695086857</v>
      </c>
      <c r="BF209" s="769">
        <v>6.8573771360893376</v>
      </c>
      <c r="BG209" s="769">
        <v>7</v>
      </c>
      <c r="BH209" s="771">
        <v>12.11211989054863</v>
      </c>
      <c r="BI209" s="771">
        <v>12.225287353585315</v>
      </c>
      <c r="BJ209" s="771">
        <v>12.339512176919445</v>
      </c>
      <c r="BK209" s="772">
        <v>12.402595833781547</v>
      </c>
      <c r="BL209" s="772">
        <v>12.465679490643648</v>
      </c>
      <c r="BM209" s="772">
        <v>12.528763147505749</v>
      </c>
      <c r="BN209" s="772">
        <v>12.591846804367851</v>
      </c>
      <c r="BO209" s="772">
        <v>12.666439091066371</v>
      </c>
      <c r="BP209" s="772">
        <v>12.741031377764893</v>
      </c>
      <c r="BQ209" s="772">
        <v>12.947822609940818</v>
      </c>
      <c r="BR209" s="772">
        <v>13.194200208809329</v>
      </c>
      <c r="BS209" s="772">
        <v>13.30237976178524</v>
      </c>
      <c r="BT209" s="772">
        <v>13.361787221286548</v>
      </c>
      <c r="BU209" s="772">
        <v>13.423309250908122</v>
      </c>
      <c r="BV209" s="772">
        <v>13.486311479613887</v>
      </c>
      <c r="BW209" s="771">
        <v>12.112119890548634</v>
      </c>
      <c r="BX209" s="771">
        <v>12.225287353585319</v>
      </c>
      <c r="BY209" s="771">
        <v>12.339512176919447</v>
      </c>
      <c r="BZ209" s="772">
        <v>12.402595833781549</v>
      </c>
      <c r="CA209" s="772">
        <v>12.46567949064365</v>
      </c>
      <c r="CB209" s="772">
        <v>12.528763147505751</v>
      </c>
      <c r="CC209" s="772">
        <v>12.591846804367853</v>
      </c>
      <c r="CD209" s="772">
        <v>12.666439091066373</v>
      </c>
      <c r="CE209" s="772">
        <v>12.741031377764894</v>
      </c>
      <c r="CF209" s="772">
        <v>12.94782260994082</v>
      </c>
      <c r="CG209" s="772">
        <v>13.194200208809331</v>
      </c>
      <c r="CH209" s="772">
        <v>13.302379761785241</v>
      </c>
      <c r="CI209" s="772">
        <v>13.36178722128655</v>
      </c>
      <c r="CJ209" s="772">
        <v>13.423309250908124</v>
      </c>
      <c r="CK209" s="772">
        <v>13.486311479613889</v>
      </c>
      <c r="CL209" s="771">
        <v>7.0654032694867013</v>
      </c>
      <c r="CM209" s="771">
        <v>7.1314176229247677</v>
      </c>
      <c r="CN209" s="771">
        <v>7.1980487698696765</v>
      </c>
      <c r="CO209" s="772">
        <v>7.2348475697059023</v>
      </c>
      <c r="CP209" s="772">
        <v>7.2716463695421281</v>
      </c>
      <c r="CQ209" s="772">
        <v>7.3084451693783539</v>
      </c>
      <c r="CR209" s="772">
        <v>7.3452439692145788</v>
      </c>
      <c r="CS209" s="772">
        <v>7.3887561364553838</v>
      </c>
      <c r="CT209" s="772">
        <v>7.4322683036961878</v>
      </c>
      <c r="CU209" s="772">
        <v>7.5528965224654776</v>
      </c>
      <c r="CV209" s="772">
        <v>7.6966167884721086</v>
      </c>
      <c r="CW209" s="772">
        <v>7.7597215277080558</v>
      </c>
      <c r="CX209" s="772">
        <v>7.7943758790838196</v>
      </c>
      <c r="CY209" s="772">
        <v>7.8302637296964051</v>
      </c>
      <c r="CZ209" s="772">
        <v>7.8670150297747679</v>
      </c>
      <c r="DA209" s="773">
        <v>0</v>
      </c>
      <c r="DB209" s="773">
        <v>0</v>
      </c>
      <c r="DC209" s="773">
        <v>0</v>
      </c>
      <c r="DD209" s="774">
        <v>0</v>
      </c>
      <c r="DE209" s="774">
        <v>0</v>
      </c>
      <c r="DF209" s="774">
        <v>0</v>
      </c>
      <c r="DG209" s="774">
        <v>0</v>
      </c>
      <c r="DH209" s="774">
        <v>0</v>
      </c>
      <c r="DI209" s="774">
        <v>0</v>
      </c>
      <c r="DJ209" s="774">
        <v>0</v>
      </c>
      <c r="DK209" s="774">
        <v>0</v>
      </c>
      <c r="DL209" s="774">
        <v>0</v>
      </c>
      <c r="DM209" s="774">
        <v>0</v>
      </c>
      <c r="DN209" s="774">
        <v>0</v>
      </c>
      <c r="DO209" s="774">
        <v>0</v>
      </c>
      <c r="DP209" s="773">
        <v>0</v>
      </c>
      <c r="DQ209" s="773">
        <v>0</v>
      </c>
      <c r="DR209" s="773">
        <v>0</v>
      </c>
      <c r="DS209" s="774">
        <v>0</v>
      </c>
      <c r="DT209" s="774">
        <v>0</v>
      </c>
      <c r="DU209" s="774">
        <v>0</v>
      </c>
      <c r="DV209" s="774">
        <v>0</v>
      </c>
      <c r="DW209" s="774">
        <v>0</v>
      </c>
      <c r="DX209" s="774">
        <v>0</v>
      </c>
      <c r="DY209" s="774">
        <v>0</v>
      </c>
      <c r="DZ209" s="774">
        <v>0</v>
      </c>
      <c r="EA209" s="774">
        <v>0</v>
      </c>
      <c r="EB209" s="774">
        <v>0</v>
      </c>
      <c r="EC209" s="774">
        <v>0</v>
      </c>
      <c r="ED209" s="774">
        <v>0</v>
      </c>
    </row>
    <row r="210" spans="1:134" ht="15" x14ac:dyDescent="0.25">
      <c r="A210" s="766">
        <v>102</v>
      </c>
      <c r="B210" s="766">
        <v>94</v>
      </c>
      <c r="C210" s="766" t="s">
        <v>3881</v>
      </c>
      <c r="D210" s="2">
        <v>99709</v>
      </c>
      <c r="E210" s="2">
        <v>99709</v>
      </c>
      <c r="F210" s="767" t="s">
        <v>3746</v>
      </c>
      <c r="G210" s="114">
        <v>62</v>
      </c>
      <c r="H210" s="114">
        <v>36</v>
      </c>
      <c r="I210" s="114">
        <v>31</v>
      </c>
      <c r="J210" s="114">
        <v>5</v>
      </c>
      <c r="K210" s="114">
        <v>0</v>
      </c>
      <c r="L210" s="114">
        <v>52</v>
      </c>
      <c r="M210" s="114">
        <v>52</v>
      </c>
      <c r="N210" s="114">
        <v>2</v>
      </c>
      <c r="O210" s="114">
        <v>0</v>
      </c>
      <c r="P210" s="114">
        <v>0</v>
      </c>
      <c r="Q210" s="114">
        <v>54</v>
      </c>
      <c r="R210" s="114">
        <v>0</v>
      </c>
      <c r="S210" s="114">
        <v>1464.9807692307693</v>
      </c>
      <c r="T210" s="114">
        <v>1464.9807692307693</v>
      </c>
      <c r="U210" s="114">
        <v>3984</v>
      </c>
      <c r="V210" s="114">
        <v>0</v>
      </c>
      <c r="W210" s="114">
        <v>0</v>
      </c>
      <c r="X210" s="114">
        <v>1558.2777777777778</v>
      </c>
      <c r="Y210" s="114">
        <v>0</v>
      </c>
      <c r="Z210" s="114">
        <v>36</v>
      </c>
      <c r="AA210" s="114">
        <v>0</v>
      </c>
      <c r="AB210" s="657">
        <v>2</v>
      </c>
      <c r="AC210" s="657">
        <v>0</v>
      </c>
      <c r="AD210" s="768">
        <v>38</v>
      </c>
      <c r="AE210" s="769">
        <v>0</v>
      </c>
      <c r="AF210" s="769">
        <v>31</v>
      </c>
      <c r="AG210" s="770">
        <v>31</v>
      </c>
      <c r="AH210" s="769">
        <v>0</v>
      </c>
      <c r="AI210" s="769">
        <v>0</v>
      </c>
      <c r="AJ210" s="769">
        <v>34.27770222027862</v>
      </c>
      <c r="AK210" s="769">
        <v>34.27770222027862</v>
      </c>
      <c r="AL210" s="769">
        <v>0</v>
      </c>
      <c r="AM210" s="769">
        <v>0</v>
      </c>
      <c r="AN210" s="769">
        <v>29.572593495837264</v>
      </c>
      <c r="AO210" s="769">
        <v>29.572593495837264</v>
      </c>
      <c r="AP210" s="769">
        <v>0</v>
      </c>
      <c r="AQ210" s="769">
        <v>1.9193314770024816</v>
      </c>
      <c r="AR210" s="769">
        <v>0</v>
      </c>
      <c r="AS210" s="769">
        <v>32.637801930613712</v>
      </c>
      <c r="AT210" s="769">
        <v>33.447703294875289</v>
      </c>
      <c r="AU210" s="769">
        <v>34.27770222027862</v>
      </c>
      <c r="AV210" s="769">
        <v>35.128297424299262</v>
      </c>
      <c r="AW210" s="769">
        <v>36</v>
      </c>
      <c r="AX210" s="769">
        <v>28.210912453872144</v>
      </c>
      <c r="AY210" s="769">
        <v>28.883729782440046</v>
      </c>
      <c r="AZ210" s="769">
        <v>29.572593495837264</v>
      </c>
      <c r="BA210" s="769">
        <v>30.277886292985432</v>
      </c>
      <c r="BB210" s="769">
        <v>31</v>
      </c>
      <c r="BC210" s="769">
        <v>1.8419166593062641</v>
      </c>
      <c r="BD210" s="769">
        <v>1.8802256838533424</v>
      </c>
      <c r="BE210" s="769">
        <v>1.9193314770024816</v>
      </c>
      <c r="BF210" s="769">
        <v>1.9592506103112393</v>
      </c>
      <c r="BG210" s="769">
        <v>2</v>
      </c>
      <c r="BH210" s="771">
        <v>36.336359671645894</v>
      </c>
      <c r="BI210" s="771">
        <v>36.675862060755946</v>
      </c>
      <c r="BJ210" s="771">
        <v>37.01853653075834</v>
      </c>
      <c r="BK210" s="772">
        <v>37.535615320918119</v>
      </c>
      <c r="BL210" s="772">
        <v>38.052694111077898</v>
      </c>
      <c r="BM210" s="772">
        <v>38.569772901237677</v>
      </c>
      <c r="BN210" s="772">
        <v>39.086851691397456</v>
      </c>
      <c r="BO210" s="772">
        <v>39.698263446515526</v>
      </c>
      <c r="BP210" s="772">
        <v>40.309675201633596</v>
      </c>
      <c r="BQ210" s="772">
        <v>42.004684106759612</v>
      </c>
      <c r="BR210" s="772">
        <v>44.024171198699868</v>
      </c>
      <c r="BS210" s="772">
        <v>44.910888221067275</v>
      </c>
      <c r="BT210" s="772">
        <v>45.397834267212822</v>
      </c>
      <c r="BU210" s="772">
        <v>45.902112843111453</v>
      </c>
      <c r="BV210" s="772">
        <v>46.418524189837242</v>
      </c>
      <c r="BW210" s="771">
        <v>31.289643050583965</v>
      </c>
      <c r="BX210" s="771">
        <v>31.5819923300954</v>
      </c>
      <c r="BY210" s="771">
        <v>31.877073123708566</v>
      </c>
      <c r="BZ210" s="772">
        <v>32.322335415235045</v>
      </c>
      <c r="CA210" s="772">
        <v>32.767597706761521</v>
      </c>
      <c r="CB210" s="772">
        <v>33.212859998287996</v>
      </c>
      <c r="CC210" s="772">
        <v>33.658122289814472</v>
      </c>
      <c r="CD210" s="772">
        <v>34.184615745610586</v>
      </c>
      <c r="CE210" s="772">
        <v>34.7111092014067</v>
      </c>
      <c r="CF210" s="772">
        <v>36.170700203042998</v>
      </c>
      <c r="CG210" s="772">
        <v>37.909702976658217</v>
      </c>
      <c r="CH210" s="772">
        <v>38.673264857030148</v>
      </c>
      <c r="CI210" s="772">
        <v>39.092579507877709</v>
      </c>
      <c r="CJ210" s="772">
        <v>39.5268193926793</v>
      </c>
      <c r="CK210" s="772">
        <v>39.971506941248734</v>
      </c>
      <c r="CL210" s="771">
        <v>2.0186866484247719</v>
      </c>
      <c r="CM210" s="771">
        <v>2.0375478922642194</v>
      </c>
      <c r="CN210" s="771">
        <v>2.0565853628199076</v>
      </c>
      <c r="CO210" s="772">
        <v>2.0853119622732286</v>
      </c>
      <c r="CP210" s="772">
        <v>2.1140385617265496</v>
      </c>
      <c r="CQ210" s="772">
        <v>2.1427651611798706</v>
      </c>
      <c r="CR210" s="772">
        <v>2.171491760633192</v>
      </c>
      <c r="CS210" s="772">
        <v>2.2054590803619734</v>
      </c>
      <c r="CT210" s="772">
        <v>2.2394264000907551</v>
      </c>
      <c r="CU210" s="772">
        <v>2.3335935614866448</v>
      </c>
      <c r="CV210" s="772">
        <v>2.4457872888166592</v>
      </c>
      <c r="CW210" s="772">
        <v>2.4950493456148486</v>
      </c>
      <c r="CX210" s="772">
        <v>2.5221019037340455</v>
      </c>
      <c r="CY210" s="772">
        <v>2.5501173801728583</v>
      </c>
      <c r="CZ210" s="772">
        <v>2.5788068994354023</v>
      </c>
      <c r="DA210" s="773">
        <v>0</v>
      </c>
      <c r="DB210" s="773">
        <v>0</v>
      </c>
      <c r="DC210" s="773">
        <v>0</v>
      </c>
      <c r="DD210" s="774">
        <v>0</v>
      </c>
      <c r="DE210" s="774">
        <v>0</v>
      </c>
      <c r="DF210" s="774">
        <v>0</v>
      </c>
      <c r="DG210" s="774">
        <v>0</v>
      </c>
      <c r="DH210" s="774">
        <v>0</v>
      </c>
      <c r="DI210" s="774">
        <v>0</v>
      </c>
      <c r="DJ210" s="774">
        <v>0</v>
      </c>
      <c r="DK210" s="774">
        <v>0</v>
      </c>
      <c r="DL210" s="774">
        <v>0</v>
      </c>
      <c r="DM210" s="774">
        <v>0</v>
      </c>
      <c r="DN210" s="774">
        <v>0</v>
      </c>
      <c r="DO210" s="774">
        <v>0</v>
      </c>
      <c r="DP210" s="773">
        <v>0</v>
      </c>
      <c r="DQ210" s="773">
        <v>0</v>
      </c>
      <c r="DR210" s="773">
        <v>0</v>
      </c>
      <c r="DS210" s="774">
        <v>0</v>
      </c>
      <c r="DT210" s="774">
        <v>0</v>
      </c>
      <c r="DU210" s="774">
        <v>0</v>
      </c>
      <c r="DV210" s="774">
        <v>0</v>
      </c>
      <c r="DW210" s="774">
        <v>0</v>
      </c>
      <c r="DX210" s="774">
        <v>0</v>
      </c>
      <c r="DY210" s="774">
        <v>0</v>
      </c>
      <c r="DZ210" s="774">
        <v>0</v>
      </c>
      <c r="EA210" s="774">
        <v>0</v>
      </c>
      <c r="EB210" s="774">
        <v>0</v>
      </c>
      <c r="EC210" s="774">
        <v>0</v>
      </c>
      <c r="ED210" s="774">
        <v>0</v>
      </c>
    </row>
    <row r="211" spans="1:134" ht="15" x14ac:dyDescent="0.25">
      <c r="A211" s="766">
        <v>103</v>
      </c>
      <c r="B211" s="766">
        <v>94</v>
      </c>
      <c r="C211" s="766" t="s">
        <v>3882</v>
      </c>
      <c r="D211" s="2">
        <v>99709</v>
      </c>
      <c r="E211" s="2">
        <v>99709</v>
      </c>
      <c r="F211" s="767" t="s">
        <v>3746</v>
      </c>
      <c r="G211" s="114">
        <v>258</v>
      </c>
      <c r="H211" s="114">
        <v>87</v>
      </c>
      <c r="I211" s="114">
        <v>83</v>
      </c>
      <c r="J211" s="114">
        <v>4</v>
      </c>
      <c r="K211" s="114">
        <v>1</v>
      </c>
      <c r="L211" s="114">
        <v>148</v>
      </c>
      <c r="M211" s="114">
        <v>149</v>
      </c>
      <c r="N211" s="114">
        <v>1</v>
      </c>
      <c r="O211" s="114">
        <v>0</v>
      </c>
      <c r="P211" s="114">
        <v>0</v>
      </c>
      <c r="Q211" s="114">
        <v>150</v>
      </c>
      <c r="R211" s="114">
        <v>87118</v>
      </c>
      <c r="S211" s="114">
        <v>3077.6756756756758</v>
      </c>
      <c r="T211" s="114">
        <v>3641.7046979865772</v>
      </c>
      <c r="U211" s="114">
        <v>864</v>
      </c>
      <c r="V211" s="114">
        <v>0</v>
      </c>
      <c r="W211" s="114">
        <v>0</v>
      </c>
      <c r="X211" s="114">
        <v>3623.1866666666665</v>
      </c>
      <c r="Y211" s="114">
        <v>0.58389261744966447</v>
      </c>
      <c r="Z211" s="114">
        <v>86.416107382550337</v>
      </c>
      <c r="AA211" s="114">
        <v>0</v>
      </c>
      <c r="AB211" s="657">
        <v>1</v>
      </c>
      <c r="AC211" s="657">
        <v>0</v>
      </c>
      <c r="AD211" s="768">
        <v>88</v>
      </c>
      <c r="AE211" s="769">
        <v>0.5570469798657719</v>
      </c>
      <c r="AF211" s="769">
        <v>82.442953020134226</v>
      </c>
      <c r="AG211" s="770">
        <v>83</v>
      </c>
      <c r="AH211" s="769">
        <v>0</v>
      </c>
      <c r="AI211" s="769">
        <v>0.55595825748774041</v>
      </c>
      <c r="AJ211" s="769">
        <v>82.28182210818558</v>
      </c>
      <c r="AK211" s="769">
        <v>82.837780365673325</v>
      </c>
      <c r="AL211" s="769">
        <v>0</v>
      </c>
      <c r="AM211" s="769">
        <v>0.53139754495659086</v>
      </c>
      <c r="AN211" s="769">
        <v>78.646836653575434</v>
      </c>
      <c r="AO211" s="769">
        <v>79.178234198532024</v>
      </c>
      <c r="AP211" s="769">
        <v>0</v>
      </c>
      <c r="AQ211" s="769">
        <v>0.95966573850124082</v>
      </c>
      <c r="AR211" s="769">
        <v>0</v>
      </c>
      <c r="AS211" s="769">
        <v>78.874687998983134</v>
      </c>
      <c r="AT211" s="769">
        <v>80.831949629281951</v>
      </c>
      <c r="AU211" s="769">
        <v>82.837780365673325</v>
      </c>
      <c r="AV211" s="769">
        <v>84.893385442056555</v>
      </c>
      <c r="AW211" s="769">
        <v>87</v>
      </c>
      <c r="AX211" s="769">
        <v>75.532443021657684</v>
      </c>
      <c r="AY211" s="769">
        <v>77.333857159436249</v>
      </c>
      <c r="AZ211" s="769">
        <v>79.178234198532039</v>
      </c>
      <c r="BA211" s="769">
        <v>81.066598784444864</v>
      </c>
      <c r="BB211" s="769">
        <v>83</v>
      </c>
      <c r="BC211" s="769">
        <v>0.92095832965313207</v>
      </c>
      <c r="BD211" s="769">
        <v>0.94011284192667122</v>
      </c>
      <c r="BE211" s="769">
        <v>0.95966573850124082</v>
      </c>
      <c r="BF211" s="769">
        <v>0.97962530515561963</v>
      </c>
      <c r="BG211" s="769">
        <v>1</v>
      </c>
      <c r="BH211" s="771">
        <v>87.812869206477572</v>
      </c>
      <c r="BI211" s="771">
        <v>88.633333313493537</v>
      </c>
      <c r="BJ211" s="771">
        <v>89.461463282665974</v>
      </c>
      <c r="BK211" s="772">
        <v>89.742419650718944</v>
      </c>
      <c r="BL211" s="772">
        <v>90.023376018771927</v>
      </c>
      <c r="BM211" s="772">
        <v>90.304332386824925</v>
      </c>
      <c r="BN211" s="772">
        <v>90.585288754877894</v>
      </c>
      <c r="BO211" s="772">
        <v>90.917501232689631</v>
      </c>
      <c r="BP211" s="772">
        <v>91.249713710501368</v>
      </c>
      <c r="BQ211" s="772">
        <v>92.170702068299789</v>
      </c>
      <c r="BR211" s="772">
        <v>93.26799665759458</v>
      </c>
      <c r="BS211" s="772">
        <v>93.749797108195352</v>
      </c>
      <c r="BT211" s="772">
        <v>94.014380756115912</v>
      </c>
      <c r="BU211" s="772">
        <v>94.288382087958624</v>
      </c>
      <c r="BV211" s="772">
        <v>94.568975798546887</v>
      </c>
      <c r="BW211" s="771">
        <v>83.775495909628034</v>
      </c>
      <c r="BX211" s="771">
        <v>84.558237528965108</v>
      </c>
      <c r="BY211" s="771">
        <v>85.34829255702617</v>
      </c>
      <c r="BZ211" s="772">
        <v>85.616331390915789</v>
      </c>
      <c r="CA211" s="772">
        <v>85.884370224805423</v>
      </c>
      <c r="CB211" s="772">
        <v>86.152409058695042</v>
      </c>
      <c r="CC211" s="772">
        <v>86.420447892584662</v>
      </c>
      <c r="CD211" s="772">
        <v>86.737386233485523</v>
      </c>
      <c r="CE211" s="772">
        <v>87.054324574386371</v>
      </c>
      <c r="CF211" s="772">
        <v>87.932968639872229</v>
      </c>
      <c r="CG211" s="772">
        <v>88.979812903222424</v>
      </c>
      <c r="CH211" s="772">
        <v>89.439461608967989</v>
      </c>
      <c r="CI211" s="772">
        <v>89.691880491466904</v>
      </c>
      <c r="CJ211" s="772">
        <v>89.953284060926052</v>
      </c>
      <c r="CK211" s="772">
        <v>90.220976911257395</v>
      </c>
      <c r="CL211" s="771">
        <v>1.0093433242123859</v>
      </c>
      <c r="CM211" s="771">
        <v>1.0187739461321097</v>
      </c>
      <c r="CN211" s="771">
        <v>1.0282926814099538</v>
      </c>
      <c r="CO211" s="772">
        <v>1.0315220649507926</v>
      </c>
      <c r="CP211" s="772">
        <v>1.0347514484916314</v>
      </c>
      <c r="CQ211" s="772">
        <v>1.0379808320324704</v>
      </c>
      <c r="CR211" s="772">
        <v>1.0412102155733092</v>
      </c>
      <c r="CS211" s="772">
        <v>1.0450287498010302</v>
      </c>
      <c r="CT211" s="772">
        <v>1.0488472840287515</v>
      </c>
      <c r="CU211" s="772">
        <v>1.0594333571068941</v>
      </c>
      <c r="CV211" s="772">
        <v>1.0720459385930412</v>
      </c>
      <c r="CW211" s="772">
        <v>1.0775838748068431</v>
      </c>
      <c r="CX211" s="772">
        <v>1.0806250661622518</v>
      </c>
      <c r="CY211" s="772">
        <v>1.0837745067581452</v>
      </c>
      <c r="CZ211" s="772">
        <v>1.0869997218223781</v>
      </c>
      <c r="DA211" s="773">
        <v>0</v>
      </c>
      <c r="DB211" s="773">
        <v>0</v>
      </c>
      <c r="DC211" s="773">
        <v>0</v>
      </c>
      <c r="DD211" s="774">
        <v>0</v>
      </c>
      <c r="DE211" s="774">
        <v>0</v>
      </c>
      <c r="DF211" s="774">
        <v>0</v>
      </c>
      <c r="DG211" s="774">
        <v>0</v>
      </c>
      <c r="DH211" s="774">
        <v>0</v>
      </c>
      <c r="DI211" s="774">
        <v>0</v>
      </c>
      <c r="DJ211" s="774">
        <v>0</v>
      </c>
      <c r="DK211" s="774">
        <v>0</v>
      </c>
      <c r="DL211" s="774">
        <v>0</v>
      </c>
      <c r="DM211" s="774">
        <v>0</v>
      </c>
      <c r="DN211" s="774">
        <v>0</v>
      </c>
      <c r="DO211" s="774">
        <v>0</v>
      </c>
      <c r="DP211" s="773">
        <v>0</v>
      </c>
      <c r="DQ211" s="773">
        <v>0</v>
      </c>
      <c r="DR211" s="773">
        <v>0</v>
      </c>
      <c r="DS211" s="774">
        <v>0</v>
      </c>
      <c r="DT211" s="774">
        <v>0</v>
      </c>
      <c r="DU211" s="774">
        <v>0</v>
      </c>
      <c r="DV211" s="774">
        <v>0</v>
      </c>
      <c r="DW211" s="774">
        <v>0</v>
      </c>
      <c r="DX211" s="774">
        <v>0</v>
      </c>
      <c r="DY211" s="774">
        <v>0</v>
      </c>
      <c r="DZ211" s="774">
        <v>0</v>
      </c>
      <c r="EA211" s="774">
        <v>0</v>
      </c>
      <c r="EB211" s="774">
        <v>0</v>
      </c>
      <c r="EC211" s="774">
        <v>0</v>
      </c>
      <c r="ED211" s="774">
        <v>0</v>
      </c>
    </row>
    <row r="212" spans="1:134" ht="15" x14ac:dyDescent="0.25">
      <c r="A212" s="766">
        <v>104</v>
      </c>
      <c r="B212" s="766">
        <v>94</v>
      </c>
      <c r="C212" s="766" t="s">
        <v>3883</v>
      </c>
      <c r="D212" s="2">
        <v>99709</v>
      </c>
      <c r="E212" s="2">
        <v>99709</v>
      </c>
      <c r="F212" s="767" t="s">
        <v>3746</v>
      </c>
      <c r="G212" s="114">
        <v>2321</v>
      </c>
      <c r="H212" s="114">
        <v>983</v>
      </c>
      <c r="I212" s="114">
        <v>933</v>
      </c>
      <c r="J212" s="114">
        <v>50</v>
      </c>
      <c r="K212" s="114">
        <v>27</v>
      </c>
      <c r="L212" s="114">
        <v>552</v>
      </c>
      <c r="M212" s="114">
        <v>579</v>
      </c>
      <c r="N212" s="114">
        <v>6</v>
      </c>
      <c r="O212" s="114">
        <v>0</v>
      </c>
      <c r="P212" s="114">
        <v>0</v>
      </c>
      <c r="Q212" s="114">
        <v>585</v>
      </c>
      <c r="R212" s="114">
        <v>7393.1111111111113</v>
      </c>
      <c r="S212" s="114">
        <v>2418.338768115942</v>
      </c>
      <c r="T212" s="114">
        <v>2650.322970639033</v>
      </c>
      <c r="U212" s="114">
        <v>11231.5</v>
      </c>
      <c r="V212" s="114">
        <v>0</v>
      </c>
      <c r="W212" s="114">
        <v>0</v>
      </c>
      <c r="X212" s="114">
        <v>2738.3350427350429</v>
      </c>
      <c r="Y212" s="114">
        <v>45.839378238341972</v>
      </c>
      <c r="Z212" s="114">
        <v>937.16062176165804</v>
      </c>
      <c r="AA212" s="114">
        <v>0</v>
      </c>
      <c r="AB212" s="657">
        <v>6</v>
      </c>
      <c r="AC212" s="657">
        <v>0</v>
      </c>
      <c r="AD212" s="768">
        <v>989</v>
      </c>
      <c r="AE212" s="769">
        <v>43.50777202072539</v>
      </c>
      <c r="AF212" s="769">
        <v>889.49222797927462</v>
      </c>
      <c r="AG212" s="770">
        <v>933</v>
      </c>
      <c r="AH212" s="769">
        <v>0</v>
      </c>
      <c r="AI212" s="769">
        <v>43.646348811572388</v>
      </c>
      <c r="AJ212" s="769">
        <v>892.32535348103545</v>
      </c>
      <c r="AK212" s="769">
        <v>935.9717022926078</v>
      </c>
      <c r="AL212" s="769">
        <v>0</v>
      </c>
      <c r="AM212" s="769">
        <v>41.504440512208845</v>
      </c>
      <c r="AN212" s="769">
        <v>848.53522824960305</v>
      </c>
      <c r="AO212" s="769">
        <v>890.03966876181187</v>
      </c>
      <c r="AP212" s="769">
        <v>0</v>
      </c>
      <c r="AQ212" s="769">
        <v>5.7579944310074449</v>
      </c>
      <c r="AR212" s="769">
        <v>0</v>
      </c>
      <c r="AS212" s="769">
        <v>891.19331382759106</v>
      </c>
      <c r="AT212" s="769">
        <v>913.30812052395584</v>
      </c>
      <c r="AU212" s="769">
        <v>935.9717022926078</v>
      </c>
      <c r="AV212" s="769">
        <v>959.19767689128264</v>
      </c>
      <c r="AW212" s="769">
        <v>983</v>
      </c>
      <c r="AX212" s="769">
        <v>849.05746191815194</v>
      </c>
      <c r="AY212" s="769">
        <v>869.30709312956651</v>
      </c>
      <c r="AZ212" s="769">
        <v>890.03966876181187</v>
      </c>
      <c r="BA212" s="769">
        <v>911.26670681791643</v>
      </c>
      <c r="BB212" s="769">
        <v>933</v>
      </c>
      <c r="BC212" s="769">
        <v>5.5257499779187924</v>
      </c>
      <c r="BD212" s="769">
        <v>5.6406770515600275</v>
      </c>
      <c r="BE212" s="769">
        <v>5.7579944310074449</v>
      </c>
      <c r="BF212" s="769">
        <v>5.8777518309337182</v>
      </c>
      <c r="BG212" s="769">
        <v>6</v>
      </c>
      <c r="BH212" s="771">
        <v>990.91115179976782</v>
      </c>
      <c r="BI212" s="771">
        <v>998.8859722900736</v>
      </c>
      <c r="BJ212" s="771">
        <v>1006.9249738744535</v>
      </c>
      <c r="BK212" s="772">
        <v>1010.1626517422575</v>
      </c>
      <c r="BL212" s="772">
        <v>1013.4003296100615</v>
      </c>
      <c r="BM212" s="772">
        <v>1016.6380074778652</v>
      </c>
      <c r="BN212" s="772">
        <v>1019.8756853456692</v>
      </c>
      <c r="BO212" s="772">
        <v>1023.704027071017</v>
      </c>
      <c r="BP212" s="772">
        <v>1027.5323687963648</v>
      </c>
      <c r="BQ212" s="772">
        <v>1038.145631073399</v>
      </c>
      <c r="BR212" s="772">
        <v>1050.7906066290013</v>
      </c>
      <c r="BS212" s="772">
        <v>1056.3427664409264</v>
      </c>
      <c r="BT212" s="772">
        <v>1059.3917687717569</v>
      </c>
      <c r="BU212" s="772">
        <v>1062.5492983696934</v>
      </c>
      <c r="BV212" s="772">
        <v>1065.7827970546041</v>
      </c>
      <c r="BW212" s="771">
        <v>940.50875343762289</v>
      </c>
      <c r="BX212" s="771">
        <v>948.07793707694668</v>
      </c>
      <c r="BY212" s="771">
        <v>955.70803725825544</v>
      </c>
      <c r="BZ212" s="772">
        <v>958.78103161294632</v>
      </c>
      <c r="CA212" s="772">
        <v>961.8540259676372</v>
      </c>
      <c r="CB212" s="772">
        <v>964.92702032232785</v>
      </c>
      <c r="CC212" s="772">
        <v>968.00001467701873</v>
      </c>
      <c r="CD212" s="772">
        <v>971.6336289493986</v>
      </c>
      <c r="CE212" s="772">
        <v>975.26724322177859</v>
      </c>
      <c r="CF212" s="772">
        <v>985.34066509814977</v>
      </c>
      <c r="CG212" s="772">
        <v>997.34245776689534</v>
      </c>
      <c r="CH212" s="772">
        <v>1002.6122086361997</v>
      </c>
      <c r="CI212" s="772">
        <v>1005.5061243784835</v>
      </c>
      <c r="CJ212" s="772">
        <v>1008.5030471810009</v>
      </c>
      <c r="CK212" s="772">
        <v>1011.5720749256823</v>
      </c>
      <c r="CL212" s="771">
        <v>6.0482878034573826</v>
      </c>
      <c r="CM212" s="771">
        <v>6.0969642255752206</v>
      </c>
      <c r="CN212" s="771">
        <v>6.1460323939437647</v>
      </c>
      <c r="CO212" s="772">
        <v>6.1657944155173396</v>
      </c>
      <c r="CP212" s="772">
        <v>6.1855564370909146</v>
      </c>
      <c r="CQ212" s="772">
        <v>6.2053184586644878</v>
      </c>
      <c r="CR212" s="772">
        <v>6.2250804802380628</v>
      </c>
      <c r="CS212" s="772">
        <v>6.2484477745942035</v>
      </c>
      <c r="CT212" s="772">
        <v>6.2718150689503442</v>
      </c>
      <c r="CU212" s="772">
        <v>6.3365959170299018</v>
      </c>
      <c r="CV212" s="772">
        <v>6.4137778634527027</v>
      </c>
      <c r="CW212" s="772">
        <v>6.4476669365672006</v>
      </c>
      <c r="CX212" s="772">
        <v>6.4662773271928193</v>
      </c>
      <c r="CY212" s="772">
        <v>6.4855501426430919</v>
      </c>
      <c r="CZ212" s="772">
        <v>6.5052866554706252</v>
      </c>
      <c r="DA212" s="773">
        <v>0</v>
      </c>
      <c r="DB212" s="773">
        <v>0</v>
      </c>
      <c r="DC212" s="773">
        <v>0</v>
      </c>
      <c r="DD212" s="774">
        <v>0</v>
      </c>
      <c r="DE212" s="774">
        <v>0</v>
      </c>
      <c r="DF212" s="774">
        <v>0</v>
      </c>
      <c r="DG212" s="774">
        <v>0</v>
      </c>
      <c r="DH212" s="774">
        <v>0</v>
      </c>
      <c r="DI212" s="774">
        <v>0</v>
      </c>
      <c r="DJ212" s="774">
        <v>0</v>
      </c>
      <c r="DK212" s="774">
        <v>0</v>
      </c>
      <c r="DL212" s="774">
        <v>0</v>
      </c>
      <c r="DM212" s="774">
        <v>0</v>
      </c>
      <c r="DN212" s="774">
        <v>0</v>
      </c>
      <c r="DO212" s="774">
        <v>0</v>
      </c>
      <c r="DP212" s="773">
        <v>0</v>
      </c>
      <c r="DQ212" s="773">
        <v>0</v>
      </c>
      <c r="DR212" s="773">
        <v>0</v>
      </c>
      <c r="DS212" s="774">
        <v>0</v>
      </c>
      <c r="DT212" s="774">
        <v>0</v>
      </c>
      <c r="DU212" s="774">
        <v>0</v>
      </c>
      <c r="DV212" s="774">
        <v>0</v>
      </c>
      <c r="DW212" s="774">
        <v>0</v>
      </c>
      <c r="DX212" s="774">
        <v>0</v>
      </c>
      <c r="DY212" s="774">
        <v>0</v>
      </c>
      <c r="DZ212" s="774">
        <v>0</v>
      </c>
      <c r="EA212" s="774">
        <v>0</v>
      </c>
      <c r="EB212" s="774">
        <v>0</v>
      </c>
      <c r="EC212" s="774">
        <v>0</v>
      </c>
      <c r="ED212" s="774">
        <v>0</v>
      </c>
    </row>
    <row r="213" spans="1:134" ht="15" x14ac:dyDescent="0.25">
      <c r="A213" s="766">
        <v>105</v>
      </c>
      <c r="B213" s="766">
        <v>94</v>
      </c>
      <c r="C213" s="766" t="s">
        <v>3884</v>
      </c>
      <c r="D213" s="2">
        <v>99709</v>
      </c>
      <c r="E213" s="2">
        <v>99709</v>
      </c>
      <c r="F213" s="767" t="s">
        <v>3746</v>
      </c>
      <c r="G213" s="114">
        <v>1308</v>
      </c>
      <c r="H213" s="114">
        <v>508</v>
      </c>
      <c r="I213" s="114">
        <v>489</v>
      </c>
      <c r="J213" s="114">
        <v>19</v>
      </c>
      <c r="K213" s="114">
        <v>15</v>
      </c>
      <c r="L213" s="114">
        <v>325</v>
      </c>
      <c r="M213" s="114">
        <v>340</v>
      </c>
      <c r="N213" s="114">
        <v>9</v>
      </c>
      <c r="O213" s="114">
        <v>0</v>
      </c>
      <c r="P213" s="114">
        <v>0</v>
      </c>
      <c r="Q213" s="114">
        <v>349</v>
      </c>
      <c r="R213" s="114">
        <v>5749.8666666666668</v>
      </c>
      <c r="S213" s="114">
        <v>2513.8953846153845</v>
      </c>
      <c r="T213" s="114">
        <v>2656.6588235294116</v>
      </c>
      <c r="U213" s="114">
        <v>9360</v>
      </c>
      <c r="V213" s="114">
        <v>0</v>
      </c>
      <c r="W213" s="114">
        <v>0</v>
      </c>
      <c r="X213" s="114">
        <v>2829.5243553008595</v>
      </c>
      <c r="Y213" s="114">
        <v>22.411764705882351</v>
      </c>
      <c r="Z213" s="114">
        <v>485.58823529411762</v>
      </c>
      <c r="AA213" s="114">
        <v>0</v>
      </c>
      <c r="AB213" s="657">
        <v>9</v>
      </c>
      <c r="AC213" s="657">
        <v>0</v>
      </c>
      <c r="AD213" s="768">
        <v>517</v>
      </c>
      <c r="AE213" s="769">
        <v>21.573529411764707</v>
      </c>
      <c r="AF213" s="769">
        <v>467.4264705882353</v>
      </c>
      <c r="AG213" s="770">
        <v>489</v>
      </c>
      <c r="AH213" s="769">
        <v>0</v>
      </c>
      <c r="AI213" s="769">
        <v>21.339549911644038</v>
      </c>
      <c r="AJ213" s="769">
        <v>462.35691475228754</v>
      </c>
      <c r="AK213" s="769">
        <v>483.69646466393158</v>
      </c>
      <c r="AL213" s="769">
        <v>0</v>
      </c>
      <c r="AM213" s="769">
        <v>20.580168244019578</v>
      </c>
      <c r="AN213" s="769">
        <v>445.90364528709085</v>
      </c>
      <c r="AO213" s="769">
        <v>466.48381353111046</v>
      </c>
      <c r="AP213" s="769">
        <v>0</v>
      </c>
      <c r="AQ213" s="769">
        <v>8.6369916465111682</v>
      </c>
      <c r="AR213" s="769">
        <v>0</v>
      </c>
      <c r="AS213" s="769">
        <v>460.55564946532684</v>
      </c>
      <c r="AT213" s="769">
        <v>471.9842576054624</v>
      </c>
      <c r="AU213" s="769">
        <v>483.69646466393158</v>
      </c>
      <c r="AV213" s="769">
        <v>495.69930809844516</v>
      </c>
      <c r="AW213" s="769">
        <v>508</v>
      </c>
      <c r="AX213" s="769">
        <v>445.00439322398319</v>
      </c>
      <c r="AY213" s="769">
        <v>455.61754398752203</v>
      </c>
      <c r="AZ213" s="769">
        <v>466.4838135311104</v>
      </c>
      <c r="BA213" s="769">
        <v>477.60923862160894</v>
      </c>
      <c r="BB213" s="769">
        <v>489</v>
      </c>
      <c r="BC213" s="769">
        <v>8.2886249668781886</v>
      </c>
      <c r="BD213" s="769">
        <v>8.4610155773400404</v>
      </c>
      <c r="BE213" s="769">
        <v>8.6369916465111682</v>
      </c>
      <c r="BF213" s="769">
        <v>8.8166277464005773</v>
      </c>
      <c r="BG213" s="769">
        <v>9</v>
      </c>
      <c r="BH213" s="771">
        <v>512.08836735939167</v>
      </c>
      <c r="BI213" s="771">
        <v>516.2096377653686</v>
      </c>
      <c r="BJ213" s="771">
        <v>520.36407602057204</v>
      </c>
      <c r="BK213" s="772">
        <v>521.91705887860621</v>
      </c>
      <c r="BL213" s="772">
        <v>523.4700417366405</v>
      </c>
      <c r="BM213" s="772">
        <v>525.02302459467489</v>
      </c>
      <c r="BN213" s="772">
        <v>526.57600745270906</v>
      </c>
      <c r="BO213" s="772">
        <v>528.41230782504806</v>
      </c>
      <c r="BP213" s="772">
        <v>530.24860819738706</v>
      </c>
      <c r="BQ213" s="772">
        <v>535.33935998216384</v>
      </c>
      <c r="BR213" s="772">
        <v>541.40464228630856</v>
      </c>
      <c r="BS213" s="772">
        <v>544.06778833265537</v>
      </c>
      <c r="BT213" s="772">
        <v>545.5302711821605</v>
      </c>
      <c r="BU213" s="772">
        <v>547.04481016335239</v>
      </c>
      <c r="BV213" s="772">
        <v>548.595788436725</v>
      </c>
      <c r="BW213" s="771">
        <v>492.93545598177667</v>
      </c>
      <c r="BX213" s="771">
        <v>496.90258438438042</v>
      </c>
      <c r="BY213" s="771">
        <v>500.90164010641683</v>
      </c>
      <c r="BZ213" s="772">
        <v>502.39653895991825</v>
      </c>
      <c r="CA213" s="772">
        <v>503.89143781341977</v>
      </c>
      <c r="CB213" s="772">
        <v>505.3863366669213</v>
      </c>
      <c r="CC213" s="772">
        <v>506.88123552042276</v>
      </c>
      <c r="CD213" s="772">
        <v>508.64885536702462</v>
      </c>
      <c r="CE213" s="772">
        <v>510.41647521362654</v>
      </c>
      <c r="CF213" s="772">
        <v>515.31682486472073</v>
      </c>
      <c r="CG213" s="772">
        <v>521.15525605906487</v>
      </c>
      <c r="CH213" s="772">
        <v>523.71879624934752</v>
      </c>
      <c r="CI213" s="772">
        <v>525.12657993715857</v>
      </c>
      <c r="CJ213" s="772">
        <v>526.58447277535299</v>
      </c>
      <c r="CK213" s="772">
        <v>528.07744201881599</v>
      </c>
      <c r="CL213" s="771">
        <v>9.072431705186073</v>
      </c>
      <c r="CM213" s="771">
        <v>9.1454463383628308</v>
      </c>
      <c r="CN213" s="771">
        <v>9.2190485909156479</v>
      </c>
      <c r="CO213" s="772">
        <v>9.2465620667469626</v>
      </c>
      <c r="CP213" s="772">
        <v>9.274075542578279</v>
      </c>
      <c r="CQ213" s="772">
        <v>9.3015890184095955</v>
      </c>
      <c r="CR213" s="772">
        <v>9.3291024942409102</v>
      </c>
      <c r="CS213" s="772">
        <v>9.3616353748532148</v>
      </c>
      <c r="CT213" s="772">
        <v>9.3941682554655195</v>
      </c>
      <c r="CU213" s="772">
        <v>9.4843587398414861</v>
      </c>
      <c r="CV213" s="772">
        <v>9.5918145286944458</v>
      </c>
      <c r="CW213" s="772">
        <v>9.6389962499879918</v>
      </c>
      <c r="CX213" s="772">
        <v>9.6649063792115069</v>
      </c>
      <c r="CY213" s="772">
        <v>9.6917387627365592</v>
      </c>
      <c r="CZ213" s="772">
        <v>9.7192167242726875</v>
      </c>
      <c r="DA213" s="773">
        <v>0</v>
      </c>
      <c r="DB213" s="773">
        <v>0</v>
      </c>
      <c r="DC213" s="773">
        <v>0</v>
      </c>
      <c r="DD213" s="774">
        <v>0</v>
      </c>
      <c r="DE213" s="774">
        <v>0</v>
      </c>
      <c r="DF213" s="774">
        <v>0</v>
      </c>
      <c r="DG213" s="774">
        <v>0</v>
      </c>
      <c r="DH213" s="774">
        <v>0</v>
      </c>
      <c r="DI213" s="774">
        <v>0</v>
      </c>
      <c r="DJ213" s="774">
        <v>0</v>
      </c>
      <c r="DK213" s="774">
        <v>0</v>
      </c>
      <c r="DL213" s="774">
        <v>0</v>
      </c>
      <c r="DM213" s="774">
        <v>0</v>
      </c>
      <c r="DN213" s="774">
        <v>0</v>
      </c>
      <c r="DO213" s="774">
        <v>0</v>
      </c>
      <c r="DP213" s="773">
        <v>0</v>
      </c>
      <c r="DQ213" s="773">
        <v>0</v>
      </c>
      <c r="DR213" s="773">
        <v>0</v>
      </c>
      <c r="DS213" s="774">
        <v>0</v>
      </c>
      <c r="DT213" s="774">
        <v>0</v>
      </c>
      <c r="DU213" s="774">
        <v>0</v>
      </c>
      <c r="DV213" s="774">
        <v>0</v>
      </c>
      <c r="DW213" s="774">
        <v>0</v>
      </c>
      <c r="DX213" s="774">
        <v>0</v>
      </c>
      <c r="DY213" s="774">
        <v>0</v>
      </c>
      <c r="DZ213" s="774">
        <v>0</v>
      </c>
      <c r="EA213" s="774">
        <v>0</v>
      </c>
      <c r="EB213" s="774">
        <v>0</v>
      </c>
      <c r="EC213" s="774">
        <v>0</v>
      </c>
      <c r="ED213" s="774">
        <v>0</v>
      </c>
    </row>
    <row r="214" spans="1:134" ht="15" x14ac:dyDescent="0.25">
      <c r="A214" s="766">
        <v>106</v>
      </c>
      <c r="B214" s="766">
        <v>94</v>
      </c>
      <c r="C214" s="766" t="s">
        <v>3885</v>
      </c>
      <c r="D214" s="2">
        <v>99709</v>
      </c>
      <c r="E214" s="2">
        <v>99709</v>
      </c>
      <c r="F214" s="767" t="s">
        <v>3746</v>
      </c>
      <c r="G214" s="114">
        <v>1331</v>
      </c>
      <c r="H214" s="114">
        <v>577</v>
      </c>
      <c r="I214" s="114">
        <v>518</v>
      </c>
      <c r="J214" s="114">
        <v>59</v>
      </c>
      <c r="K214" s="114">
        <v>9</v>
      </c>
      <c r="L214" s="114">
        <v>288</v>
      </c>
      <c r="M214" s="114">
        <v>297</v>
      </c>
      <c r="N214" s="114">
        <v>24</v>
      </c>
      <c r="O214" s="114">
        <v>0</v>
      </c>
      <c r="P214" s="114">
        <v>0</v>
      </c>
      <c r="Q214" s="114">
        <v>321</v>
      </c>
      <c r="R214" s="114">
        <v>4333.4444444444443</v>
      </c>
      <c r="S214" s="114">
        <v>2359.7048611111113</v>
      </c>
      <c r="T214" s="114">
        <v>2419.5151515151515</v>
      </c>
      <c r="U214" s="114">
        <v>8092.958333333333</v>
      </c>
      <c r="V214" s="114">
        <v>0</v>
      </c>
      <c r="W214" s="114">
        <v>0</v>
      </c>
      <c r="X214" s="114">
        <v>2843.6978193146419</v>
      </c>
      <c r="Y214" s="114">
        <v>17.484848484848484</v>
      </c>
      <c r="Z214" s="114">
        <v>559.5151515151515</v>
      </c>
      <c r="AA214" s="114">
        <v>0</v>
      </c>
      <c r="AB214" s="657">
        <v>24</v>
      </c>
      <c r="AC214" s="657">
        <v>0</v>
      </c>
      <c r="AD214" s="768">
        <v>601</v>
      </c>
      <c r="AE214" s="769">
        <v>15.696969696969695</v>
      </c>
      <c r="AF214" s="769">
        <v>502.30303030303025</v>
      </c>
      <c r="AG214" s="770">
        <v>518</v>
      </c>
      <c r="AH214" s="769">
        <v>0</v>
      </c>
      <c r="AI214" s="769">
        <v>16.648345270286836</v>
      </c>
      <c r="AJ214" s="769">
        <v>532.74704864917874</v>
      </c>
      <c r="AK214" s="769">
        <v>549.39539391946562</v>
      </c>
      <c r="AL214" s="769">
        <v>0</v>
      </c>
      <c r="AM214" s="769">
        <v>14.974196902095505</v>
      </c>
      <c r="AN214" s="769">
        <v>479.17430086705616</v>
      </c>
      <c r="AO214" s="769">
        <v>494.14849776915167</v>
      </c>
      <c r="AP214" s="769">
        <v>0</v>
      </c>
      <c r="AQ214" s="769">
        <v>23.03197772402978</v>
      </c>
      <c r="AR214" s="769">
        <v>0</v>
      </c>
      <c r="AS214" s="769">
        <v>523.11143649900305</v>
      </c>
      <c r="AT214" s="769">
        <v>536.09235558730666</v>
      </c>
      <c r="AU214" s="769">
        <v>549.39539391946562</v>
      </c>
      <c r="AV214" s="769">
        <v>563.0285448283521</v>
      </c>
      <c r="AW214" s="769">
        <v>577</v>
      </c>
      <c r="AX214" s="769">
        <v>471.39524680986358</v>
      </c>
      <c r="AY214" s="769">
        <v>482.63780733238525</v>
      </c>
      <c r="AZ214" s="769">
        <v>494.14849776915173</v>
      </c>
      <c r="BA214" s="769">
        <v>505.93371289569205</v>
      </c>
      <c r="BB214" s="769">
        <v>518</v>
      </c>
      <c r="BC214" s="769">
        <v>22.10299991167517</v>
      </c>
      <c r="BD214" s="769">
        <v>22.56270820624011</v>
      </c>
      <c r="BE214" s="769">
        <v>23.03197772402978</v>
      </c>
      <c r="BF214" s="769">
        <v>23.511007323734873</v>
      </c>
      <c r="BG214" s="769">
        <v>24</v>
      </c>
      <c r="BH214" s="771">
        <v>583.11260746506605</v>
      </c>
      <c r="BI214" s="771">
        <v>589.28997051075942</v>
      </c>
      <c r="BJ214" s="771">
        <v>595.53277514305159</v>
      </c>
      <c r="BK214" s="772">
        <v>597.44061934287083</v>
      </c>
      <c r="BL214" s="772">
        <v>599.34846354268996</v>
      </c>
      <c r="BM214" s="772">
        <v>601.25630774250919</v>
      </c>
      <c r="BN214" s="772">
        <v>603.16415194232832</v>
      </c>
      <c r="BO214" s="772">
        <v>605.42005257662606</v>
      </c>
      <c r="BP214" s="772">
        <v>607.67595321092358</v>
      </c>
      <c r="BQ214" s="772">
        <v>613.92995737784622</v>
      </c>
      <c r="BR214" s="772">
        <v>621.38117527401528</v>
      </c>
      <c r="BS214" s="772">
        <v>624.65285835249119</v>
      </c>
      <c r="BT214" s="772">
        <v>626.44952301451804</v>
      </c>
      <c r="BU214" s="772">
        <v>628.31013879383477</v>
      </c>
      <c r="BV214" s="772">
        <v>630.21552035525451</v>
      </c>
      <c r="BW214" s="771">
        <v>523.48757481265886</v>
      </c>
      <c r="BX214" s="771">
        <v>529.03328375142701</v>
      </c>
      <c r="BY214" s="771">
        <v>534.63774267608449</v>
      </c>
      <c r="BZ214" s="772">
        <v>536.35050402011632</v>
      </c>
      <c r="CA214" s="772">
        <v>538.06326536414804</v>
      </c>
      <c r="CB214" s="772">
        <v>539.77602670817987</v>
      </c>
      <c r="CC214" s="772">
        <v>541.48878805221159</v>
      </c>
      <c r="CD214" s="772">
        <v>543.51401600466602</v>
      </c>
      <c r="CE214" s="772">
        <v>545.53924395712033</v>
      </c>
      <c r="CF214" s="772">
        <v>551.15375723002489</v>
      </c>
      <c r="CG214" s="772">
        <v>557.84306549729627</v>
      </c>
      <c r="CH214" s="772">
        <v>560.78020905821563</v>
      </c>
      <c r="CI214" s="772">
        <v>562.39315930939404</v>
      </c>
      <c r="CJ214" s="772">
        <v>564.06352148216024</v>
      </c>
      <c r="CK214" s="772">
        <v>565.7740720000379</v>
      </c>
      <c r="CL214" s="771">
        <v>24.254250570470681</v>
      </c>
      <c r="CM214" s="771">
        <v>24.511194613965728</v>
      </c>
      <c r="CN214" s="771">
        <v>24.77086066452901</v>
      </c>
      <c r="CO214" s="772">
        <v>24.85021640247643</v>
      </c>
      <c r="CP214" s="772">
        <v>24.929572140423847</v>
      </c>
      <c r="CQ214" s="772">
        <v>25.008927878371267</v>
      </c>
      <c r="CR214" s="772">
        <v>25.088283616318687</v>
      </c>
      <c r="CS214" s="772">
        <v>25.182116571644759</v>
      </c>
      <c r="CT214" s="772">
        <v>25.275949526970827</v>
      </c>
      <c r="CU214" s="772">
        <v>25.536081416062931</v>
      </c>
      <c r="CV214" s="772">
        <v>25.846010756631486</v>
      </c>
      <c r="CW214" s="772">
        <v>25.982094628179876</v>
      </c>
      <c r="CX214" s="772">
        <v>26.056825913948757</v>
      </c>
      <c r="CY214" s="772">
        <v>26.134217211528657</v>
      </c>
      <c r="CZ214" s="772">
        <v>26.213470517376273</v>
      </c>
      <c r="DA214" s="773">
        <v>0</v>
      </c>
      <c r="DB214" s="773">
        <v>0</v>
      </c>
      <c r="DC214" s="773">
        <v>0</v>
      </c>
      <c r="DD214" s="774">
        <v>0</v>
      </c>
      <c r="DE214" s="774">
        <v>0</v>
      </c>
      <c r="DF214" s="774">
        <v>0</v>
      </c>
      <c r="DG214" s="774">
        <v>0</v>
      </c>
      <c r="DH214" s="774">
        <v>0</v>
      </c>
      <c r="DI214" s="774">
        <v>0</v>
      </c>
      <c r="DJ214" s="774">
        <v>0</v>
      </c>
      <c r="DK214" s="774">
        <v>0</v>
      </c>
      <c r="DL214" s="774">
        <v>0</v>
      </c>
      <c r="DM214" s="774">
        <v>0</v>
      </c>
      <c r="DN214" s="774">
        <v>0</v>
      </c>
      <c r="DO214" s="774">
        <v>0</v>
      </c>
      <c r="DP214" s="773">
        <v>0</v>
      </c>
      <c r="DQ214" s="773">
        <v>0</v>
      </c>
      <c r="DR214" s="773">
        <v>0</v>
      </c>
      <c r="DS214" s="774">
        <v>0</v>
      </c>
      <c r="DT214" s="774">
        <v>0</v>
      </c>
      <c r="DU214" s="774">
        <v>0</v>
      </c>
      <c r="DV214" s="774">
        <v>0</v>
      </c>
      <c r="DW214" s="774">
        <v>0</v>
      </c>
      <c r="DX214" s="774">
        <v>0</v>
      </c>
      <c r="DY214" s="774">
        <v>0</v>
      </c>
      <c r="DZ214" s="774">
        <v>0</v>
      </c>
      <c r="EA214" s="774">
        <v>0</v>
      </c>
      <c r="EB214" s="774">
        <v>0</v>
      </c>
      <c r="EC214" s="774">
        <v>0</v>
      </c>
      <c r="ED214" s="774">
        <v>0</v>
      </c>
    </row>
    <row r="215" spans="1:134" ht="15" x14ac:dyDescent="0.25">
      <c r="A215" s="766">
        <v>107</v>
      </c>
      <c r="B215" s="766">
        <v>94</v>
      </c>
      <c r="C215" s="766" t="s">
        <v>3886</v>
      </c>
      <c r="D215" s="2">
        <v>99709</v>
      </c>
      <c r="E215" s="2">
        <v>99709</v>
      </c>
      <c r="F215" s="767" t="s">
        <v>3746</v>
      </c>
      <c r="G215" s="114">
        <v>1501</v>
      </c>
      <c r="H215" s="114">
        <v>566</v>
      </c>
      <c r="I215" s="114">
        <v>538</v>
      </c>
      <c r="J215" s="114">
        <v>28</v>
      </c>
      <c r="K215" s="114">
        <v>3</v>
      </c>
      <c r="L215" s="114">
        <v>456</v>
      </c>
      <c r="M215" s="114">
        <v>459</v>
      </c>
      <c r="N215" s="114">
        <v>22</v>
      </c>
      <c r="O215" s="114">
        <v>0</v>
      </c>
      <c r="P215" s="114">
        <v>0</v>
      </c>
      <c r="Q215" s="114">
        <v>481</v>
      </c>
      <c r="R215" s="114">
        <v>13988</v>
      </c>
      <c r="S215" s="114">
        <v>2847.7368421052633</v>
      </c>
      <c r="T215" s="114">
        <v>2920.5490196078431</v>
      </c>
      <c r="U215" s="114">
        <v>9652.136363636364</v>
      </c>
      <c r="V215" s="114">
        <v>0</v>
      </c>
      <c r="W215" s="114">
        <v>0</v>
      </c>
      <c r="X215" s="114">
        <v>3228.4386694386694</v>
      </c>
      <c r="Y215" s="114">
        <v>3.6993464052287583</v>
      </c>
      <c r="Z215" s="114">
        <v>562.30065359477123</v>
      </c>
      <c r="AA215" s="114">
        <v>0</v>
      </c>
      <c r="AB215" s="657">
        <v>22</v>
      </c>
      <c r="AC215" s="657">
        <v>0</v>
      </c>
      <c r="AD215" s="768">
        <v>588</v>
      </c>
      <c r="AE215" s="769">
        <v>3.5163398692810457</v>
      </c>
      <c r="AF215" s="769">
        <v>534.48366013071893</v>
      </c>
      <c r="AG215" s="770">
        <v>538</v>
      </c>
      <c r="AH215" s="769">
        <v>0</v>
      </c>
      <c r="AI215" s="769">
        <v>3.5223637357802646</v>
      </c>
      <c r="AJ215" s="769">
        <v>535.39928783860023</v>
      </c>
      <c r="AK215" s="769">
        <v>538.92165157438046</v>
      </c>
      <c r="AL215" s="769">
        <v>0</v>
      </c>
      <c r="AM215" s="769">
        <v>3.3544286950791586</v>
      </c>
      <c r="AN215" s="769">
        <v>509.87316165203208</v>
      </c>
      <c r="AO215" s="769">
        <v>513.22759034711123</v>
      </c>
      <c r="AP215" s="769">
        <v>0</v>
      </c>
      <c r="AQ215" s="769">
        <v>21.1126462470273</v>
      </c>
      <c r="AR215" s="769">
        <v>0</v>
      </c>
      <c r="AS215" s="769">
        <v>513.13877479798225</v>
      </c>
      <c r="AT215" s="769">
        <v>525.87222402498367</v>
      </c>
      <c r="AU215" s="769">
        <v>538.92165157438046</v>
      </c>
      <c r="AV215" s="769">
        <v>552.29489839314954</v>
      </c>
      <c r="AW215" s="769">
        <v>566</v>
      </c>
      <c r="AX215" s="769">
        <v>489.59583548978111</v>
      </c>
      <c r="AY215" s="769">
        <v>501.27247170815303</v>
      </c>
      <c r="AZ215" s="769">
        <v>513.22759034711123</v>
      </c>
      <c r="BA215" s="769">
        <v>525.46783308471493</v>
      </c>
      <c r="BB215" s="769">
        <v>538</v>
      </c>
      <c r="BC215" s="769">
        <v>20.261083252368906</v>
      </c>
      <c r="BD215" s="769">
        <v>20.682482522386767</v>
      </c>
      <c r="BE215" s="769">
        <v>21.1126462470273</v>
      </c>
      <c r="BF215" s="769">
        <v>21.551756713423632</v>
      </c>
      <c r="BG215" s="769">
        <v>22</v>
      </c>
      <c r="BH215" s="771">
        <v>575.6053291574475</v>
      </c>
      <c r="BI215" s="771">
        <v>585.37366599726761</v>
      </c>
      <c r="BJ215" s="771">
        <v>595.30777684886743</v>
      </c>
      <c r="BK215" s="772">
        <v>595.37514535137916</v>
      </c>
      <c r="BL215" s="772">
        <v>595.44251385389089</v>
      </c>
      <c r="BM215" s="772">
        <v>595.50988235640273</v>
      </c>
      <c r="BN215" s="772">
        <v>595.57725085891445</v>
      </c>
      <c r="BO215" s="772">
        <v>595.65690969455852</v>
      </c>
      <c r="BP215" s="772">
        <v>595.73656853020259</v>
      </c>
      <c r="BQ215" s="772">
        <v>595.95740569052634</v>
      </c>
      <c r="BR215" s="772">
        <v>596.22051805137903</v>
      </c>
      <c r="BS215" s="772">
        <v>596.33604550886787</v>
      </c>
      <c r="BT215" s="772">
        <v>596.39948811482486</v>
      </c>
      <c r="BU215" s="772">
        <v>596.46518891933204</v>
      </c>
      <c r="BV215" s="772">
        <v>596.53247046282422</v>
      </c>
      <c r="BW215" s="771">
        <v>547.13015386343943</v>
      </c>
      <c r="BX215" s="771">
        <v>556.41525142496459</v>
      </c>
      <c r="BY215" s="771">
        <v>565.85792216376444</v>
      </c>
      <c r="BZ215" s="772">
        <v>565.92195794883742</v>
      </c>
      <c r="CA215" s="772">
        <v>565.98599373391039</v>
      </c>
      <c r="CB215" s="772">
        <v>566.05002951898348</v>
      </c>
      <c r="CC215" s="772">
        <v>566.11406530405645</v>
      </c>
      <c r="CD215" s="772">
        <v>566.18978341991601</v>
      </c>
      <c r="CE215" s="772">
        <v>566.26550153577557</v>
      </c>
      <c r="CF215" s="772">
        <v>566.47541388958155</v>
      </c>
      <c r="CG215" s="772">
        <v>566.72551009124004</v>
      </c>
      <c r="CH215" s="772">
        <v>566.83532240948921</v>
      </c>
      <c r="CI215" s="772">
        <v>566.89562651197127</v>
      </c>
      <c r="CJ215" s="772">
        <v>566.95807710000111</v>
      </c>
      <c r="CK215" s="772">
        <v>567.02203022791412</v>
      </c>
      <c r="CL215" s="771">
        <v>22.373352016720574</v>
      </c>
      <c r="CM215" s="771">
        <v>22.753040021095206</v>
      </c>
      <c r="CN215" s="771">
        <v>23.139171538295201</v>
      </c>
      <c r="CO215" s="772">
        <v>23.141790101997071</v>
      </c>
      <c r="CP215" s="772">
        <v>23.14440866569894</v>
      </c>
      <c r="CQ215" s="772">
        <v>23.147027229400813</v>
      </c>
      <c r="CR215" s="772">
        <v>23.149645793102682</v>
      </c>
      <c r="CS215" s="772">
        <v>23.152742072933371</v>
      </c>
      <c r="CT215" s="772">
        <v>23.155838352764061</v>
      </c>
      <c r="CU215" s="772">
        <v>23.164422129313746</v>
      </c>
      <c r="CV215" s="772">
        <v>23.1746491115377</v>
      </c>
      <c r="CW215" s="772">
        <v>23.179139578083202</v>
      </c>
      <c r="CX215" s="772">
        <v>23.181605545099199</v>
      </c>
      <c r="CY215" s="772">
        <v>23.184159286617145</v>
      </c>
      <c r="CZ215" s="772">
        <v>23.186774470286455</v>
      </c>
      <c r="DA215" s="773">
        <v>0</v>
      </c>
      <c r="DB215" s="773">
        <v>0</v>
      </c>
      <c r="DC215" s="773">
        <v>0</v>
      </c>
      <c r="DD215" s="774">
        <v>0</v>
      </c>
      <c r="DE215" s="774">
        <v>0</v>
      </c>
      <c r="DF215" s="774">
        <v>0</v>
      </c>
      <c r="DG215" s="774">
        <v>0</v>
      </c>
      <c r="DH215" s="774">
        <v>0</v>
      </c>
      <c r="DI215" s="774">
        <v>0</v>
      </c>
      <c r="DJ215" s="774">
        <v>0</v>
      </c>
      <c r="DK215" s="774">
        <v>0</v>
      </c>
      <c r="DL215" s="774">
        <v>0</v>
      </c>
      <c r="DM215" s="774">
        <v>0</v>
      </c>
      <c r="DN215" s="774">
        <v>0</v>
      </c>
      <c r="DO215" s="774">
        <v>0</v>
      </c>
      <c r="DP215" s="773">
        <v>0</v>
      </c>
      <c r="DQ215" s="773">
        <v>0</v>
      </c>
      <c r="DR215" s="773">
        <v>0</v>
      </c>
      <c r="DS215" s="774">
        <v>0</v>
      </c>
      <c r="DT215" s="774">
        <v>0</v>
      </c>
      <c r="DU215" s="774">
        <v>0</v>
      </c>
      <c r="DV215" s="774">
        <v>0</v>
      </c>
      <c r="DW215" s="774">
        <v>0</v>
      </c>
      <c r="DX215" s="774">
        <v>0</v>
      </c>
      <c r="DY215" s="774">
        <v>0</v>
      </c>
      <c r="DZ215" s="774">
        <v>0</v>
      </c>
      <c r="EA215" s="774">
        <v>0</v>
      </c>
      <c r="EB215" s="774">
        <v>0</v>
      </c>
      <c r="EC215" s="774">
        <v>0</v>
      </c>
      <c r="ED215" s="774">
        <v>0</v>
      </c>
    </row>
    <row r="216" spans="1:134" ht="15" x14ac:dyDescent="0.25">
      <c r="A216" s="766">
        <v>108</v>
      </c>
      <c r="B216" s="766">
        <v>94</v>
      </c>
      <c r="C216" s="766" t="s">
        <v>3887</v>
      </c>
      <c r="D216" s="2">
        <v>99701</v>
      </c>
      <c r="E216" s="2">
        <v>99701</v>
      </c>
      <c r="F216" s="767" t="s">
        <v>3746</v>
      </c>
      <c r="G216" s="114">
        <v>1159</v>
      </c>
      <c r="H216" s="114">
        <v>528</v>
      </c>
      <c r="I216" s="114">
        <v>470</v>
      </c>
      <c r="J216" s="114">
        <v>58</v>
      </c>
      <c r="K216" s="114">
        <v>4</v>
      </c>
      <c r="L216" s="114">
        <v>177</v>
      </c>
      <c r="M216" s="114">
        <v>181</v>
      </c>
      <c r="N216" s="114">
        <v>28</v>
      </c>
      <c r="O216" s="114">
        <v>0</v>
      </c>
      <c r="P216" s="114">
        <v>0</v>
      </c>
      <c r="Q216" s="114">
        <v>209</v>
      </c>
      <c r="R216" s="114">
        <v>3408.5</v>
      </c>
      <c r="S216" s="114">
        <v>2513.593220338983</v>
      </c>
      <c r="T216" s="114">
        <v>2533.3701657458564</v>
      </c>
      <c r="U216" s="114">
        <v>8862.4642857142862</v>
      </c>
      <c r="V216" s="114">
        <v>0</v>
      </c>
      <c r="W216" s="114">
        <v>0</v>
      </c>
      <c r="X216" s="114">
        <v>3381.287081339713</v>
      </c>
      <c r="Y216" s="114">
        <v>11.668508287292818</v>
      </c>
      <c r="Z216" s="114">
        <v>516.33149171270713</v>
      </c>
      <c r="AA216" s="114">
        <v>0</v>
      </c>
      <c r="AB216" s="657">
        <v>28</v>
      </c>
      <c r="AC216" s="657">
        <v>0</v>
      </c>
      <c r="AD216" s="768">
        <v>556</v>
      </c>
      <c r="AE216" s="769">
        <v>10.386740331491714</v>
      </c>
      <c r="AF216" s="769">
        <v>459.61325966850825</v>
      </c>
      <c r="AG216" s="770">
        <v>469.99999999999994</v>
      </c>
      <c r="AH216" s="769">
        <v>0</v>
      </c>
      <c r="AI216" s="769">
        <v>11.538988036142854</v>
      </c>
      <c r="AJ216" s="769">
        <v>510.60022059932123</v>
      </c>
      <c r="AK216" s="769">
        <v>522.13920863546412</v>
      </c>
      <c r="AL216" s="769">
        <v>0</v>
      </c>
      <c r="AM216" s="769">
        <v>10.29036442931698</v>
      </c>
      <c r="AN216" s="769">
        <v>455.34862599727632</v>
      </c>
      <c r="AO216" s="769">
        <v>465.6389904265933</v>
      </c>
      <c r="AP216" s="769">
        <v>0</v>
      </c>
      <c r="AQ216" s="769">
        <v>27.855380329919431</v>
      </c>
      <c r="AR216" s="769">
        <v>0</v>
      </c>
      <c r="AS216" s="769">
        <v>516.34347195922112</v>
      </c>
      <c r="AT216" s="769">
        <v>519.23325378183904</v>
      </c>
      <c r="AU216" s="769">
        <v>522.13920863546412</v>
      </c>
      <c r="AV216" s="769">
        <v>525.0614270345186</v>
      </c>
      <c r="AW216" s="769">
        <v>528</v>
      </c>
      <c r="AX216" s="769">
        <v>461.31844554361072</v>
      </c>
      <c r="AY216" s="769">
        <v>463.47368344717512</v>
      </c>
      <c r="AZ216" s="769">
        <v>465.6389904265933</v>
      </c>
      <c r="BA216" s="769">
        <v>467.81441352367375</v>
      </c>
      <c r="BB216" s="769">
        <v>469.99999999999994</v>
      </c>
      <c r="BC216" s="769">
        <v>27.711507618730796</v>
      </c>
      <c r="BD216" s="769">
        <v>27.783350846058983</v>
      </c>
      <c r="BE216" s="769">
        <v>27.855380329919431</v>
      </c>
      <c r="BF216" s="769">
        <v>27.927596553189893</v>
      </c>
      <c r="BG216" s="769">
        <v>28</v>
      </c>
      <c r="BH216" s="771">
        <v>531.3161563689639</v>
      </c>
      <c r="BI216" s="771">
        <v>534.6531401869114</v>
      </c>
      <c r="BJ216" s="771">
        <v>538.01108226270185</v>
      </c>
      <c r="BK216" s="772">
        <v>540.43769744494045</v>
      </c>
      <c r="BL216" s="772">
        <v>542.86431262717906</v>
      </c>
      <c r="BM216" s="772">
        <v>545.29092780941778</v>
      </c>
      <c r="BN216" s="772">
        <v>547.71754299165639</v>
      </c>
      <c r="BO216" s="772">
        <v>550.58685628743137</v>
      </c>
      <c r="BP216" s="772">
        <v>553.45616958320647</v>
      </c>
      <c r="BQ216" s="772">
        <v>561.41072974208942</v>
      </c>
      <c r="BR216" s="772">
        <v>570.88804370447986</v>
      </c>
      <c r="BS216" s="772">
        <v>575.04934567581245</v>
      </c>
      <c r="BT216" s="772">
        <v>577.3345499638142</v>
      </c>
      <c r="BU216" s="772">
        <v>579.70109462130279</v>
      </c>
      <c r="BV216" s="772">
        <v>582.12457753743229</v>
      </c>
      <c r="BW216" s="771">
        <v>472.95188161631245</v>
      </c>
      <c r="BX216" s="771">
        <v>475.92230281789455</v>
      </c>
      <c r="BY216" s="771">
        <v>478.91138004445042</v>
      </c>
      <c r="BZ216" s="772">
        <v>481.07143522560978</v>
      </c>
      <c r="CA216" s="772">
        <v>483.23149040676913</v>
      </c>
      <c r="CB216" s="772">
        <v>485.39154558792859</v>
      </c>
      <c r="CC216" s="772">
        <v>487.55160076908794</v>
      </c>
      <c r="CD216" s="772">
        <v>490.10572434676652</v>
      </c>
      <c r="CE216" s="772">
        <v>492.65984792444505</v>
      </c>
      <c r="CF216" s="772">
        <v>499.74061170223865</v>
      </c>
      <c r="CG216" s="772">
        <v>508.17685708542712</v>
      </c>
      <c r="CH216" s="772">
        <v>511.88104634021175</v>
      </c>
      <c r="CI216" s="772">
        <v>513.91522439960727</v>
      </c>
      <c r="CJ216" s="772">
        <v>516.02180771214444</v>
      </c>
      <c r="CK216" s="772">
        <v>518.17907470188095</v>
      </c>
      <c r="CL216" s="771">
        <v>28.175856777142023</v>
      </c>
      <c r="CM216" s="771">
        <v>28.352818040214999</v>
      </c>
      <c r="CN216" s="771">
        <v>28.53089072605237</v>
      </c>
      <c r="CO216" s="772">
        <v>28.659574864504417</v>
      </c>
      <c r="CP216" s="772">
        <v>28.788259002956462</v>
      </c>
      <c r="CQ216" s="772">
        <v>28.916943141408517</v>
      </c>
      <c r="CR216" s="772">
        <v>29.045627279860565</v>
      </c>
      <c r="CS216" s="772">
        <v>29.197787833424393</v>
      </c>
      <c r="CT216" s="772">
        <v>29.349948386988217</v>
      </c>
      <c r="CU216" s="772">
        <v>29.771781122686562</v>
      </c>
      <c r="CV216" s="772">
        <v>30.274365954025448</v>
      </c>
      <c r="CW216" s="772">
        <v>30.49504105856581</v>
      </c>
      <c r="CX216" s="772">
        <v>30.616226134444691</v>
      </c>
      <c r="CY216" s="772">
        <v>30.741724714766058</v>
      </c>
      <c r="CZ216" s="772">
        <v>30.870242748197168</v>
      </c>
      <c r="DA216" s="773">
        <v>0</v>
      </c>
      <c r="DB216" s="773">
        <v>0</v>
      </c>
      <c r="DC216" s="773">
        <v>0</v>
      </c>
      <c r="DD216" s="774">
        <v>0</v>
      </c>
      <c r="DE216" s="774">
        <v>0</v>
      </c>
      <c r="DF216" s="774">
        <v>0</v>
      </c>
      <c r="DG216" s="774">
        <v>0</v>
      </c>
      <c r="DH216" s="774">
        <v>0</v>
      </c>
      <c r="DI216" s="774">
        <v>0</v>
      </c>
      <c r="DJ216" s="774">
        <v>0</v>
      </c>
      <c r="DK216" s="774">
        <v>0</v>
      </c>
      <c r="DL216" s="774">
        <v>0</v>
      </c>
      <c r="DM216" s="774">
        <v>0</v>
      </c>
      <c r="DN216" s="774">
        <v>0</v>
      </c>
      <c r="DO216" s="774">
        <v>0</v>
      </c>
      <c r="DP216" s="773">
        <v>0</v>
      </c>
      <c r="DQ216" s="773">
        <v>0</v>
      </c>
      <c r="DR216" s="773">
        <v>0</v>
      </c>
      <c r="DS216" s="774">
        <v>0</v>
      </c>
      <c r="DT216" s="774">
        <v>0</v>
      </c>
      <c r="DU216" s="774">
        <v>0</v>
      </c>
      <c r="DV216" s="774">
        <v>0</v>
      </c>
      <c r="DW216" s="774">
        <v>0</v>
      </c>
      <c r="DX216" s="774">
        <v>0</v>
      </c>
      <c r="DY216" s="774">
        <v>0</v>
      </c>
      <c r="DZ216" s="774">
        <v>0</v>
      </c>
      <c r="EA216" s="774">
        <v>0</v>
      </c>
      <c r="EB216" s="774">
        <v>0</v>
      </c>
      <c r="EC216" s="774">
        <v>0</v>
      </c>
      <c r="ED216" s="774">
        <v>0</v>
      </c>
    </row>
    <row r="217" spans="1:134" ht="15" x14ac:dyDescent="0.25">
      <c r="A217" s="766">
        <v>109</v>
      </c>
      <c r="B217" s="766">
        <v>94</v>
      </c>
      <c r="C217" s="766" t="s">
        <v>3888</v>
      </c>
      <c r="D217" s="2">
        <v>99701</v>
      </c>
      <c r="E217" s="2">
        <v>99701</v>
      </c>
      <c r="F217" s="767" t="s">
        <v>3746</v>
      </c>
      <c r="G217" s="114">
        <v>2461</v>
      </c>
      <c r="H217" s="114">
        <v>1456</v>
      </c>
      <c r="I217" s="114">
        <v>1242</v>
      </c>
      <c r="J217" s="114">
        <v>214</v>
      </c>
      <c r="K217" s="114">
        <v>17</v>
      </c>
      <c r="L217" s="114">
        <v>408</v>
      </c>
      <c r="M217" s="114">
        <v>425</v>
      </c>
      <c r="N217" s="114">
        <v>70</v>
      </c>
      <c r="O217" s="114">
        <v>29</v>
      </c>
      <c r="P217" s="114">
        <v>38</v>
      </c>
      <c r="Q217" s="114">
        <v>562</v>
      </c>
      <c r="R217" s="114">
        <v>4491.6470588235297</v>
      </c>
      <c r="S217" s="114">
        <v>2133.6200980392155</v>
      </c>
      <c r="T217" s="114">
        <v>2227.9411764705883</v>
      </c>
      <c r="U217" s="114">
        <v>8539.971428571429</v>
      </c>
      <c r="V217" s="114">
        <v>3203.4827586206898</v>
      </c>
      <c r="W217" s="114">
        <v>19775.236842105263</v>
      </c>
      <c r="X217" s="114">
        <v>4250.9483985765128</v>
      </c>
      <c r="Y217" s="114">
        <v>54.519823788546255</v>
      </c>
      <c r="Z217" s="114">
        <v>1308.4757709251101</v>
      </c>
      <c r="AA217" s="114">
        <v>93.004405286343612</v>
      </c>
      <c r="AB217" s="657">
        <v>70</v>
      </c>
      <c r="AC217" s="657">
        <v>38</v>
      </c>
      <c r="AD217" s="768">
        <v>1564</v>
      </c>
      <c r="AE217" s="769">
        <v>46.506607929515418</v>
      </c>
      <c r="AF217" s="769">
        <v>1116.1585903083699</v>
      </c>
      <c r="AG217" s="770">
        <v>1162.6651982378853</v>
      </c>
      <c r="AH217" s="769">
        <v>79.334801762114537</v>
      </c>
      <c r="AI217" s="769">
        <v>53.914654636167604</v>
      </c>
      <c r="AJ217" s="769">
        <v>1293.9517112680223</v>
      </c>
      <c r="AK217" s="769">
        <v>1347.8663659041899</v>
      </c>
      <c r="AL217" s="769">
        <v>91.972057908756497</v>
      </c>
      <c r="AM217" s="769">
        <v>46.075085030776513</v>
      </c>
      <c r="AN217" s="769">
        <v>1105.8020407386362</v>
      </c>
      <c r="AO217" s="769">
        <v>1151.8771257694127</v>
      </c>
      <c r="AP217" s="769">
        <v>78.598674464265812</v>
      </c>
      <c r="AQ217" s="769">
        <v>69.638450824798582</v>
      </c>
      <c r="AR217" s="769">
        <v>37.803730447747796</v>
      </c>
      <c r="AS217" s="769">
        <v>1332.9050712870696</v>
      </c>
      <c r="AT217" s="769">
        <v>1340.3648438134178</v>
      </c>
      <c r="AU217" s="769">
        <v>1347.8663659041902</v>
      </c>
      <c r="AV217" s="769">
        <v>1355.4098712161265</v>
      </c>
      <c r="AW217" s="769">
        <v>1362.9955947136564</v>
      </c>
      <c r="AX217" s="769">
        <v>1141.1891530611815</v>
      </c>
      <c r="AY217" s="769">
        <v>1146.5206851981975</v>
      </c>
      <c r="AZ217" s="769">
        <v>1151.8771257694127</v>
      </c>
      <c r="BA217" s="769">
        <v>1157.2585911447707</v>
      </c>
      <c r="BB217" s="769">
        <v>1162.6651982378853</v>
      </c>
      <c r="BC217" s="769">
        <v>69.278769046826994</v>
      </c>
      <c r="BD217" s="769">
        <v>69.458377115147456</v>
      </c>
      <c r="BE217" s="769">
        <v>69.638450824798582</v>
      </c>
      <c r="BF217" s="769">
        <v>69.818991382974744</v>
      </c>
      <c r="BG217" s="769">
        <v>70</v>
      </c>
      <c r="BH217" s="771">
        <v>1381.2850784733737</v>
      </c>
      <c r="BI217" s="771">
        <v>1399.8199813800743</v>
      </c>
      <c r="BJ217" s="771">
        <v>1418.6035966135171</v>
      </c>
      <c r="BK217" s="772">
        <v>1429.8529336300844</v>
      </c>
      <c r="BL217" s="772">
        <v>1441.1022706466522</v>
      </c>
      <c r="BM217" s="772">
        <v>1452.3516076632197</v>
      </c>
      <c r="BN217" s="772">
        <v>1463.6009446797873</v>
      </c>
      <c r="BO217" s="772">
        <v>1476.9025478785741</v>
      </c>
      <c r="BP217" s="772">
        <v>1490.2041510773608</v>
      </c>
      <c r="BQ217" s="772">
        <v>1527.0800136784042</v>
      </c>
      <c r="BR217" s="772">
        <v>1571.0150799200962</v>
      </c>
      <c r="BS217" s="772">
        <v>1590.3061025123318</v>
      </c>
      <c r="BT217" s="772">
        <v>1600.8998849033749</v>
      </c>
      <c r="BU217" s="772">
        <v>1611.8707461308586</v>
      </c>
      <c r="BV217" s="772">
        <v>1623.1055625438519</v>
      </c>
      <c r="BW217" s="771">
        <v>1178.2665298516001</v>
      </c>
      <c r="BX217" s="771">
        <v>1194.0772093915193</v>
      </c>
      <c r="BY217" s="771">
        <v>1210.1000460123544</v>
      </c>
      <c r="BZ217" s="772">
        <v>1219.6959777256625</v>
      </c>
      <c r="CA217" s="772">
        <v>1229.2919094389711</v>
      </c>
      <c r="CB217" s="772">
        <v>1238.8878411522794</v>
      </c>
      <c r="CC217" s="772">
        <v>1248.4837728655875</v>
      </c>
      <c r="CD217" s="772">
        <v>1259.8303327370802</v>
      </c>
      <c r="CE217" s="772">
        <v>1271.1768926085729</v>
      </c>
      <c r="CF217" s="772">
        <v>1302.6328138657814</v>
      </c>
      <c r="CG217" s="772">
        <v>1340.110390975796</v>
      </c>
      <c r="CH217" s="772">
        <v>1356.5660572254917</v>
      </c>
      <c r="CI217" s="772">
        <v>1365.6027864354335</v>
      </c>
      <c r="CJ217" s="772">
        <v>1374.9611721803062</v>
      </c>
      <c r="CK217" s="772">
        <v>1384.5447174996318</v>
      </c>
      <c r="CL217" s="771">
        <v>70.939301541505841</v>
      </c>
      <c r="CM217" s="771">
        <v>71.891207188524177</v>
      </c>
      <c r="CN217" s="771">
        <v>72.855886070422713</v>
      </c>
      <c r="CO217" s="772">
        <v>73.433623514486243</v>
      </c>
      <c r="CP217" s="772">
        <v>74.011360958549787</v>
      </c>
      <c r="CQ217" s="772">
        <v>74.589098402613331</v>
      </c>
      <c r="CR217" s="772">
        <v>75.166835846676861</v>
      </c>
      <c r="CS217" s="772">
        <v>75.849972481546686</v>
      </c>
      <c r="CT217" s="772">
        <v>76.533109116416497</v>
      </c>
      <c r="CU217" s="772">
        <v>78.426959978506289</v>
      </c>
      <c r="CV217" s="772">
        <v>80.683353652004939</v>
      </c>
      <c r="CW217" s="772">
        <v>81.674091690112974</v>
      </c>
      <c r="CX217" s="772">
        <v>82.218161509743467</v>
      </c>
      <c r="CY217" s="772">
        <v>82.781597142919665</v>
      </c>
      <c r="CZ217" s="772">
        <v>83.358588845577913</v>
      </c>
      <c r="DA217" s="773">
        <v>94.252393589947843</v>
      </c>
      <c r="DB217" s="773">
        <v>95.517128141228611</v>
      </c>
      <c r="DC217" s="773">
        <v>96.798833651275288</v>
      </c>
      <c r="DD217" s="774">
        <v>97.566435471229298</v>
      </c>
      <c r="DE217" s="774">
        <v>98.334037291183321</v>
      </c>
      <c r="DF217" s="774">
        <v>99.101639111137359</v>
      </c>
      <c r="DG217" s="774">
        <v>99.869240931091369</v>
      </c>
      <c r="DH217" s="774">
        <v>100.77687973759683</v>
      </c>
      <c r="DI217" s="774">
        <v>101.68451854410227</v>
      </c>
      <c r="DJ217" s="774">
        <v>104.20075387452641</v>
      </c>
      <c r="DK217" s="774">
        <v>107.19867604160656</v>
      </c>
      <c r="DL217" s="774">
        <v>108.51500464201794</v>
      </c>
      <c r="DM217" s="774">
        <v>109.23787449928912</v>
      </c>
      <c r="DN217" s="774">
        <v>109.98647444187036</v>
      </c>
      <c r="DO217" s="774">
        <v>110.75308544416872</v>
      </c>
      <c r="DP217" s="773">
        <v>38.509906551103171</v>
      </c>
      <c r="DQ217" s="773">
        <v>39.02665533091313</v>
      </c>
      <c r="DR217" s="773">
        <v>39.550338152515188</v>
      </c>
      <c r="DS217" s="774">
        <v>39.863967050721101</v>
      </c>
      <c r="DT217" s="774">
        <v>40.177595948927028</v>
      </c>
      <c r="DU217" s="774">
        <v>40.491224847132955</v>
      </c>
      <c r="DV217" s="774">
        <v>40.804853745338868</v>
      </c>
      <c r="DW217" s="774">
        <v>41.175699347125338</v>
      </c>
      <c r="DX217" s="774">
        <v>41.546544948911816</v>
      </c>
      <c r="DY217" s="774">
        <v>42.574635416903412</v>
      </c>
      <c r="DZ217" s="774">
        <v>43.799534839659827</v>
      </c>
      <c r="EA217" s="774">
        <v>44.337364060347042</v>
      </c>
      <c r="EB217" s="774">
        <v>44.632716248146451</v>
      </c>
      <c r="EC217" s="774">
        <v>44.938581306156387</v>
      </c>
      <c r="ED217" s="774">
        <v>45.251805373313729</v>
      </c>
    </row>
    <row r="218" spans="1:134" ht="15" x14ac:dyDescent="0.25">
      <c r="A218" s="766">
        <v>110</v>
      </c>
      <c r="B218" s="766">
        <v>94</v>
      </c>
      <c r="C218" s="766" t="s">
        <v>3889</v>
      </c>
      <c r="D218" s="2">
        <v>99701</v>
      </c>
      <c r="E218" s="2">
        <v>99701</v>
      </c>
      <c r="F218" s="767" t="s">
        <v>3746</v>
      </c>
      <c r="G218" s="114">
        <v>2613</v>
      </c>
      <c r="H218" s="114">
        <v>1325</v>
      </c>
      <c r="I218" s="114">
        <v>1189</v>
      </c>
      <c r="J218" s="114">
        <v>136</v>
      </c>
      <c r="K218" s="114">
        <v>29</v>
      </c>
      <c r="L218" s="114">
        <v>516</v>
      </c>
      <c r="M218" s="114">
        <v>545</v>
      </c>
      <c r="N218" s="114">
        <v>68</v>
      </c>
      <c r="O218" s="114">
        <v>1</v>
      </c>
      <c r="P218" s="114">
        <v>7</v>
      </c>
      <c r="Q218" s="114">
        <v>621</v>
      </c>
      <c r="R218" s="114">
        <v>4888.3793103448279</v>
      </c>
      <c r="S218" s="114">
        <v>2042.2926356589148</v>
      </c>
      <c r="T218" s="114">
        <v>2193.735779816514</v>
      </c>
      <c r="U218" s="114">
        <v>6239.8235294117649</v>
      </c>
      <c r="V218" s="114">
        <v>39744</v>
      </c>
      <c r="W218" s="114">
        <v>38067.571428571428</v>
      </c>
      <c r="X218" s="114">
        <v>3101.6280193236717</v>
      </c>
      <c r="Y218" s="114">
        <v>70.375457875457869</v>
      </c>
      <c r="Z218" s="114">
        <v>1252.1978021978023</v>
      </c>
      <c r="AA218" s="114">
        <v>2.4267399267399266</v>
      </c>
      <c r="AB218" s="657">
        <v>68</v>
      </c>
      <c r="AC218" s="657">
        <v>7</v>
      </c>
      <c r="AD218" s="768">
        <v>1400</v>
      </c>
      <c r="AE218" s="769">
        <v>63.152014652014643</v>
      </c>
      <c r="AF218" s="769">
        <v>1123.6703296703297</v>
      </c>
      <c r="AG218" s="770">
        <v>1186.8223443223444</v>
      </c>
      <c r="AH218" s="769">
        <v>2.1776556776556775</v>
      </c>
      <c r="AI218" s="769">
        <v>69.594291444034113</v>
      </c>
      <c r="AJ218" s="769">
        <v>1238.298427073159</v>
      </c>
      <c r="AK218" s="769">
        <v>1307.8927185171931</v>
      </c>
      <c r="AL218" s="769">
        <v>2.3998031532425559</v>
      </c>
      <c r="AM218" s="769">
        <v>62.566043289296871</v>
      </c>
      <c r="AN218" s="769">
        <v>1113.2440805957651</v>
      </c>
      <c r="AO218" s="769">
        <v>1175.810123885062</v>
      </c>
      <c r="AP218" s="769">
        <v>2.157449768596444</v>
      </c>
      <c r="AQ218" s="769">
        <v>67.648780801232903</v>
      </c>
      <c r="AR218" s="769">
        <v>6.9638450824798577</v>
      </c>
      <c r="AS218" s="769">
        <v>1293.3751307322975</v>
      </c>
      <c r="AT218" s="769">
        <v>1300.6136689255554</v>
      </c>
      <c r="AU218" s="769">
        <v>1307.8927185171931</v>
      </c>
      <c r="AV218" s="769">
        <v>1315.2125062343966</v>
      </c>
      <c r="AW218" s="769">
        <v>1322.5732600732601</v>
      </c>
      <c r="AX218" s="769">
        <v>1164.9000830195914</v>
      </c>
      <c r="AY218" s="769">
        <v>1170.3423904691247</v>
      </c>
      <c r="AZ218" s="769">
        <v>1175.810123885062</v>
      </c>
      <c r="BA218" s="769">
        <v>1181.3034020552111</v>
      </c>
      <c r="BB218" s="769">
        <v>1186.8223443223444</v>
      </c>
      <c r="BC218" s="769">
        <v>67.299375645489079</v>
      </c>
      <c r="BD218" s="769">
        <v>67.473852054714669</v>
      </c>
      <c r="BE218" s="769">
        <v>67.648780801232903</v>
      </c>
      <c r="BF218" s="769">
        <v>67.824163057746887</v>
      </c>
      <c r="BG218" s="769">
        <v>68</v>
      </c>
      <c r="BH218" s="771">
        <v>1328.5907964888136</v>
      </c>
      <c r="BI218" s="771">
        <v>1334.635711912854</v>
      </c>
      <c r="BJ218" s="771">
        <v>1340.7081309163113</v>
      </c>
      <c r="BK218" s="772">
        <v>1348.7370904668062</v>
      </c>
      <c r="BL218" s="772">
        <v>1356.7660500173008</v>
      </c>
      <c r="BM218" s="772">
        <v>1364.7950095677954</v>
      </c>
      <c r="BN218" s="772">
        <v>1372.8239691182905</v>
      </c>
      <c r="BO218" s="772">
        <v>1382.3176871820758</v>
      </c>
      <c r="BP218" s="772">
        <v>1391.8114052458609</v>
      </c>
      <c r="BQ218" s="772">
        <v>1418.1307171108474</v>
      </c>
      <c r="BR218" s="772">
        <v>1449.4883757162688</v>
      </c>
      <c r="BS218" s="772">
        <v>1463.256906239679</v>
      </c>
      <c r="BT218" s="772">
        <v>1470.8179785214641</v>
      </c>
      <c r="BU218" s="772">
        <v>1478.6481822836799</v>
      </c>
      <c r="BV218" s="772">
        <v>1486.6667780821981</v>
      </c>
      <c r="BW218" s="771">
        <v>1192.2222317171315</v>
      </c>
      <c r="BX218" s="771">
        <v>1197.646687897648</v>
      </c>
      <c r="BY218" s="771">
        <v>1203.095824648675</v>
      </c>
      <c r="BZ218" s="772">
        <v>1210.3006796717229</v>
      </c>
      <c r="CA218" s="772">
        <v>1217.5055346947706</v>
      </c>
      <c r="CB218" s="772">
        <v>1224.7103897178181</v>
      </c>
      <c r="CC218" s="772">
        <v>1231.915244740866</v>
      </c>
      <c r="CD218" s="772">
        <v>1240.434513252444</v>
      </c>
      <c r="CE218" s="772">
        <v>1248.9537817640219</v>
      </c>
      <c r="CF218" s="772">
        <v>1272.5716397319229</v>
      </c>
      <c r="CG218" s="772">
        <v>1300.7107009257688</v>
      </c>
      <c r="CH218" s="772">
        <v>1313.0660086935688</v>
      </c>
      <c r="CI218" s="772">
        <v>1319.851001103412</v>
      </c>
      <c r="CJ218" s="772">
        <v>1326.8775009322985</v>
      </c>
      <c r="CK218" s="772">
        <v>1334.0730559545159</v>
      </c>
      <c r="CL218" s="771">
        <v>68.309391160860883</v>
      </c>
      <c r="CM218" s="771">
        <v>68.620190011286752</v>
      </c>
      <c r="CN218" s="771">
        <v>68.932402956082129</v>
      </c>
      <c r="CO218" s="772">
        <v>69.345211279005127</v>
      </c>
      <c r="CP218" s="772">
        <v>69.758019601928126</v>
      </c>
      <c r="CQ218" s="772">
        <v>70.17082792485111</v>
      </c>
      <c r="CR218" s="772">
        <v>70.583636247774123</v>
      </c>
      <c r="CS218" s="772">
        <v>71.071755014292691</v>
      </c>
      <c r="CT218" s="772">
        <v>71.559873780811259</v>
      </c>
      <c r="CU218" s="772">
        <v>72.91307912742468</v>
      </c>
      <c r="CV218" s="772">
        <v>74.525330674874326</v>
      </c>
      <c r="CW218" s="772">
        <v>75.233238587317715</v>
      </c>
      <c r="CX218" s="772">
        <v>75.621990523171078</v>
      </c>
      <c r="CY218" s="772">
        <v>76.024579832893835</v>
      </c>
      <c r="CZ218" s="772">
        <v>76.436855304325221</v>
      </c>
      <c r="DA218" s="773">
        <v>2.4377812779611254</v>
      </c>
      <c r="DB218" s="773">
        <v>2.4488728658951446</v>
      </c>
      <c r="DC218" s="773">
        <v>2.4600149191124978</v>
      </c>
      <c r="DD218" s="774">
        <v>2.4747469549849654</v>
      </c>
      <c r="DE218" s="774">
        <v>2.4894789908574326</v>
      </c>
      <c r="DF218" s="774">
        <v>2.5042110267298998</v>
      </c>
      <c r="DG218" s="774">
        <v>2.5189430626023679</v>
      </c>
      <c r="DH218" s="774">
        <v>2.5363627287744506</v>
      </c>
      <c r="DI218" s="774">
        <v>2.5537823949465337</v>
      </c>
      <c r="DJ218" s="774">
        <v>2.6020747102951329</v>
      </c>
      <c r="DK218" s="774">
        <v>2.6596116985619611</v>
      </c>
      <c r="DL218" s="774">
        <v>2.6848750573205118</v>
      </c>
      <c r="DM218" s="774">
        <v>2.6987485844430532</v>
      </c>
      <c r="DN218" s="774">
        <v>2.7131159307957429</v>
      </c>
      <c r="DO218" s="774">
        <v>2.7278289506095375</v>
      </c>
      <c r="DP218" s="773">
        <v>7.0318490900886204</v>
      </c>
      <c r="DQ218" s="773">
        <v>7.0638430893971655</v>
      </c>
      <c r="DR218" s="773">
        <v>7.0959826572437485</v>
      </c>
      <c r="DS218" s="774">
        <v>7.1384776316622931</v>
      </c>
      <c r="DT218" s="774">
        <v>7.1809726060808368</v>
      </c>
      <c r="DU218" s="774">
        <v>7.2234675804993795</v>
      </c>
      <c r="DV218" s="774">
        <v>7.2659625549179241</v>
      </c>
      <c r="DW218" s="774">
        <v>7.3162100750007175</v>
      </c>
      <c r="DX218" s="774">
        <v>7.3664575950835109</v>
      </c>
      <c r="DY218" s="774">
        <v>7.5057581454701872</v>
      </c>
      <c r="DZ218" s="774">
        <v>7.6717252165311809</v>
      </c>
      <c r="EA218" s="774">
        <v>7.7445980898709408</v>
      </c>
      <c r="EB218" s="774">
        <v>7.7846166715029055</v>
      </c>
      <c r="EC218" s="774">
        <v>7.8260596886802487</v>
      </c>
      <c r="ED218" s="774">
        <v>7.8684998107393609</v>
      </c>
    </row>
    <row r="219" spans="1:134" ht="15" x14ac:dyDescent="0.25">
      <c r="A219" s="766">
        <v>111</v>
      </c>
      <c r="B219" s="766">
        <v>94</v>
      </c>
      <c r="C219" s="766" t="s">
        <v>3890</v>
      </c>
      <c r="D219" s="2">
        <v>99701</v>
      </c>
      <c r="E219" s="2">
        <v>99701</v>
      </c>
      <c r="F219" s="767" t="s">
        <v>3746</v>
      </c>
      <c r="G219" s="114">
        <v>2634</v>
      </c>
      <c r="H219" s="114">
        <v>1026</v>
      </c>
      <c r="I219" s="114">
        <v>904</v>
      </c>
      <c r="J219" s="114">
        <v>122</v>
      </c>
      <c r="K219" s="114">
        <v>18</v>
      </c>
      <c r="L219" s="114">
        <v>438</v>
      </c>
      <c r="M219" s="114">
        <v>456</v>
      </c>
      <c r="N219" s="114">
        <v>4</v>
      </c>
      <c r="O219" s="114">
        <v>0</v>
      </c>
      <c r="P219" s="114">
        <v>0</v>
      </c>
      <c r="Q219" s="114">
        <v>460</v>
      </c>
      <c r="R219" s="114">
        <v>6249.666666666667</v>
      </c>
      <c r="S219" s="114">
        <v>2289.4063926940639</v>
      </c>
      <c r="T219" s="114">
        <v>2445.7324561403507</v>
      </c>
      <c r="U219" s="114">
        <v>1614</v>
      </c>
      <c r="V219" s="114">
        <v>0</v>
      </c>
      <c r="W219" s="114">
        <v>0</v>
      </c>
      <c r="X219" s="114">
        <v>2438.5</v>
      </c>
      <c r="Y219" s="114">
        <v>40.5</v>
      </c>
      <c r="Z219" s="114">
        <v>985.5</v>
      </c>
      <c r="AA219" s="114">
        <v>0</v>
      </c>
      <c r="AB219" s="657">
        <v>4</v>
      </c>
      <c r="AC219" s="657">
        <v>0</v>
      </c>
      <c r="AD219" s="768">
        <v>1030</v>
      </c>
      <c r="AE219" s="769">
        <v>35.684210526315788</v>
      </c>
      <c r="AF219" s="769">
        <v>868.31578947368416</v>
      </c>
      <c r="AG219" s="770">
        <v>904</v>
      </c>
      <c r="AH219" s="769">
        <v>0</v>
      </c>
      <c r="AI219" s="769">
        <v>40.050450662379355</v>
      </c>
      <c r="AJ219" s="769">
        <v>974.56096611789758</v>
      </c>
      <c r="AK219" s="769">
        <v>1014.611416780277</v>
      </c>
      <c r="AL219" s="769">
        <v>0</v>
      </c>
      <c r="AM219" s="769">
        <v>35.353105880092976</v>
      </c>
      <c r="AN219" s="769">
        <v>860.25890974892911</v>
      </c>
      <c r="AO219" s="769">
        <v>895.61201562902204</v>
      </c>
      <c r="AP219" s="769">
        <v>0</v>
      </c>
      <c r="AQ219" s="769">
        <v>3.9793400471313474</v>
      </c>
      <c r="AR219" s="769">
        <v>0</v>
      </c>
      <c r="AS219" s="769">
        <v>1003.349246648032</v>
      </c>
      <c r="AT219" s="769">
        <v>1008.9646181442554</v>
      </c>
      <c r="AU219" s="769">
        <v>1014.611416780277</v>
      </c>
      <c r="AV219" s="769">
        <v>1020.2898184420759</v>
      </c>
      <c r="AW219" s="769">
        <v>1026</v>
      </c>
      <c r="AX219" s="769">
        <v>887.30186121579607</v>
      </c>
      <c r="AY219" s="769">
        <v>891.44725497073694</v>
      </c>
      <c r="AZ219" s="769">
        <v>895.61201562902204</v>
      </c>
      <c r="BA219" s="769">
        <v>899.79623367106615</v>
      </c>
      <c r="BB219" s="769">
        <v>904</v>
      </c>
      <c r="BC219" s="769">
        <v>3.9587868026758279</v>
      </c>
      <c r="BD219" s="769">
        <v>3.9690501208655693</v>
      </c>
      <c r="BE219" s="769">
        <v>3.9793400471313474</v>
      </c>
      <c r="BF219" s="769">
        <v>3.9896566504556992</v>
      </c>
      <c r="BG219" s="769">
        <v>4</v>
      </c>
      <c r="BH219" s="771">
        <v>1032.6258343515988</v>
      </c>
      <c r="BI219" s="771">
        <v>1039.2944578658239</v>
      </c>
      <c r="BJ219" s="771">
        <v>1046.0061468720164</v>
      </c>
      <c r="BK219" s="772">
        <v>1046.1506160791425</v>
      </c>
      <c r="BL219" s="772">
        <v>1046.2950852862684</v>
      </c>
      <c r="BM219" s="772">
        <v>1046.4395544933943</v>
      </c>
      <c r="BN219" s="772">
        <v>1046.5840237005204</v>
      </c>
      <c r="BO219" s="772">
        <v>1046.7548490624774</v>
      </c>
      <c r="BP219" s="772">
        <v>1046.9256744244349</v>
      </c>
      <c r="BQ219" s="772">
        <v>1047.399251367166</v>
      </c>
      <c r="BR219" s="772">
        <v>1047.9634858794414</v>
      </c>
      <c r="BS219" s="772">
        <v>1048.2112301451209</v>
      </c>
      <c r="BT219" s="772">
        <v>1048.3472804154831</v>
      </c>
      <c r="BU219" s="772">
        <v>1048.4881733072764</v>
      </c>
      <c r="BV219" s="772">
        <v>1048.6324560340718</v>
      </c>
      <c r="BW219" s="771">
        <v>909.83796710901095</v>
      </c>
      <c r="BX219" s="771">
        <v>915.71363539055051</v>
      </c>
      <c r="BY219" s="771">
        <v>921.62724831608455</v>
      </c>
      <c r="BZ219" s="772">
        <v>921.75453892353289</v>
      </c>
      <c r="CA219" s="772">
        <v>921.88182953098112</v>
      </c>
      <c r="CB219" s="772">
        <v>922.00912013842924</v>
      </c>
      <c r="CC219" s="772">
        <v>922.13641074587758</v>
      </c>
      <c r="CD219" s="772">
        <v>922.28692354042846</v>
      </c>
      <c r="CE219" s="772">
        <v>922.43743633497957</v>
      </c>
      <c r="CF219" s="772">
        <v>922.85470100966654</v>
      </c>
      <c r="CG219" s="772">
        <v>923.35184330898142</v>
      </c>
      <c r="CH219" s="772">
        <v>923.57012870486278</v>
      </c>
      <c r="CI219" s="772">
        <v>923.69000145769644</v>
      </c>
      <c r="CJ219" s="772">
        <v>923.81414100368215</v>
      </c>
      <c r="CK219" s="772">
        <v>923.94126730487392</v>
      </c>
      <c r="CL219" s="771">
        <v>4.0258317128717298</v>
      </c>
      <c r="CM219" s="771">
        <v>4.0518302450909314</v>
      </c>
      <c r="CN219" s="771">
        <v>4.077996673964976</v>
      </c>
      <c r="CO219" s="772">
        <v>4.0785599067412956</v>
      </c>
      <c r="CP219" s="772">
        <v>4.0791231395176162</v>
      </c>
      <c r="CQ219" s="772">
        <v>4.0796863722939349</v>
      </c>
      <c r="CR219" s="772">
        <v>4.0802496050702546</v>
      </c>
      <c r="CS219" s="772">
        <v>4.0809155908868515</v>
      </c>
      <c r="CT219" s="772">
        <v>4.0815815767034493</v>
      </c>
      <c r="CU219" s="772">
        <v>4.0834278805737458</v>
      </c>
      <c r="CV219" s="772">
        <v>4.0856276252609796</v>
      </c>
      <c r="CW219" s="772">
        <v>4.0865934898445255</v>
      </c>
      <c r="CX219" s="772">
        <v>4.0871239002552944</v>
      </c>
      <c r="CY219" s="772">
        <v>4.0876731902817793</v>
      </c>
      <c r="CZ219" s="772">
        <v>4.0882356960392654</v>
      </c>
      <c r="DA219" s="773">
        <v>0</v>
      </c>
      <c r="DB219" s="773">
        <v>0</v>
      </c>
      <c r="DC219" s="773">
        <v>0</v>
      </c>
      <c r="DD219" s="774">
        <v>0</v>
      </c>
      <c r="DE219" s="774">
        <v>0</v>
      </c>
      <c r="DF219" s="774">
        <v>0</v>
      </c>
      <c r="DG219" s="774">
        <v>0</v>
      </c>
      <c r="DH219" s="774">
        <v>0</v>
      </c>
      <c r="DI219" s="774">
        <v>0</v>
      </c>
      <c r="DJ219" s="774">
        <v>0</v>
      </c>
      <c r="DK219" s="774">
        <v>0</v>
      </c>
      <c r="DL219" s="774">
        <v>0</v>
      </c>
      <c r="DM219" s="774">
        <v>0</v>
      </c>
      <c r="DN219" s="774">
        <v>0</v>
      </c>
      <c r="DO219" s="774">
        <v>0</v>
      </c>
      <c r="DP219" s="773">
        <v>0</v>
      </c>
      <c r="DQ219" s="773">
        <v>0</v>
      </c>
      <c r="DR219" s="773">
        <v>0</v>
      </c>
      <c r="DS219" s="774">
        <v>0</v>
      </c>
      <c r="DT219" s="774">
        <v>0</v>
      </c>
      <c r="DU219" s="774">
        <v>0</v>
      </c>
      <c r="DV219" s="774">
        <v>0</v>
      </c>
      <c r="DW219" s="774">
        <v>0</v>
      </c>
      <c r="DX219" s="774">
        <v>0</v>
      </c>
      <c r="DY219" s="774">
        <v>0</v>
      </c>
      <c r="DZ219" s="774">
        <v>0</v>
      </c>
      <c r="EA219" s="774">
        <v>0</v>
      </c>
      <c r="EB219" s="774">
        <v>0</v>
      </c>
      <c r="EC219" s="774">
        <v>0</v>
      </c>
      <c r="ED219" s="774">
        <v>0</v>
      </c>
    </row>
    <row r="220" spans="1:134" ht="15" x14ac:dyDescent="0.25">
      <c r="A220" s="766">
        <v>112</v>
      </c>
      <c r="B220" s="766">
        <v>94</v>
      </c>
      <c r="C220" s="766" t="s">
        <v>3891</v>
      </c>
      <c r="D220" s="2">
        <v>99703</v>
      </c>
      <c r="E220" s="2">
        <v>99703</v>
      </c>
      <c r="F220" s="767" t="s">
        <v>3746</v>
      </c>
      <c r="G220" s="114">
        <v>60</v>
      </c>
      <c r="H220" s="114">
        <v>26</v>
      </c>
      <c r="I220" s="114">
        <v>18</v>
      </c>
      <c r="J220" s="114">
        <v>8</v>
      </c>
      <c r="K220" s="114">
        <v>0</v>
      </c>
      <c r="L220" s="114">
        <v>0</v>
      </c>
      <c r="M220" s="114">
        <v>0</v>
      </c>
      <c r="N220" s="114">
        <v>0</v>
      </c>
      <c r="O220" s="114">
        <v>0</v>
      </c>
      <c r="P220" s="114">
        <v>0</v>
      </c>
      <c r="Q220" s="114">
        <v>0</v>
      </c>
      <c r="R220" s="114">
        <v>0</v>
      </c>
      <c r="S220" s="114">
        <v>834.49503068156923</v>
      </c>
      <c r="T220" s="114">
        <v>834.49503068156923</v>
      </c>
      <c r="U220" s="114">
        <v>1408.3846153846155</v>
      </c>
      <c r="V220" s="114">
        <v>0</v>
      </c>
      <c r="W220" s="114">
        <v>0</v>
      </c>
      <c r="X220" s="114">
        <v>1365.173957061457</v>
      </c>
      <c r="Y220" s="114">
        <v>0.59572072072072069</v>
      </c>
      <c r="Z220" s="114">
        <v>25.370495495495497</v>
      </c>
      <c r="AA220" s="114">
        <v>3.3783783783783786E-2</v>
      </c>
      <c r="AB220" s="657">
        <v>0</v>
      </c>
      <c r="AC220" s="657">
        <v>0</v>
      </c>
      <c r="AD220" s="768">
        <v>26</v>
      </c>
      <c r="AE220" s="769">
        <v>0.41242203742203737</v>
      </c>
      <c r="AF220" s="769">
        <v>17.564189189189189</v>
      </c>
      <c r="AG220" s="770">
        <v>17.976611226611226</v>
      </c>
      <c r="AH220" s="769">
        <v>2.338877338877339E-2</v>
      </c>
      <c r="AI220" s="769">
        <v>0.58423454066629699</v>
      </c>
      <c r="AJ220" s="769">
        <v>24.881323188414001</v>
      </c>
      <c r="AK220" s="769">
        <v>25.465557729080299</v>
      </c>
      <c r="AL220" s="769">
        <v>3.3132393610565053E-2</v>
      </c>
      <c r="AM220" s="769">
        <v>0.41374612523865917</v>
      </c>
      <c r="AN220" s="769">
        <v>17.620579310967397</v>
      </c>
      <c r="AO220" s="769">
        <v>18.034325436206057</v>
      </c>
      <c r="AP220" s="769">
        <v>2.3463863435084643E-2</v>
      </c>
      <c r="AQ220" s="769">
        <v>0</v>
      </c>
      <c r="AR220" s="769">
        <v>0</v>
      </c>
      <c r="AS220" s="769">
        <v>24.974552512896679</v>
      </c>
      <c r="AT220" s="769">
        <v>25.218860179935131</v>
      </c>
      <c r="AU220" s="769">
        <v>25.465557729080299</v>
      </c>
      <c r="AV220" s="769">
        <v>25.714668538789976</v>
      </c>
      <c r="AW220" s="769">
        <v>25.966216216216218</v>
      </c>
      <c r="AX220" s="769">
        <v>18.092224938231542</v>
      </c>
      <c r="AY220" s="769">
        <v>18.06325198852938</v>
      </c>
      <c r="AZ220" s="769">
        <v>18.034325436206057</v>
      </c>
      <c r="BA220" s="769">
        <v>18.005445206960648</v>
      </c>
      <c r="BB220" s="769">
        <v>17.976611226611226</v>
      </c>
      <c r="BC220" s="769">
        <v>0</v>
      </c>
      <c r="BD220" s="769">
        <v>0</v>
      </c>
      <c r="BE220" s="769">
        <v>0</v>
      </c>
      <c r="BF220" s="769">
        <v>0</v>
      </c>
      <c r="BG220" s="769">
        <v>0</v>
      </c>
      <c r="BH220" s="771">
        <v>26.074110376331209</v>
      </c>
      <c r="BI220" s="771">
        <v>26.182452855511638</v>
      </c>
      <c r="BJ220" s="771">
        <v>26.29124551660146</v>
      </c>
      <c r="BK220" s="772">
        <v>26.313056924423371</v>
      </c>
      <c r="BL220" s="772">
        <v>26.334868332245271</v>
      </c>
      <c r="BM220" s="772">
        <v>26.356679740067175</v>
      </c>
      <c r="BN220" s="772">
        <v>26.378491147889086</v>
      </c>
      <c r="BO220" s="772">
        <v>26.404281707068414</v>
      </c>
      <c r="BP220" s="772">
        <v>26.430072266247734</v>
      </c>
      <c r="BQ220" s="772">
        <v>26.50157110007158</v>
      </c>
      <c r="BR220" s="772">
        <v>26.586757066681766</v>
      </c>
      <c r="BS220" s="772">
        <v>26.624160547477238</v>
      </c>
      <c r="BT220" s="772">
        <v>26.644700896456669</v>
      </c>
      <c r="BU220" s="772">
        <v>26.665972365880855</v>
      </c>
      <c r="BV220" s="772">
        <v>26.687755619616354</v>
      </c>
      <c r="BW220" s="771">
        <v>18.051307183613915</v>
      </c>
      <c r="BX220" s="771">
        <v>18.126313515354209</v>
      </c>
      <c r="BY220" s="771">
        <v>18.201631511493318</v>
      </c>
      <c r="BZ220" s="772">
        <v>18.216731716908487</v>
      </c>
      <c r="CA220" s="772">
        <v>18.23183192232365</v>
      </c>
      <c r="CB220" s="772">
        <v>18.246932127738813</v>
      </c>
      <c r="CC220" s="772">
        <v>18.262032333153982</v>
      </c>
      <c r="CD220" s="772">
        <v>18.279887335662746</v>
      </c>
      <c r="CE220" s="772">
        <v>18.297742338171506</v>
      </c>
      <c r="CF220" s="772">
        <v>18.347241530818785</v>
      </c>
      <c r="CG220" s="772">
        <v>18.406216430779683</v>
      </c>
      <c r="CH220" s="772">
        <v>18.432111148253473</v>
      </c>
      <c r="CI220" s="772">
        <v>18.446331389854617</v>
      </c>
      <c r="CJ220" s="772">
        <v>18.461057791763668</v>
      </c>
      <c r="CK220" s="772">
        <v>18.476138505888244</v>
      </c>
      <c r="CL220" s="771">
        <v>0</v>
      </c>
      <c r="CM220" s="771">
        <v>0</v>
      </c>
      <c r="CN220" s="771">
        <v>0</v>
      </c>
      <c r="CO220" s="772">
        <v>0</v>
      </c>
      <c r="CP220" s="772">
        <v>0</v>
      </c>
      <c r="CQ220" s="772">
        <v>0</v>
      </c>
      <c r="CR220" s="772">
        <v>0</v>
      </c>
      <c r="CS220" s="772">
        <v>0</v>
      </c>
      <c r="CT220" s="772">
        <v>0</v>
      </c>
      <c r="CU220" s="772">
        <v>0</v>
      </c>
      <c r="CV220" s="772">
        <v>0</v>
      </c>
      <c r="CW220" s="772">
        <v>0</v>
      </c>
      <c r="CX220" s="772">
        <v>0</v>
      </c>
      <c r="CY220" s="772">
        <v>0</v>
      </c>
      <c r="CZ220" s="772">
        <v>0</v>
      </c>
      <c r="DA220" s="773">
        <v>3.39241613014978E-2</v>
      </c>
      <c r="DB220" s="773">
        <v>3.4065122112297209E-2</v>
      </c>
      <c r="DC220" s="773">
        <v>3.4206668639866586E-2</v>
      </c>
      <c r="DD220" s="774">
        <v>3.4235046740077241E-2</v>
      </c>
      <c r="DE220" s="774">
        <v>3.4263424840287889E-2</v>
      </c>
      <c r="DF220" s="774">
        <v>3.4291802940498536E-2</v>
      </c>
      <c r="DG220" s="774">
        <v>3.4320181040709191E-2</v>
      </c>
      <c r="DH220" s="774">
        <v>3.4353736282940944E-2</v>
      </c>
      <c r="DI220" s="774">
        <v>3.438729152517269E-2</v>
      </c>
      <c r="DJ220" s="774">
        <v>3.4480316289450398E-2</v>
      </c>
      <c r="DK220" s="774">
        <v>3.4591148928807915E-2</v>
      </c>
      <c r="DL220" s="774">
        <v>3.4639813358674519E-2</v>
      </c>
      <c r="DM220" s="774">
        <v>3.4666537726329258E-2</v>
      </c>
      <c r="DN220" s="774">
        <v>3.4694213330576179E-2</v>
      </c>
      <c r="DO220" s="774">
        <v>3.4722554800437615E-2</v>
      </c>
      <c r="DP220" s="773">
        <v>0</v>
      </c>
      <c r="DQ220" s="773">
        <v>0</v>
      </c>
      <c r="DR220" s="773">
        <v>0</v>
      </c>
      <c r="DS220" s="774">
        <v>0</v>
      </c>
      <c r="DT220" s="774">
        <v>0</v>
      </c>
      <c r="DU220" s="774">
        <v>0</v>
      </c>
      <c r="DV220" s="774">
        <v>0</v>
      </c>
      <c r="DW220" s="774">
        <v>0</v>
      </c>
      <c r="DX220" s="774">
        <v>0</v>
      </c>
      <c r="DY220" s="774">
        <v>0</v>
      </c>
      <c r="DZ220" s="774">
        <v>0</v>
      </c>
      <c r="EA220" s="774">
        <v>0</v>
      </c>
      <c r="EB220" s="774">
        <v>0</v>
      </c>
      <c r="EC220" s="774">
        <v>0</v>
      </c>
      <c r="ED220" s="774">
        <v>0</v>
      </c>
    </row>
    <row r="221" spans="1:134" ht="15" x14ac:dyDescent="0.25">
      <c r="A221" s="766">
        <v>113</v>
      </c>
      <c r="B221" s="766">
        <v>94</v>
      </c>
      <c r="C221" s="766" t="s">
        <v>3892</v>
      </c>
      <c r="D221" s="2">
        <v>99703</v>
      </c>
      <c r="E221" s="2">
        <v>99703</v>
      </c>
      <c r="F221" s="767" t="s">
        <v>3746</v>
      </c>
      <c r="G221" s="114">
        <v>677</v>
      </c>
      <c r="H221" s="114">
        <v>183</v>
      </c>
      <c r="I221" s="114">
        <v>170</v>
      </c>
      <c r="J221" s="114">
        <v>13</v>
      </c>
      <c r="K221" s="114">
        <v>0</v>
      </c>
      <c r="L221" s="114">
        <v>0</v>
      </c>
      <c r="M221" s="114">
        <v>0</v>
      </c>
      <c r="N221" s="114">
        <v>0</v>
      </c>
      <c r="O221" s="114">
        <v>0</v>
      </c>
      <c r="P221" s="114">
        <v>0</v>
      </c>
      <c r="Q221" s="114">
        <v>0</v>
      </c>
      <c r="R221" s="114">
        <v>0</v>
      </c>
      <c r="S221" s="114">
        <v>834.49503068156923</v>
      </c>
      <c r="T221" s="114">
        <v>834.49503068156923</v>
      </c>
      <c r="U221" s="114">
        <v>1408.3846153846155</v>
      </c>
      <c r="V221" s="114">
        <v>0</v>
      </c>
      <c r="W221" s="114">
        <v>0</v>
      </c>
      <c r="X221" s="114">
        <v>1365.173957061457</v>
      </c>
      <c r="Y221" s="114">
        <v>4.1929573804573801</v>
      </c>
      <c r="Z221" s="114">
        <v>178.56925675675674</v>
      </c>
      <c r="AA221" s="114">
        <v>0.23778586278586278</v>
      </c>
      <c r="AB221" s="657">
        <v>0</v>
      </c>
      <c r="AC221" s="657">
        <v>0</v>
      </c>
      <c r="AD221" s="768">
        <v>183</v>
      </c>
      <c r="AE221" s="769">
        <v>3.8950970200970194</v>
      </c>
      <c r="AF221" s="769">
        <v>165.88400900900899</v>
      </c>
      <c r="AG221" s="770">
        <v>169.779106029106</v>
      </c>
      <c r="AH221" s="769">
        <v>0.22089397089397086</v>
      </c>
      <c r="AI221" s="769">
        <v>4.112112343920475</v>
      </c>
      <c r="AJ221" s="769">
        <v>175.12623628768313</v>
      </c>
      <c r="AK221" s="769">
        <v>179.2383486316036</v>
      </c>
      <c r="AL221" s="769">
        <v>0.23320107810513091</v>
      </c>
      <c r="AM221" s="769">
        <v>3.9076022939206694</v>
      </c>
      <c r="AN221" s="769">
        <v>166.41658238135872</v>
      </c>
      <c r="AO221" s="769">
        <v>170.32418467527938</v>
      </c>
      <c r="AP221" s="769">
        <v>0.22160315466468827</v>
      </c>
      <c r="AQ221" s="769">
        <v>0</v>
      </c>
      <c r="AR221" s="769">
        <v>0</v>
      </c>
      <c r="AS221" s="769">
        <v>175.78242730231122</v>
      </c>
      <c r="AT221" s="769">
        <v>177.50197742031264</v>
      </c>
      <c r="AU221" s="769">
        <v>179.2383486316036</v>
      </c>
      <c r="AV221" s="769">
        <v>180.99170548456021</v>
      </c>
      <c r="AW221" s="769">
        <v>182.76221413721413</v>
      </c>
      <c r="AX221" s="769">
        <v>170.87101330552011</v>
      </c>
      <c r="AY221" s="769">
        <v>170.59737989166635</v>
      </c>
      <c r="AZ221" s="769">
        <v>170.32418467527941</v>
      </c>
      <c r="BA221" s="769">
        <v>170.05142695462834</v>
      </c>
      <c r="BB221" s="769">
        <v>169.779106029106</v>
      </c>
      <c r="BC221" s="769">
        <v>0</v>
      </c>
      <c r="BD221" s="769">
        <v>0</v>
      </c>
      <c r="BE221" s="769">
        <v>0</v>
      </c>
      <c r="BF221" s="769">
        <v>0</v>
      </c>
      <c r="BG221" s="769">
        <v>0</v>
      </c>
      <c r="BH221" s="771">
        <v>183.52162303340813</v>
      </c>
      <c r="BI221" s="771">
        <v>184.28418740610113</v>
      </c>
      <c r="BJ221" s="771">
        <v>185.04992036684871</v>
      </c>
      <c r="BK221" s="772">
        <v>185.20343912190293</v>
      </c>
      <c r="BL221" s="772">
        <v>185.3569578769571</v>
      </c>
      <c r="BM221" s="772">
        <v>185.51047663201126</v>
      </c>
      <c r="BN221" s="772">
        <v>185.66399538706546</v>
      </c>
      <c r="BO221" s="772">
        <v>185.84552124590456</v>
      </c>
      <c r="BP221" s="772">
        <v>186.02704710474364</v>
      </c>
      <c r="BQ221" s="772">
        <v>186.53028889665762</v>
      </c>
      <c r="BR221" s="772">
        <v>187.1298670462601</v>
      </c>
      <c r="BS221" s="772">
        <v>187.3931300072436</v>
      </c>
      <c r="BT221" s="772">
        <v>187.53770246352192</v>
      </c>
      <c r="BU221" s="772">
        <v>187.68742088293061</v>
      </c>
      <c r="BV221" s="772">
        <v>187.84074147653044</v>
      </c>
      <c r="BW221" s="771">
        <v>170.48456784524251</v>
      </c>
      <c r="BX221" s="771">
        <v>171.1929609783453</v>
      </c>
      <c r="BY221" s="771">
        <v>171.90429760854798</v>
      </c>
      <c r="BZ221" s="772">
        <v>172.04691065969124</v>
      </c>
      <c r="CA221" s="772">
        <v>172.18952371083444</v>
      </c>
      <c r="CB221" s="772">
        <v>172.33213676197767</v>
      </c>
      <c r="CC221" s="772">
        <v>172.47474981312092</v>
      </c>
      <c r="CD221" s="772">
        <v>172.64338039237035</v>
      </c>
      <c r="CE221" s="772">
        <v>172.81201097161977</v>
      </c>
      <c r="CF221" s="772">
        <v>173.27950334662182</v>
      </c>
      <c r="CG221" s="772">
        <v>173.8364885129192</v>
      </c>
      <c r="CH221" s="772">
        <v>174.08104973350498</v>
      </c>
      <c r="CI221" s="772">
        <v>174.21535201529358</v>
      </c>
      <c r="CJ221" s="772">
        <v>174.35443469999018</v>
      </c>
      <c r="CK221" s="772">
        <v>174.49686366672228</v>
      </c>
      <c r="CL221" s="771">
        <v>0</v>
      </c>
      <c r="CM221" s="771">
        <v>0</v>
      </c>
      <c r="CN221" s="771">
        <v>0</v>
      </c>
      <c r="CO221" s="772">
        <v>0</v>
      </c>
      <c r="CP221" s="772">
        <v>0</v>
      </c>
      <c r="CQ221" s="772">
        <v>0</v>
      </c>
      <c r="CR221" s="772">
        <v>0</v>
      </c>
      <c r="CS221" s="772">
        <v>0</v>
      </c>
      <c r="CT221" s="772">
        <v>0</v>
      </c>
      <c r="CU221" s="772">
        <v>0</v>
      </c>
      <c r="CV221" s="772">
        <v>0</v>
      </c>
      <c r="CW221" s="772">
        <v>0</v>
      </c>
      <c r="CX221" s="772">
        <v>0</v>
      </c>
      <c r="CY221" s="772">
        <v>0</v>
      </c>
      <c r="CZ221" s="772">
        <v>0</v>
      </c>
      <c r="DA221" s="773">
        <v>0.23877390454515759</v>
      </c>
      <c r="DB221" s="773">
        <v>0.23976605179039959</v>
      </c>
      <c r="DC221" s="773">
        <v>0.24076232158059943</v>
      </c>
      <c r="DD221" s="774">
        <v>0.24096205974746673</v>
      </c>
      <c r="DE221" s="774">
        <v>0.24116179791433398</v>
      </c>
      <c r="DF221" s="774">
        <v>0.24136153608120123</v>
      </c>
      <c r="DG221" s="774">
        <v>0.24156127424806853</v>
      </c>
      <c r="DH221" s="774">
        <v>0.24179745152993048</v>
      </c>
      <c r="DI221" s="774">
        <v>0.24203362881179241</v>
      </c>
      <c r="DJ221" s="774">
        <v>0.24268838003728549</v>
      </c>
      <c r="DK221" s="774">
        <v>0.24346847130660956</v>
      </c>
      <c r="DL221" s="774">
        <v>0.24381099402451681</v>
      </c>
      <c r="DM221" s="774">
        <v>0.24399909245839438</v>
      </c>
      <c r="DN221" s="774">
        <v>0.24419388613444004</v>
      </c>
      <c r="DO221" s="774">
        <v>0.2443933664800032</v>
      </c>
      <c r="DP221" s="773">
        <v>0</v>
      </c>
      <c r="DQ221" s="773">
        <v>0</v>
      </c>
      <c r="DR221" s="773">
        <v>0</v>
      </c>
      <c r="DS221" s="774">
        <v>0</v>
      </c>
      <c r="DT221" s="774">
        <v>0</v>
      </c>
      <c r="DU221" s="774">
        <v>0</v>
      </c>
      <c r="DV221" s="774">
        <v>0</v>
      </c>
      <c r="DW221" s="774">
        <v>0</v>
      </c>
      <c r="DX221" s="774">
        <v>0</v>
      </c>
      <c r="DY221" s="774">
        <v>0</v>
      </c>
      <c r="DZ221" s="774">
        <v>0</v>
      </c>
      <c r="EA221" s="774">
        <v>0</v>
      </c>
      <c r="EB221" s="774">
        <v>0</v>
      </c>
      <c r="EC221" s="774">
        <v>0</v>
      </c>
      <c r="ED221" s="774">
        <v>0</v>
      </c>
    </row>
    <row r="222" spans="1:134" ht="15" x14ac:dyDescent="0.25">
      <c r="A222" s="766">
        <v>114</v>
      </c>
      <c r="B222" s="766">
        <v>94</v>
      </c>
      <c r="C222" s="766" t="s">
        <v>3893</v>
      </c>
      <c r="D222" s="2">
        <v>99703</v>
      </c>
      <c r="E222" s="2">
        <v>99703</v>
      </c>
      <c r="F222" s="767" t="s">
        <v>3746</v>
      </c>
      <c r="G222" s="114">
        <v>501</v>
      </c>
      <c r="H222" s="114">
        <v>46</v>
      </c>
      <c r="I222" s="114">
        <v>46</v>
      </c>
      <c r="J222" s="114">
        <v>0</v>
      </c>
      <c r="K222" s="114">
        <v>0</v>
      </c>
      <c r="L222" s="114">
        <v>0</v>
      </c>
      <c r="M222" s="114">
        <v>0</v>
      </c>
      <c r="N222" s="114">
        <v>0</v>
      </c>
      <c r="O222" s="114">
        <v>0</v>
      </c>
      <c r="P222" s="114">
        <v>0</v>
      </c>
      <c r="Q222" s="114">
        <v>0</v>
      </c>
      <c r="R222" s="114">
        <v>0</v>
      </c>
      <c r="S222" s="114">
        <v>834.49503068156923</v>
      </c>
      <c r="T222" s="114">
        <v>834.49503068156923</v>
      </c>
      <c r="U222" s="114">
        <v>1408.3846153846155</v>
      </c>
      <c r="V222" s="114">
        <v>0</v>
      </c>
      <c r="W222" s="114">
        <v>0</v>
      </c>
      <c r="X222" s="114">
        <v>1365.173957061457</v>
      </c>
      <c r="Y222" s="114">
        <v>1.053967428967429</v>
      </c>
      <c r="Z222" s="114">
        <v>44.886261261261261</v>
      </c>
      <c r="AA222" s="114">
        <v>5.9771309771309775E-2</v>
      </c>
      <c r="AB222" s="657">
        <v>0</v>
      </c>
      <c r="AC222" s="657">
        <v>0</v>
      </c>
      <c r="AD222" s="768">
        <v>46</v>
      </c>
      <c r="AE222" s="769">
        <v>1.053967428967429</v>
      </c>
      <c r="AF222" s="769">
        <v>44.886261261261268</v>
      </c>
      <c r="AG222" s="770">
        <v>45.9402286902287</v>
      </c>
      <c r="AH222" s="769">
        <v>5.9771309771309775E-2</v>
      </c>
      <c r="AI222" s="769">
        <v>1.0336457257942178</v>
      </c>
      <c r="AJ222" s="769">
        <v>44.020802564117076</v>
      </c>
      <c r="AK222" s="769">
        <v>45.054448289911292</v>
      </c>
      <c r="AL222" s="769">
        <v>5.8618850234076626E-2</v>
      </c>
      <c r="AM222" s="769">
        <v>1.0573512089432402</v>
      </c>
      <c r="AN222" s="769">
        <v>45.03036935025002</v>
      </c>
      <c r="AO222" s="769">
        <v>46.087720559193258</v>
      </c>
      <c r="AP222" s="769">
        <v>5.9963206556327427E-2</v>
      </c>
      <c r="AQ222" s="769">
        <v>0</v>
      </c>
      <c r="AR222" s="769">
        <v>0</v>
      </c>
      <c r="AS222" s="769">
        <v>44.185746753586429</v>
      </c>
      <c r="AT222" s="769">
        <v>44.617983395269846</v>
      </c>
      <c r="AU222" s="769">
        <v>45.054448289911292</v>
      </c>
      <c r="AV222" s="769">
        <v>45.495182799397654</v>
      </c>
      <c r="AW222" s="769">
        <v>45.940228690228693</v>
      </c>
      <c r="AX222" s="769">
        <v>46.235685953258397</v>
      </c>
      <c r="AY222" s="769">
        <v>46.161643970686207</v>
      </c>
      <c r="AZ222" s="769">
        <v>46.087720559193265</v>
      </c>
      <c r="BA222" s="769">
        <v>46.013915528899446</v>
      </c>
      <c r="BB222" s="769">
        <v>45.9402286902287</v>
      </c>
      <c r="BC222" s="769">
        <v>0</v>
      </c>
      <c r="BD222" s="769">
        <v>0</v>
      </c>
      <c r="BE222" s="769">
        <v>0</v>
      </c>
      <c r="BF222" s="769">
        <v>0</v>
      </c>
      <c r="BG222" s="769">
        <v>0</v>
      </c>
      <c r="BH222" s="771">
        <v>46.131118358124453</v>
      </c>
      <c r="BI222" s="771">
        <v>46.322801205905208</v>
      </c>
      <c r="BJ222" s="771">
        <v>46.515280529371815</v>
      </c>
      <c r="BK222" s="772">
        <v>46.553869943210579</v>
      </c>
      <c r="BL222" s="772">
        <v>46.592459357049329</v>
      </c>
      <c r="BM222" s="772">
        <v>46.631048770888079</v>
      </c>
      <c r="BN222" s="772">
        <v>46.669638184726843</v>
      </c>
      <c r="BO222" s="772">
        <v>46.715267635582578</v>
      </c>
      <c r="BP222" s="772">
        <v>46.760897086438298</v>
      </c>
      <c r="BQ222" s="772">
        <v>46.88739502320356</v>
      </c>
      <c r="BR222" s="772">
        <v>47.038108656436975</v>
      </c>
      <c r="BS222" s="772">
        <v>47.104284045536652</v>
      </c>
      <c r="BT222" s="772">
        <v>47.140624662961798</v>
      </c>
      <c r="BU222" s="772">
        <v>47.178258801173818</v>
      </c>
      <c r="BV222" s="772">
        <v>47.216798403936622</v>
      </c>
      <c r="BW222" s="771">
        <v>46.131118358124461</v>
      </c>
      <c r="BX222" s="771">
        <v>46.322801205905215</v>
      </c>
      <c r="BY222" s="771">
        <v>46.515280529371822</v>
      </c>
      <c r="BZ222" s="772">
        <v>46.553869943210586</v>
      </c>
      <c r="CA222" s="772">
        <v>46.592459357049336</v>
      </c>
      <c r="CB222" s="772">
        <v>46.631048770888086</v>
      </c>
      <c r="CC222" s="772">
        <v>46.66963818472685</v>
      </c>
      <c r="CD222" s="772">
        <v>46.715267635582585</v>
      </c>
      <c r="CE222" s="772">
        <v>46.760897086438305</v>
      </c>
      <c r="CF222" s="772">
        <v>46.887395023203567</v>
      </c>
      <c r="CG222" s="772">
        <v>47.038108656436982</v>
      </c>
      <c r="CH222" s="772">
        <v>47.104284045536659</v>
      </c>
      <c r="CI222" s="772">
        <v>47.140624662961805</v>
      </c>
      <c r="CJ222" s="772">
        <v>47.178258801173826</v>
      </c>
      <c r="CK222" s="772">
        <v>47.216798403936629</v>
      </c>
      <c r="CL222" s="771">
        <v>0</v>
      </c>
      <c r="CM222" s="771">
        <v>0</v>
      </c>
      <c r="CN222" s="771">
        <v>0</v>
      </c>
      <c r="CO222" s="772">
        <v>0</v>
      </c>
      <c r="CP222" s="772">
        <v>0</v>
      </c>
      <c r="CQ222" s="772">
        <v>0</v>
      </c>
      <c r="CR222" s="772">
        <v>0</v>
      </c>
      <c r="CS222" s="772">
        <v>0</v>
      </c>
      <c r="CT222" s="772">
        <v>0</v>
      </c>
      <c r="CU222" s="772">
        <v>0</v>
      </c>
      <c r="CV222" s="772">
        <v>0</v>
      </c>
      <c r="CW222" s="772">
        <v>0</v>
      </c>
      <c r="CX222" s="772">
        <v>0</v>
      </c>
      <c r="CY222" s="772">
        <v>0</v>
      </c>
      <c r="CZ222" s="772">
        <v>0</v>
      </c>
      <c r="DA222" s="773">
        <v>6.0019669994957649E-2</v>
      </c>
      <c r="DB222" s="773">
        <v>6.0269062198679682E-2</v>
      </c>
      <c r="DC222" s="773">
        <v>6.0519490670533194E-2</v>
      </c>
      <c r="DD222" s="774">
        <v>6.0569698078598196E-2</v>
      </c>
      <c r="DE222" s="774">
        <v>6.0619905486663191E-2</v>
      </c>
      <c r="DF222" s="774">
        <v>6.0670112894728179E-2</v>
      </c>
      <c r="DG222" s="774">
        <v>6.0720320302793188E-2</v>
      </c>
      <c r="DH222" s="774">
        <v>6.0779687269818597E-2</v>
      </c>
      <c r="DI222" s="774">
        <v>6.0839054236843999E-2</v>
      </c>
      <c r="DJ222" s="774">
        <v>6.1003636512104553E-2</v>
      </c>
      <c r="DK222" s="774">
        <v>6.1199725027890929E-2</v>
      </c>
      <c r="DL222" s="774">
        <v>6.1285823634577997E-2</v>
      </c>
      <c r="DM222" s="774">
        <v>6.1333105208120998E-2</v>
      </c>
      <c r="DN222" s="774">
        <v>6.1382069738711707E-2</v>
      </c>
      <c r="DO222" s="774">
        <v>6.1432212339235778E-2</v>
      </c>
      <c r="DP222" s="773">
        <v>0</v>
      </c>
      <c r="DQ222" s="773">
        <v>0</v>
      </c>
      <c r="DR222" s="773">
        <v>0</v>
      </c>
      <c r="DS222" s="774">
        <v>0</v>
      </c>
      <c r="DT222" s="774">
        <v>0</v>
      </c>
      <c r="DU222" s="774">
        <v>0</v>
      </c>
      <c r="DV222" s="774">
        <v>0</v>
      </c>
      <c r="DW222" s="774">
        <v>0</v>
      </c>
      <c r="DX222" s="774">
        <v>0</v>
      </c>
      <c r="DY222" s="774">
        <v>0</v>
      </c>
      <c r="DZ222" s="774">
        <v>0</v>
      </c>
      <c r="EA222" s="774">
        <v>0</v>
      </c>
      <c r="EB222" s="774">
        <v>0</v>
      </c>
      <c r="EC222" s="774">
        <v>0</v>
      </c>
      <c r="ED222" s="774">
        <v>0</v>
      </c>
    </row>
    <row r="223" spans="1:134" ht="15" x14ac:dyDescent="0.25">
      <c r="A223" s="766">
        <v>115</v>
      </c>
      <c r="B223" s="766">
        <v>94</v>
      </c>
      <c r="C223" s="766" t="s">
        <v>3894</v>
      </c>
      <c r="D223" s="2">
        <v>99705</v>
      </c>
      <c r="E223" s="2">
        <v>99705</v>
      </c>
      <c r="F223" s="767" t="s">
        <v>3746</v>
      </c>
      <c r="G223" s="114">
        <v>76</v>
      </c>
      <c r="H223" s="114">
        <v>39</v>
      </c>
      <c r="I223" s="114">
        <v>34</v>
      </c>
      <c r="J223" s="114">
        <v>5</v>
      </c>
      <c r="K223" s="114">
        <v>0</v>
      </c>
      <c r="L223" s="114">
        <v>48</v>
      </c>
      <c r="M223" s="114">
        <v>48</v>
      </c>
      <c r="N223" s="114">
        <v>0</v>
      </c>
      <c r="O223" s="114">
        <v>0</v>
      </c>
      <c r="P223" s="114">
        <v>0</v>
      </c>
      <c r="Q223" s="114">
        <v>48</v>
      </c>
      <c r="R223" s="114">
        <v>0</v>
      </c>
      <c r="S223" s="114">
        <v>1971.875</v>
      </c>
      <c r="T223" s="114">
        <v>1971.875</v>
      </c>
      <c r="U223" s="114">
        <v>0</v>
      </c>
      <c r="V223" s="114">
        <v>0</v>
      </c>
      <c r="W223" s="114">
        <v>0</v>
      </c>
      <c r="X223" s="114">
        <v>1971.875</v>
      </c>
      <c r="Y223" s="114">
        <v>0</v>
      </c>
      <c r="Z223" s="114">
        <v>39</v>
      </c>
      <c r="AA223" s="114">
        <v>0</v>
      </c>
      <c r="AB223" s="657">
        <v>0</v>
      </c>
      <c r="AC223" s="657">
        <v>0</v>
      </c>
      <c r="AD223" s="768">
        <v>39</v>
      </c>
      <c r="AE223" s="769">
        <v>0</v>
      </c>
      <c r="AF223" s="769">
        <v>34</v>
      </c>
      <c r="AG223" s="770">
        <v>34</v>
      </c>
      <c r="AH223" s="769">
        <v>0</v>
      </c>
      <c r="AI223" s="769">
        <v>0</v>
      </c>
      <c r="AJ223" s="769">
        <v>36.197916308613557</v>
      </c>
      <c r="AK223" s="769">
        <v>36.197916308613557</v>
      </c>
      <c r="AL223" s="769">
        <v>0</v>
      </c>
      <c r="AM223" s="769">
        <v>0</v>
      </c>
      <c r="AN223" s="769">
        <v>31.719017607330336</v>
      </c>
      <c r="AO223" s="769">
        <v>31.719017607330336</v>
      </c>
      <c r="AP223" s="769">
        <v>0</v>
      </c>
      <c r="AQ223" s="769">
        <v>0</v>
      </c>
      <c r="AR223" s="769">
        <v>0</v>
      </c>
      <c r="AS223" s="769">
        <v>33.59715756629209</v>
      </c>
      <c r="AT223" s="769">
        <v>34.873300643786848</v>
      </c>
      <c r="AU223" s="769">
        <v>36.197916308613557</v>
      </c>
      <c r="AV223" s="769">
        <v>37.572845727146202</v>
      </c>
      <c r="AW223" s="769">
        <v>39</v>
      </c>
      <c r="AX223" s="769">
        <v>29.59106111688623</v>
      </c>
      <c r="AY223" s="769">
        <v>30.636569465038058</v>
      </c>
      <c r="AZ223" s="769">
        <v>31.719017607330336</v>
      </c>
      <c r="BA223" s="769">
        <v>32.839710696795599</v>
      </c>
      <c r="BB223" s="769">
        <v>34</v>
      </c>
      <c r="BC223" s="769">
        <v>0</v>
      </c>
      <c r="BD223" s="769">
        <v>0</v>
      </c>
      <c r="BE223" s="769">
        <v>0</v>
      </c>
      <c r="BF223" s="769">
        <v>0</v>
      </c>
      <c r="BG223" s="769">
        <v>0</v>
      </c>
      <c r="BH223" s="771">
        <v>39.369302596271126</v>
      </c>
      <c r="BI223" s="771">
        <v>39.742102228634877</v>
      </c>
      <c r="BJ223" s="771">
        <v>40.118432011565837</v>
      </c>
      <c r="BK223" s="772">
        <v>40.159090103391911</v>
      </c>
      <c r="BL223" s="772">
        <v>40.199748195217985</v>
      </c>
      <c r="BM223" s="772">
        <v>40.240406287044053</v>
      </c>
      <c r="BN223" s="772">
        <v>40.281064378870127</v>
      </c>
      <c r="BO223" s="772">
        <v>40.329139905765054</v>
      </c>
      <c r="BP223" s="772">
        <v>40.377215432659995</v>
      </c>
      <c r="BQ223" s="772">
        <v>40.510494594408883</v>
      </c>
      <c r="BR223" s="772">
        <v>40.669287593054797</v>
      </c>
      <c r="BS223" s="772">
        <v>40.739010472440377</v>
      </c>
      <c r="BT223" s="772">
        <v>40.777299215733088</v>
      </c>
      <c r="BU223" s="772">
        <v>40.816950822093645</v>
      </c>
      <c r="BV223" s="772">
        <v>40.857556432601697</v>
      </c>
      <c r="BW223" s="771">
        <v>34.321956109569697</v>
      </c>
      <c r="BX223" s="771">
        <v>34.646960917271429</v>
      </c>
      <c r="BY223" s="771">
        <v>34.975043292134316</v>
      </c>
      <c r="BZ223" s="772">
        <v>35.010488808085249</v>
      </c>
      <c r="CA223" s="772">
        <v>35.045934324036189</v>
      </c>
      <c r="CB223" s="772">
        <v>35.081379839987115</v>
      </c>
      <c r="CC223" s="772">
        <v>35.116825355938055</v>
      </c>
      <c r="CD223" s="772">
        <v>35.158737353743895</v>
      </c>
      <c r="CE223" s="772">
        <v>35.200649351549735</v>
      </c>
      <c r="CF223" s="772">
        <v>35.316841441279536</v>
      </c>
      <c r="CG223" s="772">
        <v>35.455276363175969</v>
      </c>
      <c r="CH223" s="772">
        <v>35.516060411871095</v>
      </c>
      <c r="CI223" s="772">
        <v>35.549440341921148</v>
      </c>
      <c r="CJ223" s="772">
        <v>35.58400840900471</v>
      </c>
      <c r="CK223" s="772">
        <v>35.619408172011731</v>
      </c>
      <c r="CL223" s="771">
        <v>0</v>
      </c>
      <c r="CM223" s="771">
        <v>0</v>
      </c>
      <c r="CN223" s="771">
        <v>0</v>
      </c>
      <c r="CO223" s="772">
        <v>0</v>
      </c>
      <c r="CP223" s="772">
        <v>0</v>
      </c>
      <c r="CQ223" s="772">
        <v>0</v>
      </c>
      <c r="CR223" s="772">
        <v>0</v>
      </c>
      <c r="CS223" s="772">
        <v>0</v>
      </c>
      <c r="CT223" s="772">
        <v>0</v>
      </c>
      <c r="CU223" s="772">
        <v>0</v>
      </c>
      <c r="CV223" s="772">
        <v>0</v>
      </c>
      <c r="CW223" s="772">
        <v>0</v>
      </c>
      <c r="CX223" s="772">
        <v>0</v>
      </c>
      <c r="CY223" s="772">
        <v>0</v>
      </c>
      <c r="CZ223" s="772">
        <v>0</v>
      </c>
      <c r="DA223" s="773">
        <v>0</v>
      </c>
      <c r="DB223" s="773">
        <v>0</v>
      </c>
      <c r="DC223" s="773">
        <v>0</v>
      </c>
      <c r="DD223" s="774">
        <v>0</v>
      </c>
      <c r="DE223" s="774">
        <v>0</v>
      </c>
      <c r="DF223" s="774">
        <v>0</v>
      </c>
      <c r="DG223" s="774">
        <v>0</v>
      </c>
      <c r="DH223" s="774">
        <v>0</v>
      </c>
      <c r="DI223" s="774">
        <v>0</v>
      </c>
      <c r="DJ223" s="774">
        <v>0</v>
      </c>
      <c r="DK223" s="774">
        <v>0</v>
      </c>
      <c r="DL223" s="774">
        <v>0</v>
      </c>
      <c r="DM223" s="774">
        <v>0</v>
      </c>
      <c r="DN223" s="774">
        <v>0</v>
      </c>
      <c r="DO223" s="774">
        <v>0</v>
      </c>
      <c r="DP223" s="773">
        <v>0</v>
      </c>
      <c r="DQ223" s="773">
        <v>0</v>
      </c>
      <c r="DR223" s="773">
        <v>0</v>
      </c>
      <c r="DS223" s="774">
        <v>0</v>
      </c>
      <c r="DT223" s="774">
        <v>0</v>
      </c>
      <c r="DU223" s="774">
        <v>0</v>
      </c>
      <c r="DV223" s="774">
        <v>0</v>
      </c>
      <c r="DW223" s="774">
        <v>0</v>
      </c>
      <c r="DX223" s="774">
        <v>0</v>
      </c>
      <c r="DY223" s="774">
        <v>0</v>
      </c>
      <c r="DZ223" s="774">
        <v>0</v>
      </c>
      <c r="EA223" s="774">
        <v>0</v>
      </c>
      <c r="EB223" s="774">
        <v>0</v>
      </c>
      <c r="EC223" s="774">
        <v>0</v>
      </c>
      <c r="ED223" s="774">
        <v>0</v>
      </c>
    </row>
    <row r="224" spans="1:134" ht="15" x14ac:dyDescent="0.25">
      <c r="A224" s="766">
        <v>116</v>
      </c>
      <c r="B224" s="766">
        <v>94</v>
      </c>
      <c r="C224" s="766" t="s">
        <v>3895</v>
      </c>
      <c r="D224" s="2">
        <v>99705</v>
      </c>
      <c r="E224" s="2">
        <v>99705</v>
      </c>
      <c r="F224" s="767" t="s">
        <v>3746</v>
      </c>
      <c r="G224" s="114">
        <v>36</v>
      </c>
      <c r="H224" s="114">
        <v>14</v>
      </c>
      <c r="I224" s="114">
        <v>13</v>
      </c>
      <c r="J224" s="114">
        <v>1</v>
      </c>
      <c r="K224" s="114">
        <v>0</v>
      </c>
      <c r="L224" s="114">
        <v>15</v>
      </c>
      <c r="M224" s="114">
        <v>15</v>
      </c>
      <c r="N224" s="114">
        <v>0</v>
      </c>
      <c r="O224" s="114">
        <v>0</v>
      </c>
      <c r="P224" s="114">
        <v>0</v>
      </c>
      <c r="Q224" s="114">
        <v>15</v>
      </c>
      <c r="R224" s="114">
        <v>0</v>
      </c>
      <c r="S224" s="114">
        <v>2211.7333333333331</v>
      </c>
      <c r="T224" s="114">
        <v>2211.7333333333331</v>
      </c>
      <c r="U224" s="114">
        <v>0</v>
      </c>
      <c r="V224" s="114">
        <v>0</v>
      </c>
      <c r="W224" s="114">
        <v>0</v>
      </c>
      <c r="X224" s="114">
        <v>2211.7333333333331</v>
      </c>
      <c r="Y224" s="114">
        <v>0</v>
      </c>
      <c r="Z224" s="114">
        <v>14</v>
      </c>
      <c r="AA224" s="114">
        <v>0</v>
      </c>
      <c r="AB224" s="657">
        <v>0</v>
      </c>
      <c r="AC224" s="657">
        <v>0</v>
      </c>
      <c r="AD224" s="768">
        <v>14</v>
      </c>
      <c r="AE224" s="769">
        <v>0</v>
      </c>
      <c r="AF224" s="769">
        <v>13</v>
      </c>
      <c r="AG224" s="770">
        <v>13</v>
      </c>
      <c r="AH224" s="769">
        <v>0</v>
      </c>
      <c r="AI224" s="769">
        <v>0</v>
      </c>
      <c r="AJ224" s="769">
        <v>12.994123803092048</v>
      </c>
      <c r="AK224" s="769">
        <v>12.994123803092048</v>
      </c>
      <c r="AL224" s="769">
        <v>0</v>
      </c>
      <c r="AM224" s="769">
        <v>0</v>
      </c>
      <c r="AN224" s="769">
        <v>12.127859673391011</v>
      </c>
      <c r="AO224" s="769">
        <v>12.127859673391011</v>
      </c>
      <c r="AP224" s="769">
        <v>0</v>
      </c>
      <c r="AQ224" s="769">
        <v>0</v>
      </c>
      <c r="AR224" s="769">
        <v>0</v>
      </c>
      <c r="AS224" s="769">
        <v>12.060518100720238</v>
      </c>
      <c r="AT224" s="769">
        <v>12.518620743923483</v>
      </c>
      <c r="AU224" s="769">
        <v>12.994123803092048</v>
      </c>
      <c r="AV224" s="769">
        <v>13.487688209744791</v>
      </c>
      <c r="AW224" s="769">
        <v>14</v>
      </c>
      <c r="AX224" s="769">
        <v>11.314229250574147</v>
      </c>
      <c r="AY224" s="769">
        <v>11.713982442514551</v>
      </c>
      <c r="AZ224" s="769">
        <v>12.127859673391011</v>
      </c>
      <c r="BA224" s="769">
        <v>12.5563599723042</v>
      </c>
      <c r="BB224" s="769">
        <v>13</v>
      </c>
      <c r="BC224" s="769">
        <v>0</v>
      </c>
      <c r="BD224" s="769">
        <v>0</v>
      </c>
      <c r="BE224" s="769">
        <v>0</v>
      </c>
      <c r="BF224" s="769">
        <v>0</v>
      </c>
      <c r="BG224" s="769">
        <v>0</v>
      </c>
      <c r="BH224" s="771">
        <v>14.132570162763994</v>
      </c>
      <c r="BI224" s="771">
        <v>14.266395671817648</v>
      </c>
      <c r="BJ224" s="771">
        <v>14.401488414408249</v>
      </c>
      <c r="BK224" s="772">
        <v>15.05164027701994</v>
      </c>
      <c r="BL224" s="772">
        <v>15.701792139631632</v>
      </c>
      <c r="BM224" s="772">
        <v>16.351944002243329</v>
      </c>
      <c r="BN224" s="772">
        <v>17.002095864855018</v>
      </c>
      <c r="BO224" s="772">
        <v>17.770857800129654</v>
      </c>
      <c r="BP224" s="772">
        <v>18.53961973540429</v>
      </c>
      <c r="BQ224" s="772">
        <v>20.670848510946531</v>
      </c>
      <c r="BR224" s="772">
        <v>23.21006172048374</v>
      </c>
      <c r="BS224" s="772">
        <v>24.324980248709434</v>
      </c>
      <c r="BT224" s="772">
        <v>24.93724453979571</v>
      </c>
      <c r="BU224" s="772">
        <v>25.571301982558658</v>
      </c>
      <c r="BV224" s="772">
        <v>26.22061463149527</v>
      </c>
      <c r="BW224" s="771">
        <v>13.123100865423709</v>
      </c>
      <c r="BX224" s="771">
        <v>13.247367409544959</v>
      </c>
      <c r="BY224" s="771">
        <v>13.372810670521945</v>
      </c>
      <c r="BZ224" s="772">
        <v>13.976523114375659</v>
      </c>
      <c r="CA224" s="772">
        <v>14.580235558229372</v>
      </c>
      <c r="CB224" s="772">
        <v>15.183948002083088</v>
      </c>
      <c r="CC224" s="772">
        <v>15.787660445936803</v>
      </c>
      <c r="CD224" s="772">
        <v>16.501510814406107</v>
      </c>
      <c r="CE224" s="772">
        <v>17.215361182875412</v>
      </c>
      <c r="CF224" s="772">
        <v>19.194359331593205</v>
      </c>
      <c r="CG224" s="772">
        <v>21.552200169020615</v>
      </c>
      <c r="CH224" s="772">
        <v>22.587481659515902</v>
      </c>
      <c r="CI224" s="772">
        <v>23.156012786953159</v>
      </c>
      <c r="CJ224" s="772">
        <v>23.744780412375896</v>
      </c>
      <c r="CK224" s="772">
        <v>24.347713586388466</v>
      </c>
      <c r="CL224" s="771">
        <v>0</v>
      </c>
      <c r="CM224" s="771">
        <v>0</v>
      </c>
      <c r="CN224" s="771">
        <v>0</v>
      </c>
      <c r="CO224" s="772">
        <v>0</v>
      </c>
      <c r="CP224" s="772">
        <v>0</v>
      </c>
      <c r="CQ224" s="772">
        <v>0</v>
      </c>
      <c r="CR224" s="772">
        <v>0</v>
      </c>
      <c r="CS224" s="772">
        <v>0</v>
      </c>
      <c r="CT224" s="772">
        <v>0</v>
      </c>
      <c r="CU224" s="772">
        <v>0</v>
      </c>
      <c r="CV224" s="772">
        <v>0</v>
      </c>
      <c r="CW224" s="772">
        <v>0</v>
      </c>
      <c r="CX224" s="772">
        <v>0</v>
      </c>
      <c r="CY224" s="772">
        <v>0</v>
      </c>
      <c r="CZ224" s="772">
        <v>0</v>
      </c>
      <c r="DA224" s="773">
        <v>0</v>
      </c>
      <c r="DB224" s="773">
        <v>0</v>
      </c>
      <c r="DC224" s="773">
        <v>0</v>
      </c>
      <c r="DD224" s="774">
        <v>0</v>
      </c>
      <c r="DE224" s="774">
        <v>0</v>
      </c>
      <c r="DF224" s="774">
        <v>0</v>
      </c>
      <c r="DG224" s="774">
        <v>0</v>
      </c>
      <c r="DH224" s="774">
        <v>0</v>
      </c>
      <c r="DI224" s="774">
        <v>0</v>
      </c>
      <c r="DJ224" s="774">
        <v>0</v>
      </c>
      <c r="DK224" s="774">
        <v>0</v>
      </c>
      <c r="DL224" s="774">
        <v>0</v>
      </c>
      <c r="DM224" s="774">
        <v>0</v>
      </c>
      <c r="DN224" s="774">
        <v>0</v>
      </c>
      <c r="DO224" s="774">
        <v>0</v>
      </c>
      <c r="DP224" s="773">
        <v>0</v>
      </c>
      <c r="DQ224" s="773">
        <v>0</v>
      </c>
      <c r="DR224" s="773">
        <v>0</v>
      </c>
      <c r="DS224" s="774">
        <v>0</v>
      </c>
      <c r="DT224" s="774">
        <v>0</v>
      </c>
      <c r="DU224" s="774">
        <v>0</v>
      </c>
      <c r="DV224" s="774">
        <v>0</v>
      </c>
      <c r="DW224" s="774">
        <v>0</v>
      </c>
      <c r="DX224" s="774">
        <v>0</v>
      </c>
      <c r="DY224" s="774">
        <v>0</v>
      </c>
      <c r="DZ224" s="774">
        <v>0</v>
      </c>
      <c r="EA224" s="774">
        <v>0</v>
      </c>
      <c r="EB224" s="774">
        <v>0</v>
      </c>
      <c r="EC224" s="774">
        <v>0</v>
      </c>
      <c r="ED224" s="774">
        <v>0</v>
      </c>
    </row>
    <row r="225" spans="1:134" ht="15" x14ac:dyDescent="0.25">
      <c r="A225" s="766">
        <v>117</v>
      </c>
      <c r="B225" s="766">
        <v>94</v>
      </c>
      <c r="C225" s="766" t="s">
        <v>3896</v>
      </c>
      <c r="D225" s="2">
        <v>99705</v>
      </c>
      <c r="E225" s="2">
        <v>99705</v>
      </c>
      <c r="F225" s="767" t="s">
        <v>3746</v>
      </c>
      <c r="G225" s="114">
        <v>251</v>
      </c>
      <c r="H225" s="114">
        <v>105</v>
      </c>
      <c r="I225" s="114">
        <v>94</v>
      </c>
      <c r="J225" s="114">
        <v>11</v>
      </c>
      <c r="K225" s="114">
        <v>0</v>
      </c>
      <c r="L225" s="114">
        <v>103</v>
      </c>
      <c r="M225" s="114">
        <v>103</v>
      </c>
      <c r="N225" s="114">
        <v>0</v>
      </c>
      <c r="O225" s="114">
        <v>0</v>
      </c>
      <c r="P225" s="114">
        <v>0</v>
      </c>
      <c r="Q225" s="114">
        <v>103</v>
      </c>
      <c r="R225" s="114">
        <v>0</v>
      </c>
      <c r="S225" s="114">
        <v>2264.1844660194174</v>
      </c>
      <c r="T225" s="114">
        <v>2264.1844660194174</v>
      </c>
      <c r="U225" s="114">
        <v>0</v>
      </c>
      <c r="V225" s="114">
        <v>0</v>
      </c>
      <c r="W225" s="114">
        <v>0</v>
      </c>
      <c r="X225" s="114">
        <v>2264.1844660194174</v>
      </c>
      <c r="Y225" s="114">
        <v>0</v>
      </c>
      <c r="Z225" s="114">
        <v>105</v>
      </c>
      <c r="AA225" s="114">
        <v>0</v>
      </c>
      <c r="AB225" s="657">
        <v>0</v>
      </c>
      <c r="AC225" s="657">
        <v>0</v>
      </c>
      <c r="AD225" s="768">
        <v>105</v>
      </c>
      <c r="AE225" s="769">
        <v>0</v>
      </c>
      <c r="AF225" s="769">
        <v>94</v>
      </c>
      <c r="AG225" s="770">
        <v>94</v>
      </c>
      <c r="AH225" s="769">
        <v>0</v>
      </c>
      <c r="AI225" s="769">
        <v>0</v>
      </c>
      <c r="AJ225" s="769">
        <v>97.455928523190352</v>
      </c>
      <c r="AK225" s="769">
        <v>97.455928523190352</v>
      </c>
      <c r="AL225" s="769">
        <v>0</v>
      </c>
      <c r="AM225" s="769">
        <v>0</v>
      </c>
      <c r="AN225" s="769">
        <v>87.693754561442688</v>
      </c>
      <c r="AO225" s="769">
        <v>87.693754561442688</v>
      </c>
      <c r="AP225" s="769">
        <v>0</v>
      </c>
      <c r="AQ225" s="769">
        <v>0</v>
      </c>
      <c r="AR225" s="769">
        <v>0</v>
      </c>
      <c r="AS225" s="769">
        <v>90.453885755401785</v>
      </c>
      <c r="AT225" s="769">
        <v>93.889655579426119</v>
      </c>
      <c r="AU225" s="769">
        <v>97.455928523190352</v>
      </c>
      <c r="AV225" s="769">
        <v>101.15766157308593</v>
      </c>
      <c r="AW225" s="769">
        <v>105</v>
      </c>
      <c r="AX225" s="769">
        <v>81.810580734920748</v>
      </c>
      <c r="AY225" s="769">
        <v>84.701103815105213</v>
      </c>
      <c r="AZ225" s="769">
        <v>87.693754561442688</v>
      </c>
      <c r="BA225" s="769">
        <v>90.792141338199599</v>
      </c>
      <c r="BB225" s="769">
        <v>94</v>
      </c>
      <c r="BC225" s="769">
        <v>0</v>
      </c>
      <c r="BD225" s="769">
        <v>0</v>
      </c>
      <c r="BE225" s="769">
        <v>0</v>
      </c>
      <c r="BF225" s="769">
        <v>0</v>
      </c>
      <c r="BG225" s="769">
        <v>0</v>
      </c>
      <c r="BH225" s="771">
        <v>107.33283015623367</v>
      </c>
      <c r="BI225" s="771">
        <v>109.71748980330383</v>
      </c>
      <c r="BJ225" s="771">
        <v>112.15513045929819</v>
      </c>
      <c r="BK225" s="772">
        <v>113.35285887425083</v>
      </c>
      <c r="BL225" s="772">
        <v>114.55058728920348</v>
      </c>
      <c r="BM225" s="772">
        <v>115.74831570415611</v>
      </c>
      <c r="BN225" s="772">
        <v>116.94604411910875</v>
      </c>
      <c r="BO225" s="772">
        <v>118.36227941298863</v>
      </c>
      <c r="BP225" s="772">
        <v>119.77851470686851</v>
      </c>
      <c r="BQ225" s="772">
        <v>123.70472550472365</v>
      </c>
      <c r="BR225" s="772">
        <v>128.38253693245503</v>
      </c>
      <c r="BS225" s="772">
        <v>130.43647183352388</v>
      </c>
      <c r="BT225" s="772">
        <v>131.56440267717178</v>
      </c>
      <c r="BU225" s="772">
        <v>132.73248149011053</v>
      </c>
      <c r="BV225" s="772">
        <v>133.92866388155289</v>
      </c>
      <c r="BW225" s="771">
        <v>96.08843842558062</v>
      </c>
      <c r="BX225" s="771">
        <v>98.223276585814858</v>
      </c>
      <c r="BY225" s="771">
        <v>100.40554536356218</v>
      </c>
      <c r="BZ225" s="772">
        <v>101.47779746837693</v>
      </c>
      <c r="CA225" s="772">
        <v>102.55004957319167</v>
      </c>
      <c r="CB225" s="772">
        <v>103.62230167800642</v>
      </c>
      <c r="CC225" s="772">
        <v>104.69455378282116</v>
      </c>
      <c r="CD225" s="772">
        <v>105.96242156972315</v>
      </c>
      <c r="CE225" s="772">
        <v>107.23028935662512</v>
      </c>
      <c r="CF225" s="772">
        <v>110.74518283280021</v>
      </c>
      <c r="CG225" s="772">
        <v>114.93293782524543</v>
      </c>
      <c r="CH225" s="772">
        <v>116.77169859382136</v>
      </c>
      <c r="CI225" s="772">
        <v>117.78146525384902</v>
      </c>
      <c r="CJ225" s="772">
        <v>118.82717390543229</v>
      </c>
      <c r="CK225" s="772">
        <v>119.89804195110449</v>
      </c>
      <c r="CL225" s="771">
        <v>0</v>
      </c>
      <c r="CM225" s="771">
        <v>0</v>
      </c>
      <c r="CN225" s="771">
        <v>0</v>
      </c>
      <c r="CO225" s="772">
        <v>0</v>
      </c>
      <c r="CP225" s="772">
        <v>0</v>
      </c>
      <c r="CQ225" s="772">
        <v>0</v>
      </c>
      <c r="CR225" s="772">
        <v>0</v>
      </c>
      <c r="CS225" s="772">
        <v>0</v>
      </c>
      <c r="CT225" s="772">
        <v>0</v>
      </c>
      <c r="CU225" s="772">
        <v>0</v>
      </c>
      <c r="CV225" s="772">
        <v>0</v>
      </c>
      <c r="CW225" s="772">
        <v>0</v>
      </c>
      <c r="CX225" s="772">
        <v>0</v>
      </c>
      <c r="CY225" s="772">
        <v>0</v>
      </c>
      <c r="CZ225" s="772">
        <v>0</v>
      </c>
      <c r="DA225" s="773">
        <v>0</v>
      </c>
      <c r="DB225" s="773">
        <v>0</v>
      </c>
      <c r="DC225" s="773">
        <v>0</v>
      </c>
      <c r="DD225" s="774">
        <v>0</v>
      </c>
      <c r="DE225" s="774">
        <v>0</v>
      </c>
      <c r="DF225" s="774">
        <v>0</v>
      </c>
      <c r="DG225" s="774">
        <v>0</v>
      </c>
      <c r="DH225" s="774">
        <v>0</v>
      </c>
      <c r="DI225" s="774">
        <v>0</v>
      </c>
      <c r="DJ225" s="774">
        <v>0</v>
      </c>
      <c r="DK225" s="774">
        <v>0</v>
      </c>
      <c r="DL225" s="774">
        <v>0</v>
      </c>
      <c r="DM225" s="774">
        <v>0</v>
      </c>
      <c r="DN225" s="774">
        <v>0</v>
      </c>
      <c r="DO225" s="774">
        <v>0</v>
      </c>
      <c r="DP225" s="773">
        <v>0</v>
      </c>
      <c r="DQ225" s="773">
        <v>0</v>
      </c>
      <c r="DR225" s="773">
        <v>0</v>
      </c>
      <c r="DS225" s="774">
        <v>0</v>
      </c>
      <c r="DT225" s="774">
        <v>0</v>
      </c>
      <c r="DU225" s="774">
        <v>0</v>
      </c>
      <c r="DV225" s="774">
        <v>0</v>
      </c>
      <c r="DW225" s="774">
        <v>0</v>
      </c>
      <c r="DX225" s="774">
        <v>0</v>
      </c>
      <c r="DY225" s="774">
        <v>0</v>
      </c>
      <c r="DZ225" s="774">
        <v>0</v>
      </c>
      <c r="EA225" s="774">
        <v>0</v>
      </c>
      <c r="EB225" s="774">
        <v>0</v>
      </c>
      <c r="EC225" s="774">
        <v>0</v>
      </c>
      <c r="ED225" s="774">
        <v>0</v>
      </c>
    </row>
    <row r="226" spans="1:134" ht="15" x14ac:dyDescent="0.25">
      <c r="A226" s="766">
        <v>118</v>
      </c>
      <c r="B226" s="766">
        <v>94</v>
      </c>
      <c r="C226" s="766" t="s">
        <v>3897</v>
      </c>
      <c r="D226" s="2">
        <v>99705</v>
      </c>
      <c r="E226" s="2">
        <v>99705</v>
      </c>
      <c r="F226" s="767" t="s">
        <v>3746</v>
      </c>
      <c r="G226" s="114">
        <v>208</v>
      </c>
      <c r="H226" s="114">
        <v>80</v>
      </c>
      <c r="I226" s="114">
        <v>76</v>
      </c>
      <c r="J226" s="114">
        <v>4</v>
      </c>
      <c r="K226" s="114">
        <v>0</v>
      </c>
      <c r="L226" s="114">
        <v>60</v>
      </c>
      <c r="M226" s="114">
        <v>60</v>
      </c>
      <c r="N226" s="114">
        <v>0</v>
      </c>
      <c r="O226" s="114">
        <v>0</v>
      </c>
      <c r="P226" s="114">
        <v>0</v>
      </c>
      <c r="Q226" s="114">
        <v>60</v>
      </c>
      <c r="R226" s="114">
        <v>0</v>
      </c>
      <c r="S226" s="114">
        <v>2129</v>
      </c>
      <c r="T226" s="114">
        <v>2129</v>
      </c>
      <c r="U226" s="114">
        <v>0</v>
      </c>
      <c r="V226" s="114">
        <v>0</v>
      </c>
      <c r="W226" s="114">
        <v>0</v>
      </c>
      <c r="X226" s="114">
        <v>2129</v>
      </c>
      <c r="Y226" s="114">
        <v>0</v>
      </c>
      <c r="Z226" s="114">
        <v>80</v>
      </c>
      <c r="AA226" s="114">
        <v>0</v>
      </c>
      <c r="AB226" s="657">
        <v>0</v>
      </c>
      <c r="AC226" s="657">
        <v>0</v>
      </c>
      <c r="AD226" s="768">
        <v>80</v>
      </c>
      <c r="AE226" s="769">
        <v>0</v>
      </c>
      <c r="AF226" s="769">
        <v>76</v>
      </c>
      <c r="AG226" s="770">
        <v>76</v>
      </c>
      <c r="AH226" s="769">
        <v>0</v>
      </c>
      <c r="AI226" s="769">
        <v>0</v>
      </c>
      <c r="AJ226" s="769">
        <v>74.252136017668846</v>
      </c>
      <c r="AK226" s="769">
        <v>74.252136017668846</v>
      </c>
      <c r="AL226" s="769">
        <v>0</v>
      </c>
      <c r="AM226" s="769">
        <v>0</v>
      </c>
      <c r="AN226" s="769">
        <v>70.901333475208986</v>
      </c>
      <c r="AO226" s="769">
        <v>70.901333475208986</v>
      </c>
      <c r="AP226" s="769">
        <v>0</v>
      </c>
      <c r="AQ226" s="769">
        <v>0</v>
      </c>
      <c r="AR226" s="769">
        <v>0</v>
      </c>
      <c r="AS226" s="769">
        <v>68.917246289829933</v>
      </c>
      <c r="AT226" s="769">
        <v>71.534975679562763</v>
      </c>
      <c r="AU226" s="769">
        <v>74.252136017668846</v>
      </c>
      <c r="AV226" s="769">
        <v>77.072504055684519</v>
      </c>
      <c r="AW226" s="769">
        <v>80</v>
      </c>
      <c r="AX226" s="769">
        <v>66.144724849510396</v>
      </c>
      <c r="AY226" s="769">
        <v>68.481743510085067</v>
      </c>
      <c r="AZ226" s="769">
        <v>70.901333475208986</v>
      </c>
      <c r="BA226" s="769">
        <v>73.406412145778404</v>
      </c>
      <c r="BB226" s="769">
        <v>76</v>
      </c>
      <c r="BC226" s="769">
        <v>0</v>
      </c>
      <c r="BD226" s="769">
        <v>0</v>
      </c>
      <c r="BE226" s="769">
        <v>0</v>
      </c>
      <c r="BF226" s="769">
        <v>0</v>
      </c>
      <c r="BG226" s="769">
        <v>0</v>
      </c>
      <c r="BH226" s="771">
        <v>81.777394404749458</v>
      </c>
      <c r="BI226" s="771">
        <v>83.594277945374358</v>
      </c>
      <c r="BJ226" s="771">
        <v>85.451527968989097</v>
      </c>
      <c r="BK226" s="772">
        <v>86.383359514591888</v>
      </c>
      <c r="BL226" s="772">
        <v>87.315191060194678</v>
      </c>
      <c r="BM226" s="772">
        <v>88.247022605797483</v>
      </c>
      <c r="BN226" s="772">
        <v>89.178854151400273</v>
      </c>
      <c r="BO226" s="772">
        <v>90.280683836960051</v>
      </c>
      <c r="BP226" s="772">
        <v>91.382513522519858</v>
      </c>
      <c r="BQ226" s="772">
        <v>94.437101716682704</v>
      </c>
      <c r="BR226" s="772">
        <v>98.076434472191963</v>
      </c>
      <c r="BS226" s="772">
        <v>99.674393833877645</v>
      </c>
      <c r="BT226" s="772">
        <v>100.55192293667599</v>
      </c>
      <c r="BU226" s="772">
        <v>101.46068712065809</v>
      </c>
      <c r="BV226" s="772">
        <v>102.39131586146878</v>
      </c>
      <c r="BW226" s="771">
        <v>77.688524684511989</v>
      </c>
      <c r="BX226" s="771">
        <v>79.414564048105632</v>
      </c>
      <c r="BY226" s="771">
        <v>81.178951570539638</v>
      </c>
      <c r="BZ226" s="772">
        <v>82.064191538862289</v>
      </c>
      <c r="CA226" s="772">
        <v>82.94943150718494</v>
      </c>
      <c r="CB226" s="772">
        <v>83.834671475507605</v>
      </c>
      <c r="CC226" s="772">
        <v>84.719911443830256</v>
      </c>
      <c r="CD226" s="772">
        <v>85.766649645112054</v>
      </c>
      <c r="CE226" s="772">
        <v>86.813387846393866</v>
      </c>
      <c r="CF226" s="772">
        <v>89.715246630848569</v>
      </c>
      <c r="CG226" s="772">
        <v>93.172612748582367</v>
      </c>
      <c r="CH226" s="772">
        <v>94.690674142183767</v>
      </c>
      <c r="CI226" s="772">
        <v>95.524326789842192</v>
      </c>
      <c r="CJ226" s="772">
        <v>96.387652764625187</v>
      </c>
      <c r="CK226" s="772">
        <v>97.271750068395335</v>
      </c>
      <c r="CL226" s="771">
        <v>0</v>
      </c>
      <c r="CM226" s="771">
        <v>0</v>
      </c>
      <c r="CN226" s="771">
        <v>0</v>
      </c>
      <c r="CO226" s="772">
        <v>0</v>
      </c>
      <c r="CP226" s="772">
        <v>0</v>
      </c>
      <c r="CQ226" s="772">
        <v>0</v>
      </c>
      <c r="CR226" s="772">
        <v>0</v>
      </c>
      <c r="CS226" s="772">
        <v>0</v>
      </c>
      <c r="CT226" s="772">
        <v>0</v>
      </c>
      <c r="CU226" s="772">
        <v>0</v>
      </c>
      <c r="CV226" s="772">
        <v>0</v>
      </c>
      <c r="CW226" s="772">
        <v>0</v>
      </c>
      <c r="CX226" s="772">
        <v>0</v>
      </c>
      <c r="CY226" s="772">
        <v>0</v>
      </c>
      <c r="CZ226" s="772">
        <v>0</v>
      </c>
      <c r="DA226" s="773">
        <v>0</v>
      </c>
      <c r="DB226" s="773">
        <v>0</v>
      </c>
      <c r="DC226" s="773">
        <v>0</v>
      </c>
      <c r="DD226" s="774">
        <v>0</v>
      </c>
      <c r="DE226" s="774">
        <v>0</v>
      </c>
      <c r="DF226" s="774">
        <v>0</v>
      </c>
      <c r="DG226" s="774">
        <v>0</v>
      </c>
      <c r="DH226" s="774">
        <v>0</v>
      </c>
      <c r="DI226" s="774">
        <v>0</v>
      </c>
      <c r="DJ226" s="774">
        <v>0</v>
      </c>
      <c r="DK226" s="774">
        <v>0</v>
      </c>
      <c r="DL226" s="774">
        <v>0</v>
      </c>
      <c r="DM226" s="774">
        <v>0</v>
      </c>
      <c r="DN226" s="774">
        <v>0</v>
      </c>
      <c r="DO226" s="774">
        <v>0</v>
      </c>
      <c r="DP226" s="773">
        <v>0</v>
      </c>
      <c r="DQ226" s="773">
        <v>0</v>
      </c>
      <c r="DR226" s="773">
        <v>0</v>
      </c>
      <c r="DS226" s="774">
        <v>0</v>
      </c>
      <c r="DT226" s="774">
        <v>0</v>
      </c>
      <c r="DU226" s="774">
        <v>0</v>
      </c>
      <c r="DV226" s="774">
        <v>0</v>
      </c>
      <c r="DW226" s="774">
        <v>0</v>
      </c>
      <c r="DX226" s="774">
        <v>0</v>
      </c>
      <c r="DY226" s="774">
        <v>0</v>
      </c>
      <c r="DZ226" s="774">
        <v>0</v>
      </c>
      <c r="EA226" s="774">
        <v>0</v>
      </c>
      <c r="EB226" s="774">
        <v>0</v>
      </c>
      <c r="EC226" s="774">
        <v>0</v>
      </c>
      <c r="ED226" s="774">
        <v>0</v>
      </c>
    </row>
    <row r="227" spans="1:134" ht="15" x14ac:dyDescent="0.25">
      <c r="A227" s="766">
        <v>119</v>
      </c>
      <c r="B227" s="766">
        <v>94</v>
      </c>
      <c r="C227" s="766" t="s">
        <v>3898</v>
      </c>
      <c r="D227" s="2">
        <v>99705</v>
      </c>
      <c r="E227" s="2">
        <v>99705</v>
      </c>
      <c r="F227" s="767" t="s">
        <v>3746</v>
      </c>
      <c r="G227" s="114">
        <v>114</v>
      </c>
      <c r="H227" s="114">
        <v>49</v>
      </c>
      <c r="I227" s="114">
        <v>46</v>
      </c>
      <c r="J227" s="114">
        <v>3</v>
      </c>
      <c r="K227" s="114">
        <v>1</v>
      </c>
      <c r="L227" s="114">
        <v>42</v>
      </c>
      <c r="M227" s="114">
        <v>43</v>
      </c>
      <c r="N227" s="114">
        <v>1</v>
      </c>
      <c r="O227" s="114">
        <v>0</v>
      </c>
      <c r="P227" s="114">
        <v>0</v>
      </c>
      <c r="Q227" s="114">
        <v>44</v>
      </c>
      <c r="R227" s="114">
        <v>4233</v>
      </c>
      <c r="S227" s="114">
        <v>2755.3809523809523</v>
      </c>
      <c r="T227" s="114">
        <v>2789.7441860465115</v>
      </c>
      <c r="U227" s="114">
        <v>15520</v>
      </c>
      <c r="V227" s="114">
        <v>0</v>
      </c>
      <c r="W227" s="114">
        <v>0</v>
      </c>
      <c r="X227" s="114">
        <v>3079.068181818182</v>
      </c>
      <c r="Y227" s="114">
        <v>1.1395348837209303</v>
      </c>
      <c r="Z227" s="114">
        <v>47.860465116279073</v>
      </c>
      <c r="AA227" s="114">
        <v>0</v>
      </c>
      <c r="AB227" s="657">
        <v>1</v>
      </c>
      <c r="AC227" s="657">
        <v>0</v>
      </c>
      <c r="AD227" s="768">
        <v>50</v>
      </c>
      <c r="AE227" s="769">
        <v>1.0697674418604652</v>
      </c>
      <c r="AF227" s="769">
        <v>44.930232558139537</v>
      </c>
      <c r="AG227" s="770">
        <v>46</v>
      </c>
      <c r="AH227" s="769">
        <v>0</v>
      </c>
      <c r="AI227" s="769">
        <v>1.0576612397865619</v>
      </c>
      <c r="AJ227" s="769">
        <v>44.421772071035605</v>
      </c>
      <c r="AK227" s="769">
        <v>45.479433310822166</v>
      </c>
      <c r="AL227" s="769">
        <v>0</v>
      </c>
      <c r="AM227" s="769">
        <v>0.99799918600355375</v>
      </c>
      <c r="AN227" s="769">
        <v>41.915965812149253</v>
      </c>
      <c r="AO227" s="769">
        <v>42.913964998152807</v>
      </c>
      <c r="AP227" s="769">
        <v>0</v>
      </c>
      <c r="AQ227" s="769">
        <v>0.94010766733490925</v>
      </c>
      <c r="AR227" s="769">
        <v>0</v>
      </c>
      <c r="AS227" s="769">
        <v>42.211813352520835</v>
      </c>
      <c r="AT227" s="769">
        <v>43.815172603732194</v>
      </c>
      <c r="AU227" s="769">
        <v>45.479433310822166</v>
      </c>
      <c r="AV227" s="769">
        <v>47.206908734106769</v>
      </c>
      <c r="AW227" s="769">
        <v>49</v>
      </c>
      <c r="AX227" s="769">
        <v>40.034965040493134</v>
      </c>
      <c r="AY227" s="769">
        <v>41.449476335051493</v>
      </c>
      <c r="AZ227" s="769">
        <v>42.913964998152807</v>
      </c>
      <c r="BA227" s="769">
        <v>44.430196825076401</v>
      </c>
      <c r="BB227" s="769">
        <v>46</v>
      </c>
      <c r="BC227" s="769">
        <v>0.88380242618188454</v>
      </c>
      <c r="BD227" s="769">
        <v>0.91152039870909352</v>
      </c>
      <c r="BE227" s="769">
        <v>0.94010766733490925</v>
      </c>
      <c r="BF227" s="769">
        <v>0.96959149508177378</v>
      </c>
      <c r="BG227" s="769">
        <v>1</v>
      </c>
      <c r="BH227" s="771">
        <v>50.088654072909044</v>
      </c>
      <c r="BI227" s="771">
        <v>51.201495241541792</v>
      </c>
      <c r="BJ227" s="771">
        <v>52.339060881005821</v>
      </c>
      <c r="BK227" s="772">
        <v>53.967494200015018</v>
      </c>
      <c r="BL227" s="772">
        <v>55.595927519024222</v>
      </c>
      <c r="BM227" s="772">
        <v>57.224360838033427</v>
      </c>
      <c r="BN227" s="772">
        <v>58.852794157042624</v>
      </c>
      <c r="BO227" s="772">
        <v>60.778309750827674</v>
      </c>
      <c r="BP227" s="772">
        <v>62.703825344612731</v>
      </c>
      <c r="BQ227" s="772">
        <v>68.041907334538493</v>
      </c>
      <c r="BR227" s="772">
        <v>74.401866649072218</v>
      </c>
      <c r="BS227" s="772">
        <v>77.194399569073681</v>
      </c>
      <c r="BT227" s="772">
        <v>78.727936007221103</v>
      </c>
      <c r="BU227" s="772">
        <v>80.316057683614147</v>
      </c>
      <c r="BV227" s="772">
        <v>81.942389026779168</v>
      </c>
      <c r="BW227" s="771">
        <v>47.022001782730939</v>
      </c>
      <c r="BX227" s="771">
        <v>48.066709818590255</v>
      </c>
      <c r="BY227" s="771">
        <v>49.13462858216873</v>
      </c>
      <c r="BZ227" s="772">
        <v>50.663361902054916</v>
      </c>
      <c r="CA227" s="772">
        <v>52.192095221941109</v>
      </c>
      <c r="CB227" s="772">
        <v>53.720828541827302</v>
      </c>
      <c r="CC227" s="772">
        <v>55.249561861713481</v>
      </c>
      <c r="CD227" s="772">
        <v>57.057188745674956</v>
      </c>
      <c r="CE227" s="772">
        <v>58.864815629636446</v>
      </c>
      <c r="CF227" s="772">
        <v>63.876076273240216</v>
      </c>
      <c r="CG227" s="772">
        <v>69.846650323618817</v>
      </c>
      <c r="CH227" s="772">
        <v>72.468211840354883</v>
      </c>
      <c r="CI227" s="772">
        <v>73.907858292493287</v>
      </c>
      <c r="CJ227" s="772">
        <v>75.398748029515332</v>
      </c>
      <c r="CK227" s="772">
        <v>76.925508065955952</v>
      </c>
      <c r="CL227" s="771">
        <v>1.0222174300593683</v>
      </c>
      <c r="CM227" s="771">
        <v>1.0449284743171794</v>
      </c>
      <c r="CN227" s="771">
        <v>1.0681440996123637</v>
      </c>
      <c r="CO227" s="772">
        <v>1.1013774326533676</v>
      </c>
      <c r="CP227" s="772">
        <v>1.1346107656943718</v>
      </c>
      <c r="CQ227" s="772">
        <v>1.167844098735376</v>
      </c>
      <c r="CR227" s="772">
        <v>1.2010774317763799</v>
      </c>
      <c r="CS227" s="772">
        <v>1.2403736683842381</v>
      </c>
      <c r="CT227" s="772">
        <v>1.2796699049920965</v>
      </c>
      <c r="CU227" s="772">
        <v>1.3886103537660917</v>
      </c>
      <c r="CV227" s="772">
        <v>1.5184054418178003</v>
      </c>
      <c r="CW227" s="772">
        <v>1.5753959095729322</v>
      </c>
      <c r="CX227" s="772">
        <v>1.6066925715759408</v>
      </c>
      <c r="CY227" s="772">
        <v>1.6391032180329419</v>
      </c>
      <c r="CZ227" s="772">
        <v>1.6722936536077382</v>
      </c>
      <c r="DA227" s="773">
        <v>0</v>
      </c>
      <c r="DB227" s="773">
        <v>0</v>
      </c>
      <c r="DC227" s="773">
        <v>0</v>
      </c>
      <c r="DD227" s="774">
        <v>0</v>
      </c>
      <c r="DE227" s="774">
        <v>0</v>
      </c>
      <c r="DF227" s="774">
        <v>0</v>
      </c>
      <c r="DG227" s="774">
        <v>0</v>
      </c>
      <c r="DH227" s="774">
        <v>0</v>
      </c>
      <c r="DI227" s="774">
        <v>0</v>
      </c>
      <c r="DJ227" s="774">
        <v>0</v>
      </c>
      <c r="DK227" s="774">
        <v>0</v>
      </c>
      <c r="DL227" s="774">
        <v>0</v>
      </c>
      <c r="DM227" s="774">
        <v>0</v>
      </c>
      <c r="DN227" s="774">
        <v>0</v>
      </c>
      <c r="DO227" s="774">
        <v>0</v>
      </c>
      <c r="DP227" s="773">
        <v>0</v>
      </c>
      <c r="DQ227" s="773">
        <v>0</v>
      </c>
      <c r="DR227" s="773">
        <v>0</v>
      </c>
      <c r="DS227" s="774">
        <v>0</v>
      </c>
      <c r="DT227" s="774">
        <v>0</v>
      </c>
      <c r="DU227" s="774">
        <v>0</v>
      </c>
      <c r="DV227" s="774">
        <v>0</v>
      </c>
      <c r="DW227" s="774">
        <v>0</v>
      </c>
      <c r="DX227" s="774">
        <v>0</v>
      </c>
      <c r="DY227" s="774">
        <v>0</v>
      </c>
      <c r="DZ227" s="774">
        <v>0</v>
      </c>
      <c r="EA227" s="774">
        <v>0</v>
      </c>
      <c r="EB227" s="774">
        <v>0</v>
      </c>
      <c r="EC227" s="774">
        <v>0</v>
      </c>
      <c r="ED227" s="774">
        <v>0</v>
      </c>
    </row>
    <row r="228" spans="1:134" ht="15" x14ac:dyDescent="0.25">
      <c r="A228" s="766">
        <v>120</v>
      </c>
      <c r="B228" s="766">
        <v>94</v>
      </c>
      <c r="C228" s="766" t="s">
        <v>3899</v>
      </c>
      <c r="D228" s="2">
        <v>99705</v>
      </c>
      <c r="E228" s="2">
        <v>99705</v>
      </c>
      <c r="F228" s="767" t="s">
        <v>3746</v>
      </c>
      <c r="G228" s="114">
        <v>31</v>
      </c>
      <c r="H228" s="114">
        <v>24</v>
      </c>
      <c r="I228" s="114">
        <v>18</v>
      </c>
      <c r="J228" s="114">
        <v>6</v>
      </c>
      <c r="K228" s="114">
        <v>0</v>
      </c>
      <c r="L228" s="114">
        <v>24</v>
      </c>
      <c r="M228" s="114">
        <v>24</v>
      </c>
      <c r="N228" s="114">
        <v>2</v>
      </c>
      <c r="O228" s="114">
        <v>0</v>
      </c>
      <c r="P228" s="114">
        <v>0</v>
      </c>
      <c r="Q228" s="114">
        <v>26</v>
      </c>
      <c r="R228" s="114">
        <v>0</v>
      </c>
      <c r="S228" s="114">
        <v>2149.625</v>
      </c>
      <c r="T228" s="114">
        <v>2149.625</v>
      </c>
      <c r="U228" s="114">
        <v>19469</v>
      </c>
      <c r="V228" s="114">
        <v>0</v>
      </c>
      <c r="W228" s="114">
        <v>0</v>
      </c>
      <c r="X228" s="114">
        <v>3481.8846153846152</v>
      </c>
      <c r="Y228" s="114">
        <v>0</v>
      </c>
      <c r="Z228" s="114">
        <v>24</v>
      </c>
      <c r="AA228" s="114">
        <v>0</v>
      </c>
      <c r="AB228" s="657">
        <v>2</v>
      </c>
      <c r="AC228" s="657">
        <v>0</v>
      </c>
      <c r="AD228" s="768">
        <v>26</v>
      </c>
      <c r="AE228" s="769">
        <v>0</v>
      </c>
      <c r="AF228" s="769">
        <v>18</v>
      </c>
      <c r="AG228" s="770">
        <v>18</v>
      </c>
      <c r="AH228" s="769">
        <v>0</v>
      </c>
      <c r="AI228" s="769">
        <v>0</v>
      </c>
      <c r="AJ228" s="769">
        <v>22.275640805300654</v>
      </c>
      <c r="AK228" s="769">
        <v>22.275640805300654</v>
      </c>
      <c r="AL228" s="769">
        <v>0</v>
      </c>
      <c r="AM228" s="769">
        <v>0</v>
      </c>
      <c r="AN228" s="769">
        <v>16.792421086233706</v>
      </c>
      <c r="AO228" s="769">
        <v>16.792421086233706</v>
      </c>
      <c r="AP228" s="769">
        <v>0</v>
      </c>
      <c r="AQ228" s="769">
        <v>1.8802153346698185</v>
      </c>
      <c r="AR228" s="769">
        <v>0</v>
      </c>
      <c r="AS228" s="769">
        <v>20.675173886948979</v>
      </c>
      <c r="AT228" s="769">
        <v>21.46049270386883</v>
      </c>
      <c r="AU228" s="769">
        <v>22.275640805300654</v>
      </c>
      <c r="AV228" s="769">
        <v>23.121751216705356</v>
      </c>
      <c r="AW228" s="769">
        <v>24</v>
      </c>
      <c r="AX228" s="769">
        <v>15.665855885410357</v>
      </c>
      <c r="AY228" s="769">
        <v>16.21936030502015</v>
      </c>
      <c r="AZ228" s="769">
        <v>16.792421086233706</v>
      </c>
      <c r="BA228" s="769">
        <v>17.385729192421202</v>
      </c>
      <c r="BB228" s="769">
        <v>18</v>
      </c>
      <c r="BC228" s="769">
        <v>1.7676048523637691</v>
      </c>
      <c r="BD228" s="769">
        <v>1.823040797418187</v>
      </c>
      <c r="BE228" s="769">
        <v>1.8802153346698185</v>
      </c>
      <c r="BF228" s="769">
        <v>1.9391829901635476</v>
      </c>
      <c r="BG228" s="769">
        <v>2</v>
      </c>
      <c r="BH228" s="771">
        <v>24.53321832142484</v>
      </c>
      <c r="BI228" s="771">
        <v>25.078283383612305</v>
      </c>
      <c r="BJ228" s="771">
        <v>25.635458390696726</v>
      </c>
      <c r="BK228" s="772">
        <v>26.887025231980623</v>
      </c>
      <c r="BL228" s="772">
        <v>28.138592073264515</v>
      </c>
      <c r="BM228" s="772">
        <v>29.390158914548419</v>
      </c>
      <c r="BN228" s="772">
        <v>30.641725755832312</v>
      </c>
      <c r="BO228" s="772">
        <v>32.121621457685627</v>
      </c>
      <c r="BP228" s="772">
        <v>33.601517159538936</v>
      </c>
      <c r="BQ228" s="772">
        <v>37.704212883494506</v>
      </c>
      <c r="BR228" s="772">
        <v>42.592294020785516</v>
      </c>
      <c r="BS228" s="772">
        <v>44.738554211527635</v>
      </c>
      <c r="BT228" s="772">
        <v>45.91718604955323</v>
      </c>
      <c r="BU228" s="772">
        <v>47.137770525991648</v>
      </c>
      <c r="BV228" s="772">
        <v>48.387721849319085</v>
      </c>
      <c r="BW228" s="771">
        <v>18.39991374106863</v>
      </c>
      <c r="BX228" s="771">
        <v>18.80871253770923</v>
      </c>
      <c r="BY228" s="771">
        <v>19.226593793022545</v>
      </c>
      <c r="BZ228" s="772">
        <v>20.165268923985465</v>
      </c>
      <c r="CA228" s="772">
        <v>21.103944054948386</v>
      </c>
      <c r="CB228" s="772">
        <v>22.042619185911313</v>
      </c>
      <c r="CC228" s="772">
        <v>22.981294316874234</v>
      </c>
      <c r="CD228" s="772">
        <v>24.091216093264222</v>
      </c>
      <c r="CE228" s="772">
        <v>25.201137869654204</v>
      </c>
      <c r="CF228" s="772">
        <v>28.27815966262088</v>
      </c>
      <c r="CG228" s="772">
        <v>31.944220515589137</v>
      </c>
      <c r="CH228" s="772">
        <v>33.553915658645728</v>
      </c>
      <c r="CI228" s="772">
        <v>34.437889537164921</v>
      </c>
      <c r="CJ228" s="772">
        <v>35.353327894493738</v>
      </c>
      <c r="CK228" s="772">
        <v>36.290791386989312</v>
      </c>
      <c r="CL228" s="771">
        <v>2.0444348601187365</v>
      </c>
      <c r="CM228" s="771">
        <v>2.0898569486343588</v>
      </c>
      <c r="CN228" s="771">
        <v>2.1362881992247273</v>
      </c>
      <c r="CO228" s="772">
        <v>2.2405854359983852</v>
      </c>
      <c r="CP228" s="772">
        <v>2.3448826727720431</v>
      </c>
      <c r="CQ228" s="772">
        <v>2.4491799095457014</v>
      </c>
      <c r="CR228" s="772">
        <v>2.5534771463193597</v>
      </c>
      <c r="CS228" s="772">
        <v>2.6768017881404691</v>
      </c>
      <c r="CT228" s="772">
        <v>2.8001264299615785</v>
      </c>
      <c r="CU228" s="772">
        <v>3.1420177402912093</v>
      </c>
      <c r="CV228" s="772">
        <v>3.5493578350654595</v>
      </c>
      <c r="CW228" s="772">
        <v>3.7282128509606367</v>
      </c>
      <c r="CX228" s="772">
        <v>3.8264321707961026</v>
      </c>
      <c r="CY228" s="772">
        <v>3.9281475438326376</v>
      </c>
      <c r="CZ228" s="772">
        <v>4.0323101541099238</v>
      </c>
      <c r="DA228" s="773">
        <v>0</v>
      </c>
      <c r="DB228" s="773">
        <v>0</v>
      </c>
      <c r="DC228" s="773">
        <v>0</v>
      </c>
      <c r="DD228" s="774">
        <v>0</v>
      </c>
      <c r="DE228" s="774">
        <v>0</v>
      </c>
      <c r="DF228" s="774">
        <v>0</v>
      </c>
      <c r="DG228" s="774">
        <v>0</v>
      </c>
      <c r="DH228" s="774">
        <v>0</v>
      </c>
      <c r="DI228" s="774">
        <v>0</v>
      </c>
      <c r="DJ228" s="774">
        <v>0</v>
      </c>
      <c r="DK228" s="774">
        <v>0</v>
      </c>
      <c r="DL228" s="774">
        <v>0</v>
      </c>
      <c r="DM228" s="774">
        <v>0</v>
      </c>
      <c r="DN228" s="774">
        <v>0</v>
      </c>
      <c r="DO228" s="774">
        <v>0</v>
      </c>
      <c r="DP228" s="773">
        <v>0</v>
      </c>
      <c r="DQ228" s="773">
        <v>0</v>
      </c>
      <c r="DR228" s="773">
        <v>0</v>
      </c>
      <c r="DS228" s="774">
        <v>0</v>
      </c>
      <c r="DT228" s="774">
        <v>0</v>
      </c>
      <c r="DU228" s="774">
        <v>0</v>
      </c>
      <c r="DV228" s="774">
        <v>0</v>
      </c>
      <c r="DW228" s="774">
        <v>0</v>
      </c>
      <c r="DX228" s="774">
        <v>0</v>
      </c>
      <c r="DY228" s="774">
        <v>0</v>
      </c>
      <c r="DZ228" s="774">
        <v>0</v>
      </c>
      <c r="EA228" s="774">
        <v>0</v>
      </c>
      <c r="EB228" s="774">
        <v>0</v>
      </c>
      <c r="EC228" s="774">
        <v>0</v>
      </c>
      <c r="ED228" s="774">
        <v>0</v>
      </c>
    </row>
    <row r="229" spans="1:134" ht="15" x14ac:dyDescent="0.25">
      <c r="A229" s="766">
        <v>121</v>
      </c>
      <c r="B229" s="766">
        <v>94</v>
      </c>
      <c r="C229" s="766" t="s">
        <v>3900</v>
      </c>
      <c r="D229" s="2">
        <v>99705</v>
      </c>
      <c r="E229" s="2">
        <v>99705</v>
      </c>
      <c r="F229" s="767" t="s">
        <v>3746</v>
      </c>
      <c r="G229" s="114">
        <v>92</v>
      </c>
      <c r="H229" s="114">
        <v>53</v>
      </c>
      <c r="I229" s="114">
        <v>40</v>
      </c>
      <c r="J229" s="114">
        <v>13</v>
      </c>
      <c r="K229" s="114">
        <v>0</v>
      </c>
      <c r="L229" s="114">
        <v>8</v>
      </c>
      <c r="M229" s="114">
        <v>8</v>
      </c>
      <c r="N229" s="114">
        <v>1</v>
      </c>
      <c r="O229" s="114">
        <v>0</v>
      </c>
      <c r="P229" s="114">
        <v>0</v>
      </c>
      <c r="Q229" s="114">
        <v>9</v>
      </c>
      <c r="R229" s="114">
        <v>0</v>
      </c>
      <c r="S229" s="114">
        <v>2168.625</v>
      </c>
      <c r="T229" s="114">
        <v>2168.625</v>
      </c>
      <c r="U229" s="114">
        <v>6760</v>
      </c>
      <c r="V229" s="114">
        <v>0</v>
      </c>
      <c r="W229" s="114">
        <v>0</v>
      </c>
      <c r="X229" s="114">
        <v>2678.7777777777778</v>
      </c>
      <c r="Y229" s="114">
        <v>0</v>
      </c>
      <c r="Z229" s="114">
        <v>53</v>
      </c>
      <c r="AA229" s="114">
        <v>0</v>
      </c>
      <c r="AB229" s="657">
        <v>1</v>
      </c>
      <c r="AC229" s="657">
        <v>0</v>
      </c>
      <c r="AD229" s="768">
        <v>54</v>
      </c>
      <c r="AE229" s="769">
        <v>0</v>
      </c>
      <c r="AF229" s="769">
        <v>40</v>
      </c>
      <c r="AG229" s="770">
        <v>40</v>
      </c>
      <c r="AH229" s="769">
        <v>0</v>
      </c>
      <c r="AI229" s="769">
        <v>0</v>
      </c>
      <c r="AJ229" s="769">
        <v>49.192040111705609</v>
      </c>
      <c r="AK229" s="769">
        <v>49.192040111705609</v>
      </c>
      <c r="AL229" s="769">
        <v>0</v>
      </c>
      <c r="AM229" s="769">
        <v>0</v>
      </c>
      <c r="AN229" s="769">
        <v>37.316491302741575</v>
      </c>
      <c r="AO229" s="769">
        <v>37.316491302741575</v>
      </c>
      <c r="AP229" s="769">
        <v>0</v>
      </c>
      <c r="AQ229" s="769">
        <v>0.94010766733490925</v>
      </c>
      <c r="AR229" s="769">
        <v>0</v>
      </c>
      <c r="AS229" s="769">
        <v>45.657675667012334</v>
      </c>
      <c r="AT229" s="769">
        <v>47.391921387710333</v>
      </c>
      <c r="AU229" s="769">
        <v>49.192040111705609</v>
      </c>
      <c r="AV229" s="769">
        <v>51.060533936890998</v>
      </c>
      <c r="AW229" s="769">
        <v>53</v>
      </c>
      <c r="AX229" s="769">
        <v>34.813013078689679</v>
      </c>
      <c r="AY229" s="769">
        <v>36.043022900044775</v>
      </c>
      <c r="AZ229" s="769">
        <v>37.316491302741575</v>
      </c>
      <c r="BA229" s="769">
        <v>38.634953760936</v>
      </c>
      <c r="BB229" s="769">
        <v>40</v>
      </c>
      <c r="BC229" s="769">
        <v>0.88380242618188454</v>
      </c>
      <c r="BD229" s="769">
        <v>0.91152039870909352</v>
      </c>
      <c r="BE229" s="769">
        <v>0.94010766733490925</v>
      </c>
      <c r="BF229" s="769">
        <v>0.96959149508177378</v>
      </c>
      <c r="BG229" s="769">
        <v>1</v>
      </c>
      <c r="BH229" s="771">
        <v>53.863449256578917</v>
      </c>
      <c r="BI229" s="771">
        <v>54.740965392755697</v>
      </c>
      <c r="BJ229" s="771">
        <v>55.632777579034695</v>
      </c>
      <c r="BK229" s="772">
        <v>56.485560842460195</v>
      </c>
      <c r="BL229" s="772">
        <v>57.338344105885703</v>
      </c>
      <c r="BM229" s="772">
        <v>58.191127369311218</v>
      </c>
      <c r="BN229" s="772">
        <v>59.043910632736711</v>
      </c>
      <c r="BO229" s="772">
        <v>60.052270909253167</v>
      </c>
      <c r="BP229" s="772">
        <v>61.060631185769623</v>
      </c>
      <c r="BQ229" s="772">
        <v>63.856095345500499</v>
      </c>
      <c r="BR229" s="772">
        <v>67.186699550283947</v>
      </c>
      <c r="BS229" s="772">
        <v>68.649102283599987</v>
      </c>
      <c r="BT229" s="772">
        <v>69.452189639427999</v>
      </c>
      <c r="BU229" s="772">
        <v>70.283862370575036</v>
      </c>
      <c r="BV229" s="772">
        <v>71.135544864445464</v>
      </c>
      <c r="BW229" s="771">
        <v>40.651659816285971</v>
      </c>
      <c r="BX229" s="771">
        <v>41.313936145475992</v>
      </c>
      <c r="BY229" s="771">
        <v>41.987001946441282</v>
      </c>
      <c r="BZ229" s="772">
        <v>42.63061195657373</v>
      </c>
      <c r="CA229" s="772">
        <v>43.274221966706193</v>
      </c>
      <c r="CB229" s="772">
        <v>43.917831976838656</v>
      </c>
      <c r="CC229" s="772">
        <v>44.561441986971104</v>
      </c>
      <c r="CD229" s="772">
        <v>45.322468610757113</v>
      </c>
      <c r="CE229" s="772">
        <v>46.083495234543115</v>
      </c>
      <c r="CF229" s="772">
        <v>48.193279506038117</v>
      </c>
      <c r="CG229" s="772">
        <v>50.706943056818076</v>
      </c>
      <c r="CH229" s="772">
        <v>51.810643232905655</v>
      </c>
      <c r="CI229" s="772">
        <v>52.416746897681506</v>
      </c>
      <c r="CJ229" s="772">
        <v>53.044424430622676</v>
      </c>
      <c r="CK229" s="772">
        <v>53.687203671279597</v>
      </c>
      <c r="CL229" s="771">
        <v>1.0162914954071494</v>
      </c>
      <c r="CM229" s="771">
        <v>1.0328484036368999</v>
      </c>
      <c r="CN229" s="771">
        <v>1.049675048661032</v>
      </c>
      <c r="CO229" s="772">
        <v>1.0657652989143434</v>
      </c>
      <c r="CP229" s="772">
        <v>1.0818555491676549</v>
      </c>
      <c r="CQ229" s="772">
        <v>1.0979457994209663</v>
      </c>
      <c r="CR229" s="772">
        <v>1.1140360496742776</v>
      </c>
      <c r="CS229" s="772">
        <v>1.1330617152689277</v>
      </c>
      <c r="CT229" s="772">
        <v>1.1520873808635779</v>
      </c>
      <c r="CU229" s="772">
        <v>1.2048319876509528</v>
      </c>
      <c r="CV229" s="772">
        <v>1.2676735764204519</v>
      </c>
      <c r="CW229" s="772">
        <v>1.2952660808226413</v>
      </c>
      <c r="CX229" s="772">
        <v>1.3104186724420377</v>
      </c>
      <c r="CY229" s="772">
        <v>1.3261106107655669</v>
      </c>
      <c r="CZ229" s="772">
        <v>1.3421800917819899</v>
      </c>
      <c r="DA229" s="773">
        <v>0</v>
      </c>
      <c r="DB229" s="773">
        <v>0</v>
      </c>
      <c r="DC229" s="773">
        <v>0</v>
      </c>
      <c r="DD229" s="774">
        <v>0</v>
      </c>
      <c r="DE229" s="774">
        <v>0</v>
      </c>
      <c r="DF229" s="774">
        <v>0</v>
      </c>
      <c r="DG229" s="774">
        <v>0</v>
      </c>
      <c r="DH229" s="774">
        <v>0</v>
      </c>
      <c r="DI229" s="774">
        <v>0</v>
      </c>
      <c r="DJ229" s="774">
        <v>0</v>
      </c>
      <c r="DK229" s="774">
        <v>0</v>
      </c>
      <c r="DL229" s="774">
        <v>0</v>
      </c>
      <c r="DM229" s="774">
        <v>0</v>
      </c>
      <c r="DN229" s="774">
        <v>0</v>
      </c>
      <c r="DO229" s="774">
        <v>0</v>
      </c>
      <c r="DP229" s="773">
        <v>0</v>
      </c>
      <c r="DQ229" s="773">
        <v>0</v>
      </c>
      <c r="DR229" s="773">
        <v>0</v>
      </c>
      <c r="DS229" s="774">
        <v>0</v>
      </c>
      <c r="DT229" s="774">
        <v>0</v>
      </c>
      <c r="DU229" s="774">
        <v>0</v>
      </c>
      <c r="DV229" s="774">
        <v>0</v>
      </c>
      <c r="DW229" s="774">
        <v>0</v>
      </c>
      <c r="DX229" s="774">
        <v>0</v>
      </c>
      <c r="DY229" s="774">
        <v>0</v>
      </c>
      <c r="DZ229" s="774">
        <v>0</v>
      </c>
      <c r="EA229" s="774">
        <v>0</v>
      </c>
      <c r="EB229" s="774">
        <v>0</v>
      </c>
      <c r="EC229" s="774">
        <v>0</v>
      </c>
      <c r="ED229" s="774">
        <v>0</v>
      </c>
    </row>
    <row r="230" spans="1:134" ht="15" x14ac:dyDescent="0.25">
      <c r="A230" s="766">
        <v>122</v>
      </c>
      <c r="B230" s="766">
        <v>94</v>
      </c>
      <c r="C230" s="766" t="s">
        <v>3901</v>
      </c>
      <c r="D230" s="2">
        <v>99705</v>
      </c>
      <c r="E230" s="2">
        <v>99705</v>
      </c>
      <c r="F230" s="767" t="s">
        <v>3676</v>
      </c>
      <c r="G230" s="114">
        <v>81</v>
      </c>
      <c r="H230" s="114">
        <v>29</v>
      </c>
      <c r="I230" s="114">
        <v>26</v>
      </c>
      <c r="J230" s="114">
        <v>3</v>
      </c>
      <c r="K230" s="114">
        <v>0</v>
      </c>
      <c r="L230" s="114">
        <v>93</v>
      </c>
      <c r="M230" s="114">
        <v>93</v>
      </c>
      <c r="N230" s="114">
        <v>0</v>
      </c>
      <c r="O230" s="114">
        <v>0</v>
      </c>
      <c r="P230" s="114">
        <v>0</v>
      </c>
      <c r="Q230" s="114">
        <v>93</v>
      </c>
      <c r="R230" s="114">
        <v>0</v>
      </c>
      <c r="S230" s="114">
        <v>1737.0967741935483</v>
      </c>
      <c r="T230" s="114">
        <v>1737.0967741935483</v>
      </c>
      <c r="U230" s="114">
        <v>0</v>
      </c>
      <c r="V230" s="114">
        <v>0</v>
      </c>
      <c r="W230" s="114">
        <v>0</v>
      </c>
      <c r="X230" s="114">
        <v>1737.0967741935483</v>
      </c>
      <c r="Y230" s="114">
        <v>0</v>
      </c>
      <c r="Z230" s="114">
        <v>29</v>
      </c>
      <c r="AA230" s="114">
        <v>0</v>
      </c>
      <c r="AB230" s="657">
        <v>0</v>
      </c>
      <c r="AC230" s="657">
        <v>0</v>
      </c>
      <c r="AD230" s="768">
        <v>29</v>
      </c>
      <c r="AE230" s="769">
        <v>0</v>
      </c>
      <c r="AF230" s="769">
        <v>26</v>
      </c>
      <c r="AG230" s="770">
        <v>26</v>
      </c>
      <c r="AH230" s="769">
        <v>0</v>
      </c>
      <c r="AI230" s="769">
        <v>0</v>
      </c>
      <c r="AJ230" s="769">
        <v>26.916399306404955</v>
      </c>
      <c r="AK230" s="769">
        <v>26.916399306404955</v>
      </c>
      <c r="AL230" s="769">
        <v>0</v>
      </c>
      <c r="AM230" s="769">
        <v>0</v>
      </c>
      <c r="AN230" s="769">
        <v>24.255719346782023</v>
      </c>
      <c r="AO230" s="769">
        <v>24.255719346782023</v>
      </c>
      <c r="AP230" s="769">
        <v>0</v>
      </c>
      <c r="AQ230" s="769">
        <v>0</v>
      </c>
      <c r="AR230" s="769">
        <v>0</v>
      </c>
      <c r="AS230" s="769">
        <v>24.982501780063352</v>
      </c>
      <c r="AT230" s="769">
        <v>25.931428683841503</v>
      </c>
      <c r="AU230" s="769">
        <v>26.916399306404955</v>
      </c>
      <c r="AV230" s="769">
        <v>27.938782720185639</v>
      </c>
      <c r="AW230" s="769">
        <v>29</v>
      </c>
      <c r="AX230" s="769">
        <v>22.628458501148295</v>
      </c>
      <c r="AY230" s="769">
        <v>23.427964885029102</v>
      </c>
      <c r="AZ230" s="769">
        <v>24.255719346782023</v>
      </c>
      <c r="BA230" s="769">
        <v>25.112719944608401</v>
      </c>
      <c r="BB230" s="769">
        <v>26</v>
      </c>
      <c r="BC230" s="769">
        <v>0</v>
      </c>
      <c r="BD230" s="769">
        <v>0</v>
      </c>
      <c r="BE230" s="769">
        <v>0</v>
      </c>
      <c r="BF230" s="769">
        <v>0</v>
      </c>
      <c r="BG230" s="769">
        <v>0</v>
      </c>
      <c r="BH230" s="771">
        <v>29.472453366807333</v>
      </c>
      <c r="BI230" s="771">
        <v>29.952603705470096</v>
      </c>
      <c r="BJ230" s="771">
        <v>30.440576411169928</v>
      </c>
      <c r="BK230" s="772">
        <v>30.993829839136691</v>
      </c>
      <c r="BL230" s="772">
        <v>31.547083267103453</v>
      </c>
      <c r="BM230" s="772">
        <v>32.100336695070212</v>
      </c>
      <c r="BN230" s="772">
        <v>32.65359012303697</v>
      </c>
      <c r="BO230" s="772">
        <v>33.307776014733911</v>
      </c>
      <c r="BP230" s="772">
        <v>33.961961906430844</v>
      </c>
      <c r="BQ230" s="772">
        <v>35.775552997462405</v>
      </c>
      <c r="BR230" s="772">
        <v>37.936322647297267</v>
      </c>
      <c r="BS230" s="772">
        <v>38.885074059262266</v>
      </c>
      <c r="BT230" s="772">
        <v>39.406086667769451</v>
      </c>
      <c r="BU230" s="772">
        <v>39.945644383296532</v>
      </c>
      <c r="BV230" s="772">
        <v>40.498183673737536</v>
      </c>
      <c r="BW230" s="771">
        <v>26.423578880585882</v>
      </c>
      <c r="BX230" s="771">
        <v>26.854058494559396</v>
      </c>
      <c r="BY230" s="771">
        <v>27.291551265186833</v>
      </c>
      <c r="BZ230" s="772">
        <v>27.787571579915653</v>
      </c>
      <c r="CA230" s="772">
        <v>28.283591894644477</v>
      </c>
      <c r="CB230" s="772">
        <v>28.779612209373294</v>
      </c>
      <c r="CC230" s="772">
        <v>29.275632524102114</v>
      </c>
      <c r="CD230" s="772">
        <v>29.862144013209711</v>
      </c>
      <c r="CE230" s="772">
        <v>30.448655502317308</v>
      </c>
      <c r="CF230" s="772">
        <v>32.074633721862845</v>
      </c>
      <c r="CG230" s="772">
        <v>34.011875476887205</v>
      </c>
      <c r="CH230" s="772">
        <v>34.862480191062723</v>
      </c>
      <c r="CI230" s="772">
        <v>35.329594943517442</v>
      </c>
      <c r="CJ230" s="772">
        <v>35.813336343645169</v>
      </c>
      <c r="CK230" s="772">
        <v>36.308716397143996</v>
      </c>
      <c r="CL230" s="771">
        <v>0</v>
      </c>
      <c r="CM230" s="771">
        <v>0</v>
      </c>
      <c r="CN230" s="771">
        <v>0</v>
      </c>
      <c r="CO230" s="772">
        <v>0</v>
      </c>
      <c r="CP230" s="772">
        <v>0</v>
      </c>
      <c r="CQ230" s="772">
        <v>0</v>
      </c>
      <c r="CR230" s="772">
        <v>0</v>
      </c>
      <c r="CS230" s="772">
        <v>0</v>
      </c>
      <c r="CT230" s="772">
        <v>0</v>
      </c>
      <c r="CU230" s="772">
        <v>0</v>
      </c>
      <c r="CV230" s="772">
        <v>0</v>
      </c>
      <c r="CW230" s="772">
        <v>0</v>
      </c>
      <c r="CX230" s="772">
        <v>0</v>
      </c>
      <c r="CY230" s="772">
        <v>0</v>
      </c>
      <c r="CZ230" s="772">
        <v>0</v>
      </c>
      <c r="DA230" s="773">
        <v>0</v>
      </c>
      <c r="DB230" s="773">
        <v>0</v>
      </c>
      <c r="DC230" s="773">
        <v>0</v>
      </c>
      <c r="DD230" s="774">
        <v>0</v>
      </c>
      <c r="DE230" s="774">
        <v>0</v>
      </c>
      <c r="DF230" s="774">
        <v>0</v>
      </c>
      <c r="DG230" s="774">
        <v>0</v>
      </c>
      <c r="DH230" s="774">
        <v>0</v>
      </c>
      <c r="DI230" s="774">
        <v>0</v>
      </c>
      <c r="DJ230" s="774">
        <v>0</v>
      </c>
      <c r="DK230" s="774">
        <v>0</v>
      </c>
      <c r="DL230" s="774">
        <v>0</v>
      </c>
      <c r="DM230" s="774">
        <v>0</v>
      </c>
      <c r="DN230" s="774">
        <v>0</v>
      </c>
      <c r="DO230" s="774">
        <v>0</v>
      </c>
      <c r="DP230" s="773">
        <v>0</v>
      </c>
      <c r="DQ230" s="773">
        <v>0</v>
      </c>
      <c r="DR230" s="773">
        <v>0</v>
      </c>
      <c r="DS230" s="774">
        <v>0</v>
      </c>
      <c r="DT230" s="774">
        <v>0</v>
      </c>
      <c r="DU230" s="774">
        <v>0</v>
      </c>
      <c r="DV230" s="774">
        <v>0</v>
      </c>
      <c r="DW230" s="774">
        <v>0</v>
      </c>
      <c r="DX230" s="774">
        <v>0</v>
      </c>
      <c r="DY230" s="774">
        <v>0</v>
      </c>
      <c r="DZ230" s="774">
        <v>0</v>
      </c>
      <c r="EA230" s="774">
        <v>0</v>
      </c>
      <c r="EB230" s="774">
        <v>0</v>
      </c>
      <c r="EC230" s="774">
        <v>0</v>
      </c>
      <c r="ED230" s="774">
        <v>0</v>
      </c>
    </row>
    <row r="231" spans="1:134" ht="15" x14ac:dyDescent="0.25">
      <c r="A231" s="766">
        <v>123</v>
      </c>
      <c r="B231" s="766">
        <v>94</v>
      </c>
      <c r="C231" s="766" t="s">
        <v>3902</v>
      </c>
      <c r="D231" s="2">
        <v>99712</v>
      </c>
      <c r="E231" s="2">
        <v>99705</v>
      </c>
      <c r="F231" s="767" t="s">
        <v>3676</v>
      </c>
      <c r="G231" s="114">
        <v>154</v>
      </c>
      <c r="H231" s="114">
        <v>64</v>
      </c>
      <c r="I231" s="114">
        <v>53</v>
      </c>
      <c r="J231" s="114">
        <v>11</v>
      </c>
      <c r="K231" s="114">
        <v>0</v>
      </c>
      <c r="L231" s="114">
        <v>45</v>
      </c>
      <c r="M231" s="114">
        <v>45</v>
      </c>
      <c r="N231" s="114">
        <v>1</v>
      </c>
      <c r="O231" s="114">
        <v>0</v>
      </c>
      <c r="P231" s="114">
        <v>0</v>
      </c>
      <c r="Q231" s="114">
        <v>46</v>
      </c>
      <c r="R231" s="114">
        <v>0</v>
      </c>
      <c r="S231" s="114">
        <v>1763.7111111111112</v>
      </c>
      <c r="T231" s="114">
        <v>1763.7111111111112</v>
      </c>
      <c r="U231" s="114">
        <v>2364</v>
      </c>
      <c r="V231" s="114">
        <v>0</v>
      </c>
      <c r="W231" s="114">
        <v>0</v>
      </c>
      <c r="X231" s="114">
        <v>1776.7608695652175</v>
      </c>
      <c r="Y231" s="114">
        <v>0</v>
      </c>
      <c r="Z231" s="114">
        <v>64</v>
      </c>
      <c r="AA231" s="114">
        <v>0</v>
      </c>
      <c r="AB231" s="657">
        <v>1</v>
      </c>
      <c r="AC231" s="657">
        <v>0</v>
      </c>
      <c r="AD231" s="768">
        <v>65</v>
      </c>
      <c r="AE231" s="769">
        <v>0</v>
      </c>
      <c r="AF231" s="769">
        <v>53</v>
      </c>
      <c r="AG231" s="770">
        <v>53</v>
      </c>
      <c r="AH231" s="769">
        <v>0</v>
      </c>
      <c r="AI231" s="769">
        <v>0</v>
      </c>
      <c r="AJ231" s="769">
        <v>58.183311689327248</v>
      </c>
      <c r="AK231" s="769">
        <v>58.183311689327248</v>
      </c>
      <c r="AL231" s="769">
        <v>0</v>
      </c>
      <c r="AM231" s="769">
        <v>0</v>
      </c>
      <c r="AN231" s="769">
        <v>48.36006785055919</v>
      </c>
      <c r="AO231" s="769">
        <v>48.36006785055919</v>
      </c>
      <c r="AP231" s="769">
        <v>0</v>
      </c>
      <c r="AQ231" s="769">
        <v>0.92984135081383867</v>
      </c>
      <c r="AR231" s="769">
        <v>0</v>
      </c>
      <c r="AS231" s="769">
        <v>52.895277486521948</v>
      </c>
      <c r="AT231" s="769">
        <v>55.476323029665203</v>
      </c>
      <c r="AU231" s="769">
        <v>58.183311689327248</v>
      </c>
      <c r="AV231" s="769">
        <v>61.022388908636998</v>
      </c>
      <c r="AW231" s="769">
        <v>64</v>
      </c>
      <c r="AX231" s="769">
        <v>44.126342688880918</v>
      </c>
      <c r="AY231" s="769">
        <v>46.194728340269599</v>
      </c>
      <c r="AZ231" s="769">
        <v>48.36006785055919</v>
      </c>
      <c r="BA231" s="769">
        <v>50.626905851332026</v>
      </c>
      <c r="BB231" s="769">
        <v>53</v>
      </c>
      <c r="BC231" s="769">
        <v>0.86460493768330426</v>
      </c>
      <c r="BD231" s="769">
        <v>0.89663003695825327</v>
      </c>
      <c r="BE231" s="769">
        <v>0.92984135081383867</v>
      </c>
      <c r="BF231" s="769">
        <v>0.96428281681975381</v>
      </c>
      <c r="BG231" s="769">
        <v>1</v>
      </c>
      <c r="BH231" s="771">
        <v>64.810097554167811</v>
      </c>
      <c r="BI231" s="771">
        <v>65.630449140324188</v>
      </c>
      <c r="BJ231" s="771">
        <v>66.461184551691559</v>
      </c>
      <c r="BK231" s="772">
        <v>66.504515050415634</v>
      </c>
      <c r="BL231" s="772">
        <v>66.54784554913968</v>
      </c>
      <c r="BM231" s="772">
        <v>66.591176047863726</v>
      </c>
      <c r="BN231" s="772">
        <v>66.634506546587801</v>
      </c>
      <c r="BO231" s="772">
        <v>66.685742019361356</v>
      </c>
      <c r="BP231" s="772">
        <v>66.73697749213494</v>
      </c>
      <c r="BQ231" s="772">
        <v>66.879016930995192</v>
      </c>
      <c r="BR231" s="772">
        <v>67.048247200203363</v>
      </c>
      <c r="BS231" s="772">
        <v>67.122552879603646</v>
      </c>
      <c r="BT231" s="772">
        <v>67.163358295398538</v>
      </c>
      <c r="BU231" s="772">
        <v>67.20561615359226</v>
      </c>
      <c r="BV231" s="772">
        <v>67.248890721465116</v>
      </c>
      <c r="BW231" s="771">
        <v>53.670862037045218</v>
      </c>
      <c r="BX231" s="771">
        <v>54.35021569433097</v>
      </c>
      <c r="BY231" s="771">
        <v>55.03816845686957</v>
      </c>
      <c r="BZ231" s="772">
        <v>55.074051526125437</v>
      </c>
      <c r="CA231" s="772">
        <v>55.109934595381297</v>
      </c>
      <c r="CB231" s="772">
        <v>55.14581766463715</v>
      </c>
      <c r="CC231" s="772">
        <v>55.181700733893024</v>
      </c>
      <c r="CD231" s="772">
        <v>55.224130109783623</v>
      </c>
      <c r="CE231" s="772">
        <v>55.266559485674243</v>
      </c>
      <c r="CF231" s="772">
        <v>55.384185895980394</v>
      </c>
      <c r="CG231" s="772">
        <v>55.524329712668411</v>
      </c>
      <c r="CH231" s="772">
        <v>55.585864103421763</v>
      </c>
      <c r="CI231" s="772">
        <v>55.619656088376914</v>
      </c>
      <c r="CJ231" s="772">
        <v>55.654650877193582</v>
      </c>
      <c r="CK231" s="772">
        <v>55.690487628713299</v>
      </c>
      <c r="CL231" s="771">
        <v>1.012657774283872</v>
      </c>
      <c r="CM231" s="771">
        <v>1.0254757678175654</v>
      </c>
      <c r="CN231" s="771">
        <v>1.0384560086201806</v>
      </c>
      <c r="CO231" s="772">
        <v>1.0391330476627443</v>
      </c>
      <c r="CP231" s="772">
        <v>1.0398100867053075</v>
      </c>
      <c r="CQ231" s="772">
        <v>1.0404871257478707</v>
      </c>
      <c r="CR231" s="772">
        <v>1.0411641647904344</v>
      </c>
      <c r="CS231" s="772">
        <v>1.0419647190525212</v>
      </c>
      <c r="CT231" s="772">
        <v>1.0427652733146084</v>
      </c>
      <c r="CU231" s="772">
        <v>1.0449846395467999</v>
      </c>
      <c r="CV231" s="772">
        <v>1.0476288625031775</v>
      </c>
      <c r="CW231" s="772">
        <v>1.048789888743807</v>
      </c>
      <c r="CX231" s="772">
        <v>1.0494274733656022</v>
      </c>
      <c r="CY231" s="772">
        <v>1.0500877523998791</v>
      </c>
      <c r="CZ231" s="772">
        <v>1.0507639175228924</v>
      </c>
      <c r="DA231" s="773">
        <v>0</v>
      </c>
      <c r="DB231" s="773">
        <v>0</v>
      </c>
      <c r="DC231" s="773">
        <v>0</v>
      </c>
      <c r="DD231" s="774">
        <v>0</v>
      </c>
      <c r="DE231" s="774">
        <v>0</v>
      </c>
      <c r="DF231" s="774">
        <v>0</v>
      </c>
      <c r="DG231" s="774">
        <v>0</v>
      </c>
      <c r="DH231" s="774">
        <v>0</v>
      </c>
      <c r="DI231" s="774">
        <v>0</v>
      </c>
      <c r="DJ231" s="774">
        <v>0</v>
      </c>
      <c r="DK231" s="774">
        <v>0</v>
      </c>
      <c r="DL231" s="774">
        <v>0</v>
      </c>
      <c r="DM231" s="774">
        <v>0</v>
      </c>
      <c r="DN231" s="774">
        <v>0</v>
      </c>
      <c r="DO231" s="774">
        <v>0</v>
      </c>
      <c r="DP231" s="773">
        <v>0</v>
      </c>
      <c r="DQ231" s="773">
        <v>0</v>
      </c>
      <c r="DR231" s="773">
        <v>0</v>
      </c>
      <c r="DS231" s="774">
        <v>0</v>
      </c>
      <c r="DT231" s="774">
        <v>0</v>
      </c>
      <c r="DU231" s="774">
        <v>0</v>
      </c>
      <c r="DV231" s="774">
        <v>0</v>
      </c>
      <c r="DW231" s="774">
        <v>0</v>
      </c>
      <c r="DX231" s="774">
        <v>0</v>
      </c>
      <c r="DY231" s="774">
        <v>0</v>
      </c>
      <c r="DZ231" s="774">
        <v>0</v>
      </c>
      <c r="EA231" s="774">
        <v>0</v>
      </c>
      <c r="EB231" s="774">
        <v>0</v>
      </c>
      <c r="EC231" s="774">
        <v>0</v>
      </c>
      <c r="ED231" s="774">
        <v>0</v>
      </c>
    </row>
    <row r="232" spans="1:134" ht="15" x14ac:dyDescent="0.25">
      <c r="A232" s="766">
        <v>125</v>
      </c>
      <c r="B232" s="766">
        <v>94</v>
      </c>
      <c r="C232" s="766" t="s">
        <v>3903</v>
      </c>
      <c r="D232" s="2">
        <v>99712</v>
      </c>
      <c r="E232" s="2" t="s">
        <v>65</v>
      </c>
      <c r="F232" s="767" t="s">
        <v>3676</v>
      </c>
      <c r="G232" s="114">
        <v>36</v>
      </c>
      <c r="H232" s="114">
        <v>12</v>
      </c>
      <c r="I232" s="114">
        <v>11</v>
      </c>
      <c r="J232" s="114">
        <v>1</v>
      </c>
      <c r="K232" s="114">
        <v>0</v>
      </c>
      <c r="L232" s="114">
        <v>0</v>
      </c>
      <c r="M232" s="114">
        <v>0</v>
      </c>
      <c r="N232" s="114">
        <v>0</v>
      </c>
      <c r="O232" s="114">
        <v>0</v>
      </c>
      <c r="P232" s="114">
        <v>0</v>
      </c>
      <c r="Q232" s="114">
        <v>0</v>
      </c>
      <c r="R232" s="114">
        <v>0</v>
      </c>
      <c r="S232" s="114">
        <v>834.49503068156923</v>
      </c>
      <c r="T232" s="114">
        <v>834.49503068156923</v>
      </c>
      <c r="U232" s="114">
        <v>1408.3846153846155</v>
      </c>
      <c r="V232" s="114">
        <v>0</v>
      </c>
      <c r="W232" s="114">
        <v>0</v>
      </c>
      <c r="X232" s="114">
        <v>1365.173957061457</v>
      </c>
      <c r="Y232" s="114">
        <v>0.27494802494802495</v>
      </c>
      <c r="Z232" s="114">
        <v>11.70945945945946</v>
      </c>
      <c r="AA232" s="114">
        <v>1.5592515592515593E-2</v>
      </c>
      <c r="AB232" s="657">
        <v>0</v>
      </c>
      <c r="AC232" s="657">
        <v>0</v>
      </c>
      <c r="AD232" s="768">
        <v>12</v>
      </c>
      <c r="AE232" s="769">
        <v>0.2520356895356895</v>
      </c>
      <c r="AF232" s="769">
        <v>10.733671171171173</v>
      </c>
      <c r="AG232" s="770">
        <v>10.985706860706863</v>
      </c>
      <c r="AH232" s="769">
        <v>1.4293139293139294E-2</v>
      </c>
      <c r="AI232" s="769">
        <v>0.2499591661549353</v>
      </c>
      <c r="AJ232" s="769">
        <v>10.645236397551111</v>
      </c>
      <c r="AK232" s="769">
        <v>10.895195563706046</v>
      </c>
      <c r="AL232" s="769">
        <v>1.4175378042812967E-2</v>
      </c>
      <c r="AM232" s="769">
        <v>0.22997100088129085</v>
      </c>
      <c r="AN232" s="769">
        <v>9.7939823796873409</v>
      </c>
      <c r="AO232" s="769">
        <v>10.023953380568631</v>
      </c>
      <c r="AP232" s="769">
        <v>1.3041833698371884E-2</v>
      </c>
      <c r="AQ232" s="769">
        <v>0</v>
      </c>
      <c r="AR232" s="769">
        <v>0</v>
      </c>
      <c r="AS232" s="769">
        <v>9.9049774906138168</v>
      </c>
      <c r="AT232" s="769">
        <v>10.388294701939483</v>
      </c>
      <c r="AU232" s="769">
        <v>10.895195563706045</v>
      </c>
      <c r="AV232" s="769">
        <v>11.426830849267086</v>
      </c>
      <c r="AW232" s="769">
        <v>11.984407484407484</v>
      </c>
      <c r="AX232" s="769">
        <v>9.1463974644366264</v>
      </c>
      <c r="AY232" s="769">
        <v>9.5751272463431985</v>
      </c>
      <c r="AZ232" s="769">
        <v>10.023953380568631</v>
      </c>
      <c r="BA232" s="769">
        <v>10.493817866930918</v>
      </c>
      <c r="BB232" s="769">
        <v>10.985706860706863</v>
      </c>
      <c r="BC232" s="769">
        <v>0</v>
      </c>
      <c r="BD232" s="769">
        <v>0</v>
      </c>
      <c r="BE232" s="769">
        <v>0</v>
      </c>
      <c r="BF232" s="769">
        <v>0</v>
      </c>
      <c r="BG232" s="769">
        <v>0</v>
      </c>
      <c r="BH232" s="771">
        <v>12.13610340927106</v>
      </c>
      <c r="BI232" s="771">
        <v>12.289719466911343</v>
      </c>
      <c r="BJ232" s="771">
        <v>12.445279961935615</v>
      </c>
      <c r="BK232" s="772">
        <v>12.3634577064925</v>
      </c>
      <c r="BL232" s="772">
        <v>12.282173396479802</v>
      </c>
      <c r="BM232" s="772">
        <v>12.370345467307303</v>
      </c>
      <c r="BN232" s="772">
        <v>12.459150513571888</v>
      </c>
      <c r="BO232" s="772">
        <v>12.548593079319089</v>
      </c>
      <c r="BP232" s="772">
        <v>12.638677741215519</v>
      </c>
      <c r="BQ232" s="772">
        <v>12.729409108783068</v>
      </c>
      <c r="BR232" s="772">
        <v>12.800867238265999</v>
      </c>
      <c r="BS232" s="772">
        <v>12.872726506892592</v>
      </c>
      <c r="BT232" s="772">
        <v>12.944989166507581</v>
      </c>
      <c r="BU232" s="772">
        <v>13.017657481596711</v>
      </c>
      <c r="BV232" s="772">
        <v>13.090733729357696</v>
      </c>
      <c r="BW232" s="771">
        <v>11.124761458498474</v>
      </c>
      <c r="BX232" s="771">
        <v>11.265576178002066</v>
      </c>
      <c r="BY232" s="771">
        <v>11.408173298440984</v>
      </c>
      <c r="BZ232" s="772">
        <v>11.333169564284795</v>
      </c>
      <c r="CA232" s="772">
        <v>11.258658946773156</v>
      </c>
      <c r="CB232" s="772">
        <v>11.339483345031697</v>
      </c>
      <c r="CC232" s="772">
        <v>11.420887970774235</v>
      </c>
      <c r="CD232" s="772">
        <v>11.502876989375835</v>
      </c>
      <c r="CE232" s="772">
        <v>11.585454596114229</v>
      </c>
      <c r="CF232" s="772">
        <v>11.668625016384482</v>
      </c>
      <c r="CG232" s="772">
        <v>11.734128301743835</v>
      </c>
      <c r="CH232" s="772">
        <v>11.799999297984879</v>
      </c>
      <c r="CI232" s="772">
        <v>11.866240069298618</v>
      </c>
      <c r="CJ232" s="772">
        <v>11.932852691463655</v>
      </c>
      <c r="CK232" s="772">
        <v>11.999839251911224</v>
      </c>
      <c r="CL232" s="771">
        <v>0</v>
      </c>
      <c r="CM232" s="771">
        <v>0</v>
      </c>
      <c r="CN232" s="771">
        <v>0</v>
      </c>
      <c r="CO232" s="772">
        <v>0</v>
      </c>
      <c r="CP232" s="772">
        <v>0</v>
      </c>
      <c r="CQ232" s="772">
        <v>0</v>
      </c>
      <c r="CR232" s="772">
        <v>0</v>
      </c>
      <c r="CS232" s="772">
        <v>0</v>
      </c>
      <c r="CT232" s="772">
        <v>0</v>
      </c>
      <c r="CU232" s="772">
        <v>0</v>
      </c>
      <c r="CV232" s="772">
        <v>0</v>
      </c>
      <c r="CW232" s="772">
        <v>0</v>
      </c>
      <c r="CX232" s="772">
        <v>0</v>
      </c>
      <c r="CY232" s="772">
        <v>0</v>
      </c>
      <c r="CZ232" s="772">
        <v>0</v>
      </c>
      <c r="DA232" s="773">
        <v>1.5789882135403412E-2</v>
      </c>
      <c r="DB232" s="773">
        <v>1.5989746899442291E-2</v>
      </c>
      <c r="DC232" s="773">
        <v>1.6192141506551672E-2</v>
      </c>
      <c r="DD232" s="774">
        <v>1.6085685280370153E-2</v>
      </c>
      <c r="DE232" s="774">
        <v>1.5979928957168623E-2</v>
      </c>
      <c r="DF232" s="774">
        <v>1.6094646717808098E-2</v>
      </c>
      <c r="DG232" s="774">
        <v>1.6210188021821351E-2</v>
      </c>
      <c r="DH232" s="774">
        <v>1.6326558781315496E-2</v>
      </c>
      <c r="DI232" s="774">
        <v>1.6443764950839861E-2</v>
      </c>
      <c r="DJ232" s="774">
        <v>1.6561812527690695E-2</v>
      </c>
      <c r="DK232" s="774">
        <v>1.6654784332898777E-2</v>
      </c>
      <c r="DL232" s="774">
        <v>1.6748278046958876E-2</v>
      </c>
      <c r="DM232" s="774">
        <v>1.6842296599671586E-2</v>
      </c>
      <c r="DN232" s="774">
        <v>1.6936842937284296E-2</v>
      </c>
      <c r="DO232" s="774">
        <v>1.7031920022583524E-2</v>
      </c>
      <c r="DP232" s="773">
        <v>0</v>
      </c>
      <c r="DQ232" s="773">
        <v>0</v>
      </c>
      <c r="DR232" s="773">
        <v>0</v>
      </c>
      <c r="DS232" s="774">
        <v>0</v>
      </c>
      <c r="DT232" s="774">
        <v>0</v>
      </c>
      <c r="DU232" s="774">
        <v>0</v>
      </c>
      <c r="DV232" s="774">
        <v>0</v>
      </c>
      <c r="DW232" s="774">
        <v>0</v>
      </c>
      <c r="DX232" s="774">
        <v>0</v>
      </c>
      <c r="DY232" s="774">
        <v>0</v>
      </c>
      <c r="DZ232" s="774">
        <v>0</v>
      </c>
      <c r="EA232" s="774">
        <v>0</v>
      </c>
      <c r="EB232" s="774">
        <v>0</v>
      </c>
      <c r="EC232" s="774">
        <v>0</v>
      </c>
      <c r="ED232" s="774">
        <v>0</v>
      </c>
    </row>
    <row r="233" spans="1:134" ht="15" x14ac:dyDescent="0.25">
      <c r="A233" s="766">
        <v>99</v>
      </c>
      <c r="B233" s="766">
        <v>95</v>
      </c>
      <c r="C233" s="766" t="s">
        <v>3904</v>
      </c>
      <c r="D233" s="2">
        <v>99709</v>
      </c>
      <c r="E233" s="2">
        <v>99725</v>
      </c>
      <c r="F233" s="767" t="s">
        <v>3746</v>
      </c>
      <c r="G233" s="114">
        <v>8</v>
      </c>
      <c r="H233" s="114">
        <v>4</v>
      </c>
      <c r="I233" s="114">
        <v>3</v>
      </c>
      <c r="J233" s="114">
        <v>1</v>
      </c>
      <c r="K233" s="114">
        <v>0</v>
      </c>
      <c r="L233" s="114">
        <v>27</v>
      </c>
      <c r="M233" s="114">
        <v>27</v>
      </c>
      <c r="N233" s="114">
        <v>0</v>
      </c>
      <c r="O233" s="114">
        <v>0</v>
      </c>
      <c r="P233" s="114">
        <v>0</v>
      </c>
      <c r="Q233" s="114">
        <v>27</v>
      </c>
      <c r="R233" s="114">
        <v>0</v>
      </c>
      <c r="S233" s="114">
        <v>1988.0740740740741</v>
      </c>
      <c r="T233" s="114">
        <v>1988.0740740740741</v>
      </c>
      <c r="U233" s="114">
        <v>0</v>
      </c>
      <c r="V233" s="114">
        <v>0</v>
      </c>
      <c r="W233" s="114">
        <v>0</v>
      </c>
      <c r="X233" s="114">
        <v>1988.0740740740741</v>
      </c>
      <c r="Y233" s="114">
        <v>0</v>
      </c>
      <c r="Z233" s="114">
        <v>4</v>
      </c>
      <c r="AA233" s="114">
        <v>0</v>
      </c>
      <c r="AB233" s="657">
        <v>0</v>
      </c>
      <c r="AC233" s="657">
        <v>0</v>
      </c>
      <c r="AD233" s="768">
        <v>4</v>
      </c>
      <c r="AE233" s="769">
        <v>0</v>
      </c>
      <c r="AF233" s="769">
        <v>3</v>
      </c>
      <c r="AG233" s="770">
        <v>3</v>
      </c>
      <c r="AH233" s="769">
        <v>0</v>
      </c>
      <c r="AI233" s="769">
        <v>0</v>
      </c>
      <c r="AJ233" s="769">
        <v>3.8086335800309574</v>
      </c>
      <c r="AK233" s="769">
        <v>3.8086335800309574</v>
      </c>
      <c r="AL233" s="769">
        <v>0</v>
      </c>
      <c r="AM233" s="769">
        <v>0</v>
      </c>
      <c r="AN233" s="769">
        <v>2.861863886693929</v>
      </c>
      <c r="AO233" s="769">
        <v>2.861863886693929</v>
      </c>
      <c r="AP233" s="769">
        <v>0</v>
      </c>
      <c r="AQ233" s="769">
        <v>0</v>
      </c>
      <c r="AR233" s="769">
        <v>0</v>
      </c>
      <c r="AS233" s="769">
        <v>3.626422436734857</v>
      </c>
      <c r="AT233" s="769">
        <v>3.7164114772083656</v>
      </c>
      <c r="AU233" s="769">
        <v>3.8086335800309574</v>
      </c>
      <c r="AV233" s="769">
        <v>3.9031441582554733</v>
      </c>
      <c r="AW233" s="769">
        <v>4</v>
      </c>
      <c r="AX233" s="769">
        <v>2.7300883019876268</v>
      </c>
      <c r="AY233" s="769">
        <v>2.7951996563651655</v>
      </c>
      <c r="AZ233" s="769">
        <v>2.861863886693929</v>
      </c>
      <c r="BA233" s="769">
        <v>2.9301180283534292</v>
      </c>
      <c r="BB233" s="769">
        <v>3</v>
      </c>
      <c r="BC233" s="769">
        <v>0</v>
      </c>
      <c r="BD233" s="769">
        <v>0</v>
      </c>
      <c r="BE233" s="769">
        <v>0</v>
      </c>
      <c r="BF233" s="769">
        <v>0</v>
      </c>
      <c r="BG233" s="769">
        <v>0</v>
      </c>
      <c r="BH233" s="771">
        <v>4.0416153350629171</v>
      </c>
      <c r="BI233" s="771">
        <v>4.0836636291539339</v>
      </c>
      <c r="BJ233" s="771">
        <v>4.126149386706806</v>
      </c>
      <c r="BK233" s="772">
        <v>4.2123652317751592</v>
      </c>
      <c r="BL233" s="772">
        <v>4.2985810768435133</v>
      </c>
      <c r="BM233" s="772">
        <v>4.3847969219118665</v>
      </c>
      <c r="BN233" s="772">
        <v>4.4710127669802198</v>
      </c>
      <c r="BO233" s="772">
        <v>4.5729573490349997</v>
      </c>
      <c r="BP233" s="772">
        <v>4.6749019310897797</v>
      </c>
      <c r="BQ233" s="772">
        <v>4.9575215781046342</v>
      </c>
      <c r="BR233" s="772">
        <v>5.2942435430153596</v>
      </c>
      <c r="BS233" s="772">
        <v>5.4420915284186631</v>
      </c>
      <c r="BT233" s="772">
        <v>5.5232831488642811</v>
      </c>
      <c r="BU233" s="772">
        <v>5.607364732557806</v>
      </c>
      <c r="BV233" s="772">
        <v>5.6934692905248676</v>
      </c>
      <c r="BW233" s="771">
        <v>3.0312115012971876</v>
      </c>
      <c r="BX233" s="771">
        <v>3.0627477218654504</v>
      </c>
      <c r="BY233" s="771">
        <v>3.0946120400301043</v>
      </c>
      <c r="BZ233" s="772">
        <v>3.1592739238313694</v>
      </c>
      <c r="CA233" s="772">
        <v>3.2239358076326345</v>
      </c>
      <c r="CB233" s="772">
        <v>3.2885976914338997</v>
      </c>
      <c r="CC233" s="772">
        <v>3.3532595752351648</v>
      </c>
      <c r="CD233" s="772">
        <v>3.4297180117762496</v>
      </c>
      <c r="CE233" s="772">
        <v>3.5061764483173343</v>
      </c>
      <c r="CF233" s="772">
        <v>3.7181411835784757</v>
      </c>
      <c r="CG233" s="772">
        <v>3.9706826572615195</v>
      </c>
      <c r="CH233" s="772">
        <v>4.0815686463139969</v>
      </c>
      <c r="CI233" s="772">
        <v>4.1424623616482101</v>
      </c>
      <c r="CJ233" s="772">
        <v>4.2055235494183538</v>
      </c>
      <c r="CK233" s="772">
        <v>4.2701019678936509</v>
      </c>
      <c r="CL233" s="771">
        <v>0</v>
      </c>
      <c r="CM233" s="771">
        <v>0</v>
      </c>
      <c r="CN233" s="771">
        <v>0</v>
      </c>
      <c r="CO233" s="772">
        <v>0</v>
      </c>
      <c r="CP233" s="772">
        <v>0</v>
      </c>
      <c r="CQ233" s="772">
        <v>0</v>
      </c>
      <c r="CR233" s="772">
        <v>0</v>
      </c>
      <c r="CS233" s="772">
        <v>0</v>
      </c>
      <c r="CT233" s="772">
        <v>0</v>
      </c>
      <c r="CU233" s="772">
        <v>0</v>
      </c>
      <c r="CV233" s="772">
        <v>0</v>
      </c>
      <c r="CW233" s="772">
        <v>0</v>
      </c>
      <c r="CX233" s="772">
        <v>0</v>
      </c>
      <c r="CY233" s="772">
        <v>0</v>
      </c>
      <c r="CZ233" s="772">
        <v>0</v>
      </c>
      <c r="DA233" s="773">
        <v>0</v>
      </c>
      <c r="DB233" s="773">
        <v>0</v>
      </c>
      <c r="DC233" s="773">
        <v>0</v>
      </c>
      <c r="DD233" s="774">
        <v>0</v>
      </c>
      <c r="DE233" s="774">
        <v>0</v>
      </c>
      <c r="DF233" s="774">
        <v>0</v>
      </c>
      <c r="DG233" s="774">
        <v>0</v>
      </c>
      <c r="DH233" s="774">
        <v>0</v>
      </c>
      <c r="DI233" s="774">
        <v>0</v>
      </c>
      <c r="DJ233" s="774">
        <v>0</v>
      </c>
      <c r="DK233" s="774">
        <v>0</v>
      </c>
      <c r="DL233" s="774">
        <v>0</v>
      </c>
      <c r="DM233" s="774">
        <v>0</v>
      </c>
      <c r="DN233" s="774">
        <v>0</v>
      </c>
      <c r="DO233" s="774">
        <v>0</v>
      </c>
      <c r="DP233" s="773">
        <v>0</v>
      </c>
      <c r="DQ233" s="773">
        <v>0</v>
      </c>
      <c r="DR233" s="773">
        <v>0</v>
      </c>
      <c r="DS233" s="774">
        <v>0</v>
      </c>
      <c r="DT233" s="774">
        <v>0</v>
      </c>
      <c r="DU233" s="774">
        <v>0</v>
      </c>
      <c r="DV233" s="774">
        <v>0</v>
      </c>
      <c r="DW233" s="774">
        <v>0</v>
      </c>
      <c r="DX233" s="774">
        <v>0</v>
      </c>
      <c r="DY233" s="774">
        <v>0</v>
      </c>
      <c r="DZ233" s="774">
        <v>0</v>
      </c>
      <c r="EA233" s="774">
        <v>0</v>
      </c>
      <c r="EB233" s="774">
        <v>0</v>
      </c>
      <c r="EC233" s="774">
        <v>0</v>
      </c>
      <c r="ED233" s="774">
        <v>0</v>
      </c>
    </row>
    <row r="234" spans="1:134" ht="15" x14ac:dyDescent="0.25">
      <c r="A234" s="766">
        <v>100</v>
      </c>
      <c r="B234" s="766">
        <v>95</v>
      </c>
      <c r="C234" s="766" t="s">
        <v>3905</v>
      </c>
      <c r="D234" s="2">
        <v>99709</v>
      </c>
      <c r="E234" s="2">
        <v>99709</v>
      </c>
      <c r="F234" s="767" t="s">
        <v>3746</v>
      </c>
      <c r="G234" s="114">
        <v>81</v>
      </c>
      <c r="H234" s="114">
        <v>34</v>
      </c>
      <c r="I234" s="114">
        <v>31</v>
      </c>
      <c r="J234" s="114">
        <v>3</v>
      </c>
      <c r="K234" s="114">
        <v>0</v>
      </c>
      <c r="L234" s="114">
        <v>57</v>
      </c>
      <c r="M234" s="114">
        <v>57</v>
      </c>
      <c r="N234" s="114">
        <v>0</v>
      </c>
      <c r="O234" s="114">
        <v>0</v>
      </c>
      <c r="P234" s="114">
        <v>0</v>
      </c>
      <c r="Q234" s="114">
        <v>57</v>
      </c>
      <c r="R234" s="114">
        <v>0</v>
      </c>
      <c r="S234" s="114">
        <v>2789.1754385964914</v>
      </c>
      <c r="T234" s="114">
        <v>2789.1754385964914</v>
      </c>
      <c r="U234" s="114">
        <v>0</v>
      </c>
      <c r="V234" s="114">
        <v>0</v>
      </c>
      <c r="W234" s="114">
        <v>0</v>
      </c>
      <c r="X234" s="114">
        <v>2789.1754385964914</v>
      </c>
      <c r="Y234" s="114">
        <v>0</v>
      </c>
      <c r="Z234" s="114">
        <v>34</v>
      </c>
      <c r="AA234" s="114">
        <v>0</v>
      </c>
      <c r="AB234" s="657">
        <v>0</v>
      </c>
      <c r="AC234" s="657">
        <v>0</v>
      </c>
      <c r="AD234" s="768">
        <v>34</v>
      </c>
      <c r="AE234" s="769">
        <v>0</v>
      </c>
      <c r="AF234" s="769">
        <v>31</v>
      </c>
      <c r="AG234" s="770">
        <v>31</v>
      </c>
      <c r="AH234" s="769">
        <v>0</v>
      </c>
      <c r="AI234" s="769">
        <v>0</v>
      </c>
      <c r="AJ234" s="769">
        <v>32.373385430263134</v>
      </c>
      <c r="AK234" s="769">
        <v>32.373385430263134</v>
      </c>
      <c r="AL234" s="769">
        <v>0</v>
      </c>
      <c r="AM234" s="769">
        <v>0</v>
      </c>
      <c r="AN234" s="769">
        <v>29.572593495837264</v>
      </c>
      <c r="AO234" s="769">
        <v>29.572593495837264</v>
      </c>
      <c r="AP234" s="769">
        <v>0</v>
      </c>
      <c r="AQ234" s="769">
        <v>0</v>
      </c>
      <c r="AR234" s="769">
        <v>0</v>
      </c>
      <c r="AS234" s="769">
        <v>30.824590712246284</v>
      </c>
      <c r="AT234" s="769">
        <v>31.589497556271105</v>
      </c>
      <c r="AU234" s="769">
        <v>32.373385430263134</v>
      </c>
      <c r="AV234" s="769">
        <v>33.176725345171526</v>
      </c>
      <c r="AW234" s="769">
        <v>34</v>
      </c>
      <c r="AX234" s="769">
        <v>28.210912453872144</v>
      </c>
      <c r="AY234" s="769">
        <v>28.883729782440046</v>
      </c>
      <c r="AZ234" s="769">
        <v>29.572593495837264</v>
      </c>
      <c r="BA234" s="769">
        <v>30.277886292985432</v>
      </c>
      <c r="BB234" s="769">
        <v>31</v>
      </c>
      <c r="BC234" s="769">
        <v>0</v>
      </c>
      <c r="BD234" s="769">
        <v>0</v>
      </c>
      <c r="BE234" s="769">
        <v>0</v>
      </c>
      <c r="BF234" s="769">
        <v>0</v>
      </c>
      <c r="BG234" s="769">
        <v>0</v>
      </c>
      <c r="BH234" s="771">
        <v>34.353730348034794</v>
      </c>
      <c r="BI234" s="771">
        <v>34.711140847808437</v>
      </c>
      <c r="BJ234" s="771">
        <v>35.072269787007848</v>
      </c>
      <c r="BK234" s="772">
        <v>35.80510447008885</v>
      </c>
      <c r="BL234" s="772">
        <v>36.537939153169859</v>
      </c>
      <c r="BM234" s="772">
        <v>37.270773836250861</v>
      </c>
      <c r="BN234" s="772">
        <v>38.00360851933187</v>
      </c>
      <c r="BO234" s="772">
        <v>38.870137466797495</v>
      </c>
      <c r="BP234" s="772">
        <v>39.736666414263127</v>
      </c>
      <c r="BQ234" s="772">
        <v>42.13893341388939</v>
      </c>
      <c r="BR234" s="772">
        <v>45.001070115630554</v>
      </c>
      <c r="BS234" s="772">
        <v>46.257777991558626</v>
      </c>
      <c r="BT234" s="772">
        <v>46.947906765346382</v>
      </c>
      <c r="BU234" s="772">
        <v>47.662600226741347</v>
      </c>
      <c r="BV234" s="772">
        <v>48.394488969461371</v>
      </c>
      <c r="BW234" s="771">
        <v>31.322518846737609</v>
      </c>
      <c r="BX234" s="771">
        <v>31.648393125942988</v>
      </c>
      <c r="BY234" s="771">
        <v>31.977657746977748</v>
      </c>
      <c r="BZ234" s="772">
        <v>32.645830546257486</v>
      </c>
      <c r="CA234" s="772">
        <v>33.31400334553723</v>
      </c>
      <c r="CB234" s="772">
        <v>33.982176144816968</v>
      </c>
      <c r="CC234" s="772">
        <v>34.650348944096706</v>
      </c>
      <c r="CD234" s="772">
        <v>35.440419455021249</v>
      </c>
      <c r="CE234" s="772">
        <v>36.230489965945793</v>
      </c>
      <c r="CF234" s="772">
        <v>38.420792230310923</v>
      </c>
      <c r="CG234" s="772">
        <v>41.030387458369042</v>
      </c>
      <c r="CH234" s="772">
        <v>42.176209345244636</v>
      </c>
      <c r="CI234" s="772">
        <v>42.805444403698182</v>
      </c>
      <c r="CJ234" s="772">
        <v>43.457076677322995</v>
      </c>
      <c r="CK234" s="772">
        <v>44.124387001567726</v>
      </c>
      <c r="CL234" s="771">
        <v>0</v>
      </c>
      <c r="CM234" s="771">
        <v>0</v>
      </c>
      <c r="CN234" s="771">
        <v>0</v>
      </c>
      <c r="CO234" s="772">
        <v>0</v>
      </c>
      <c r="CP234" s="772">
        <v>0</v>
      </c>
      <c r="CQ234" s="772">
        <v>0</v>
      </c>
      <c r="CR234" s="772">
        <v>0</v>
      </c>
      <c r="CS234" s="772">
        <v>0</v>
      </c>
      <c r="CT234" s="772">
        <v>0</v>
      </c>
      <c r="CU234" s="772">
        <v>0</v>
      </c>
      <c r="CV234" s="772">
        <v>0</v>
      </c>
      <c r="CW234" s="772">
        <v>0</v>
      </c>
      <c r="CX234" s="772">
        <v>0</v>
      </c>
      <c r="CY234" s="772">
        <v>0</v>
      </c>
      <c r="CZ234" s="772">
        <v>0</v>
      </c>
      <c r="DA234" s="773">
        <v>0</v>
      </c>
      <c r="DB234" s="773">
        <v>0</v>
      </c>
      <c r="DC234" s="773">
        <v>0</v>
      </c>
      <c r="DD234" s="774">
        <v>0</v>
      </c>
      <c r="DE234" s="774">
        <v>0</v>
      </c>
      <c r="DF234" s="774">
        <v>0</v>
      </c>
      <c r="DG234" s="774">
        <v>0</v>
      </c>
      <c r="DH234" s="774">
        <v>0</v>
      </c>
      <c r="DI234" s="774">
        <v>0</v>
      </c>
      <c r="DJ234" s="774">
        <v>0</v>
      </c>
      <c r="DK234" s="774">
        <v>0</v>
      </c>
      <c r="DL234" s="774">
        <v>0</v>
      </c>
      <c r="DM234" s="774">
        <v>0</v>
      </c>
      <c r="DN234" s="774">
        <v>0</v>
      </c>
      <c r="DO234" s="774">
        <v>0</v>
      </c>
      <c r="DP234" s="773">
        <v>0</v>
      </c>
      <c r="DQ234" s="773">
        <v>0</v>
      </c>
      <c r="DR234" s="773">
        <v>0</v>
      </c>
      <c r="DS234" s="774">
        <v>0</v>
      </c>
      <c r="DT234" s="774">
        <v>0</v>
      </c>
      <c r="DU234" s="774">
        <v>0</v>
      </c>
      <c r="DV234" s="774">
        <v>0</v>
      </c>
      <c r="DW234" s="774">
        <v>0</v>
      </c>
      <c r="DX234" s="774">
        <v>0</v>
      </c>
      <c r="DY234" s="774">
        <v>0</v>
      </c>
      <c r="DZ234" s="774">
        <v>0</v>
      </c>
      <c r="EA234" s="774">
        <v>0</v>
      </c>
      <c r="EB234" s="774">
        <v>0</v>
      </c>
      <c r="EC234" s="774">
        <v>0</v>
      </c>
      <c r="ED234" s="774">
        <v>0</v>
      </c>
    </row>
    <row r="235" spans="1:134" ht="15" x14ac:dyDescent="0.25">
      <c r="A235" s="766">
        <v>101</v>
      </c>
      <c r="B235" s="766">
        <v>95</v>
      </c>
      <c r="C235" s="766" t="s">
        <v>3906</v>
      </c>
      <c r="D235" s="2">
        <v>99709</v>
      </c>
      <c r="E235" s="2">
        <v>99709</v>
      </c>
      <c r="F235" s="767" t="s">
        <v>3746</v>
      </c>
      <c r="G235" s="114">
        <v>305</v>
      </c>
      <c r="H235" s="114">
        <v>100</v>
      </c>
      <c r="I235" s="114">
        <v>90</v>
      </c>
      <c r="J235" s="114">
        <v>10</v>
      </c>
      <c r="K235" s="114">
        <v>0</v>
      </c>
      <c r="L235" s="114">
        <v>34</v>
      </c>
      <c r="M235" s="114">
        <v>34</v>
      </c>
      <c r="N235" s="114">
        <v>1</v>
      </c>
      <c r="O235" s="114">
        <v>0</v>
      </c>
      <c r="P235" s="114">
        <v>0</v>
      </c>
      <c r="Q235" s="114">
        <v>35</v>
      </c>
      <c r="R235" s="114">
        <v>0</v>
      </c>
      <c r="S235" s="114">
        <v>1872.6764705882354</v>
      </c>
      <c r="T235" s="114">
        <v>1872.6764705882354</v>
      </c>
      <c r="U235" s="114">
        <v>968</v>
      </c>
      <c r="V235" s="114">
        <v>0</v>
      </c>
      <c r="W235" s="114">
        <v>0</v>
      </c>
      <c r="X235" s="114">
        <v>1846.8285714285714</v>
      </c>
      <c r="Y235" s="114">
        <v>0</v>
      </c>
      <c r="Z235" s="114">
        <v>100</v>
      </c>
      <c r="AA235" s="114">
        <v>0</v>
      </c>
      <c r="AB235" s="657">
        <v>1</v>
      </c>
      <c r="AC235" s="657">
        <v>0</v>
      </c>
      <c r="AD235" s="768">
        <v>101</v>
      </c>
      <c r="AE235" s="769">
        <v>0</v>
      </c>
      <c r="AF235" s="769">
        <v>90</v>
      </c>
      <c r="AG235" s="770">
        <v>90</v>
      </c>
      <c r="AH235" s="769">
        <v>0</v>
      </c>
      <c r="AI235" s="769">
        <v>0</v>
      </c>
      <c r="AJ235" s="769">
        <v>95.215839500773939</v>
      </c>
      <c r="AK235" s="769">
        <v>95.215839500773939</v>
      </c>
      <c r="AL235" s="769">
        <v>0</v>
      </c>
      <c r="AM235" s="769">
        <v>0</v>
      </c>
      <c r="AN235" s="769">
        <v>85.855916600817864</v>
      </c>
      <c r="AO235" s="769">
        <v>85.855916600817864</v>
      </c>
      <c r="AP235" s="769">
        <v>0</v>
      </c>
      <c r="AQ235" s="769">
        <v>0.95966573850124082</v>
      </c>
      <c r="AR235" s="769">
        <v>0</v>
      </c>
      <c r="AS235" s="769">
        <v>90.660560918371417</v>
      </c>
      <c r="AT235" s="769">
        <v>92.910286930209139</v>
      </c>
      <c r="AU235" s="769">
        <v>95.215839500773939</v>
      </c>
      <c r="AV235" s="769">
        <v>97.578603956386843</v>
      </c>
      <c r="AW235" s="769">
        <v>100</v>
      </c>
      <c r="AX235" s="769">
        <v>81.902649059628814</v>
      </c>
      <c r="AY235" s="769">
        <v>83.855989690954971</v>
      </c>
      <c r="AZ235" s="769">
        <v>85.855916600817864</v>
      </c>
      <c r="BA235" s="769">
        <v>87.903540850602866</v>
      </c>
      <c r="BB235" s="769">
        <v>90</v>
      </c>
      <c r="BC235" s="769">
        <v>0.92095832965313207</v>
      </c>
      <c r="BD235" s="769">
        <v>0.94011284192667122</v>
      </c>
      <c r="BE235" s="769">
        <v>0.95966573850124082</v>
      </c>
      <c r="BF235" s="769">
        <v>0.97962530515561963</v>
      </c>
      <c r="BG235" s="769">
        <v>1</v>
      </c>
      <c r="BH235" s="771">
        <v>101.04038337657293</v>
      </c>
      <c r="BI235" s="771">
        <v>102.09159072884835</v>
      </c>
      <c r="BJ235" s="771">
        <v>103.15373466767015</v>
      </c>
      <c r="BK235" s="772">
        <v>105.30913079437899</v>
      </c>
      <c r="BL235" s="772">
        <v>107.46452692108782</v>
      </c>
      <c r="BM235" s="772">
        <v>109.61992304779666</v>
      </c>
      <c r="BN235" s="772">
        <v>111.7753191745055</v>
      </c>
      <c r="BO235" s="772">
        <v>114.32393372587499</v>
      </c>
      <c r="BP235" s="772">
        <v>116.87254827724449</v>
      </c>
      <c r="BQ235" s="772">
        <v>123.93803945261587</v>
      </c>
      <c r="BR235" s="772">
        <v>132.35608857538401</v>
      </c>
      <c r="BS235" s="772">
        <v>136.05228821046657</v>
      </c>
      <c r="BT235" s="772">
        <v>138.08207872160702</v>
      </c>
      <c r="BU235" s="772">
        <v>140.18411831394513</v>
      </c>
      <c r="BV235" s="772">
        <v>142.33673226312169</v>
      </c>
      <c r="BW235" s="771">
        <v>90.936345038915633</v>
      </c>
      <c r="BX235" s="771">
        <v>91.882431655963515</v>
      </c>
      <c r="BY235" s="771">
        <v>92.838361200903137</v>
      </c>
      <c r="BZ235" s="772">
        <v>94.778217714941093</v>
      </c>
      <c r="CA235" s="772">
        <v>96.718074228979049</v>
      </c>
      <c r="CB235" s="772">
        <v>98.657930743017005</v>
      </c>
      <c r="CC235" s="772">
        <v>100.59778725705496</v>
      </c>
      <c r="CD235" s="772">
        <v>102.8915403532875</v>
      </c>
      <c r="CE235" s="772">
        <v>105.18529344952005</v>
      </c>
      <c r="CF235" s="772">
        <v>111.54423550735427</v>
      </c>
      <c r="CG235" s="772">
        <v>119.1204797178456</v>
      </c>
      <c r="CH235" s="772">
        <v>122.44705938941992</v>
      </c>
      <c r="CI235" s="772">
        <v>124.27387084944633</v>
      </c>
      <c r="CJ235" s="772">
        <v>126.16570648255063</v>
      </c>
      <c r="CK235" s="772">
        <v>128.10305903680953</v>
      </c>
      <c r="CL235" s="771">
        <v>1.0104038337657293</v>
      </c>
      <c r="CM235" s="771">
        <v>1.0209159072884835</v>
      </c>
      <c r="CN235" s="771">
        <v>1.0315373466767015</v>
      </c>
      <c r="CO235" s="772">
        <v>1.0530913079437898</v>
      </c>
      <c r="CP235" s="772">
        <v>1.0746452692108783</v>
      </c>
      <c r="CQ235" s="772">
        <v>1.0961992304779666</v>
      </c>
      <c r="CR235" s="772">
        <v>1.1177531917450549</v>
      </c>
      <c r="CS235" s="772">
        <v>1.1432393372587499</v>
      </c>
      <c r="CT235" s="772">
        <v>1.1687254827724449</v>
      </c>
      <c r="CU235" s="772">
        <v>1.2393803945261586</v>
      </c>
      <c r="CV235" s="772">
        <v>1.3235608857538399</v>
      </c>
      <c r="CW235" s="772">
        <v>1.3605228821046658</v>
      </c>
      <c r="CX235" s="772">
        <v>1.3808207872160703</v>
      </c>
      <c r="CY235" s="772">
        <v>1.4018411831394515</v>
      </c>
      <c r="CZ235" s="772">
        <v>1.4233673226312169</v>
      </c>
      <c r="DA235" s="773">
        <v>0</v>
      </c>
      <c r="DB235" s="773">
        <v>0</v>
      </c>
      <c r="DC235" s="773">
        <v>0</v>
      </c>
      <c r="DD235" s="774">
        <v>0</v>
      </c>
      <c r="DE235" s="774">
        <v>0</v>
      </c>
      <c r="DF235" s="774">
        <v>0</v>
      </c>
      <c r="DG235" s="774">
        <v>0</v>
      </c>
      <c r="DH235" s="774">
        <v>0</v>
      </c>
      <c r="DI235" s="774">
        <v>0</v>
      </c>
      <c r="DJ235" s="774">
        <v>0</v>
      </c>
      <c r="DK235" s="774">
        <v>0</v>
      </c>
      <c r="DL235" s="774">
        <v>0</v>
      </c>
      <c r="DM235" s="774">
        <v>0</v>
      </c>
      <c r="DN235" s="774">
        <v>0</v>
      </c>
      <c r="DO235" s="774">
        <v>0</v>
      </c>
      <c r="DP235" s="773">
        <v>0</v>
      </c>
      <c r="DQ235" s="773">
        <v>0</v>
      </c>
      <c r="DR235" s="773">
        <v>0</v>
      </c>
      <c r="DS235" s="774">
        <v>0</v>
      </c>
      <c r="DT235" s="774">
        <v>0</v>
      </c>
      <c r="DU235" s="774">
        <v>0</v>
      </c>
      <c r="DV235" s="774">
        <v>0</v>
      </c>
      <c r="DW235" s="774">
        <v>0</v>
      </c>
      <c r="DX235" s="774">
        <v>0</v>
      </c>
      <c r="DY235" s="774">
        <v>0</v>
      </c>
      <c r="DZ235" s="774">
        <v>0</v>
      </c>
      <c r="EA235" s="774">
        <v>0</v>
      </c>
      <c r="EB235" s="774">
        <v>0</v>
      </c>
      <c r="EC235" s="774">
        <v>0</v>
      </c>
      <c r="ED235" s="774">
        <v>0</v>
      </c>
    </row>
    <row r="236" spans="1:134" ht="15" x14ac:dyDescent="0.25">
      <c r="A236" s="766">
        <v>102</v>
      </c>
      <c r="B236" s="766">
        <v>95</v>
      </c>
      <c r="C236" s="766" t="s">
        <v>3907</v>
      </c>
      <c r="D236" s="2">
        <v>99709</v>
      </c>
      <c r="E236" s="2">
        <v>99709</v>
      </c>
      <c r="F236" s="767" t="s">
        <v>3746</v>
      </c>
      <c r="G236" s="114">
        <v>70</v>
      </c>
      <c r="H236" s="114">
        <v>46</v>
      </c>
      <c r="I236" s="114">
        <v>35</v>
      </c>
      <c r="J236" s="114">
        <v>11</v>
      </c>
      <c r="K236" s="114">
        <v>1</v>
      </c>
      <c r="L236" s="114">
        <v>47</v>
      </c>
      <c r="M236" s="114">
        <v>48</v>
      </c>
      <c r="N236" s="114">
        <v>10</v>
      </c>
      <c r="O236" s="114">
        <v>0</v>
      </c>
      <c r="P236" s="114">
        <v>0</v>
      </c>
      <c r="Q236" s="114">
        <v>58</v>
      </c>
      <c r="R236" s="114">
        <v>7504</v>
      </c>
      <c r="S236" s="114">
        <v>2140.7021276595747</v>
      </c>
      <c r="T236" s="114">
        <v>2252.4375000000005</v>
      </c>
      <c r="U236" s="114">
        <v>5436.4</v>
      </c>
      <c r="V236" s="114">
        <v>0</v>
      </c>
      <c r="W236" s="114">
        <v>0</v>
      </c>
      <c r="X236" s="114">
        <v>2801.3965517241381</v>
      </c>
      <c r="Y236" s="114">
        <v>0.95833333333333337</v>
      </c>
      <c r="Z236" s="114">
        <v>45.041666666666664</v>
      </c>
      <c r="AA236" s="114">
        <v>0</v>
      </c>
      <c r="AB236" s="657">
        <v>10</v>
      </c>
      <c r="AC236" s="657">
        <v>0</v>
      </c>
      <c r="AD236" s="768">
        <v>56</v>
      </c>
      <c r="AE236" s="769">
        <v>0.72916666666666674</v>
      </c>
      <c r="AF236" s="769">
        <v>34.270833333333329</v>
      </c>
      <c r="AG236" s="770">
        <v>34.999999999999993</v>
      </c>
      <c r="AH236" s="769">
        <v>0</v>
      </c>
      <c r="AI236" s="769">
        <v>0.91248512854908359</v>
      </c>
      <c r="AJ236" s="769">
        <v>42.886801041806926</v>
      </c>
      <c r="AK236" s="769">
        <v>43.799286170356012</v>
      </c>
      <c r="AL236" s="769">
        <v>0</v>
      </c>
      <c r="AM236" s="769">
        <v>0.69559191690477451</v>
      </c>
      <c r="AN236" s="769">
        <v>32.692820094524393</v>
      </c>
      <c r="AO236" s="769">
        <v>33.388412011429168</v>
      </c>
      <c r="AP236" s="769">
        <v>0</v>
      </c>
      <c r="AQ236" s="769">
        <v>9.5966573850124082</v>
      </c>
      <c r="AR236" s="769">
        <v>0</v>
      </c>
      <c r="AS236" s="769">
        <v>41.703858022450852</v>
      </c>
      <c r="AT236" s="769">
        <v>42.738731987896202</v>
      </c>
      <c r="AU236" s="769">
        <v>43.799286170356012</v>
      </c>
      <c r="AV236" s="769">
        <v>44.886157819937942</v>
      </c>
      <c r="AW236" s="769">
        <v>46</v>
      </c>
      <c r="AX236" s="769">
        <v>31.851030189855642</v>
      </c>
      <c r="AY236" s="769">
        <v>32.610662657593593</v>
      </c>
      <c r="AZ236" s="769">
        <v>33.388412011429168</v>
      </c>
      <c r="BA236" s="769">
        <v>34.184710330789997</v>
      </c>
      <c r="BB236" s="769">
        <v>34.999999999999993</v>
      </c>
      <c r="BC236" s="769">
        <v>9.2095832965313207</v>
      </c>
      <c r="BD236" s="769">
        <v>9.4011284192667119</v>
      </c>
      <c r="BE236" s="769">
        <v>9.5966573850124082</v>
      </c>
      <c r="BF236" s="769">
        <v>9.7962530515561959</v>
      </c>
      <c r="BG236" s="769">
        <v>10</v>
      </c>
      <c r="BH236" s="771">
        <v>46.478576353223545</v>
      </c>
      <c r="BI236" s="771">
        <v>46.962131735270241</v>
      </c>
      <c r="BJ236" s="771">
        <v>47.450717947128268</v>
      </c>
      <c r="BK236" s="772">
        <v>47.703974301601214</v>
      </c>
      <c r="BL236" s="772">
        <v>47.957230656074167</v>
      </c>
      <c r="BM236" s="772">
        <v>48.210487010547105</v>
      </c>
      <c r="BN236" s="772">
        <v>48.463743365020051</v>
      </c>
      <c r="BO236" s="772">
        <v>48.763202393566282</v>
      </c>
      <c r="BP236" s="772">
        <v>49.062661422112512</v>
      </c>
      <c r="BQ236" s="772">
        <v>49.892847815908993</v>
      </c>
      <c r="BR236" s="772">
        <v>50.881958080230447</v>
      </c>
      <c r="BS236" s="772">
        <v>51.3162569236707</v>
      </c>
      <c r="BT236" s="772">
        <v>51.554754775098196</v>
      </c>
      <c r="BU236" s="772">
        <v>51.801741803383443</v>
      </c>
      <c r="BV236" s="772">
        <v>52.054671255469124</v>
      </c>
      <c r="BW236" s="771">
        <v>35.364134181800516</v>
      </c>
      <c r="BX236" s="771">
        <v>35.732056755096913</v>
      </c>
      <c r="BY236" s="771">
        <v>36.103807133684548</v>
      </c>
      <c r="BZ236" s="772">
        <v>36.296502186000922</v>
      </c>
      <c r="CA236" s="772">
        <v>36.489197238317296</v>
      </c>
      <c r="CB236" s="772">
        <v>36.681892290633662</v>
      </c>
      <c r="CC236" s="772">
        <v>36.874587342950036</v>
      </c>
      <c r="CD236" s="772">
        <v>37.102436603800427</v>
      </c>
      <c r="CE236" s="772">
        <v>37.330285864650826</v>
      </c>
      <c r="CF236" s="772">
        <v>37.961949425148141</v>
      </c>
      <c r="CG236" s="772">
        <v>38.714533321914466</v>
      </c>
      <c r="CH236" s="772">
        <v>39.044978094097267</v>
      </c>
      <c r="CI236" s="772">
        <v>39.226443850618189</v>
      </c>
      <c r="CJ236" s="772">
        <v>39.414368763443917</v>
      </c>
      <c r="CK236" s="772">
        <v>39.606815085683024</v>
      </c>
      <c r="CL236" s="771">
        <v>10.104038337657293</v>
      </c>
      <c r="CM236" s="771">
        <v>10.209159072884834</v>
      </c>
      <c r="CN236" s="771">
        <v>10.315373466767015</v>
      </c>
      <c r="CO236" s="772">
        <v>10.370429196000265</v>
      </c>
      <c r="CP236" s="772">
        <v>10.425484925233516</v>
      </c>
      <c r="CQ236" s="772">
        <v>10.480540654466761</v>
      </c>
      <c r="CR236" s="772">
        <v>10.535596383700012</v>
      </c>
      <c r="CS236" s="772">
        <v>10.600696172514411</v>
      </c>
      <c r="CT236" s="772">
        <v>10.665795961328808</v>
      </c>
      <c r="CU236" s="772">
        <v>10.846271264328042</v>
      </c>
      <c r="CV236" s="772">
        <v>11.061295234832706</v>
      </c>
      <c r="CW236" s="772">
        <v>11.155708026884934</v>
      </c>
      <c r="CX236" s="772">
        <v>11.207555385890913</v>
      </c>
      <c r="CY236" s="772">
        <v>11.261248218126836</v>
      </c>
      <c r="CZ236" s="772">
        <v>11.316232881623723</v>
      </c>
      <c r="DA236" s="773">
        <v>0</v>
      </c>
      <c r="DB236" s="773">
        <v>0</v>
      </c>
      <c r="DC236" s="773">
        <v>0</v>
      </c>
      <c r="DD236" s="774">
        <v>0</v>
      </c>
      <c r="DE236" s="774">
        <v>0</v>
      </c>
      <c r="DF236" s="774">
        <v>0</v>
      </c>
      <c r="DG236" s="774">
        <v>0</v>
      </c>
      <c r="DH236" s="774">
        <v>0</v>
      </c>
      <c r="DI236" s="774">
        <v>0</v>
      </c>
      <c r="DJ236" s="774">
        <v>0</v>
      </c>
      <c r="DK236" s="774">
        <v>0</v>
      </c>
      <c r="DL236" s="774">
        <v>0</v>
      </c>
      <c r="DM236" s="774">
        <v>0</v>
      </c>
      <c r="DN236" s="774">
        <v>0</v>
      </c>
      <c r="DO236" s="774">
        <v>0</v>
      </c>
      <c r="DP236" s="773">
        <v>0</v>
      </c>
      <c r="DQ236" s="773">
        <v>0</v>
      </c>
      <c r="DR236" s="773">
        <v>0</v>
      </c>
      <c r="DS236" s="774">
        <v>0</v>
      </c>
      <c r="DT236" s="774">
        <v>0</v>
      </c>
      <c r="DU236" s="774">
        <v>0</v>
      </c>
      <c r="DV236" s="774">
        <v>0</v>
      </c>
      <c r="DW236" s="774">
        <v>0</v>
      </c>
      <c r="DX236" s="774">
        <v>0</v>
      </c>
      <c r="DY236" s="774">
        <v>0</v>
      </c>
      <c r="DZ236" s="774">
        <v>0</v>
      </c>
      <c r="EA236" s="774">
        <v>0</v>
      </c>
      <c r="EB236" s="774">
        <v>0</v>
      </c>
      <c r="EC236" s="774">
        <v>0</v>
      </c>
      <c r="ED236" s="774">
        <v>0</v>
      </c>
    </row>
    <row r="237" spans="1:134" ht="15" x14ac:dyDescent="0.25">
      <c r="A237" s="766">
        <v>103</v>
      </c>
      <c r="B237" s="766">
        <v>95</v>
      </c>
      <c r="C237" s="766" t="s">
        <v>3908</v>
      </c>
      <c r="D237" s="2">
        <v>99709</v>
      </c>
      <c r="E237" s="2">
        <v>99709</v>
      </c>
      <c r="F237" s="767" t="s">
        <v>3746</v>
      </c>
      <c r="G237" s="114">
        <v>451</v>
      </c>
      <c r="H237" s="114">
        <v>244</v>
      </c>
      <c r="I237" s="114">
        <v>213</v>
      </c>
      <c r="J237" s="114">
        <v>31</v>
      </c>
      <c r="K237" s="114">
        <v>8</v>
      </c>
      <c r="L237" s="114">
        <v>73</v>
      </c>
      <c r="M237" s="114">
        <v>81</v>
      </c>
      <c r="N237" s="114">
        <v>3</v>
      </c>
      <c r="O237" s="114">
        <v>0</v>
      </c>
      <c r="P237" s="114">
        <v>0</v>
      </c>
      <c r="Q237" s="114">
        <v>84</v>
      </c>
      <c r="R237" s="114">
        <v>3671.125</v>
      </c>
      <c r="S237" s="114">
        <v>1580.3424657534247</v>
      </c>
      <c r="T237" s="114">
        <v>1786.8395061728395</v>
      </c>
      <c r="U237" s="114">
        <v>5404.333333333333</v>
      </c>
      <c r="V237" s="114">
        <v>0</v>
      </c>
      <c r="W237" s="114">
        <v>0</v>
      </c>
      <c r="X237" s="114">
        <v>1916.0357142857142</v>
      </c>
      <c r="Y237" s="114">
        <v>24.098765432098766</v>
      </c>
      <c r="Z237" s="114">
        <v>219.90123456790124</v>
      </c>
      <c r="AA237" s="114">
        <v>0</v>
      </c>
      <c r="AB237" s="657">
        <v>3</v>
      </c>
      <c r="AC237" s="657">
        <v>0</v>
      </c>
      <c r="AD237" s="768">
        <v>247</v>
      </c>
      <c r="AE237" s="769">
        <v>21.037037037037038</v>
      </c>
      <c r="AF237" s="769">
        <v>191.96296296296296</v>
      </c>
      <c r="AG237" s="770">
        <v>213</v>
      </c>
      <c r="AH237" s="769">
        <v>0</v>
      </c>
      <c r="AI237" s="769">
        <v>22.94584181549515</v>
      </c>
      <c r="AJ237" s="769">
        <v>209.38080656639326</v>
      </c>
      <c r="AK237" s="769">
        <v>232.32664838188842</v>
      </c>
      <c r="AL237" s="769">
        <v>0</v>
      </c>
      <c r="AM237" s="769">
        <v>20.068378859779649</v>
      </c>
      <c r="AN237" s="769">
        <v>183.12395709548932</v>
      </c>
      <c r="AO237" s="769">
        <v>203.19233595526896</v>
      </c>
      <c r="AP237" s="769">
        <v>0</v>
      </c>
      <c r="AQ237" s="769">
        <v>2.8789972155037225</v>
      </c>
      <c r="AR237" s="769">
        <v>0</v>
      </c>
      <c r="AS237" s="769">
        <v>221.21176864082625</v>
      </c>
      <c r="AT237" s="769">
        <v>226.7011001097103</v>
      </c>
      <c r="AU237" s="769">
        <v>232.32664838188839</v>
      </c>
      <c r="AV237" s="769">
        <v>238.09179365358389</v>
      </c>
      <c r="AW237" s="769">
        <v>244</v>
      </c>
      <c r="AX237" s="769">
        <v>193.83626944112152</v>
      </c>
      <c r="AY237" s="769">
        <v>198.45917560192677</v>
      </c>
      <c r="AZ237" s="769">
        <v>203.19233595526896</v>
      </c>
      <c r="BA237" s="769">
        <v>208.03838001309347</v>
      </c>
      <c r="BB237" s="769">
        <v>213</v>
      </c>
      <c r="BC237" s="769">
        <v>2.7628749889593962</v>
      </c>
      <c r="BD237" s="769">
        <v>2.8203385257800138</v>
      </c>
      <c r="BE237" s="769">
        <v>2.8789972155037225</v>
      </c>
      <c r="BF237" s="769">
        <v>2.9388759154668591</v>
      </c>
      <c r="BG237" s="769">
        <v>3</v>
      </c>
      <c r="BH237" s="771">
        <v>246.27977110782217</v>
      </c>
      <c r="BI237" s="771">
        <v>248.58084285623477</v>
      </c>
      <c r="BJ237" s="771">
        <v>250.90341426402873</v>
      </c>
      <c r="BK237" s="772">
        <v>252.18611528689144</v>
      </c>
      <c r="BL237" s="772">
        <v>253.46881630975417</v>
      </c>
      <c r="BM237" s="772">
        <v>254.75151733261688</v>
      </c>
      <c r="BN237" s="772">
        <v>256.0342183554796</v>
      </c>
      <c r="BO237" s="772">
        <v>257.55092818501623</v>
      </c>
      <c r="BP237" s="772">
        <v>259.06763801455281</v>
      </c>
      <c r="BQ237" s="772">
        <v>263.27239306879665</v>
      </c>
      <c r="BR237" s="772">
        <v>268.28207091245639</v>
      </c>
      <c r="BS237" s="772">
        <v>270.48172182296651</v>
      </c>
      <c r="BT237" s="772">
        <v>271.68967349949315</v>
      </c>
      <c r="BU237" s="772">
        <v>272.94062143513185</v>
      </c>
      <c r="BV237" s="772">
        <v>274.22166675214908</v>
      </c>
      <c r="BW237" s="771">
        <v>214.99012805723819</v>
      </c>
      <c r="BX237" s="771">
        <v>216.99885052613936</v>
      </c>
      <c r="BY237" s="771">
        <v>219.02634114032014</v>
      </c>
      <c r="BZ237" s="772">
        <v>220.14607604962245</v>
      </c>
      <c r="CA237" s="772">
        <v>221.26581095892473</v>
      </c>
      <c r="CB237" s="772">
        <v>222.38554586822704</v>
      </c>
      <c r="CC237" s="772">
        <v>223.50528077752932</v>
      </c>
      <c r="CD237" s="772">
        <v>224.82929386642809</v>
      </c>
      <c r="CE237" s="772">
        <v>226.15330695532683</v>
      </c>
      <c r="CF237" s="772">
        <v>229.82385132644953</v>
      </c>
      <c r="CG237" s="772">
        <v>234.19705370636558</v>
      </c>
      <c r="CH237" s="772">
        <v>236.11724077168799</v>
      </c>
      <c r="CI237" s="772">
        <v>237.17172317783621</v>
      </c>
      <c r="CJ237" s="772">
        <v>238.26373920361917</v>
      </c>
      <c r="CK237" s="772">
        <v>239.38202876314648</v>
      </c>
      <c r="CL237" s="771">
        <v>3.0280299726371576</v>
      </c>
      <c r="CM237" s="771">
        <v>3.0563218383963289</v>
      </c>
      <c r="CN237" s="771">
        <v>3.0848780442298613</v>
      </c>
      <c r="CO237" s="772">
        <v>3.1006489584453867</v>
      </c>
      <c r="CP237" s="772">
        <v>3.116419872660912</v>
      </c>
      <c r="CQ237" s="772">
        <v>3.1321907868764374</v>
      </c>
      <c r="CR237" s="772">
        <v>3.1479617010919627</v>
      </c>
      <c r="CS237" s="772">
        <v>3.1666097727665927</v>
      </c>
      <c r="CT237" s="772">
        <v>3.1852578444412232</v>
      </c>
      <c r="CU237" s="772">
        <v>3.2369556524852046</v>
      </c>
      <c r="CV237" s="772">
        <v>3.2985500522023323</v>
      </c>
      <c r="CW237" s="772">
        <v>3.3255949404463099</v>
      </c>
      <c r="CX237" s="772">
        <v>3.340446805321637</v>
      </c>
      <c r="CY237" s="772">
        <v>3.3558273127270306</v>
      </c>
      <c r="CZ237" s="772">
        <v>3.3715778699034717</v>
      </c>
      <c r="DA237" s="773">
        <v>0</v>
      </c>
      <c r="DB237" s="773">
        <v>0</v>
      </c>
      <c r="DC237" s="773">
        <v>0</v>
      </c>
      <c r="DD237" s="774">
        <v>0</v>
      </c>
      <c r="DE237" s="774">
        <v>0</v>
      </c>
      <c r="DF237" s="774">
        <v>0</v>
      </c>
      <c r="DG237" s="774">
        <v>0</v>
      </c>
      <c r="DH237" s="774">
        <v>0</v>
      </c>
      <c r="DI237" s="774">
        <v>0</v>
      </c>
      <c r="DJ237" s="774">
        <v>0</v>
      </c>
      <c r="DK237" s="774">
        <v>0</v>
      </c>
      <c r="DL237" s="774">
        <v>0</v>
      </c>
      <c r="DM237" s="774">
        <v>0</v>
      </c>
      <c r="DN237" s="774">
        <v>0</v>
      </c>
      <c r="DO237" s="774">
        <v>0</v>
      </c>
      <c r="DP237" s="773">
        <v>0</v>
      </c>
      <c r="DQ237" s="773">
        <v>0</v>
      </c>
      <c r="DR237" s="773">
        <v>0</v>
      </c>
      <c r="DS237" s="774">
        <v>0</v>
      </c>
      <c r="DT237" s="774">
        <v>0</v>
      </c>
      <c r="DU237" s="774">
        <v>0</v>
      </c>
      <c r="DV237" s="774">
        <v>0</v>
      </c>
      <c r="DW237" s="774">
        <v>0</v>
      </c>
      <c r="DX237" s="774">
        <v>0</v>
      </c>
      <c r="DY237" s="774">
        <v>0</v>
      </c>
      <c r="DZ237" s="774">
        <v>0</v>
      </c>
      <c r="EA237" s="774">
        <v>0</v>
      </c>
      <c r="EB237" s="774">
        <v>0</v>
      </c>
      <c r="EC237" s="774">
        <v>0</v>
      </c>
      <c r="ED237" s="774">
        <v>0</v>
      </c>
    </row>
    <row r="238" spans="1:134" ht="15" x14ac:dyDescent="0.25">
      <c r="A238" s="766">
        <v>105</v>
      </c>
      <c r="B238" s="766">
        <v>95</v>
      </c>
      <c r="C238" s="766" t="s">
        <v>3909</v>
      </c>
      <c r="D238" s="2">
        <v>99709</v>
      </c>
      <c r="E238" s="2">
        <v>99709</v>
      </c>
      <c r="F238" s="767" t="s">
        <v>3746</v>
      </c>
      <c r="G238" s="114">
        <v>216</v>
      </c>
      <c r="H238" s="114">
        <v>2</v>
      </c>
      <c r="I238" s="114">
        <v>2</v>
      </c>
      <c r="J238" s="114">
        <v>0</v>
      </c>
      <c r="K238" s="114">
        <v>0</v>
      </c>
      <c r="L238" s="114">
        <v>0</v>
      </c>
      <c r="M238" s="114">
        <v>0</v>
      </c>
      <c r="N238" s="114">
        <v>2</v>
      </c>
      <c r="O238" s="114">
        <v>0</v>
      </c>
      <c r="P238" s="114">
        <v>0</v>
      </c>
      <c r="Q238" s="114">
        <v>2</v>
      </c>
      <c r="R238" s="114">
        <v>0</v>
      </c>
      <c r="S238" s="114">
        <v>0</v>
      </c>
      <c r="T238" s="114">
        <v>0</v>
      </c>
      <c r="U238" s="114">
        <v>13725</v>
      </c>
      <c r="V238" s="114">
        <v>0</v>
      </c>
      <c r="W238" s="114">
        <v>0</v>
      </c>
      <c r="X238" s="114">
        <v>13725</v>
      </c>
      <c r="Y238" s="114">
        <v>4.5824670824670823E-2</v>
      </c>
      <c r="Z238" s="114">
        <v>1.9515765765765767</v>
      </c>
      <c r="AA238" s="114">
        <v>2.5987525987525989E-3</v>
      </c>
      <c r="AB238" s="657">
        <v>2</v>
      </c>
      <c r="AC238" s="657">
        <v>0</v>
      </c>
      <c r="AD238" s="768">
        <v>4</v>
      </c>
      <c r="AE238" s="769">
        <v>4.5824670824670823E-2</v>
      </c>
      <c r="AF238" s="769">
        <v>1.9515765765765767</v>
      </c>
      <c r="AG238" s="770">
        <v>1.9974012474012475</v>
      </c>
      <c r="AH238" s="769">
        <v>2.5987525987525989E-3</v>
      </c>
      <c r="AI238" s="769">
        <v>4.3632345024176553E-2</v>
      </c>
      <c r="AJ238" s="769">
        <v>1.8582100208878518</v>
      </c>
      <c r="AK238" s="769">
        <v>1.9018423659120283</v>
      </c>
      <c r="AL238" s="769">
        <v>2.4744241034504663E-3</v>
      </c>
      <c r="AM238" s="769">
        <v>4.3714656850920776E-2</v>
      </c>
      <c r="AN238" s="769">
        <v>1.8617155088740913</v>
      </c>
      <c r="AO238" s="769">
        <v>1.9054301657250121</v>
      </c>
      <c r="AP238" s="769">
        <v>2.4790920709406869E-3</v>
      </c>
      <c r="AQ238" s="769">
        <v>1.9193314770024816</v>
      </c>
      <c r="AR238" s="769">
        <v>0</v>
      </c>
      <c r="AS238" s="769">
        <v>1.8108551746845185</v>
      </c>
      <c r="AT238" s="769">
        <v>1.8557912301080755</v>
      </c>
      <c r="AU238" s="769">
        <v>1.9018423659120283</v>
      </c>
      <c r="AV238" s="769">
        <v>1.9490362526215936</v>
      </c>
      <c r="AW238" s="769">
        <v>1.9974012474012475</v>
      </c>
      <c r="AX238" s="769">
        <v>1.8176939266352132</v>
      </c>
      <c r="AY238" s="769">
        <v>1.8610450934531066</v>
      </c>
      <c r="AZ238" s="769">
        <v>1.9054301657250121</v>
      </c>
      <c r="BA238" s="769">
        <v>1.9508738016220077</v>
      </c>
      <c r="BB238" s="769">
        <v>1.9974012474012475</v>
      </c>
      <c r="BC238" s="769">
        <v>1.8419166593062641</v>
      </c>
      <c r="BD238" s="769">
        <v>1.8802256838533424</v>
      </c>
      <c r="BE238" s="769">
        <v>1.9193314770024816</v>
      </c>
      <c r="BF238" s="769">
        <v>1.9592506103112393</v>
      </c>
      <c r="BG238" s="769">
        <v>2</v>
      </c>
      <c r="BH238" s="771">
        <v>2.0226748492063251</v>
      </c>
      <c r="BI238" s="771">
        <v>2.0482682440169553</v>
      </c>
      <c r="BJ238" s="771">
        <v>2.0741854782514997</v>
      </c>
      <c r="BK238" s="772">
        <v>2.1543826813464264</v>
      </c>
      <c r="BL238" s="772">
        <v>2.2345798844413531</v>
      </c>
      <c r="BM238" s="772">
        <v>2.3147770875362794</v>
      </c>
      <c r="BN238" s="772">
        <v>2.3949742906312061</v>
      </c>
      <c r="BO238" s="772">
        <v>2.4898022233040549</v>
      </c>
      <c r="BP238" s="772">
        <v>2.5846301559769027</v>
      </c>
      <c r="BQ238" s="772">
        <v>2.8475204079056198</v>
      </c>
      <c r="BR238" s="772">
        <v>3.1607361489919445</v>
      </c>
      <c r="BS238" s="772">
        <v>3.2982630143049723</v>
      </c>
      <c r="BT238" s="772">
        <v>3.3737867288764769</v>
      </c>
      <c r="BU238" s="772">
        <v>3.451998661250006</v>
      </c>
      <c r="BV238" s="772">
        <v>3.5320923460849523</v>
      </c>
      <c r="BW238" s="771">
        <v>2.0226748492063251</v>
      </c>
      <c r="BX238" s="771">
        <v>2.0482682440169553</v>
      </c>
      <c r="BY238" s="771">
        <v>2.0741854782514997</v>
      </c>
      <c r="BZ238" s="772">
        <v>2.1543826813464264</v>
      </c>
      <c r="CA238" s="772">
        <v>2.2345798844413531</v>
      </c>
      <c r="CB238" s="772">
        <v>2.3147770875362794</v>
      </c>
      <c r="CC238" s="772">
        <v>2.3949742906312061</v>
      </c>
      <c r="CD238" s="772">
        <v>2.4898022233040549</v>
      </c>
      <c r="CE238" s="772">
        <v>2.5846301559769027</v>
      </c>
      <c r="CF238" s="772">
        <v>2.8475204079056198</v>
      </c>
      <c r="CG238" s="772">
        <v>3.1607361489919445</v>
      </c>
      <c r="CH238" s="772">
        <v>3.2982630143049723</v>
      </c>
      <c r="CI238" s="772">
        <v>3.3737867288764769</v>
      </c>
      <c r="CJ238" s="772">
        <v>3.451998661250006</v>
      </c>
      <c r="CK238" s="772">
        <v>3.5320923460849523</v>
      </c>
      <c r="CL238" s="771">
        <v>2.0253064844511939</v>
      </c>
      <c r="CM238" s="771">
        <v>2.0509331779800268</v>
      </c>
      <c r="CN238" s="771">
        <v>2.0768841322695213</v>
      </c>
      <c r="CO238" s="772">
        <v>2.1571856772888496</v>
      </c>
      <c r="CP238" s="772">
        <v>2.2374872223081774</v>
      </c>
      <c r="CQ238" s="772">
        <v>2.3177887673275053</v>
      </c>
      <c r="CR238" s="772">
        <v>2.3980903123468336</v>
      </c>
      <c r="CS238" s="772">
        <v>2.4930416225016918</v>
      </c>
      <c r="CT238" s="772">
        <v>2.5879929326565501</v>
      </c>
      <c r="CU238" s="772">
        <v>2.8512252223837691</v>
      </c>
      <c r="CV238" s="772">
        <v>3.1648484780954989</v>
      </c>
      <c r="CW238" s="772">
        <v>3.3025542750573855</v>
      </c>
      <c r="CX238" s="772">
        <v>3.3781762510321838</v>
      </c>
      <c r="CY238" s="772">
        <v>3.456489942360141</v>
      </c>
      <c r="CZ238" s="772">
        <v>3.5366878344353094</v>
      </c>
      <c r="DA238" s="773">
        <v>2.631635244869015E-3</v>
      </c>
      <c r="DB238" s="773">
        <v>2.6649339630717608E-3</v>
      </c>
      <c r="DC238" s="773">
        <v>2.6986540180217273E-3</v>
      </c>
      <c r="DD238" s="774">
        <v>2.8029959424231412E-3</v>
      </c>
      <c r="DE238" s="774">
        <v>2.9073378668245547E-3</v>
      </c>
      <c r="DF238" s="774">
        <v>3.0116797912259682E-3</v>
      </c>
      <c r="DG238" s="774">
        <v>3.1160217156273825E-3</v>
      </c>
      <c r="DH238" s="774">
        <v>3.2393991976373336E-3</v>
      </c>
      <c r="DI238" s="774">
        <v>3.3627766796472842E-3</v>
      </c>
      <c r="DJ238" s="774">
        <v>3.7048144781493884E-3</v>
      </c>
      <c r="DK238" s="774">
        <v>4.1123291035544424E-3</v>
      </c>
      <c r="DL238" s="774">
        <v>4.291260752413443E-3</v>
      </c>
      <c r="DM238" s="774">
        <v>4.3895221557070999E-3</v>
      </c>
      <c r="DN238" s="774">
        <v>4.4912811101353181E-3</v>
      </c>
      <c r="DO238" s="774">
        <v>4.5954883503577307E-3</v>
      </c>
      <c r="DP238" s="773">
        <v>0</v>
      </c>
      <c r="DQ238" s="773">
        <v>0</v>
      </c>
      <c r="DR238" s="773">
        <v>0</v>
      </c>
      <c r="DS238" s="774">
        <v>0</v>
      </c>
      <c r="DT238" s="774">
        <v>0</v>
      </c>
      <c r="DU238" s="774">
        <v>0</v>
      </c>
      <c r="DV238" s="774">
        <v>0</v>
      </c>
      <c r="DW238" s="774">
        <v>0</v>
      </c>
      <c r="DX238" s="774">
        <v>0</v>
      </c>
      <c r="DY238" s="774">
        <v>0</v>
      </c>
      <c r="DZ238" s="774">
        <v>0</v>
      </c>
      <c r="EA238" s="774">
        <v>0</v>
      </c>
      <c r="EB238" s="774">
        <v>0</v>
      </c>
      <c r="EC238" s="774">
        <v>0</v>
      </c>
      <c r="ED238" s="774">
        <v>0</v>
      </c>
    </row>
    <row r="239" spans="1:134" ht="15" x14ac:dyDescent="0.25">
      <c r="A239" s="766">
        <v>106</v>
      </c>
      <c r="B239" s="766">
        <v>95</v>
      </c>
      <c r="C239" s="766" t="s">
        <v>3910</v>
      </c>
      <c r="D239" s="2">
        <v>99709</v>
      </c>
      <c r="E239" s="2">
        <v>99709</v>
      </c>
      <c r="F239" s="767" t="s">
        <v>3746</v>
      </c>
      <c r="G239" s="114">
        <v>2081</v>
      </c>
      <c r="H239" s="114">
        <v>576</v>
      </c>
      <c r="I239" s="114">
        <v>508</v>
      </c>
      <c r="J239" s="114">
        <v>68</v>
      </c>
      <c r="K239" s="114">
        <v>19</v>
      </c>
      <c r="L239" s="114">
        <v>139</v>
      </c>
      <c r="M239" s="114">
        <v>158</v>
      </c>
      <c r="N239" s="114">
        <v>25</v>
      </c>
      <c r="O239" s="114">
        <v>0</v>
      </c>
      <c r="P239" s="114">
        <v>0</v>
      </c>
      <c r="Q239" s="114">
        <v>183</v>
      </c>
      <c r="R239" s="114">
        <v>7926.8421052631575</v>
      </c>
      <c r="S239" s="114">
        <v>1417.5395683453237</v>
      </c>
      <c r="T239" s="114">
        <v>2200.3037974683543</v>
      </c>
      <c r="U239" s="114">
        <v>6687.12</v>
      </c>
      <c r="V239" s="114">
        <v>0</v>
      </c>
      <c r="W239" s="114">
        <v>0</v>
      </c>
      <c r="X239" s="114">
        <v>2813.256830601093</v>
      </c>
      <c r="Y239" s="114">
        <v>69.265822784810126</v>
      </c>
      <c r="Z239" s="114">
        <v>506.73417721518985</v>
      </c>
      <c r="AA239" s="114">
        <v>0</v>
      </c>
      <c r="AB239" s="657">
        <v>25</v>
      </c>
      <c r="AC239" s="657">
        <v>0</v>
      </c>
      <c r="AD239" s="768">
        <v>601</v>
      </c>
      <c r="AE239" s="769">
        <v>61.088607594936711</v>
      </c>
      <c r="AF239" s="769">
        <v>446.91139240506322</v>
      </c>
      <c r="AG239" s="770">
        <v>507.99999999999994</v>
      </c>
      <c r="AH239" s="769">
        <v>0</v>
      </c>
      <c r="AI239" s="769">
        <v>65.952034651675319</v>
      </c>
      <c r="AJ239" s="769">
        <v>482.49120087278254</v>
      </c>
      <c r="AK239" s="769">
        <v>548.4432355244578</v>
      </c>
      <c r="AL239" s="769">
        <v>0</v>
      </c>
      <c r="AM239" s="769">
        <v>58.275759988121948</v>
      </c>
      <c r="AN239" s="769">
        <v>426.33319149204993</v>
      </c>
      <c r="AO239" s="769">
        <v>484.60895148017187</v>
      </c>
      <c r="AP239" s="769">
        <v>0</v>
      </c>
      <c r="AQ239" s="769">
        <v>23.991643462531023</v>
      </c>
      <c r="AR239" s="769">
        <v>0</v>
      </c>
      <c r="AS239" s="769">
        <v>522.20483088981939</v>
      </c>
      <c r="AT239" s="769">
        <v>535.16325271800463</v>
      </c>
      <c r="AU239" s="769">
        <v>548.44323552445792</v>
      </c>
      <c r="AV239" s="769">
        <v>562.0527587887882</v>
      </c>
      <c r="AW239" s="769">
        <v>576</v>
      </c>
      <c r="AX239" s="769">
        <v>462.29495246990479</v>
      </c>
      <c r="AY239" s="769">
        <v>473.32047514450136</v>
      </c>
      <c r="AZ239" s="769">
        <v>484.60895148017192</v>
      </c>
      <c r="BA239" s="769">
        <v>496.16665280118059</v>
      </c>
      <c r="BB239" s="769">
        <v>507.99999999999994</v>
      </c>
      <c r="BC239" s="769">
        <v>23.023958241328302</v>
      </c>
      <c r="BD239" s="769">
        <v>23.50282104816678</v>
      </c>
      <c r="BE239" s="769">
        <v>23.991643462531023</v>
      </c>
      <c r="BF239" s="769">
        <v>24.490632628890491</v>
      </c>
      <c r="BG239" s="769">
        <v>25</v>
      </c>
      <c r="BH239" s="771">
        <v>583.28826752194379</v>
      </c>
      <c r="BI239" s="771">
        <v>590.66875525824776</v>
      </c>
      <c r="BJ239" s="771">
        <v>598.14263009362207</v>
      </c>
      <c r="BK239" s="772">
        <v>600.07487833646917</v>
      </c>
      <c r="BL239" s="772">
        <v>602.00712657931626</v>
      </c>
      <c r="BM239" s="772">
        <v>603.93937482216359</v>
      </c>
      <c r="BN239" s="772">
        <v>605.87162306501068</v>
      </c>
      <c r="BO239" s="772">
        <v>608.15637987957234</v>
      </c>
      <c r="BP239" s="772">
        <v>610.44113669413423</v>
      </c>
      <c r="BQ239" s="772">
        <v>616.77513847658588</v>
      </c>
      <c r="BR239" s="772">
        <v>624.32166805604936</v>
      </c>
      <c r="BS239" s="772">
        <v>627.63520061816178</v>
      </c>
      <c r="BT239" s="772">
        <v>629.45484717867009</v>
      </c>
      <c r="BU239" s="772">
        <v>631.33926288228952</v>
      </c>
      <c r="BV239" s="772">
        <v>633.26901698608629</v>
      </c>
      <c r="BW239" s="771">
        <v>514.42784705060319</v>
      </c>
      <c r="BX239" s="771">
        <v>520.93702720692681</v>
      </c>
      <c r="BY239" s="771">
        <v>527.5285695964584</v>
      </c>
      <c r="BZ239" s="772">
        <v>529.23270519952496</v>
      </c>
      <c r="CA239" s="772">
        <v>530.93684080259152</v>
      </c>
      <c r="CB239" s="772">
        <v>532.64097640565819</v>
      </c>
      <c r="CC239" s="772">
        <v>534.34511200872475</v>
      </c>
      <c r="CD239" s="772">
        <v>536.360140588234</v>
      </c>
      <c r="CE239" s="772">
        <v>538.37516916774348</v>
      </c>
      <c r="CF239" s="772">
        <v>543.96140685087789</v>
      </c>
      <c r="CG239" s="772">
        <v>550.6170266883214</v>
      </c>
      <c r="CH239" s="772">
        <v>553.53937832296219</v>
      </c>
      <c r="CI239" s="772">
        <v>555.14420549785495</v>
      </c>
      <c r="CJ239" s="772">
        <v>556.80615545868591</v>
      </c>
      <c r="CK239" s="772">
        <v>558.50809136967337</v>
      </c>
      <c r="CL239" s="771">
        <v>25.316331055639925</v>
      </c>
      <c r="CM239" s="771">
        <v>25.636664724750336</v>
      </c>
      <c r="CN239" s="771">
        <v>25.961051653369015</v>
      </c>
      <c r="CO239" s="772">
        <v>26.044916594464809</v>
      </c>
      <c r="CP239" s="772">
        <v>26.128781535560606</v>
      </c>
      <c r="CQ239" s="772">
        <v>26.212646476656406</v>
      </c>
      <c r="CR239" s="772">
        <v>26.2965114177522</v>
      </c>
      <c r="CS239" s="772">
        <v>26.395676210050887</v>
      </c>
      <c r="CT239" s="772">
        <v>26.494841002349578</v>
      </c>
      <c r="CU239" s="772">
        <v>26.769754274157378</v>
      </c>
      <c r="CV239" s="772">
        <v>27.097294620488256</v>
      </c>
      <c r="CW239" s="772">
        <v>27.241111137941051</v>
      </c>
      <c r="CX239" s="772">
        <v>27.32008885324089</v>
      </c>
      <c r="CY239" s="772">
        <v>27.40187772926604</v>
      </c>
      <c r="CZ239" s="772">
        <v>27.485634417798888</v>
      </c>
      <c r="DA239" s="773">
        <v>0</v>
      </c>
      <c r="DB239" s="773">
        <v>0</v>
      </c>
      <c r="DC239" s="773">
        <v>0</v>
      </c>
      <c r="DD239" s="774">
        <v>0</v>
      </c>
      <c r="DE239" s="774">
        <v>0</v>
      </c>
      <c r="DF239" s="774">
        <v>0</v>
      </c>
      <c r="DG239" s="774">
        <v>0</v>
      </c>
      <c r="DH239" s="774">
        <v>0</v>
      </c>
      <c r="DI239" s="774">
        <v>0</v>
      </c>
      <c r="DJ239" s="774">
        <v>0</v>
      </c>
      <c r="DK239" s="774">
        <v>0</v>
      </c>
      <c r="DL239" s="774">
        <v>0</v>
      </c>
      <c r="DM239" s="774">
        <v>0</v>
      </c>
      <c r="DN239" s="774">
        <v>0</v>
      </c>
      <c r="DO239" s="774">
        <v>0</v>
      </c>
      <c r="DP239" s="773">
        <v>0</v>
      </c>
      <c r="DQ239" s="773">
        <v>0</v>
      </c>
      <c r="DR239" s="773">
        <v>0</v>
      </c>
      <c r="DS239" s="774">
        <v>0</v>
      </c>
      <c r="DT239" s="774">
        <v>0</v>
      </c>
      <c r="DU239" s="774">
        <v>0</v>
      </c>
      <c r="DV239" s="774">
        <v>0</v>
      </c>
      <c r="DW239" s="774">
        <v>0</v>
      </c>
      <c r="DX239" s="774">
        <v>0</v>
      </c>
      <c r="DY239" s="774">
        <v>0</v>
      </c>
      <c r="DZ239" s="774">
        <v>0</v>
      </c>
      <c r="EA239" s="774">
        <v>0</v>
      </c>
      <c r="EB239" s="774">
        <v>0</v>
      </c>
      <c r="EC239" s="774">
        <v>0</v>
      </c>
      <c r="ED239" s="774">
        <v>0</v>
      </c>
    </row>
    <row r="240" spans="1:134" ht="15" x14ac:dyDescent="0.25">
      <c r="A240" s="766">
        <v>107</v>
      </c>
      <c r="B240" s="766">
        <v>95</v>
      </c>
      <c r="C240" s="766" t="s">
        <v>3911</v>
      </c>
      <c r="D240" s="2">
        <v>99709</v>
      </c>
      <c r="E240" s="2">
        <v>99709</v>
      </c>
      <c r="F240" s="767" t="s">
        <v>3746</v>
      </c>
      <c r="G240" s="114">
        <v>745</v>
      </c>
      <c r="H240" s="114">
        <v>331</v>
      </c>
      <c r="I240" s="114">
        <v>310</v>
      </c>
      <c r="J240" s="114">
        <v>21</v>
      </c>
      <c r="K240" s="114">
        <v>8</v>
      </c>
      <c r="L240" s="114">
        <v>239</v>
      </c>
      <c r="M240" s="114">
        <v>247</v>
      </c>
      <c r="N240" s="114">
        <v>40</v>
      </c>
      <c r="O240" s="114">
        <v>0</v>
      </c>
      <c r="P240" s="114">
        <v>0</v>
      </c>
      <c r="Q240" s="114">
        <v>287</v>
      </c>
      <c r="R240" s="114">
        <v>9243.125</v>
      </c>
      <c r="S240" s="114">
        <v>1943.062761506276</v>
      </c>
      <c r="T240" s="114">
        <v>2179.5020242914979</v>
      </c>
      <c r="U240" s="114">
        <v>7856.8</v>
      </c>
      <c r="V240" s="114">
        <v>0</v>
      </c>
      <c r="W240" s="114">
        <v>0</v>
      </c>
      <c r="X240" s="114">
        <v>2970.7630662020906</v>
      </c>
      <c r="Y240" s="114">
        <v>10.720647773279353</v>
      </c>
      <c r="Z240" s="114">
        <v>320.27935222672068</v>
      </c>
      <c r="AA240" s="114">
        <v>0</v>
      </c>
      <c r="AB240" s="657">
        <v>40</v>
      </c>
      <c r="AC240" s="657">
        <v>0</v>
      </c>
      <c r="AD240" s="768">
        <v>371</v>
      </c>
      <c r="AE240" s="769">
        <v>10.040485829959515</v>
      </c>
      <c r="AF240" s="769">
        <v>299.95951417004051</v>
      </c>
      <c r="AG240" s="770">
        <v>310</v>
      </c>
      <c r="AH240" s="769">
        <v>0</v>
      </c>
      <c r="AI240" s="769">
        <v>10.207754777248963</v>
      </c>
      <c r="AJ240" s="769">
        <v>304.95667397031281</v>
      </c>
      <c r="AK240" s="769">
        <v>315.16442874756177</v>
      </c>
      <c r="AL240" s="769">
        <v>0</v>
      </c>
      <c r="AM240" s="769">
        <v>9.5781679338744183</v>
      </c>
      <c r="AN240" s="769">
        <v>286.14776702449825</v>
      </c>
      <c r="AO240" s="769">
        <v>295.72593495837265</v>
      </c>
      <c r="AP240" s="769">
        <v>0</v>
      </c>
      <c r="AQ240" s="769">
        <v>38.386629540049633</v>
      </c>
      <c r="AR240" s="769">
        <v>0</v>
      </c>
      <c r="AS240" s="769">
        <v>300.0864566398094</v>
      </c>
      <c r="AT240" s="769">
        <v>307.53304973899225</v>
      </c>
      <c r="AU240" s="769">
        <v>315.16442874756171</v>
      </c>
      <c r="AV240" s="769">
        <v>322.98517909564043</v>
      </c>
      <c r="AW240" s="769">
        <v>331</v>
      </c>
      <c r="AX240" s="769">
        <v>282.10912453872146</v>
      </c>
      <c r="AY240" s="769">
        <v>288.83729782440048</v>
      </c>
      <c r="AZ240" s="769">
        <v>295.72593495837265</v>
      </c>
      <c r="BA240" s="769">
        <v>302.77886292985431</v>
      </c>
      <c r="BB240" s="769">
        <v>310</v>
      </c>
      <c r="BC240" s="769">
        <v>36.838333186125283</v>
      </c>
      <c r="BD240" s="769">
        <v>37.604513677066848</v>
      </c>
      <c r="BE240" s="769">
        <v>38.386629540049633</v>
      </c>
      <c r="BF240" s="769">
        <v>39.185012206224783</v>
      </c>
      <c r="BG240" s="769">
        <v>40</v>
      </c>
      <c r="BH240" s="771">
        <v>336.61725079702319</v>
      </c>
      <c r="BI240" s="771">
        <v>342.32982940829606</v>
      </c>
      <c r="BJ240" s="771">
        <v>348.13935359889598</v>
      </c>
      <c r="BK240" s="772">
        <v>351.51426319231467</v>
      </c>
      <c r="BL240" s="772">
        <v>354.88917278573336</v>
      </c>
      <c r="BM240" s="772">
        <v>358.26408237915211</v>
      </c>
      <c r="BN240" s="772">
        <v>361.63899197257081</v>
      </c>
      <c r="BO240" s="772">
        <v>365.62960121268168</v>
      </c>
      <c r="BP240" s="772">
        <v>369.62021045279249</v>
      </c>
      <c r="BQ240" s="772">
        <v>380.68332486340734</v>
      </c>
      <c r="BR240" s="772">
        <v>393.86426844507781</v>
      </c>
      <c r="BS240" s="772">
        <v>399.65176126509994</v>
      </c>
      <c r="BT240" s="772">
        <v>402.82999814870152</v>
      </c>
      <c r="BU240" s="772">
        <v>406.12136231977865</v>
      </c>
      <c r="BV240" s="772">
        <v>409.49191559208879</v>
      </c>
      <c r="BW240" s="771">
        <v>315.26086932651714</v>
      </c>
      <c r="BX240" s="771">
        <v>320.61101847906883</v>
      </c>
      <c r="BY240" s="771">
        <v>326.05196258506874</v>
      </c>
      <c r="BZ240" s="772">
        <v>329.2127540471829</v>
      </c>
      <c r="CA240" s="772">
        <v>332.37354550929712</v>
      </c>
      <c r="CB240" s="772">
        <v>335.53433697141134</v>
      </c>
      <c r="CC240" s="772">
        <v>338.69512843352555</v>
      </c>
      <c r="CD240" s="772">
        <v>342.43255702698281</v>
      </c>
      <c r="CE240" s="772">
        <v>346.16998562044012</v>
      </c>
      <c r="CF240" s="772">
        <v>356.53121059714886</v>
      </c>
      <c r="CG240" s="772">
        <v>368.8759009606469</v>
      </c>
      <c r="CH240" s="772">
        <v>374.29621145674008</v>
      </c>
      <c r="CI240" s="772">
        <v>377.2728079338292</v>
      </c>
      <c r="CJ240" s="772">
        <v>380.35535443846339</v>
      </c>
      <c r="CK240" s="772">
        <v>383.51206596237921</v>
      </c>
      <c r="CL240" s="771">
        <v>40.678821848582857</v>
      </c>
      <c r="CM240" s="771">
        <v>41.369163674718557</v>
      </c>
      <c r="CN240" s="771">
        <v>42.071220978718543</v>
      </c>
      <c r="CO240" s="772">
        <v>42.479065038346178</v>
      </c>
      <c r="CP240" s="772">
        <v>42.886909097973813</v>
      </c>
      <c r="CQ240" s="772">
        <v>43.294753157601463</v>
      </c>
      <c r="CR240" s="772">
        <v>43.702597217229098</v>
      </c>
      <c r="CS240" s="772">
        <v>44.184846067997782</v>
      </c>
      <c r="CT240" s="772">
        <v>44.667094918766459</v>
      </c>
      <c r="CU240" s="772">
        <v>46.004027173825655</v>
      </c>
      <c r="CV240" s="772">
        <v>47.596890446535078</v>
      </c>
      <c r="CW240" s="772">
        <v>48.296285349256785</v>
      </c>
      <c r="CX240" s="772">
        <v>48.680362314042476</v>
      </c>
      <c r="CY240" s="772">
        <v>49.078110250124304</v>
      </c>
      <c r="CZ240" s="772">
        <v>49.48542786611344</v>
      </c>
      <c r="DA240" s="773">
        <v>0</v>
      </c>
      <c r="DB240" s="773">
        <v>0</v>
      </c>
      <c r="DC240" s="773">
        <v>0</v>
      </c>
      <c r="DD240" s="774">
        <v>0</v>
      </c>
      <c r="DE240" s="774">
        <v>0</v>
      </c>
      <c r="DF240" s="774">
        <v>0</v>
      </c>
      <c r="DG240" s="774">
        <v>0</v>
      </c>
      <c r="DH240" s="774">
        <v>0</v>
      </c>
      <c r="DI240" s="774">
        <v>0</v>
      </c>
      <c r="DJ240" s="774">
        <v>0</v>
      </c>
      <c r="DK240" s="774">
        <v>0</v>
      </c>
      <c r="DL240" s="774">
        <v>0</v>
      </c>
      <c r="DM240" s="774">
        <v>0</v>
      </c>
      <c r="DN240" s="774">
        <v>0</v>
      </c>
      <c r="DO240" s="774">
        <v>0</v>
      </c>
      <c r="DP240" s="773">
        <v>0</v>
      </c>
      <c r="DQ240" s="773">
        <v>0</v>
      </c>
      <c r="DR240" s="773">
        <v>0</v>
      </c>
      <c r="DS240" s="774">
        <v>0</v>
      </c>
      <c r="DT240" s="774">
        <v>0</v>
      </c>
      <c r="DU240" s="774">
        <v>0</v>
      </c>
      <c r="DV240" s="774">
        <v>0</v>
      </c>
      <c r="DW240" s="774">
        <v>0</v>
      </c>
      <c r="DX240" s="774">
        <v>0</v>
      </c>
      <c r="DY240" s="774">
        <v>0</v>
      </c>
      <c r="DZ240" s="774">
        <v>0</v>
      </c>
      <c r="EA240" s="774">
        <v>0</v>
      </c>
      <c r="EB240" s="774">
        <v>0</v>
      </c>
      <c r="EC240" s="774">
        <v>0</v>
      </c>
      <c r="ED240" s="774">
        <v>0</v>
      </c>
    </row>
    <row r="241" spans="1:134" ht="15" x14ac:dyDescent="0.25">
      <c r="A241" s="766">
        <v>108</v>
      </c>
      <c r="B241" s="766">
        <v>95</v>
      </c>
      <c r="C241" s="766" t="s">
        <v>3912</v>
      </c>
      <c r="D241" s="2">
        <v>99709</v>
      </c>
      <c r="E241" s="2">
        <v>99709</v>
      </c>
      <c r="F241" s="767" t="s">
        <v>3746</v>
      </c>
      <c r="G241" s="114">
        <v>1414</v>
      </c>
      <c r="H241" s="114">
        <v>608</v>
      </c>
      <c r="I241" s="114">
        <v>560</v>
      </c>
      <c r="J241" s="114">
        <v>48</v>
      </c>
      <c r="K241" s="114">
        <v>14</v>
      </c>
      <c r="L241" s="114">
        <v>305</v>
      </c>
      <c r="M241" s="114">
        <v>319</v>
      </c>
      <c r="N241" s="114">
        <v>40</v>
      </c>
      <c r="O241" s="114">
        <v>0</v>
      </c>
      <c r="P241" s="114">
        <v>0</v>
      </c>
      <c r="Q241" s="114">
        <v>359</v>
      </c>
      <c r="R241" s="114">
        <v>6314.7857142857147</v>
      </c>
      <c r="S241" s="114">
        <v>2235.8065573770491</v>
      </c>
      <c r="T241" s="114">
        <v>2414.8213166144201</v>
      </c>
      <c r="U241" s="114">
        <v>14087.475</v>
      </c>
      <c r="V241" s="114">
        <v>0</v>
      </c>
      <c r="W241" s="114">
        <v>0</v>
      </c>
      <c r="X241" s="114">
        <v>3715.3955431754875</v>
      </c>
      <c r="Y241" s="114">
        <v>26.683385579937305</v>
      </c>
      <c r="Z241" s="114">
        <v>581.31661442006271</v>
      </c>
      <c r="AA241" s="114">
        <v>0</v>
      </c>
      <c r="AB241" s="657">
        <v>40</v>
      </c>
      <c r="AC241" s="657">
        <v>0</v>
      </c>
      <c r="AD241" s="768">
        <v>648</v>
      </c>
      <c r="AE241" s="769">
        <v>24.576802507836991</v>
      </c>
      <c r="AF241" s="769">
        <v>535.42319749216301</v>
      </c>
      <c r="AG241" s="770">
        <v>560</v>
      </c>
      <c r="AH241" s="769">
        <v>0</v>
      </c>
      <c r="AI241" s="769">
        <v>25.40680958716576</v>
      </c>
      <c r="AJ241" s="769">
        <v>553.50549457753982</v>
      </c>
      <c r="AK241" s="769">
        <v>578.91230416470557</v>
      </c>
      <c r="AL241" s="769">
        <v>0</v>
      </c>
      <c r="AM241" s="769">
        <v>23.445154515862491</v>
      </c>
      <c r="AN241" s="769">
        <v>510.76943766700424</v>
      </c>
      <c r="AO241" s="769">
        <v>534.21459218286668</v>
      </c>
      <c r="AP241" s="769">
        <v>0</v>
      </c>
      <c r="AQ241" s="769">
        <v>38.386629540049633</v>
      </c>
      <c r="AR241" s="769">
        <v>0</v>
      </c>
      <c r="AS241" s="769">
        <v>551.21621038369824</v>
      </c>
      <c r="AT241" s="769">
        <v>564.89454453567157</v>
      </c>
      <c r="AU241" s="769">
        <v>578.91230416470557</v>
      </c>
      <c r="AV241" s="769">
        <v>593.27791205483197</v>
      </c>
      <c r="AW241" s="769">
        <v>608</v>
      </c>
      <c r="AX241" s="769">
        <v>509.61648303769039</v>
      </c>
      <c r="AY241" s="769">
        <v>521.77060252149761</v>
      </c>
      <c r="AZ241" s="769">
        <v>534.21459218286668</v>
      </c>
      <c r="BA241" s="769">
        <v>546.95536529264007</v>
      </c>
      <c r="BB241" s="769">
        <v>560</v>
      </c>
      <c r="BC241" s="769">
        <v>36.838333186125283</v>
      </c>
      <c r="BD241" s="769">
        <v>37.604513677066848</v>
      </c>
      <c r="BE241" s="769">
        <v>38.386629540049633</v>
      </c>
      <c r="BF241" s="769">
        <v>39.185012206224783</v>
      </c>
      <c r="BG241" s="769">
        <v>40</v>
      </c>
      <c r="BH241" s="771">
        <v>611.15722979065788</v>
      </c>
      <c r="BI241" s="771">
        <v>614.33085448255088</v>
      </c>
      <c r="BJ241" s="771">
        <v>617.5209592113215</v>
      </c>
      <c r="BK241" s="772">
        <v>617.87907548387238</v>
      </c>
      <c r="BL241" s="772">
        <v>618.23719175642316</v>
      </c>
      <c r="BM241" s="772">
        <v>618.59530802897405</v>
      </c>
      <c r="BN241" s="772">
        <v>618.95342430152493</v>
      </c>
      <c r="BO241" s="772">
        <v>619.37687330562926</v>
      </c>
      <c r="BP241" s="772">
        <v>619.8003223097337</v>
      </c>
      <c r="BQ241" s="772">
        <v>620.97424450997846</v>
      </c>
      <c r="BR241" s="772">
        <v>622.37289245994918</v>
      </c>
      <c r="BS241" s="772">
        <v>622.98701123817136</v>
      </c>
      <c r="BT241" s="772">
        <v>623.32425830051011</v>
      </c>
      <c r="BU241" s="772">
        <v>623.67350945403791</v>
      </c>
      <c r="BV241" s="772">
        <v>624.03116347139803</v>
      </c>
      <c r="BW241" s="771">
        <v>562.90797480718481</v>
      </c>
      <c r="BX241" s="771">
        <v>565.83105018129686</v>
      </c>
      <c r="BY241" s="771">
        <v>568.76930453674356</v>
      </c>
      <c r="BZ241" s="772">
        <v>569.09914847198775</v>
      </c>
      <c r="CA241" s="772">
        <v>569.42899240723193</v>
      </c>
      <c r="CB241" s="772">
        <v>569.75883634247623</v>
      </c>
      <c r="CC241" s="772">
        <v>570.08868027772041</v>
      </c>
      <c r="CD241" s="772">
        <v>570.47869909729025</v>
      </c>
      <c r="CE241" s="772">
        <v>570.86871791686008</v>
      </c>
      <c r="CF241" s="772">
        <v>571.94996204866447</v>
      </c>
      <c r="CG241" s="772">
        <v>573.23819042363755</v>
      </c>
      <c r="CH241" s="772">
        <v>573.80382614042105</v>
      </c>
      <c r="CI241" s="772">
        <v>574.11444843468041</v>
      </c>
      <c r="CJ241" s="772">
        <v>574.43612712871925</v>
      </c>
      <c r="CK241" s="772">
        <v>574.76554530260353</v>
      </c>
      <c r="CL241" s="771">
        <v>40.207712486227493</v>
      </c>
      <c r="CM241" s="771">
        <v>40.416503584378347</v>
      </c>
      <c r="CN241" s="771">
        <v>40.626378895481679</v>
      </c>
      <c r="CO241" s="772">
        <v>40.649939176570548</v>
      </c>
      <c r="CP241" s="772">
        <v>40.673499457659425</v>
      </c>
      <c r="CQ241" s="772">
        <v>40.697059738748294</v>
      </c>
      <c r="CR241" s="772">
        <v>40.72062001983717</v>
      </c>
      <c r="CS241" s="772">
        <v>40.748478506949297</v>
      </c>
      <c r="CT241" s="772">
        <v>40.776336994061431</v>
      </c>
      <c r="CU241" s="772">
        <v>40.853568717761739</v>
      </c>
      <c r="CV241" s="772">
        <v>40.945585030259814</v>
      </c>
      <c r="CW241" s="772">
        <v>40.985987581458645</v>
      </c>
      <c r="CX241" s="772">
        <v>41.008174888191455</v>
      </c>
      <c r="CY241" s="772">
        <v>41.031151937765657</v>
      </c>
      <c r="CZ241" s="772">
        <v>41.054681807328819</v>
      </c>
      <c r="DA241" s="773">
        <v>0</v>
      </c>
      <c r="DB241" s="773">
        <v>0</v>
      </c>
      <c r="DC241" s="773">
        <v>0</v>
      </c>
      <c r="DD241" s="774">
        <v>0</v>
      </c>
      <c r="DE241" s="774">
        <v>0</v>
      </c>
      <c r="DF241" s="774">
        <v>0</v>
      </c>
      <c r="DG241" s="774">
        <v>0</v>
      </c>
      <c r="DH241" s="774">
        <v>0</v>
      </c>
      <c r="DI241" s="774">
        <v>0</v>
      </c>
      <c r="DJ241" s="774">
        <v>0</v>
      </c>
      <c r="DK241" s="774">
        <v>0</v>
      </c>
      <c r="DL241" s="774">
        <v>0</v>
      </c>
      <c r="DM241" s="774">
        <v>0</v>
      </c>
      <c r="DN241" s="774">
        <v>0</v>
      </c>
      <c r="DO241" s="774">
        <v>0</v>
      </c>
      <c r="DP241" s="773">
        <v>0</v>
      </c>
      <c r="DQ241" s="773">
        <v>0</v>
      </c>
      <c r="DR241" s="773">
        <v>0</v>
      </c>
      <c r="DS241" s="774">
        <v>0</v>
      </c>
      <c r="DT241" s="774">
        <v>0</v>
      </c>
      <c r="DU241" s="774">
        <v>0</v>
      </c>
      <c r="DV241" s="774">
        <v>0</v>
      </c>
      <c r="DW241" s="774">
        <v>0</v>
      </c>
      <c r="DX241" s="774">
        <v>0</v>
      </c>
      <c r="DY241" s="774">
        <v>0</v>
      </c>
      <c r="DZ241" s="774">
        <v>0</v>
      </c>
      <c r="EA241" s="774">
        <v>0</v>
      </c>
      <c r="EB241" s="774">
        <v>0</v>
      </c>
      <c r="EC241" s="774">
        <v>0</v>
      </c>
      <c r="ED241" s="774">
        <v>0</v>
      </c>
    </row>
    <row r="242" spans="1:134" ht="15" x14ac:dyDescent="0.25">
      <c r="A242" s="766">
        <v>109</v>
      </c>
      <c r="B242" s="766">
        <v>95</v>
      </c>
      <c r="C242" s="766" t="s">
        <v>3913</v>
      </c>
      <c r="D242" s="2">
        <v>99701</v>
      </c>
      <c r="E242" s="2">
        <v>99701</v>
      </c>
      <c r="F242" s="767" t="s">
        <v>3746</v>
      </c>
      <c r="G242" s="114">
        <v>1225</v>
      </c>
      <c r="H242" s="114">
        <v>750</v>
      </c>
      <c r="I242" s="114">
        <v>563</v>
      </c>
      <c r="J242" s="114">
        <v>187</v>
      </c>
      <c r="K242" s="114">
        <v>17</v>
      </c>
      <c r="L242" s="114">
        <v>407</v>
      </c>
      <c r="M242" s="114">
        <v>424</v>
      </c>
      <c r="N242" s="114">
        <v>50</v>
      </c>
      <c r="O242" s="114">
        <v>0</v>
      </c>
      <c r="P242" s="114">
        <v>0</v>
      </c>
      <c r="Q242" s="114">
        <v>474</v>
      </c>
      <c r="R242" s="114">
        <v>6998.4705882352937</v>
      </c>
      <c r="S242" s="114">
        <v>2068.6117936117935</v>
      </c>
      <c r="T242" s="114">
        <v>2266.2712264150941</v>
      </c>
      <c r="U242" s="114">
        <v>11067.44</v>
      </c>
      <c r="V242" s="114">
        <v>0</v>
      </c>
      <c r="W242" s="114">
        <v>0</v>
      </c>
      <c r="X242" s="114">
        <v>3194.6645569620255</v>
      </c>
      <c r="Y242" s="114">
        <v>30.070754716981131</v>
      </c>
      <c r="Z242" s="114">
        <v>719.92924528301887</v>
      </c>
      <c r="AA242" s="114">
        <v>0</v>
      </c>
      <c r="AB242" s="657">
        <v>50</v>
      </c>
      <c r="AC242" s="657">
        <v>0</v>
      </c>
      <c r="AD242" s="768">
        <v>800</v>
      </c>
      <c r="AE242" s="769">
        <v>22.57311320754717</v>
      </c>
      <c r="AF242" s="769">
        <v>540.42688679245282</v>
      </c>
      <c r="AG242" s="770">
        <v>563</v>
      </c>
      <c r="AH242" s="769">
        <v>0</v>
      </c>
      <c r="AI242" s="769">
        <v>29.73696983143121</v>
      </c>
      <c r="AJ242" s="769">
        <v>711.93804243485306</v>
      </c>
      <c r="AK242" s="769">
        <v>741.67501226628428</v>
      </c>
      <c r="AL242" s="769">
        <v>0</v>
      </c>
      <c r="AM242" s="769">
        <v>22.363663073930773</v>
      </c>
      <c r="AN242" s="769">
        <v>535.41240418175448</v>
      </c>
      <c r="AO242" s="769">
        <v>557.77606725568523</v>
      </c>
      <c r="AP242" s="769">
        <v>0</v>
      </c>
      <c r="AQ242" s="769">
        <v>49.741750589141837</v>
      </c>
      <c r="AR242" s="769">
        <v>0</v>
      </c>
      <c r="AS242" s="769">
        <v>733.44243176025725</v>
      </c>
      <c r="AT242" s="769">
        <v>737.54723548556683</v>
      </c>
      <c r="AU242" s="769">
        <v>741.67501226628428</v>
      </c>
      <c r="AV242" s="769">
        <v>745.82589067403205</v>
      </c>
      <c r="AW242" s="769">
        <v>750</v>
      </c>
      <c r="AX242" s="769">
        <v>552.60060604479338</v>
      </c>
      <c r="AY242" s="769">
        <v>555.18230591650979</v>
      </c>
      <c r="AZ242" s="769">
        <v>557.77606725568523</v>
      </c>
      <c r="BA242" s="769">
        <v>560.38194641240068</v>
      </c>
      <c r="BB242" s="769">
        <v>563</v>
      </c>
      <c r="BC242" s="769">
        <v>49.484835033447851</v>
      </c>
      <c r="BD242" s="769">
        <v>49.613126510819612</v>
      </c>
      <c r="BE242" s="769">
        <v>49.741750589141837</v>
      </c>
      <c r="BF242" s="769">
        <v>49.870708130696244</v>
      </c>
      <c r="BG242" s="769">
        <v>50</v>
      </c>
      <c r="BH242" s="771">
        <v>757.65672503256644</v>
      </c>
      <c r="BI242" s="771">
        <v>765.39161731609875</v>
      </c>
      <c r="BJ242" s="771">
        <v>773.20547485745965</v>
      </c>
      <c r="BK242" s="772">
        <v>781.01677021689568</v>
      </c>
      <c r="BL242" s="772">
        <v>788.82806557633182</v>
      </c>
      <c r="BM242" s="772">
        <v>796.63936093576774</v>
      </c>
      <c r="BN242" s="772">
        <v>804.45065629520377</v>
      </c>
      <c r="BO242" s="772">
        <v>813.68700072925549</v>
      </c>
      <c r="BP242" s="772">
        <v>822.9233451633072</v>
      </c>
      <c r="BQ242" s="772">
        <v>848.52914344159728</v>
      </c>
      <c r="BR242" s="772">
        <v>879.03669944643661</v>
      </c>
      <c r="BS242" s="772">
        <v>892.43196665476887</v>
      </c>
      <c r="BT242" s="772">
        <v>899.78805911676523</v>
      </c>
      <c r="BU242" s="772">
        <v>907.4059869350051</v>
      </c>
      <c r="BV242" s="772">
        <v>915.20719950261571</v>
      </c>
      <c r="BW242" s="771">
        <v>568.74764825777993</v>
      </c>
      <c r="BX242" s="771">
        <v>574.55397406528482</v>
      </c>
      <c r="BY242" s="771">
        <v>580.41957645966636</v>
      </c>
      <c r="BZ242" s="772">
        <v>586.28325550948307</v>
      </c>
      <c r="CA242" s="772">
        <v>592.14693455929967</v>
      </c>
      <c r="CB242" s="772">
        <v>598.01061360911626</v>
      </c>
      <c r="CC242" s="772">
        <v>603.87429265893297</v>
      </c>
      <c r="CD242" s="772">
        <v>610.80770854742775</v>
      </c>
      <c r="CE242" s="772">
        <v>617.74112443592264</v>
      </c>
      <c r="CF242" s="772">
        <v>636.9625436768257</v>
      </c>
      <c r="CG242" s="772">
        <v>659.86354905112501</v>
      </c>
      <c r="CH242" s="772">
        <v>669.91892963551311</v>
      </c>
      <c r="CI242" s="772">
        <v>675.4409030436517</v>
      </c>
      <c r="CJ242" s="772">
        <v>681.15942752587716</v>
      </c>
      <c r="CK242" s="772">
        <v>687.01553775996354</v>
      </c>
      <c r="CL242" s="771">
        <v>50.510448335504435</v>
      </c>
      <c r="CM242" s="771">
        <v>51.026107821073253</v>
      </c>
      <c r="CN242" s="771">
        <v>51.547031657163977</v>
      </c>
      <c r="CO242" s="772">
        <v>52.067784681126383</v>
      </c>
      <c r="CP242" s="772">
        <v>52.58853770508879</v>
      </c>
      <c r="CQ242" s="772">
        <v>53.109290729051182</v>
      </c>
      <c r="CR242" s="772">
        <v>53.630043753013588</v>
      </c>
      <c r="CS242" s="772">
        <v>54.245800048617035</v>
      </c>
      <c r="CT242" s="772">
        <v>54.861556344220482</v>
      </c>
      <c r="CU242" s="772">
        <v>56.568609562773155</v>
      </c>
      <c r="CV242" s="772">
        <v>58.60244662976244</v>
      </c>
      <c r="CW242" s="772">
        <v>59.495464443651258</v>
      </c>
      <c r="CX242" s="772">
        <v>59.985870607784349</v>
      </c>
      <c r="CY242" s="772">
        <v>60.493732462333675</v>
      </c>
      <c r="CZ242" s="772">
        <v>61.013813300174377</v>
      </c>
      <c r="DA242" s="773">
        <v>0</v>
      </c>
      <c r="DB242" s="773">
        <v>0</v>
      </c>
      <c r="DC242" s="773">
        <v>0</v>
      </c>
      <c r="DD242" s="774">
        <v>0</v>
      </c>
      <c r="DE242" s="774">
        <v>0</v>
      </c>
      <c r="DF242" s="774">
        <v>0</v>
      </c>
      <c r="DG242" s="774">
        <v>0</v>
      </c>
      <c r="DH242" s="774">
        <v>0</v>
      </c>
      <c r="DI242" s="774">
        <v>0</v>
      </c>
      <c r="DJ242" s="774">
        <v>0</v>
      </c>
      <c r="DK242" s="774">
        <v>0</v>
      </c>
      <c r="DL242" s="774">
        <v>0</v>
      </c>
      <c r="DM242" s="774">
        <v>0</v>
      </c>
      <c r="DN242" s="774">
        <v>0</v>
      </c>
      <c r="DO242" s="774">
        <v>0</v>
      </c>
      <c r="DP242" s="773">
        <v>0</v>
      </c>
      <c r="DQ242" s="773">
        <v>0</v>
      </c>
      <c r="DR242" s="773">
        <v>0</v>
      </c>
      <c r="DS242" s="774">
        <v>0</v>
      </c>
      <c r="DT242" s="774">
        <v>0</v>
      </c>
      <c r="DU242" s="774">
        <v>0</v>
      </c>
      <c r="DV242" s="774">
        <v>0</v>
      </c>
      <c r="DW242" s="774">
        <v>0</v>
      </c>
      <c r="DX242" s="774">
        <v>0</v>
      </c>
      <c r="DY242" s="774">
        <v>0</v>
      </c>
      <c r="DZ242" s="774">
        <v>0</v>
      </c>
      <c r="EA242" s="774">
        <v>0</v>
      </c>
      <c r="EB242" s="774">
        <v>0</v>
      </c>
      <c r="EC242" s="774">
        <v>0</v>
      </c>
      <c r="ED242" s="774">
        <v>0</v>
      </c>
    </row>
    <row r="243" spans="1:134" ht="15" x14ac:dyDescent="0.25">
      <c r="A243" s="766">
        <v>110</v>
      </c>
      <c r="B243" s="766">
        <v>95</v>
      </c>
      <c r="C243" s="766" t="s">
        <v>3914</v>
      </c>
      <c r="D243" s="2">
        <v>99701</v>
      </c>
      <c r="E243" s="2">
        <v>99701</v>
      </c>
      <c r="F243" s="767" t="s">
        <v>3746</v>
      </c>
      <c r="G243" s="114">
        <v>383</v>
      </c>
      <c r="H243" s="114">
        <v>182</v>
      </c>
      <c r="I243" s="114">
        <v>164</v>
      </c>
      <c r="J243" s="114">
        <v>18</v>
      </c>
      <c r="K243" s="114">
        <v>4</v>
      </c>
      <c r="L243" s="114">
        <v>123</v>
      </c>
      <c r="M243" s="114">
        <v>127</v>
      </c>
      <c r="N243" s="114">
        <v>77</v>
      </c>
      <c r="O243" s="114">
        <v>0</v>
      </c>
      <c r="P243" s="114">
        <v>0</v>
      </c>
      <c r="Q243" s="114">
        <v>204</v>
      </c>
      <c r="R243" s="114">
        <v>3369</v>
      </c>
      <c r="S243" s="114">
        <v>1802.9674796747968</v>
      </c>
      <c r="T243" s="114">
        <v>1852.2913385826771</v>
      </c>
      <c r="U243" s="114">
        <v>24584.610389610389</v>
      </c>
      <c r="V243" s="114">
        <v>0</v>
      </c>
      <c r="W243" s="114">
        <v>0</v>
      </c>
      <c r="X243" s="114">
        <v>10432.627450980392</v>
      </c>
      <c r="Y243" s="114">
        <v>5.7322834645669287</v>
      </c>
      <c r="Z243" s="114">
        <v>176.26771653543307</v>
      </c>
      <c r="AA243" s="114">
        <v>0</v>
      </c>
      <c r="AB243" s="657">
        <v>77</v>
      </c>
      <c r="AC243" s="657">
        <v>0</v>
      </c>
      <c r="AD243" s="768">
        <v>259</v>
      </c>
      <c r="AE243" s="769">
        <v>5.1653543307086611</v>
      </c>
      <c r="AF243" s="769">
        <v>158.83464566929135</v>
      </c>
      <c r="AG243" s="770">
        <v>164</v>
      </c>
      <c r="AH243" s="769">
        <v>0</v>
      </c>
      <c r="AI243" s="769">
        <v>5.6686552118619939</v>
      </c>
      <c r="AJ243" s="769">
        <v>174.31114776475633</v>
      </c>
      <c r="AK243" s="769">
        <v>179.97980297661832</v>
      </c>
      <c r="AL243" s="769">
        <v>0</v>
      </c>
      <c r="AM243" s="769">
        <v>5.1174263313761976</v>
      </c>
      <c r="AN243" s="769">
        <v>157.36085968981808</v>
      </c>
      <c r="AO243" s="769">
        <v>162.47828602119429</v>
      </c>
      <c r="AP243" s="769">
        <v>0</v>
      </c>
      <c r="AQ243" s="769">
        <v>76.602295907278432</v>
      </c>
      <c r="AR243" s="769">
        <v>0</v>
      </c>
      <c r="AS243" s="769">
        <v>177.98203010715577</v>
      </c>
      <c r="AT243" s="769">
        <v>178.97812914449753</v>
      </c>
      <c r="AU243" s="769">
        <v>179.97980297661832</v>
      </c>
      <c r="AV243" s="769">
        <v>180.9870828035651</v>
      </c>
      <c r="AW243" s="769">
        <v>182</v>
      </c>
      <c r="AX243" s="769">
        <v>160.97069163649397</v>
      </c>
      <c r="AY243" s="769">
        <v>161.72273209646113</v>
      </c>
      <c r="AZ243" s="769">
        <v>162.47828602119426</v>
      </c>
      <c r="BA243" s="769">
        <v>163.23736982528192</v>
      </c>
      <c r="BB243" s="769">
        <v>164</v>
      </c>
      <c r="BC243" s="769">
        <v>76.206645951509685</v>
      </c>
      <c r="BD243" s="769">
        <v>76.404214826662212</v>
      </c>
      <c r="BE243" s="769">
        <v>76.602295907278432</v>
      </c>
      <c r="BF243" s="769">
        <v>76.800890521272208</v>
      </c>
      <c r="BG243" s="769">
        <v>77</v>
      </c>
      <c r="BH243" s="771">
        <v>183.72550814446063</v>
      </c>
      <c r="BI243" s="771">
        <v>185.46737551066082</v>
      </c>
      <c r="BJ243" s="771">
        <v>187.22575719733877</v>
      </c>
      <c r="BK243" s="772">
        <v>190.48978914991628</v>
      </c>
      <c r="BL243" s="772">
        <v>193.75382110249382</v>
      </c>
      <c r="BM243" s="772">
        <v>197.01785305507133</v>
      </c>
      <c r="BN243" s="772">
        <v>200.28188500764884</v>
      </c>
      <c r="BO243" s="772">
        <v>204.14138870972533</v>
      </c>
      <c r="BP243" s="772">
        <v>208.00089241180183</v>
      </c>
      <c r="BQ243" s="772">
        <v>218.70054463409696</v>
      </c>
      <c r="BR243" s="772">
        <v>231.44844789633288</v>
      </c>
      <c r="BS243" s="772">
        <v>237.04580123779809</v>
      </c>
      <c r="BT243" s="772">
        <v>240.1196218702577</v>
      </c>
      <c r="BU243" s="772">
        <v>243.30285316122743</v>
      </c>
      <c r="BV243" s="772">
        <v>246.56267191315445</v>
      </c>
      <c r="BW243" s="771">
        <v>165.55485349281068</v>
      </c>
      <c r="BX243" s="771">
        <v>167.12444826235372</v>
      </c>
      <c r="BY243" s="771">
        <v>168.70892406793163</v>
      </c>
      <c r="BZ243" s="772">
        <v>171.65013967355094</v>
      </c>
      <c r="CA243" s="772">
        <v>174.59135527917024</v>
      </c>
      <c r="CB243" s="772">
        <v>177.53257088478955</v>
      </c>
      <c r="CC243" s="772">
        <v>180.47378649040886</v>
      </c>
      <c r="CD243" s="772">
        <v>183.95158103513711</v>
      </c>
      <c r="CE243" s="772">
        <v>187.42937557986539</v>
      </c>
      <c r="CF243" s="772">
        <v>197.07082043951596</v>
      </c>
      <c r="CG243" s="772">
        <v>208.55794206043183</v>
      </c>
      <c r="CH243" s="772">
        <v>213.6017110054884</v>
      </c>
      <c r="CI243" s="772">
        <v>216.37152739957287</v>
      </c>
      <c r="CJ243" s="772">
        <v>219.23993361780933</v>
      </c>
      <c r="CK243" s="772">
        <v>222.17735271295234</v>
      </c>
      <c r="CL243" s="771">
        <v>77.730022676502571</v>
      </c>
      <c r="CM243" s="771">
        <v>78.466966562202657</v>
      </c>
      <c r="CN243" s="771">
        <v>79.210897275797166</v>
      </c>
      <c r="CO243" s="772">
        <v>80.591833871118425</v>
      </c>
      <c r="CP243" s="772">
        <v>81.972770466439684</v>
      </c>
      <c r="CQ243" s="772">
        <v>83.353707061760943</v>
      </c>
      <c r="CR243" s="772">
        <v>84.734643657082202</v>
      </c>
      <c r="CS243" s="772">
        <v>86.36751060796071</v>
      </c>
      <c r="CT243" s="772">
        <v>88.000377558839233</v>
      </c>
      <c r="CU243" s="772">
        <v>92.52715349904102</v>
      </c>
      <c r="CV243" s="772">
        <v>97.920497186910069</v>
      </c>
      <c r="CW243" s="772">
        <v>100.28860821599149</v>
      </c>
      <c r="CX243" s="772">
        <v>101.58907079126287</v>
      </c>
      <c r="CY243" s="772">
        <v>102.93582249128852</v>
      </c>
      <c r="CZ243" s="772">
        <v>104.31497657864226</v>
      </c>
      <c r="DA243" s="773">
        <v>0</v>
      </c>
      <c r="DB243" s="773">
        <v>0</v>
      </c>
      <c r="DC243" s="773">
        <v>0</v>
      </c>
      <c r="DD243" s="774">
        <v>0</v>
      </c>
      <c r="DE243" s="774">
        <v>0</v>
      </c>
      <c r="DF243" s="774">
        <v>0</v>
      </c>
      <c r="DG243" s="774">
        <v>0</v>
      </c>
      <c r="DH243" s="774">
        <v>0</v>
      </c>
      <c r="DI243" s="774">
        <v>0</v>
      </c>
      <c r="DJ243" s="774">
        <v>0</v>
      </c>
      <c r="DK243" s="774">
        <v>0</v>
      </c>
      <c r="DL243" s="774">
        <v>0</v>
      </c>
      <c r="DM243" s="774">
        <v>0</v>
      </c>
      <c r="DN243" s="774">
        <v>0</v>
      </c>
      <c r="DO243" s="774">
        <v>0</v>
      </c>
      <c r="DP243" s="773">
        <v>0</v>
      </c>
      <c r="DQ243" s="773">
        <v>0</v>
      </c>
      <c r="DR243" s="773">
        <v>0</v>
      </c>
      <c r="DS243" s="774">
        <v>0</v>
      </c>
      <c r="DT243" s="774">
        <v>0</v>
      </c>
      <c r="DU243" s="774">
        <v>0</v>
      </c>
      <c r="DV243" s="774">
        <v>0</v>
      </c>
      <c r="DW243" s="774">
        <v>0</v>
      </c>
      <c r="DX243" s="774">
        <v>0</v>
      </c>
      <c r="DY243" s="774">
        <v>0</v>
      </c>
      <c r="DZ243" s="774">
        <v>0</v>
      </c>
      <c r="EA243" s="774">
        <v>0</v>
      </c>
      <c r="EB243" s="774">
        <v>0</v>
      </c>
      <c r="EC243" s="774">
        <v>0</v>
      </c>
      <c r="ED243" s="774">
        <v>0</v>
      </c>
    </row>
    <row r="244" spans="1:134" ht="15" x14ac:dyDescent="0.25">
      <c r="A244" s="766">
        <v>111</v>
      </c>
      <c r="B244" s="766">
        <v>95</v>
      </c>
      <c r="C244" s="766" t="s">
        <v>3915</v>
      </c>
      <c r="D244" s="2">
        <v>99701</v>
      </c>
      <c r="E244" s="2">
        <v>99701</v>
      </c>
      <c r="F244" s="767" t="s">
        <v>3746</v>
      </c>
      <c r="G244" s="114">
        <v>1867</v>
      </c>
      <c r="H244" s="114">
        <v>619</v>
      </c>
      <c r="I244" s="114">
        <v>597</v>
      </c>
      <c r="J244" s="114">
        <v>22</v>
      </c>
      <c r="K244" s="114">
        <v>2</v>
      </c>
      <c r="L244" s="114">
        <v>392</v>
      </c>
      <c r="M244" s="114">
        <v>394</v>
      </c>
      <c r="N244" s="114">
        <v>11</v>
      </c>
      <c r="O244" s="114">
        <v>0</v>
      </c>
      <c r="P244" s="114">
        <v>0</v>
      </c>
      <c r="Q244" s="114">
        <v>405</v>
      </c>
      <c r="R244" s="114">
        <v>4675.5</v>
      </c>
      <c r="S244" s="114">
        <v>2362.2321428571427</v>
      </c>
      <c r="T244" s="114">
        <v>2373.9746192893399</v>
      </c>
      <c r="U244" s="114">
        <v>29575.727272727272</v>
      </c>
      <c r="V244" s="114">
        <v>0</v>
      </c>
      <c r="W244" s="114">
        <v>0</v>
      </c>
      <c r="X244" s="114">
        <v>3112.7876543209877</v>
      </c>
      <c r="Y244" s="114">
        <v>3.1421319796954315</v>
      </c>
      <c r="Z244" s="114">
        <v>615.85786802030452</v>
      </c>
      <c r="AA244" s="114">
        <v>0</v>
      </c>
      <c r="AB244" s="657">
        <v>11</v>
      </c>
      <c r="AC244" s="657">
        <v>0</v>
      </c>
      <c r="AD244" s="768">
        <v>630</v>
      </c>
      <c r="AE244" s="769">
        <v>3.030456852791878</v>
      </c>
      <c r="AF244" s="769">
        <v>593.96954314720801</v>
      </c>
      <c r="AG244" s="770">
        <v>596.99999999999989</v>
      </c>
      <c r="AH244" s="769">
        <v>0</v>
      </c>
      <c r="AI244" s="769">
        <v>3.1072543661105243</v>
      </c>
      <c r="AJ244" s="769">
        <v>609.02185575766271</v>
      </c>
      <c r="AK244" s="769">
        <v>612.12911012377322</v>
      </c>
      <c r="AL244" s="769">
        <v>0</v>
      </c>
      <c r="AM244" s="769">
        <v>3.0023380201390668</v>
      </c>
      <c r="AN244" s="769">
        <v>588.45825194725705</v>
      </c>
      <c r="AO244" s="769">
        <v>591.46058996739612</v>
      </c>
      <c r="AP244" s="769">
        <v>0</v>
      </c>
      <c r="AQ244" s="769">
        <v>10.943185129611205</v>
      </c>
      <c r="AR244" s="769">
        <v>0</v>
      </c>
      <c r="AS244" s="769">
        <v>605.33448701279906</v>
      </c>
      <c r="AT244" s="769">
        <v>608.72231835408775</v>
      </c>
      <c r="AU244" s="769">
        <v>612.12911012377333</v>
      </c>
      <c r="AV244" s="769">
        <v>615.55496843630112</v>
      </c>
      <c r="AW244" s="769">
        <v>619</v>
      </c>
      <c r="AX244" s="769">
        <v>585.97257870113958</v>
      </c>
      <c r="AY244" s="769">
        <v>588.71018939992246</v>
      </c>
      <c r="AZ244" s="769">
        <v>591.46058996739612</v>
      </c>
      <c r="BA244" s="769">
        <v>594.22384015666637</v>
      </c>
      <c r="BB244" s="769">
        <v>596.99999999999989</v>
      </c>
      <c r="BC244" s="769">
        <v>10.886663707358526</v>
      </c>
      <c r="BD244" s="769">
        <v>10.914887832380316</v>
      </c>
      <c r="BE244" s="769">
        <v>10.943185129611205</v>
      </c>
      <c r="BF244" s="769">
        <v>10.971555788753173</v>
      </c>
      <c r="BG244" s="769">
        <v>11</v>
      </c>
      <c r="BH244" s="771">
        <v>630.79299671363651</v>
      </c>
      <c r="BI244" s="771">
        <v>642.8106699563325</v>
      </c>
      <c r="BJ244" s="771">
        <v>655.05730019588896</v>
      </c>
      <c r="BK244" s="772">
        <v>657.24730641822111</v>
      </c>
      <c r="BL244" s="772">
        <v>659.43731264055316</v>
      </c>
      <c r="BM244" s="772">
        <v>661.62731886288532</v>
      </c>
      <c r="BN244" s="772">
        <v>663.81732508521748</v>
      </c>
      <c r="BO244" s="772">
        <v>666.40686380464899</v>
      </c>
      <c r="BP244" s="772">
        <v>668.99640252408062</v>
      </c>
      <c r="BQ244" s="772">
        <v>676.17534724155257</v>
      </c>
      <c r="BR244" s="772">
        <v>684.7285684941628</v>
      </c>
      <c r="BS244" s="772">
        <v>688.48411955018742</v>
      </c>
      <c r="BT244" s="772">
        <v>690.54650325513342</v>
      </c>
      <c r="BU244" s="772">
        <v>692.68229617494273</v>
      </c>
      <c r="BV244" s="772">
        <v>694.86947554515609</v>
      </c>
      <c r="BW244" s="771">
        <v>608.37385951218243</v>
      </c>
      <c r="BX244" s="771">
        <v>619.96441028098616</v>
      </c>
      <c r="BY244" s="771">
        <v>631.77578064126919</v>
      </c>
      <c r="BZ244" s="772">
        <v>633.88795142435845</v>
      </c>
      <c r="CA244" s="772">
        <v>636.00012220744782</v>
      </c>
      <c r="CB244" s="772">
        <v>638.11229299053707</v>
      </c>
      <c r="CC244" s="772">
        <v>640.22446377362644</v>
      </c>
      <c r="CD244" s="772">
        <v>642.72196719123656</v>
      </c>
      <c r="CE244" s="772">
        <v>645.21947060884668</v>
      </c>
      <c r="CF244" s="772">
        <v>652.14326704879932</v>
      </c>
      <c r="CG244" s="772">
        <v>660.39249659291613</v>
      </c>
      <c r="CH244" s="772">
        <v>664.01457087473636</v>
      </c>
      <c r="CI244" s="772">
        <v>666.00365499727707</v>
      </c>
      <c r="CJ244" s="772">
        <v>668.06353928342605</v>
      </c>
      <c r="CK244" s="772">
        <v>670.17298368410025</v>
      </c>
      <c r="CL244" s="771">
        <v>11.209568600726982</v>
      </c>
      <c r="CM244" s="771">
        <v>11.423129837673113</v>
      </c>
      <c r="CN244" s="771">
        <v>11.640759777309821</v>
      </c>
      <c r="CO244" s="772">
        <v>11.679677496931232</v>
      </c>
      <c r="CP244" s="772">
        <v>11.718595216552643</v>
      </c>
      <c r="CQ244" s="772">
        <v>11.757512936174054</v>
      </c>
      <c r="CR244" s="772">
        <v>11.796430655795465</v>
      </c>
      <c r="CS244" s="772">
        <v>11.842448306706205</v>
      </c>
      <c r="CT244" s="772">
        <v>11.888465957616942</v>
      </c>
      <c r="CU244" s="772">
        <v>12.016040096376541</v>
      </c>
      <c r="CV244" s="772">
        <v>12.168035950623249</v>
      </c>
      <c r="CW244" s="772">
        <v>12.234774337725463</v>
      </c>
      <c r="CX244" s="772">
        <v>12.271424128928057</v>
      </c>
      <c r="CY244" s="772">
        <v>12.309378445758272</v>
      </c>
      <c r="CZ244" s="772">
        <v>12.348245930527815</v>
      </c>
      <c r="DA244" s="773">
        <v>0</v>
      </c>
      <c r="DB244" s="773">
        <v>0</v>
      </c>
      <c r="DC244" s="773">
        <v>0</v>
      </c>
      <c r="DD244" s="774">
        <v>0</v>
      </c>
      <c r="DE244" s="774">
        <v>0</v>
      </c>
      <c r="DF244" s="774">
        <v>0</v>
      </c>
      <c r="DG244" s="774">
        <v>0</v>
      </c>
      <c r="DH244" s="774">
        <v>0</v>
      </c>
      <c r="DI244" s="774">
        <v>0</v>
      </c>
      <c r="DJ244" s="774">
        <v>0</v>
      </c>
      <c r="DK244" s="774">
        <v>0</v>
      </c>
      <c r="DL244" s="774">
        <v>0</v>
      </c>
      <c r="DM244" s="774">
        <v>0</v>
      </c>
      <c r="DN244" s="774">
        <v>0</v>
      </c>
      <c r="DO244" s="774">
        <v>0</v>
      </c>
      <c r="DP244" s="773">
        <v>0</v>
      </c>
      <c r="DQ244" s="773">
        <v>0</v>
      </c>
      <c r="DR244" s="773">
        <v>0</v>
      </c>
      <c r="DS244" s="774">
        <v>0</v>
      </c>
      <c r="DT244" s="774">
        <v>0</v>
      </c>
      <c r="DU244" s="774">
        <v>0</v>
      </c>
      <c r="DV244" s="774">
        <v>0</v>
      </c>
      <c r="DW244" s="774">
        <v>0</v>
      </c>
      <c r="DX244" s="774">
        <v>0</v>
      </c>
      <c r="DY244" s="774">
        <v>0</v>
      </c>
      <c r="DZ244" s="774">
        <v>0</v>
      </c>
      <c r="EA244" s="774">
        <v>0</v>
      </c>
      <c r="EB244" s="774">
        <v>0</v>
      </c>
      <c r="EC244" s="774">
        <v>0</v>
      </c>
      <c r="ED244" s="774">
        <v>0</v>
      </c>
    </row>
    <row r="245" spans="1:134" ht="15" x14ac:dyDescent="0.25">
      <c r="A245" s="766">
        <v>117</v>
      </c>
      <c r="B245" s="766">
        <v>95</v>
      </c>
      <c r="C245" s="766" t="s">
        <v>3916</v>
      </c>
      <c r="D245" s="2">
        <v>99705</v>
      </c>
      <c r="E245" s="2">
        <v>99712</v>
      </c>
      <c r="F245" s="767" t="s">
        <v>3746</v>
      </c>
      <c r="G245" s="114">
        <v>4</v>
      </c>
      <c r="H245" s="114">
        <v>2</v>
      </c>
      <c r="I245" s="114">
        <v>2</v>
      </c>
      <c r="J245" s="114">
        <v>0</v>
      </c>
      <c r="K245" s="114">
        <v>0</v>
      </c>
      <c r="L245" s="114">
        <v>0</v>
      </c>
      <c r="M245" s="114">
        <v>0</v>
      </c>
      <c r="N245" s="114">
        <v>0</v>
      </c>
      <c r="O245" s="114">
        <v>0</v>
      </c>
      <c r="P245" s="114">
        <v>0</v>
      </c>
      <c r="Q245" s="114">
        <v>0</v>
      </c>
      <c r="R245" s="114">
        <v>0</v>
      </c>
      <c r="S245" s="114">
        <v>834.49503068156923</v>
      </c>
      <c r="T245" s="114">
        <v>834.49503068156923</v>
      </c>
      <c r="U245" s="114">
        <v>1408.3846153846155</v>
      </c>
      <c r="V245" s="114">
        <v>0</v>
      </c>
      <c r="W245" s="114">
        <v>0</v>
      </c>
      <c r="X245" s="114">
        <v>1365.173957061457</v>
      </c>
      <c r="Y245" s="114">
        <v>4.5824670824670823E-2</v>
      </c>
      <c r="Z245" s="114">
        <v>1.9515765765765767</v>
      </c>
      <c r="AA245" s="114">
        <v>2.5987525987525989E-3</v>
      </c>
      <c r="AB245" s="657">
        <v>0</v>
      </c>
      <c r="AC245" s="657">
        <v>0</v>
      </c>
      <c r="AD245" s="768">
        <v>2</v>
      </c>
      <c r="AE245" s="769">
        <v>4.5824670824670823E-2</v>
      </c>
      <c r="AF245" s="769">
        <v>1.9515765765765767</v>
      </c>
      <c r="AG245" s="770">
        <v>1.9974012474012475</v>
      </c>
      <c r="AH245" s="769">
        <v>2.5987525987525989E-3</v>
      </c>
      <c r="AI245" s="769">
        <v>4.2532246137979485E-2</v>
      </c>
      <c r="AJ245" s="769">
        <v>1.811359117660756</v>
      </c>
      <c r="AK245" s="769">
        <v>1.8538913637987355</v>
      </c>
      <c r="AL245" s="769">
        <v>2.4120366429856042E-3</v>
      </c>
      <c r="AM245" s="769">
        <v>4.2750398256995607E-2</v>
      </c>
      <c r="AN245" s="769">
        <v>1.8206497586613499</v>
      </c>
      <c r="AO245" s="769">
        <v>1.8634001569183456</v>
      </c>
      <c r="AP245" s="769">
        <v>2.4244082187332102E-3</v>
      </c>
      <c r="AQ245" s="769">
        <v>0</v>
      </c>
      <c r="AR245" s="769">
        <v>0</v>
      </c>
      <c r="AS245" s="769">
        <v>1.7206924213345662</v>
      </c>
      <c r="AT245" s="769">
        <v>1.7860506206897071</v>
      </c>
      <c r="AU245" s="769">
        <v>1.8538913637987355</v>
      </c>
      <c r="AV245" s="769">
        <v>1.9243089467645247</v>
      </c>
      <c r="AW245" s="769">
        <v>1.9974012474012475</v>
      </c>
      <c r="AX245" s="769">
        <v>1.7383888937292677</v>
      </c>
      <c r="AY245" s="769">
        <v>1.799809472516529</v>
      </c>
      <c r="AZ245" s="769">
        <v>1.8634001569183454</v>
      </c>
      <c r="BA245" s="769">
        <v>1.9292376208845772</v>
      </c>
      <c r="BB245" s="769">
        <v>1.9974012474012475</v>
      </c>
      <c r="BC245" s="769">
        <v>0</v>
      </c>
      <c r="BD245" s="769">
        <v>0</v>
      </c>
      <c r="BE245" s="769">
        <v>0</v>
      </c>
      <c r="BF245" s="769">
        <v>0</v>
      </c>
      <c r="BG245" s="769">
        <v>0</v>
      </c>
      <c r="BH245" s="771">
        <v>2.0163152337207464</v>
      </c>
      <c r="BI245" s="771">
        <v>2.035408322200595</v>
      </c>
      <c r="BJ245" s="771">
        <v>2.0546822088124035</v>
      </c>
      <c r="BK245" s="772">
        <v>2.1474403617681777</v>
      </c>
      <c r="BL245" s="772">
        <v>2.2401985147239518</v>
      </c>
      <c r="BM245" s="772">
        <v>2.3329566676797264</v>
      </c>
      <c r="BN245" s="772">
        <v>2.4257148206355006</v>
      </c>
      <c r="BO245" s="772">
        <v>2.5353952526692254</v>
      </c>
      <c r="BP245" s="772">
        <v>2.6450756847029511</v>
      </c>
      <c r="BQ245" s="772">
        <v>2.9491413286147727</v>
      </c>
      <c r="BR245" s="772">
        <v>3.3114147309110118</v>
      </c>
      <c r="BS245" s="772">
        <v>3.4704818494130665</v>
      </c>
      <c r="BT245" s="772">
        <v>3.5578345250384213</v>
      </c>
      <c r="BU245" s="772">
        <v>3.6482964626883327</v>
      </c>
      <c r="BV245" s="772">
        <v>3.7409348837554321</v>
      </c>
      <c r="BW245" s="771">
        <v>2.0163152337207464</v>
      </c>
      <c r="BX245" s="771">
        <v>2.035408322200595</v>
      </c>
      <c r="BY245" s="771">
        <v>2.0546822088124035</v>
      </c>
      <c r="BZ245" s="772">
        <v>2.1474403617681777</v>
      </c>
      <c r="CA245" s="772">
        <v>2.2401985147239518</v>
      </c>
      <c r="CB245" s="772">
        <v>2.3329566676797264</v>
      </c>
      <c r="CC245" s="772">
        <v>2.4257148206355006</v>
      </c>
      <c r="CD245" s="772">
        <v>2.5353952526692254</v>
      </c>
      <c r="CE245" s="772">
        <v>2.6450756847029511</v>
      </c>
      <c r="CF245" s="772">
        <v>2.9491413286147727</v>
      </c>
      <c r="CG245" s="772">
        <v>3.3114147309110118</v>
      </c>
      <c r="CH245" s="772">
        <v>3.4704818494130665</v>
      </c>
      <c r="CI245" s="772">
        <v>3.5578345250384213</v>
      </c>
      <c r="CJ245" s="772">
        <v>3.6482964626883327</v>
      </c>
      <c r="CK245" s="772">
        <v>3.7409348837554321</v>
      </c>
      <c r="CL245" s="771">
        <v>0</v>
      </c>
      <c r="CM245" s="771">
        <v>0</v>
      </c>
      <c r="CN245" s="771">
        <v>0</v>
      </c>
      <c r="CO245" s="772">
        <v>0</v>
      </c>
      <c r="CP245" s="772">
        <v>0</v>
      </c>
      <c r="CQ245" s="772">
        <v>0</v>
      </c>
      <c r="CR245" s="772">
        <v>0</v>
      </c>
      <c r="CS245" s="772">
        <v>0</v>
      </c>
      <c r="CT245" s="772">
        <v>0</v>
      </c>
      <c r="CU245" s="772">
        <v>0</v>
      </c>
      <c r="CV245" s="772">
        <v>0</v>
      </c>
      <c r="CW245" s="772">
        <v>0</v>
      </c>
      <c r="CX245" s="772">
        <v>0</v>
      </c>
      <c r="CY245" s="772">
        <v>0</v>
      </c>
      <c r="CZ245" s="772">
        <v>0</v>
      </c>
      <c r="DA245" s="773">
        <v>2.6233609598240262E-3</v>
      </c>
      <c r="DB245" s="773">
        <v>2.6482023447834957E-3</v>
      </c>
      <c r="DC245" s="773">
        <v>2.6732789602034917E-3</v>
      </c>
      <c r="DD245" s="774">
        <v>2.7939635203853472E-3</v>
      </c>
      <c r="DE245" s="774">
        <v>2.9146480805672028E-3</v>
      </c>
      <c r="DF245" s="774">
        <v>3.0353326407490588E-3</v>
      </c>
      <c r="DG245" s="774">
        <v>3.1560172009309139E-3</v>
      </c>
      <c r="DH245" s="774">
        <v>3.2987187778678452E-3</v>
      </c>
      <c r="DI245" s="774">
        <v>3.4414203548047764E-3</v>
      </c>
      <c r="DJ245" s="774">
        <v>3.8370300918745418E-3</v>
      </c>
      <c r="DK245" s="774">
        <v>4.3083720152368096E-3</v>
      </c>
      <c r="DL245" s="774">
        <v>4.5153289739956635E-3</v>
      </c>
      <c r="DM245" s="774">
        <v>4.6289806466802263E-3</v>
      </c>
      <c r="DN245" s="774">
        <v>4.746677677190129E-3</v>
      </c>
      <c r="DO245" s="774">
        <v>4.8672064581777681E-3</v>
      </c>
      <c r="DP245" s="773">
        <v>0</v>
      </c>
      <c r="DQ245" s="773">
        <v>0</v>
      </c>
      <c r="DR245" s="773">
        <v>0</v>
      </c>
      <c r="DS245" s="774">
        <v>0</v>
      </c>
      <c r="DT245" s="774">
        <v>0</v>
      </c>
      <c r="DU245" s="774">
        <v>0</v>
      </c>
      <c r="DV245" s="774">
        <v>0</v>
      </c>
      <c r="DW245" s="774">
        <v>0</v>
      </c>
      <c r="DX245" s="774">
        <v>0</v>
      </c>
      <c r="DY245" s="774">
        <v>0</v>
      </c>
      <c r="DZ245" s="774">
        <v>0</v>
      </c>
      <c r="EA245" s="774">
        <v>0</v>
      </c>
      <c r="EB245" s="774">
        <v>0</v>
      </c>
      <c r="EC245" s="774">
        <v>0</v>
      </c>
      <c r="ED245" s="774">
        <v>0</v>
      </c>
    </row>
    <row r="246" spans="1:134" ht="15" x14ac:dyDescent="0.25">
      <c r="A246" s="766">
        <v>118</v>
      </c>
      <c r="B246" s="766">
        <v>95</v>
      </c>
      <c r="C246" s="766" t="s">
        <v>3917</v>
      </c>
      <c r="D246" s="2">
        <v>99712</v>
      </c>
      <c r="E246" s="2">
        <v>99712</v>
      </c>
      <c r="F246" s="767" t="s">
        <v>3746</v>
      </c>
      <c r="G246" s="114">
        <v>4</v>
      </c>
      <c r="H246" s="114">
        <v>2</v>
      </c>
      <c r="I246" s="114">
        <v>1</v>
      </c>
      <c r="J246" s="114">
        <v>1</v>
      </c>
      <c r="K246" s="114">
        <v>0</v>
      </c>
      <c r="L246" s="114">
        <v>2</v>
      </c>
      <c r="M246" s="114">
        <v>2</v>
      </c>
      <c r="N246" s="114">
        <v>0</v>
      </c>
      <c r="O246" s="114">
        <v>0</v>
      </c>
      <c r="P246" s="114">
        <v>0</v>
      </c>
      <c r="Q246" s="114">
        <v>2</v>
      </c>
      <c r="R246" s="114">
        <v>0</v>
      </c>
      <c r="S246" s="114">
        <v>3404</v>
      </c>
      <c r="T246" s="114">
        <v>3404</v>
      </c>
      <c r="U246" s="114">
        <v>0</v>
      </c>
      <c r="V246" s="114">
        <v>0</v>
      </c>
      <c r="W246" s="114">
        <v>0</v>
      </c>
      <c r="X246" s="114">
        <v>3404</v>
      </c>
      <c r="Y246" s="114">
        <v>0</v>
      </c>
      <c r="Z246" s="114">
        <v>2</v>
      </c>
      <c r="AA246" s="114">
        <v>0</v>
      </c>
      <c r="AB246" s="657">
        <v>0</v>
      </c>
      <c r="AC246" s="657">
        <v>0</v>
      </c>
      <c r="AD246" s="768">
        <v>2</v>
      </c>
      <c r="AE246" s="769">
        <v>0</v>
      </c>
      <c r="AF246" s="769">
        <v>1</v>
      </c>
      <c r="AG246" s="770">
        <v>1</v>
      </c>
      <c r="AH246" s="769">
        <v>0</v>
      </c>
      <c r="AI246" s="769">
        <v>0</v>
      </c>
      <c r="AJ246" s="769">
        <v>1.8182284902914765</v>
      </c>
      <c r="AK246" s="769">
        <v>1.8182284902914765</v>
      </c>
      <c r="AL246" s="769">
        <v>0</v>
      </c>
      <c r="AM246" s="769">
        <v>0</v>
      </c>
      <c r="AN246" s="769">
        <v>0.91245411038790925</v>
      </c>
      <c r="AO246" s="769">
        <v>0.91245411038790925</v>
      </c>
      <c r="AP246" s="769">
        <v>0</v>
      </c>
      <c r="AQ246" s="769">
        <v>0</v>
      </c>
      <c r="AR246" s="769">
        <v>0</v>
      </c>
      <c r="AS246" s="769">
        <v>1.6529774214538109</v>
      </c>
      <c r="AT246" s="769">
        <v>1.7336350946770376</v>
      </c>
      <c r="AU246" s="769">
        <v>1.8182284902914765</v>
      </c>
      <c r="AV246" s="769">
        <v>1.9069496533949062</v>
      </c>
      <c r="AW246" s="769">
        <v>2</v>
      </c>
      <c r="AX246" s="769">
        <v>0.83257250356379087</v>
      </c>
      <c r="AY246" s="769">
        <v>0.87159864792961517</v>
      </c>
      <c r="AZ246" s="769">
        <v>0.91245411038790925</v>
      </c>
      <c r="BA246" s="769">
        <v>0.9552246387043779</v>
      </c>
      <c r="BB246" s="769">
        <v>1</v>
      </c>
      <c r="BC246" s="769">
        <v>0</v>
      </c>
      <c r="BD246" s="769">
        <v>0</v>
      </c>
      <c r="BE246" s="769">
        <v>0</v>
      </c>
      <c r="BF246" s="769">
        <v>0</v>
      </c>
      <c r="BG246" s="769">
        <v>0</v>
      </c>
      <c r="BH246" s="771">
        <v>2.0189385946805705</v>
      </c>
      <c r="BI246" s="771">
        <v>2.0380565245453783</v>
      </c>
      <c r="BJ246" s="771">
        <v>2.057355487772607</v>
      </c>
      <c r="BK246" s="772">
        <v>2.150234325288563</v>
      </c>
      <c r="BL246" s="772">
        <v>2.2431131628045189</v>
      </c>
      <c r="BM246" s="772">
        <v>2.3359920003204753</v>
      </c>
      <c r="BN246" s="772">
        <v>2.4288708378364312</v>
      </c>
      <c r="BO246" s="772">
        <v>2.5386939714470933</v>
      </c>
      <c r="BP246" s="772">
        <v>2.6485171050577558</v>
      </c>
      <c r="BQ246" s="772">
        <v>2.9529783587066474</v>
      </c>
      <c r="BR246" s="772">
        <v>3.3157231029262486</v>
      </c>
      <c r="BS246" s="772">
        <v>3.4749971783870621</v>
      </c>
      <c r="BT246" s="772">
        <v>3.5624635056851015</v>
      </c>
      <c r="BU246" s="772">
        <v>3.6530431403655226</v>
      </c>
      <c r="BV246" s="772">
        <v>3.7458020902136102</v>
      </c>
      <c r="BW246" s="771">
        <v>1.0094692973402852</v>
      </c>
      <c r="BX246" s="771">
        <v>1.0190282622726892</v>
      </c>
      <c r="BY246" s="771">
        <v>1.0286777438863035</v>
      </c>
      <c r="BZ246" s="772">
        <v>1.0751171626442815</v>
      </c>
      <c r="CA246" s="772">
        <v>1.1215565814022594</v>
      </c>
      <c r="CB246" s="772">
        <v>1.1679960001602376</v>
      </c>
      <c r="CC246" s="772">
        <v>1.2144354189182156</v>
      </c>
      <c r="CD246" s="772">
        <v>1.2693469857235467</v>
      </c>
      <c r="CE246" s="772">
        <v>1.3242585525288779</v>
      </c>
      <c r="CF246" s="772">
        <v>1.4764891793533237</v>
      </c>
      <c r="CG246" s="772">
        <v>1.6578615514631243</v>
      </c>
      <c r="CH246" s="772">
        <v>1.7374985891935311</v>
      </c>
      <c r="CI246" s="772">
        <v>1.7812317528425508</v>
      </c>
      <c r="CJ246" s="772">
        <v>1.8265215701827613</v>
      </c>
      <c r="CK246" s="772">
        <v>1.8729010451068051</v>
      </c>
      <c r="CL246" s="771">
        <v>0</v>
      </c>
      <c r="CM246" s="771">
        <v>0</v>
      </c>
      <c r="CN246" s="771">
        <v>0</v>
      </c>
      <c r="CO246" s="772">
        <v>0</v>
      </c>
      <c r="CP246" s="772">
        <v>0</v>
      </c>
      <c r="CQ246" s="772">
        <v>0</v>
      </c>
      <c r="CR246" s="772">
        <v>0</v>
      </c>
      <c r="CS246" s="772">
        <v>0</v>
      </c>
      <c r="CT246" s="772">
        <v>0</v>
      </c>
      <c r="CU246" s="772">
        <v>0</v>
      </c>
      <c r="CV246" s="772">
        <v>0</v>
      </c>
      <c r="CW246" s="772">
        <v>0</v>
      </c>
      <c r="CX246" s="772">
        <v>0</v>
      </c>
      <c r="CY246" s="772">
        <v>0</v>
      </c>
      <c r="CZ246" s="772">
        <v>0</v>
      </c>
      <c r="DA246" s="773">
        <v>0</v>
      </c>
      <c r="DB246" s="773">
        <v>0</v>
      </c>
      <c r="DC246" s="773">
        <v>0</v>
      </c>
      <c r="DD246" s="774">
        <v>0</v>
      </c>
      <c r="DE246" s="774">
        <v>0</v>
      </c>
      <c r="DF246" s="774">
        <v>0</v>
      </c>
      <c r="DG246" s="774">
        <v>0</v>
      </c>
      <c r="DH246" s="774">
        <v>0</v>
      </c>
      <c r="DI246" s="774">
        <v>0</v>
      </c>
      <c r="DJ246" s="774">
        <v>0</v>
      </c>
      <c r="DK246" s="774">
        <v>0</v>
      </c>
      <c r="DL246" s="774">
        <v>0</v>
      </c>
      <c r="DM246" s="774">
        <v>0</v>
      </c>
      <c r="DN246" s="774">
        <v>0</v>
      </c>
      <c r="DO246" s="774">
        <v>0</v>
      </c>
      <c r="DP246" s="773">
        <v>0</v>
      </c>
      <c r="DQ246" s="773">
        <v>0</v>
      </c>
      <c r="DR246" s="773">
        <v>0</v>
      </c>
      <c r="DS246" s="774">
        <v>0</v>
      </c>
      <c r="DT246" s="774">
        <v>0</v>
      </c>
      <c r="DU246" s="774">
        <v>0</v>
      </c>
      <c r="DV246" s="774">
        <v>0</v>
      </c>
      <c r="DW246" s="774">
        <v>0</v>
      </c>
      <c r="DX246" s="774">
        <v>0</v>
      </c>
      <c r="DY246" s="774">
        <v>0</v>
      </c>
      <c r="DZ246" s="774">
        <v>0</v>
      </c>
      <c r="EA246" s="774">
        <v>0</v>
      </c>
      <c r="EB246" s="774">
        <v>0</v>
      </c>
      <c r="EC246" s="774">
        <v>0</v>
      </c>
      <c r="ED246" s="774">
        <v>0</v>
      </c>
    </row>
    <row r="247" spans="1:134" ht="15" x14ac:dyDescent="0.25">
      <c r="A247" s="766">
        <v>120</v>
      </c>
      <c r="B247" s="766">
        <v>95</v>
      </c>
      <c r="C247" s="766" t="s">
        <v>3918</v>
      </c>
      <c r="D247" s="2">
        <v>99712</v>
      </c>
      <c r="E247" s="2">
        <v>99712</v>
      </c>
      <c r="F247" s="767" t="s">
        <v>3746</v>
      </c>
      <c r="G247" s="114">
        <v>34</v>
      </c>
      <c r="H247" s="114">
        <v>13</v>
      </c>
      <c r="I247" s="114">
        <v>12</v>
      </c>
      <c r="J247" s="114">
        <v>1</v>
      </c>
      <c r="K247" s="114">
        <v>0</v>
      </c>
      <c r="L247" s="114">
        <v>27</v>
      </c>
      <c r="M247" s="114">
        <v>27</v>
      </c>
      <c r="N247" s="114">
        <v>0</v>
      </c>
      <c r="O247" s="114">
        <v>0</v>
      </c>
      <c r="P247" s="114">
        <v>0</v>
      </c>
      <c r="Q247" s="114">
        <v>27</v>
      </c>
      <c r="R247" s="114">
        <v>0</v>
      </c>
      <c r="S247" s="114">
        <v>2934.7037037037039</v>
      </c>
      <c r="T247" s="114">
        <v>2934.7037037037039</v>
      </c>
      <c r="U247" s="114">
        <v>0</v>
      </c>
      <c r="V247" s="114">
        <v>0</v>
      </c>
      <c r="W247" s="114">
        <v>0</v>
      </c>
      <c r="X247" s="114">
        <v>2934.7037037037039</v>
      </c>
      <c r="Y247" s="114">
        <v>0</v>
      </c>
      <c r="Z247" s="114">
        <v>13</v>
      </c>
      <c r="AA247" s="114">
        <v>0</v>
      </c>
      <c r="AB247" s="657">
        <v>0</v>
      </c>
      <c r="AC247" s="657">
        <v>0</v>
      </c>
      <c r="AD247" s="768">
        <v>13</v>
      </c>
      <c r="AE247" s="769">
        <v>0</v>
      </c>
      <c r="AF247" s="769">
        <v>12</v>
      </c>
      <c r="AG247" s="770">
        <v>12</v>
      </c>
      <c r="AH247" s="769">
        <v>0</v>
      </c>
      <c r="AI247" s="769">
        <v>0</v>
      </c>
      <c r="AJ247" s="769">
        <v>11.818485186894597</v>
      </c>
      <c r="AK247" s="769">
        <v>11.818485186894597</v>
      </c>
      <c r="AL247" s="769">
        <v>0</v>
      </c>
      <c r="AM247" s="769">
        <v>0</v>
      </c>
      <c r="AN247" s="769">
        <v>10.94944932465491</v>
      </c>
      <c r="AO247" s="769">
        <v>10.94944932465491</v>
      </c>
      <c r="AP247" s="769">
        <v>0</v>
      </c>
      <c r="AQ247" s="769">
        <v>0</v>
      </c>
      <c r="AR247" s="769">
        <v>0</v>
      </c>
      <c r="AS247" s="769">
        <v>10.74435323944977</v>
      </c>
      <c r="AT247" s="769">
        <v>11.268628115400743</v>
      </c>
      <c r="AU247" s="769">
        <v>11.818485186894597</v>
      </c>
      <c r="AV247" s="769">
        <v>12.395172747066891</v>
      </c>
      <c r="AW247" s="769">
        <v>13</v>
      </c>
      <c r="AX247" s="769">
        <v>9.99087004276549</v>
      </c>
      <c r="AY247" s="769">
        <v>10.459183775155381</v>
      </c>
      <c r="AZ247" s="769">
        <v>10.94944932465491</v>
      </c>
      <c r="BA247" s="769">
        <v>11.462695664452534</v>
      </c>
      <c r="BB247" s="769">
        <v>12</v>
      </c>
      <c r="BC247" s="769">
        <v>0</v>
      </c>
      <c r="BD247" s="769">
        <v>0</v>
      </c>
      <c r="BE247" s="769">
        <v>0</v>
      </c>
      <c r="BF247" s="769">
        <v>0</v>
      </c>
      <c r="BG247" s="769">
        <v>0</v>
      </c>
      <c r="BH247" s="771">
        <v>13.120365686805568</v>
      </c>
      <c r="BI247" s="771">
        <v>13.241845827346536</v>
      </c>
      <c r="BJ247" s="771">
        <v>13.364450740237462</v>
      </c>
      <c r="BK247" s="772">
        <v>13.740094877098025</v>
      </c>
      <c r="BL247" s="772">
        <v>14.115739013958589</v>
      </c>
      <c r="BM247" s="772">
        <v>14.491383150819155</v>
      </c>
      <c r="BN247" s="772">
        <v>14.867027287679718</v>
      </c>
      <c r="BO247" s="772">
        <v>15.311201841709986</v>
      </c>
      <c r="BP247" s="772">
        <v>15.755376395740255</v>
      </c>
      <c r="BQ247" s="772">
        <v>16.986755770129765</v>
      </c>
      <c r="BR247" s="772">
        <v>18.453860010314393</v>
      </c>
      <c r="BS247" s="772">
        <v>19.098036597800888</v>
      </c>
      <c r="BT247" s="772">
        <v>19.451790088918727</v>
      </c>
      <c r="BU247" s="772">
        <v>19.818135206888428</v>
      </c>
      <c r="BV247" s="772">
        <v>20.193294463654443</v>
      </c>
      <c r="BW247" s="771">
        <v>12.111106787820525</v>
      </c>
      <c r="BX247" s="771">
        <v>12.223242302166033</v>
      </c>
      <c r="BY247" s="771">
        <v>12.336416067911504</v>
      </c>
      <c r="BZ247" s="772">
        <v>12.683164501936639</v>
      </c>
      <c r="CA247" s="772">
        <v>13.029912935961775</v>
      </c>
      <c r="CB247" s="772">
        <v>13.376661369986913</v>
      </c>
      <c r="CC247" s="772">
        <v>13.723409804012048</v>
      </c>
      <c r="CD247" s="772">
        <v>14.133417084655372</v>
      </c>
      <c r="CE247" s="772">
        <v>14.543424365298696</v>
      </c>
      <c r="CF247" s="772">
        <v>15.680082249350553</v>
      </c>
      <c r="CG247" s="772">
        <v>17.034332317213288</v>
      </c>
      <c r="CH247" s="772">
        <v>17.628956859508513</v>
      </c>
      <c r="CI247" s="772">
        <v>17.955498543617285</v>
      </c>
      <c r="CJ247" s="772">
        <v>18.29366326789701</v>
      </c>
      <c r="CK247" s="772">
        <v>18.639964120296408</v>
      </c>
      <c r="CL247" s="771">
        <v>0</v>
      </c>
      <c r="CM247" s="771">
        <v>0</v>
      </c>
      <c r="CN247" s="771">
        <v>0</v>
      </c>
      <c r="CO247" s="772">
        <v>0</v>
      </c>
      <c r="CP247" s="772">
        <v>0</v>
      </c>
      <c r="CQ247" s="772">
        <v>0</v>
      </c>
      <c r="CR247" s="772">
        <v>0</v>
      </c>
      <c r="CS247" s="772">
        <v>0</v>
      </c>
      <c r="CT247" s="772">
        <v>0</v>
      </c>
      <c r="CU247" s="772">
        <v>0</v>
      </c>
      <c r="CV247" s="772">
        <v>0</v>
      </c>
      <c r="CW247" s="772">
        <v>0</v>
      </c>
      <c r="CX247" s="772">
        <v>0</v>
      </c>
      <c r="CY247" s="772">
        <v>0</v>
      </c>
      <c r="CZ247" s="772">
        <v>0</v>
      </c>
      <c r="DA247" s="773">
        <v>0</v>
      </c>
      <c r="DB247" s="773">
        <v>0</v>
      </c>
      <c r="DC247" s="773">
        <v>0</v>
      </c>
      <c r="DD247" s="774">
        <v>0</v>
      </c>
      <c r="DE247" s="774">
        <v>0</v>
      </c>
      <c r="DF247" s="774">
        <v>0</v>
      </c>
      <c r="DG247" s="774">
        <v>0</v>
      </c>
      <c r="DH247" s="774">
        <v>0</v>
      </c>
      <c r="DI247" s="774">
        <v>0</v>
      </c>
      <c r="DJ247" s="774">
        <v>0</v>
      </c>
      <c r="DK247" s="774">
        <v>0</v>
      </c>
      <c r="DL247" s="774">
        <v>0</v>
      </c>
      <c r="DM247" s="774">
        <v>0</v>
      </c>
      <c r="DN247" s="774">
        <v>0</v>
      </c>
      <c r="DO247" s="774">
        <v>0</v>
      </c>
      <c r="DP247" s="773">
        <v>0</v>
      </c>
      <c r="DQ247" s="773">
        <v>0</v>
      </c>
      <c r="DR247" s="773">
        <v>0</v>
      </c>
      <c r="DS247" s="774">
        <v>0</v>
      </c>
      <c r="DT247" s="774">
        <v>0</v>
      </c>
      <c r="DU247" s="774">
        <v>0</v>
      </c>
      <c r="DV247" s="774">
        <v>0</v>
      </c>
      <c r="DW247" s="774">
        <v>0</v>
      </c>
      <c r="DX247" s="774">
        <v>0</v>
      </c>
      <c r="DY247" s="774">
        <v>0</v>
      </c>
      <c r="DZ247" s="774">
        <v>0</v>
      </c>
      <c r="EA247" s="774">
        <v>0</v>
      </c>
      <c r="EB247" s="774">
        <v>0</v>
      </c>
      <c r="EC247" s="774">
        <v>0</v>
      </c>
      <c r="ED247" s="774">
        <v>0</v>
      </c>
    </row>
    <row r="248" spans="1:134" ht="15" x14ac:dyDescent="0.25">
      <c r="A248" s="766">
        <v>94</v>
      </c>
      <c r="B248" s="766">
        <v>96</v>
      </c>
      <c r="C248" s="766" t="s">
        <v>3919</v>
      </c>
      <c r="D248" s="2">
        <v>99709</v>
      </c>
      <c r="E248" s="2">
        <v>99709</v>
      </c>
      <c r="F248" s="767" t="s">
        <v>3676</v>
      </c>
      <c r="G248" s="114">
        <v>262</v>
      </c>
      <c r="H248" s="114">
        <v>120</v>
      </c>
      <c r="I248" s="114">
        <v>116</v>
      </c>
      <c r="J248" s="114">
        <v>4</v>
      </c>
      <c r="K248" s="114">
        <v>0</v>
      </c>
      <c r="L248" s="114">
        <v>0</v>
      </c>
      <c r="M248" s="114">
        <v>0</v>
      </c>
      <c r="N248" s="114">
        <v>0</v>
      </c>
      <c r="O248" s="114">
        <v>0</v>
      </c>
      <c r="P248" s="114">
        <v>0</v>
      </c>
      <c r="Q248" s="114">
        <v>0</v>
      </c>
      <c r="R248" s="114">
        <v>0</v>
      </c>
      <c r="S248" s="114">
        <v>834.49503068156923</v>
      </c>
      <c r="T248" s="114">
        <v>834.49503068156923</v>
      </c>
      <c r="U248" s="114">
        <v>1408.3846153846155</v>
      </c>
      <c r="V248" s="114">
        <v>0</v>
      </c>
      <c r="W248" s="114">
        <v>0</v>
      </c>
      <c r="X248" s="114">
        <v>1365.173957061457</v>
      </c>
      <c r="Y248" s="114">
        <v>2.7494802494802495</v>
      </c>
      <c r="Z248" s="114">
        <v>117.0945945945946</v>
      </c>
      <c r="AA248" s="114">
        <v>0.15592515592515593</v>
      </c>
      <c r="AB248" s="657">
        <v>0</v>
      </c>
      <c r="AC248" s="657">
        <v>0</v>
      </c>
      <c r="AD248" s="768">
        <v>120</v>
      </c>
      <c r="AE248" s="769">
        <v>2.6578309078309079</v>
      </c>
      <c r="AF248" s="769">
        <v>113.19144144144144</v>
      </c>
      <c r="AG248" s="770">
        <v>115.84927234927235</v>
      </c>
      <c r="AH248" s="769">
        <v>0.15072765072765074</v>
      </c>
      <c r="AI248" s="769">
        <v>2.6179407014505931</v>
      </c>
      <c r="AJ248" s="769">
        <v>111.4926012532711</v>
      </c>
      <c r="AK248" s="769">
        <v>114.1105419547217</v>
      </c>
      <c r="AL248" s="769">
        <v>0.14846544620702798</v>
      </c>
      <c r="AM248" s="769">
        <v>2.5354500973534053</v>
      </c>
      <c r="AN248" s="769">
        <v>107.97949951469728</v>
      </c>
      <c r="AO248" s="769">
        <v>110.51494961205069</v>
      </c>
      <c r="AP248" s="769">
        <v>0.14378734011455985</v>
      </c>
      <c r="AQ248" s="769">
        <v>0</v>
      </c>
      <c r="AR248" s="769">
        <v>0</v>
      </c>
      <c r="AS248" s="769">
        <v>108.65131048107111</v>
      </c>
      <c r="AT248" s="769">
        <v>111.34747380648452</v>
      </c>
      <c r="AU248" s="769">
        <v>114.11054195472168</v>
      </c>
      <c r="AV248" s="769">
        <v>116.94217515729561</v>
      </c>
      <c r="AW248" s="769">
        <v>119.84407484407484</v>
      </c>
      <c r="AX248" s="769">
        <v>105.42624774484237</v>
      </c>
      <c r="AY248" s="769">
        <v>107.9406154202802</v>
      </c>
      <c r="AZ248" s="769">
        <v>110.5149496120507</v>
      </c>
      <c r="BA248" s="769">
        <v>113.15068049407644</v>
      </c>
      <c r="BB248" s="769">
        <v>115.84927234927235</v>
      </c>
      <c r="BC248" s="769">
        <v>0</v>
      </c>
      <c r="BD248" s="769">
        <v>0</v>
      </c>
      <c r="BE248" s="769">
        <v>0</v>
      </c>
      <c r="BF248" s="769">
        <v>0</v>
      </c>
      <c r="BG248" s="769">
        <v>0</v>
      </c>
      <c r="BH248" s="771">
        <v>120.45799157868828</v>
      </c>
      <c r="BI248" s="771">
        <v>121.07505318097691</v>
      </c>
      <c r="BJ248" s="771">
        <v>121.69527576093108</v>
      </c>
      <c r="BK248" s="772">
        <v>124.33391409504873</v>
      </c>
      <c r="BL248" s="772">
        <v>126.97255242916637</v>
      </c>
      <c r="BM248" s="772">
        <v>129.61119076328399</v>
      </c>
      <c r="BN248" s="772">
        <v>132.24982909740163</v>
      </c>
      <c r="BO248" s="772">
        <v>135.36984586406533</v>
      </c>
      <c r="BP248" s="772">
        <v>138.48986263072899</v>
      </c>
      <c r="BQ248" s="772">
        <v>147.13944478116736</v>
      </c>
      <c r="BR248" s="772">
        <v>157.44482987422586</v>
      </c>
      <c r="BS248" s="772">
        <v>161.96972157595334</v>
      </c>
      <c r="BT248" s="772">
        <v>164.45459337587701</v>
      </c>
      <c r="BU248" s="772">
        <v>167.02791258131029</v>
      </c>
      <c r="BV248" s="772">
        <v>169.6631449706004</v>
      </c>
      <c r="BW248" s="771">
        <v>116.44272519273201</v>
      </c>
      <c r="BX248" s="771">
        <v>117.03921807494436</v>
      </c>
      <c r="BY248" s="771">
        <v>117.63876656890005</v>
      </c>
      <c r="BZ248" s="772">
        <v>120.18945029188045</v>
      </c>
      <c r="CA248" s="772">
        <v>122.74013401486083</v>
      </c>
      <c r="CB248" s="772">
        <v>125.29081773784119</v>
      </c>
      <c r="CC248" s="772">
        <v>127.84150146082159</v>
      </c>
      <c r="CD248" s="772">
        <v>130.85751766859647</v>
      </c>
      <c r="CE248" s="772">
        <v>133.87353387637137</v>
      </c>
      <c r="CF248" s="772">
        <v>142.23479662179514</v>
      </c>
      <c r="CG248" s="772">
        <v>152.19666887841834</v>
      </c>
      <c r="CH248" s="772">
        <v>156.57073085675489</v>
      </c>
      <c r="CI248" s="772">
        <v>158.97277359668112</v>
      </c>
      <c r="CJ248" s="772">
        <v>161.46031549526663</v>
      </c>
      <c r="CK248" s="772">
        <v>164.00770680491374</v>
      </c>
      <c r="CL248" s="771">
        <v>0</v>
      </c>
      <c r="CM248" s="771">
        <v>0</v>
      </c>
      <c r="CN248" s="771">
        <v>0</v>
      </c>
      <c r="CO248" s="772">
        <v>0</v>
      </c>
      <c r="CP248" s="772">
        <v>0</v>
      </c>
      <c r="CQ248" s="772">
        <v>0</v>
      </c>
      <c r="CR248" s="772">
        <v>0</v>
      </c>
      <c r="CS248" s="772">
        <v>0</v>
      </c>
      <c r="CT248" s="772">
        <v>0</v>
      </c>
      <c r="CU248" s="772">
        <v>0</v>
      </c>
      <c r="CV248" s="772">
        <v>0</v>
      </c>
      <c r="CW248" s="772">
        <v>0</v>
      </c>
      <c r="CX248" s="772">
        <v>0</v>
      </c>
      <c r="CY248" s="772">
        <v>0</v>
      </c>
      <c r="CZ248" s="772">
        <v>0</v>
      </c>
      <c r="DA248" s="773">
        <v>0.1567239026524698</v>
      </c>
      <c r="DB248" s="773">
        <v>0.15752674106294159</v>
      </c>
      <c r="DC248" s="773">
        <v>0.15833369211674614</v>
      </c>
      <c r="DD248" s="774">
        <v>0.16176673704794264</v>
      </c>
      <c r="DE248" s="774">
        <v>0.16519978197913918</v>
      </c>
      <c r="DF248" s="774">
        <v>0.16863282691033565</v>
      </c>
      <c r="DG248" s="774">
        <v>0.17206587184153219</v>
      </c>
      <c r="DH248" s="774">
        <v>0.17612522230557548</v>
      </c>
      <c r="DI248" s="774">
        <v>0.1801845727696188</v>
      </c>
      <c r="DJ248" s="774">
        <v>0.19143825758673869</v>
      </c>
      <c r="DK248" s="774">
        <v>0.2048462527637599</v>
      </c>
      <c r="DL248" s="774">
        <v>0.210733439469104</v>
      </c>
      <c r="DM248" s="774">
        <v>0.21396642385620218</v>
      </c>
      <c r="DN248" s="774">
        <v>0.21731448423277425</v>
      </c>
      <c r="DO248" s="774">
        <v>0.22074309780197815</v>
      </c>
      <c r="DP248" s="773">
        <v>0</v>
      </c>
      <c r="DQ248" s="773">
        <v>0</v>
      </c>
      <c r="DR248" s="773">
        <v>0</v>
      </c>
      <c r="DS248" s="774">
        <v>0</v>
      </c>
      <c r="DT248" s="774">
        <v>0</v>
      </c>
      <c r="DU248" s="774">
        <v>0</v>
      </c>
      <c r="DV248" s="774">
        <v>0</v>
      </c>
      <c r="DW248" s="774">
        <v>0</v>
      </c>
      <c r="DX248" s="774">
        <v>0</v>
      </c>
      <c r="DY248" s="774">
        <v>0</v>
      </c>
      <c r="DZ248" s="774">
        <v>0</v>
      </c>
      <c r="EA248" s="774">
        <v>0</v>
      </c>
      <c r="EB248" s="774">
        <v>0</v>
      </c>
      <c r="EC248" s="774">
        <v>0</v>
      </c>
      <c r="ED248" s="774">
        <v>0</v>
      </c>
    </row>
    <row r="249" spans="1:134" ht="15" x14ac:dyDescent="0.25">
      <c r="A249" s="766">
        <v>98</v>
      </c>
      <c r="B249" s="766">
        <v>96</v>
      </c>
      <c r="C249" s="766" t="s">
        <v>3920</v>
      </c>
      <c r="D249" s="2">
        <v>99709</v>
      </c>
      <c r="E249" s="2">
        <v>99709</v>
      </c>
      <c r="F249" s="767" t="s">
        <v>3676</v>
      </c>
      <c r="G249" s="114">
        <v>270</v>
      </c>
      <c r="H249" s="114">
        <v>144</v>
      </c>
      <c r="I249" s="114">
        <v>118</v>
      </c>
      <c r="J249" s="114">
        <v>26</v>
      </c>
      <c r="K249" s="114">
        <v>0</v>
      </c>
      <c r="L249" s="114">
        <v>4</v>
      </c>
      <c r="M249" s="114">
        <v>4</v>
      </c>
      <c r="N249" s="114">
        <v>0</v>
      </c>
      <c r="O249" s="114">
        <v>0</v>
      </c>
      <c r="P249" s="114">
        <v>0</v>
      </c>
      <c r="Q249" s="114">
        <v>4</v>
      </c>
      <c r="R249" s="114">
        <v>0</v>
      </c>
      <c r="S249" s="114">
        <v>1397</v>
      </c>
      <c r="T249" s="114">
        <v>1397</v>
      </c>
      <c r="U249" s="114">
        <v>0</v>
      </c>
      <c r="V249" s="114">
        <v>0</v>
      </c>
      <c r="W249" s="114">
        <v>0</v>
      </c>
      <c r="X249" s="114">
        <v>1397</v>
      </c>
      <c r="Y249" s="114">
        <v>0</v>
      </c>
      <c r="Z249" s="114">
        <v>144</v>
      </c>
      <c r="AA249" s="114">
        <v>0</v>
      </c>
      <c r="AB249" s="657">
        <v>0</v>
      </c>
      <c r="AC249" s="657">
        <v>0</v>
      </c>
      <c r="AD249" s="768">
        <v>144</v>
      </c>
      <c r="AE249" s="769">
        <v>0</v>
      </c>
      <c r="AF249" s="769">
        <v>118</v>
      </c>
      <c r="AG249" s="770">
        <v>118</v>
      </c>
      <c r="AH249" s="769">
        <v>0</v>
      </c>
      <c r="AI249" s="769">
        <v>0</v>
      </c>
      <c r="AJ249" s="769">
        <v>137.11080888111448</v>
      </c>
      <c r="AK249" s="769">
        <v>137.11080888111448</v>
      </c>
      <c r="AL249" s="769">
        <v>0</v>
      </c>
      <c r="AM249" s="769">
        <v>0</v>
      </c>
      <c r="AN249" s="769">
        <v>112.56664620996121</v>
      </c>
      <c r="AO249" s="769">
        <v>112.56664620996121</v>
      </c>
      <c r="AP249" s="769">
        <v>0</v>
      </c>
      <c r="AQ249" s="769">
        <v>0</v>
      </c>
      <c r="AR249" s="769">
        <v>0</v>
      </c>
      <c r="AS249" s="769">
        <v>130.55120772245485</v>
      </c>
      <c r="AT249" s="769">
        <v>133.79081317950116</v>
      </c>
      <c r="AU249" s="769">
        <v>137.11080888111448</v>
      </c>
      <c r="AV249" s="769">
        <v>140.51318969719705</v>
      </c>
      <c r="AW249" s="769">
        <v>144</v>
      </c>
      <c r="AX249" s="769">
        <v>107.38347321151332</v>
      </c>
      <c r="AY249" s="769">
        <v>109.94451981702984</v>
      </c>
      <c r="AZ249" s="769">
        <v>112.56664620996121</v>
      </c>
      <c r="BA249" s="769">
        <v>115.25130911523487</v>
      </c>
      <c r="BB249" s="769">
        <v>118</v>
      </c>
      <c r="BC249" s="769">
        <v>0</v>
      </c>
      <c r="BD249" s="769">
        <v>0</v>
      </c>
      <c r="BE249" s="769">
        <v>0</v>
      </c>
      <c r="BF249" s="769">
        <v>0</v>
      </c>
      <c r="BG249" s="769">
        <v>0</v>
      </c>
      <c r="BH249" s="771">
        <v>145.49815206226501</v>
      </c>
      <c r="BI249" s="771">
        <v>147.01189064954161</v>
      </c>
      <c r="BJ249" s="771">
        <v>148.54137792144502</v>
      </c>
      <c r="BK249" s="772">
        <v>148.9572247371427</v>
      </c>
      <c r="BL249" s="772">
        <v>149.37307155284037</v>
      </c>
      <c r="BM249" s="772">
        <v>149.78891836853811</v>
      </c>
      <c r="BN249" s="772">
        <v>150.20476518423578</v>
      </c>
      <c r="BO249" s="772">
        <v>150.69647676917126</v>
      </c>
      <c r="BP249" s="772">
        <v>151.18818835410676</v>
      </c>
      <c r="BQ249" s="772">
        <v>152.55135402477387</v>
      </c>
      <c r="BR249" s="772">
        <v>154.17547261657776</v>
      </c>
      <c r="BS249" s="772">
        <v>154.88859111455847</v>
      </c>
      <c r="BT249" s="772">
        <v>155.2802044751522</v>
      </c>
      <c r="BU249" s="772">
        <v>155.68575706017936</v>
      </c>
      <c r="BV249" s="772">
        <v>156.10106710230991</v>
      </c>
      <c r="BW249" s="771">
        <v>119.22765238435606</v>
      </c>
      <c r="BX249" s="771">
        <v>120.46807706004105</v>
      </c>
      <c r="BY249" s="771">
        <v>121.72140690785078</v>
      </c>
      <c r="BZ249" s="772">
        <v>122.06217027071416</v>
      </c>
      <c r="CA249" s="772">
        <v>122.40293363357753</v>
      </c>
      <c r="CB249" s="772">
        <v>122.74369699644095</v>
      </c>
      <c r="CC249" s="772">
        <v>123.08446035930432</v>
      </c>
      <c r="CD249" s="772">
        <v>123.48739068584867</v>
      </c>
      <c r="CE249" s="772">
        <v>123.89032101239304</v>
      </c>
      <c r="CF249" s="772">
        <v>125.00735954807858</v>
      </c>
      <c r="CG249" s="772">
        <v>126.33823450525122</v>
      </c>
      <c r="CH249" s="772">
        <v>126.92259549665206</v>
      </c>
      <c r="CI249" s="772">
        <v>127.24350088936083</v>
      </c>
      <c r="CJ249" s="772">
        <v>127.57582870209141</v>
      </c>
      <c r="CK249" s="772">
        <v>127.91615220883729</v>
      </c>
      <c r="CL249" s="771">
        <v>0</v>
      </c>
      <c r="CM249" s="771">
        <v>0</v>
      </c>
      <c r="CN249" s="771">
        <v>0</v>
      </c>
      <c r="CO249" s="772">
        <v>0</v>
      </c>
      <c r="CP249" s="772">
        <v>0</v>
      </c>
      <c r="CQ249" s="772">
        <v>0</v>
      </c>
      <c r="CR249" s="772">
        <v>0</v>
      </c>
      <c r="CS249" s="772">
        <v>0</v>
      </c>
      <c r="CT249" s="772">
        <v>0</v>
      </c>
      <c r="CU249" s="772">
        <v>0</v>
      </c>
      <c r="CV249" s="772">
        <v>0</v>
      </c>
      <c r="CW249" s="772">
        <v>0</v>
      </c>
      <c r="CX249" s="772">
        <v>0</v>
      </c>
      <c r="CY249" s="772">
        <v>0</v>
      </c>
      <c r="CZ249" s="772">
        <v>0</v>
      </c>
      <c r="DA249" s="773">
        <v>0</v>
      </c>
      <c r="DB249" s="773">
        <v>0</v>
      </c>
      <c r="DC249" s="773">
        <v>0</v>
      </c>
      <c r="DD249" s="774">
        <v>0</v>
      </c>
      <c r="DE249" s="774">
        <v>0</v>
      </c>
      <c r="DF249" s="774">
        <v>0</v>
      </c>
      <c r="DG249" s="774">
        <v>0</v>
      </c>
      <c r="DH249" s="774">
        <v>0</v>
      </c>
      <c r="DI249" s="774">
        <v>0</v>
      </c>
      <c r="DJ249" s="774">
        <v>0</v>
      </c>
      <c r="DK249" s="774">
        <v>0</v>
      </c>
      <c r="DL249" s="774">
        <v>0</v>
      </c>
      <c r="DM249" s="774">
        <v>0</v>
      </c>
      <c r="DN249" s="774">
        <v>0</v>
      </c>
      <c r="DO249" s="774">
        <v>0</v>
      </c>
      <c r="DP249" s="773">
        <v>0</v>
      </c>
      <c r="DQ249" s="773">
        <v>0</v>
      </c>
      <c r="DR249" s="773">
        <v>0</v>
      </c>
      <c r="DS249" s="774">
        <v>0</v>
      </c>
      <c r="DT249" s="774">
        <v>0</v>
      </c>
      <c r="DU249" s="774">
        <v>0</v>
      </c>
      <c r="DV249" s="774">
        <v>0</v>
      </c>
      <c r="DW249" s="774">
        <v>0</v>
      </c>
      <c r="DX249" s="774">
        <v>0</v>
      </c>
      <c r="DY249" s="774">
        <v>0</v>
      </c>
      <c r="DZ249" s="774">
        <v>0</v>
      </c>
      <c r="EA249" s="774">
        <v>0</v>
      </c>
      <c r="EB249" s="774">
        <v>0</v>
      </c>
      <c r="EC249" s="774">
        <v>0</v>
      </c>
      <c r="ED249" s="774">
        <v>0</v>
      </c>
    </row>
    <row r="250" spans="1:134" ht="15" x14ac:dyDescent="0.25">
      <c r="A250" s="766">
        <v>101</v>
      </c>
      <c r="B250" s="766">
        <v>96</v>
      </c>
      <c r="C250" s="766" t="s">
        <v>3921</v>
      </c>
      <c r="D250" s="2">
        <v>99709</v>
      </c>
      <c r="E250" s="2">
        <v>99709</v>
      </c>
      <c r="F250" s="767" t="s">
        <v>3746</v>
      </c>
      <c r="G250" s="114">
        <v>49</v>
      </c>
      <c r="H250" s="114">
        <v>34</v>
      </c>
      <c r="I250" s="114">
        <v>27</v>
      </c>
      <c r="J250" s="114">
        <v>7</v>
      </c>
      <c r="K250" s="114">
        <v>0</v>
      </c>
      <c r="L250" s="114">
        <v>12</v>
      </c>
      <c r="M250" s="114">
        <v>12</v>
      </c>
      <c r="N250" s="114">
        <v>0</v>
      </c>
      <c r="O250" s="114">
        <v>0</v>
      </c>
      <c r="P250" s="114">
        <v>0</v>
      </c>
      <c r="Q250" s="114">
        <v>12</v>
      </c>
      <c r="R250" s="114">
        <v>0</v>
      </c>
      <c r="S250" s="114">
        <v>1782.4166666666667</v>
      </c>
      <c r="T250" s="114">
        <v>1782.4166666666667</v>
      </c>
      <c r="U250" s="114">
        <v>0</v>
      </c>
      <c r="V250" s="114">
        <v>0</v>
      </c>
      <c r="W250" s="114">
        <v>0</v>
      </c>
      <c r="X250" s="114">
        <v>1782.4166666666667</v>
      </c>
      <c r="Y250" s="114">
        <v>0</v>
      </c>
      <c r="Z250" s="114">
        <v>34</v>
      </c>
      <c r="AA250" s="114">
        <v>0</v>
      </c>
      <c r="AB250" s="657">
        <v>0</v>
      </c>
      <c r="AC250" s="657">
        <v>0</v>
      </c>
      <c r="AD250" s="768">
        <v>34</v>
      </c>
      <c r="AE250" s="769">
        <v>0</v>
      </c>
      <c r="AF250" s="769">
        <v>27</v>
      </c>
      <c r="AG250" s="770">
        <v>27</v>
      </c>
      <c r="AH250" s="769">
        <v>0</v>
      </c>
      <c r="AI250" s="769">
        <v>0</v>
      </c>
      <c r="AJ250" s="769">
        <v>32.373385430263134</v>
      </c>
      <c r="AK250" s="769">
        <v>32.373385430263134</v>
      </c>
      <c r="AL250" s="769">
        <v>0</v>
      </c>
      <c r="AM250" s="769">
        <v>0</v>
      </c>
      <c r="AN250" s="769">
        <v>25.75677498024536</v>
      </c>
      <c r="AO250" s="769">
        <v>25.75677498024536</v>
      </c>
      <c r="AP250" s="769">
        <v>0</v>
      </c>
      <c r="AQ250" s="769">
        <v>0</v>
      </c>
      <c r="AR250" s="769">
        <v>0</v>
      </c>
      <c r="AS250" s="769">
        <v>30.824590712246284</v>
      </c>
      <c r="AT250" s="769">
        <v>31.589497556271105</v>
      </c>
      <c r="AU250" s="769">
        <v>32.373385430263134</v>
      </c>
      <c r="AV250" s="769">
        <v>33.176725345171526</v>
      </c>
      <c r="AW250" s="769">
        <v>34</v>
      </c>
      <c r="AX250" s="769">
        <v>24.570794717888642</v>
      </c>
      <c r="AY250" s="769">
        <v>25.156796907286491</v>
      </c>
      <c r="AZ250" s="769">
        <v>25.75677498024536</v>
      </c>
      <c r="BA250" s="769">
        <v>26.37106225518086</v>
      </c>
      <c r="BB250" s="769">
        <v>27</v>
      </c>
      <c r="BC250" s="769">
        <v>0</v>
      </c>
      <c r="BD250" s="769">
        <v>0</v>
      </c>
      <c r="BE250" s="769">
        <v>0</v>
      </c>
      <c r="BF250" s="769">
        <v>0</v>
      </c>
      <c r="BG250" s="769">
        <v>0</v>
      </c>
      <c r="BH250" s="771">
        <v>34.353730348034794</v>
      </c>
      <c r="BI250" s="771">
        <v>34.711140847808437</v>
      </c>
      <c r="BJ250" s="771">
        <v>35.072269787007848</v>
      </c>
      <c r="BK250" s="772">
        <v>35.170455840714247</v>
      </c>
      <c r="BL250" s="772">
        <v>35.268641894420639</v>
      </c>
      <c r="BM250" s="772">
        <v>35.366827948127046</v>
      </c>
      <c r="BN250" s="772">
        <v>35.465014001833445</v>
      </c>
      <c r="BO250" s="772">
        <v>35.581112570498767</v>
      </c>
      <c r="BP250" s="772">
        <v>35.697211139164089</v>
      </c>
      <c r="BQ250" s="772">
        <v>36.019069700293826</v>
      </c>
      <c r="BR250" s="772">
        <v>36.402542145580853</v>
      </c>
      <c r="BS250" s="772">
        <v>36.570917346492962</v>
      </c>
      <c r="BT250" s="772">
        <v>36.663381612188708</v>
      </c>
      <c r="BU250" s="772">
        <v>36.759137083653457</v>
      </c>
      <c r="BV250" s="772">
        <v>36.857196399156507</v>
      </c>
      <c r="BW250" s="771">
        <v>27.280903511674691</v>
      </c>
      <c r="BX250" s="771">
        <v>27.564729496789052</v>
      </c>
      <c r="BY250" s="771">
        <v>27.851508360270941</v>
      </c>
      <c r="BZ250" s="772">
        <v>27.929479638214257</v>
      </c>
      <c r="CA250" s="772">
        <v>28.007450916157573</v>
      </c>
      <c r="CB250" s="772">
        <v>28.085422194100893</v>
      </c>
      <c r="CC250" s="772">
        <v>28.163393472044209</v>
      </c>
      <c r="CD250" s="772">
        <v>28.255589394219612</v>
      </c>
      <c r="CE250" s="772">
        <v>28.347785316395019</v>
      </c>
      <c r="CF250" s="772">
        <v>28.603378879645099</v>
      </c>
      <c r="CG250" s="772">
        <v>28.907901115608329</v>
      </c>
      <c r="CH250" s="772">
        <v>29.041610833979711</v>
      </c>
      <c r="CI250" s="772">
        <v>29.115038339091036</v>
      </c>
      <c r="CJ250" s="772">
        <v>29.191079448783629</v>
      </c>
      <c r="CK250" s="772">
        <v>29.268950081683109</v>
      </c>
      <c r="CL250" s="771">
        <v>0</v>
      </c>
      <c r="CM250" s="771">
        <v>0</v>
      </c>
      <c r="CN250" s="771">
        <v>0</v>
      </c>
      <c r="CO250" s="772">
        <v>0</v>
      </c>
      <c r="CP250" s="772">
        <v>0</v>
      </c>
      <c r="CQ250" s="772">
        <v>0</v>
      </c>
      <c r="CR250" s="772">
        <v>0</v>
      </c>
      <c r="CS250" s="772">
        <v>0</v>
      </c>
      <c r="CT250" s="772">
        <v>0</v>
      </c>
      <c r="CU250" s="772">
        <v>0</v>
      </c>
      <c r="CV250" s="772">
        <v>0</v>
      </c>
      <c r="CW250" s="772">
        <v>0</v>
      </c>
      <c r="CX250" s="772">
        <v>0</v>
      </c>
      <c r="CY250" s="772">
        <v>0</v>
      </c>
      <c r="CZ250" s="772">
        <v>0</v>
      </c>
      <c r="DA250" s="773">
        <v>0</v>
      </c>
      <c r="DB250" s="773">
        <v>0</v>
      </c>
      <c r="DC250" s="773">
        <v>0</v>
      </c>
      <c r="DD250" s="774">
        <v>0</v>
      </c>
      <c r="DE250" s="774">
        <v>0</v>
      </c>
      <c r="DF250" s="774">
        <v>0</v>
      </c>
      <c r="DG250" s="774">
        <v>0</v>
      </c>
      <c r="DH250" s="774">
        <v>0</v>
      </c>
      <c r="DI250" s="774">
        <v>0</v>
      </c>
      <c r="DJ250" s="774">
        <v>0</v>
      </c>
      <c r="DK250" s="774">
        <v>0</v>
      </c>
      <c r="DL250" s="774">
        <v>0</v>
      </c>
      <c r="DM250" s="774">
        <v>0</v>
      </c>
      <c r="DN250" s="774">
        <v>0</v>
      </c>
      <c r="DO250" s="774">
        <v>0</v>
      </c>
      <c r="DP250" s="773">
        <v>0</v>
      </c>
      <c r="DQ250" s="773">
        <v>0</v>
      </c>
      <c r="DR250" s="773">
        <v>0</v>
      </c>
      <c r="DS250" s="774">
        <v>0</v>
      </c>
      <c r="DT250" s="774">
        <v>0</v>
      </c>
      <c r="DU250" s="774">
        <v>0</v>
      </c>
      <c r="DV250" s="774">
        <v>0</v>
      </c>
      <c r="DW250" s="774">
        <v>0</v>
      </c>
      <c r="DX250" s="774">
        <v>0</v>
      </c>
      <c r="DY250" s="774">
        <v>0</v>
      </c>
      <c r="DZ250" s="774">
        <v>0</v>
      </c>
      <c r="EA250" s="774">
        <v>0</v>
      </c>
      <c r="EB250" s="774">
        <v>0</v>
      </c>
      <c r="EC250" s="774">
        <v>0</v>
      </c>
      <c r="ED250" s="774">
        <v>0</v>
      </c>
    </row>
    <row r="251" spans="1:134" ht="15" x14ac:dyDescent="0.25">
      <c r="A251" s="766">
        <v>103</v>
      </c>
      <c r="B251" s="766">
        <v>96</v>
      </c>
      <c r="C251" s="766" t="s">
        <v>3922</v>
      </c>
      <c r="D251" s="2">
        <v>99709</v>
      </c>
      <c r="E251" s="2">
        <v>99709</v>
      </c>
      <c r="F251" s="767" t="s">
        <v>3746</v>
      </c>
      <c r="G251" s="114">
        <v>291</v>
      </c>
      <c r="H251" s="114">
        <v>167</v>
      </c>
      <c r="I251" s="114">
        <v>155</v>
      </c>
      <c r="J251" s="114">
        <v>12</v>
      </c>
      <c r="K251" s="114">
        <v>9</v>
      </c>
      <c r="L251" s="114">
        <v>56</v>
      </c>
      <c r="M251" s="114">
        <v>65</v>
      </c>
      <c r="N251" s="114">
        <v>0</v>
      </c>
      <c r="O251" s="114">
        <v>0</v>
      </c>
      <c r="P251" s="114">
        <v>0</v>
      </c>
      <c r="Q251" s="114">
        <v>65</v>
      </c>
      <c r="R251" s="114">
        <v>5317.666666666667</v>
      </c>
      <c r="S251" s="114">
        <v>1757.75</v>
      </c>
      <c r="T251" s="114">
        <v>2250.6615384615384</v>
      </c>
      <c r="U251" s="114">
        <v>0</v>
      </c>
      <c r="V251" s="114">
        <v>0</v>
      </c>
      <c r="W251" s="114">
        <v>0</v>
      </c>
      <c r="X251" s="114">
        <v>2250.6615384615384</v>
      </c>
      <c r="Y251" s="114">
        <v>23.123076923076923</v>
      </c>
      <c r="Z251" s="114">
        <v>143.87692307692308</v>
      </c>
      <c r="AA251" s="114">
        <v>0</v>
      </c>
      <c r="AB251" s="657">
        <v>0</v>
      </c>
      <c r="AC251" s="657">
        <v>0</v>
      </c>
      <c r="AD251" s="768">
        <v>167</v>
      </c>
      <c r="AE251" s="769">
        <v>21.46153846153846</v>
      </c>
      <c r="AF251" s="769">
        <v>133.53846153846155</v>
      </c>
      <c r="AG251" s="770">
        <v>155</v>
      </c>
      <c r="AH251" s="769">
        <v>0</v>
      </c>
      <c r="AI251" s="769">
        <v>22.01683181071742</v>
      </c>
      <c r="AJ251" s="769">
        <v>136.99362015557506</v>
      </c>
      <c r="AK251" s="769">
        <v>159.01045196629246</v>
      </c>
      <c r="AL251" s="769">
        <v>0</v>
      </c>
      <c r="AM251" s="769">
        <v>20.473333958656568</v>
      </c>
      <c r="AN251" s="769">
        <v>127.38963352052977</v>
      </c>
      <c r="AO251" s="769">
        <v>147.86296747918635</v>
      </c>
      <c r="AP251" s="769">
        <v>0</v>
      </c>
      <c r="AQ251" s="769">
        <v>0</v>
      </c>
      <c r="AR251" s="769">
        <v>0</v>
      </c>
      <c r="AS251" s="769">
        <v>151.40313673368027</v>
      </c>
      <c r="AT251" s="769">
        <v>155.16017917344925</v>
      </c>
      <c r="AU251" s="769">
        <v>159.01045196629246</v>
      </c>
      <c r="AV251" s="769">
        <v>162.95626860716601</v>
      </c>
      <c r="AW251" s="769">
        <v>167</v>
      </c>
      <c r="AX251" s="769">
        <v>141.05456226936073</v>
      </c>
      <c r="AY251" s="769">
        <v>144.41864891220024</v>
      </c>
      <c r="AZ251" s="769">
        <v>147.86296747918632</v>
      </c>
      <c r="BA251" s="769">
        <v>151.38943146492716</v>
      </c>
      <c r="BB251" s="769">
        <v>155</v>
      </c>
      <c r="BC251" s="769">
        <v>0</v>
      </c>
      <c r="BD251" s="769">
        <v>0</v>
      </c>
      <c r="BE251" s="769">
        <v>0</v>
      </c>
      <c r="BF251" s="769">
        <v>0</v>
      </c>
      <c r="BG251" s="769">
        <v>0</v>
      </c>
      <c r="BH251" s="771">
        <v>168.73744023887679</v>
      </c>
      <c r="BI251" s="771">
        <v>170.49295651717674</v>
      </c>
      <c r="BJ251" s="771">
        <v>172.26673689500916</v>
      </c>
      <c r="BK251" s="772">
        <v>173.55828607798711</v>
      </c>
      <c r="BL251" s="772">
        <v>174.84983526096505</v>
      </c>
      <c r="BM251" s="772">
        <v>176.14138444394302</v>
      </c>
      <c r="BN251" s="772">
        <v>177.43293362692097</v>
      </c>
      <c r="BO251" s="772">
        <v>178.96010582545935</v>
      </c>
      <c r="BP251" s="772">
        <v>180.4872780239977</v>
      </c>
      <c r="BQ251" s="772">
        <v>184.72103776858012</v>
      </c>
      <c r="BR251" s="772">
        <v>189.76527271549028</v>
      </c>
      <c r="BS251" s="772">
        <v>191.98009696967671</v>
      </c>
      <c r="BT251" s="772">
        <v>193.19638118017258</v>
      </c>
      <c r="BU251" s="772">
        <v>194.45595824094102</v>
      </c>
      <c r="BV251" s="772">
        <v>195.74584029690035</v>
      </c>
      <c r="BW251" s="771">
        <v>156.61259423368804</v>
      </c>
      <c r="BX251" s="771">
        <v>158.24196562971494</v>
      </c>
      <c r="BY251" s="771">
        <v>159.88828873488873</v>
      </c>
      <c r="BZ251" s="772">
        <v>161.0870319885509</v>
      </c>
      <c r="CA251" s="772">
        <v>162.28577524221308</v>
      </c>
      <c r="CB251" s="772">
        <v>163.48451849587525</v>
      </c>
      <c r="CC251" s="772">
        <v>164.68326174953742</v>
      </c>
      <c r="CD251" s="772">
        <v>166.10069702362992</v>
      </c>
      <c r="CE251" s="772">
        <v>167.51813229772242</v>
      </c>
      <c r="CF251" s="772">
        <v>171.44766978520909</v>
      </c>
      <c r="CG251" s="772">
        <v>176.1294447359341</v>
      </c>
      <c r="CH251" s="772">
        <v>178.1851199419155</v>
      </c>
      <c r="CI251" s="772">
        <v>179.31400648459132</v>
      </c>
      <c r="CJ251" s="772">
        <v>180.48307501404705</v>
      </c>
      <c r="CK251" s="772">
        <v>181.68027093424882</v>
      </c>
      <c r="CL251" s="771">
        <v>0</v>
      </c>
      <c r="CM251" s="771">
        <v>0</v>
      </c>
      <c r="CN251" s="771">
        <v>0</v>
      </c>
      <c r="CO251" s="772">
        <v>0</v>
      </c>
      <c r="CP251" s="772">
        <v>0</v>
      </c>
      <c r="CQ251" s="772">
        <v>0</v>
      </c>
      <c r="CR251" s="772">
        <v>0</v>
      </c>
      <c r="CS251" s="772">
        <v>0</v>
      </c>
      <c r="CT251" s="772">
        <v>0</v>
      </c>
      <c r="CU251" s="772">
        <v>0</v>
      </c>
      <c r="CV251" s="772">
        <v>0</v>
      </c>
      <c r="CW251" s="772">
        <v>0</v>
      </c>
      <c r="CX251" s="772">
        <v>0</v>
      </c>
      <c r="CY251" s="772">
        <v>0</v>
      </c>
      <c r="CZ251" s="772">
        <v>0</v>
      </c>
      <c r="DA251" s="773">
        <v>0</v>
      </c>
      <c r="DB251" s="773">
        <v>0</v>
      </c>
      <c r="DC251" s="773">
        <v>0</v>
      </c>
      <c r="DD251" s="774">
        <v>0</v>
      </c>
      <c r="DE251" s="774">
        <v>0</v>
      </c>
      <c r="DF251" s="774">
        <v>0</v>
      </c>
      <c r="DG251" s="774">
        <v>0</v>
      </c>
      <c r="DH251" s="774">
        <v>0</v>
      </c>
      <c r="DI251" s="774">
        <v>0</v>
      </c>
      <c r="DJ251" s="774">
        <v>0</v>
      </c>
      <c r="DK251" s="774">
        <v>0</v>
      </c>
      <c r="DL251" s="774">
        <v>0</v>
      </c>
      <c r="DM251" s="774">
        <v>0</v>
      </c>
      <c r="DN251" s="774">
        <v>0</v>
      </c>
      <c r="DO251" s="774">
        <v>0</v>
      </c>
      <c r="DP251" s="773">
        <v>0</v>
      </c>
      <c r="DQ251" s="773">
        <v>0</v>
      </c>
      <c r="DR251" s="773">
        <v>0</v>
      </c>
      <c r="DS251" s="774">
        <v>0</v>
      </c>
      <c r="DT251" s="774">
        <v>0</v>
      </c>
      <c r="DU251" s="774">
        <v>0</v>
      </c>
      <c r="DV251" s="774">
        <v>0</v>
      </c>
      <c r="DW251" s="774">
        <v>0</v>
      </c>
      <c r="DX251" s="774">
        <v>0</v>
      </c>
      <c r="DY251" s="774">
        <v>0</v>
      </c>
      <c r="DZ251" s="774">
        <v>0</v>
      </c>
      <c r="EA251" s="774">
        <v>0</v>
      </c>
      <c r="EB251" s="774">
        <v>0</v>
      </c>
      <c r="EC251" s="774">
        <v>0</v>
      </c>
      <c r="ED251" s="774">
        <v>0</v>
      </c>
    </row>
    <row r="252" spans="1:134" ht="15" x14ac:dyDescent="0.25">
      <c r="A252" s="766">
        <v>105</v>
      </c>
      <c r="B252" s="766">
        <v>96</v>
      </c>
      <c r="C252" s="766" t="s">
        <v>3923</v>
      </c>
      <c r="D252" s="2">
        <v>99709</v>
      </c>
      <c r="E252" s="2">
        <v>99709</v>
      </c>
      <c r="F252" s="767" t="s">
        <v>3746</v>
      </c>
      <c r="G252" s="114">
        <v>77</v>
      </c>
      <c r="H252" s="114">
        <v>33</v>
      </c>
      <c r="I252" s="114">
        <v>32</v>
      </c>
      <c r="J252" s="114">
        <v>1</v>
      </c>
      <c r="K252" s="114">
        <v>0</v>
      </c>
      <c r="L252" s="114">
        <v>0</v>
      </c>
      <c r="M252" s="114">
        <v>0</v>
      </c>
      <c r="N252" s="114">
        <v>0</v>
      </c>
      <c r="O252" s="114">
        <v>0</v>
      </c>
      <c r="P252" s="114">
        <v>0</v>
      </c>
      <c r="Q252" s="114">
        <v>0</v>
      </c>
      <c r="R252" s="114">
        <v>0</v>
      </c>
      <c r="S252" s="114">
        <v>834.49503068156923</v>
      </c>
      <c r="T252" s="114">
        <v>834.49503068156923</v>
      </c>
      <c r="U252" s="114">
        <v>1408.3846153846155</v>
      </c>
      <c r="V252" s="114">
        <v>0</v>
      </c>
      <c r="W252" s="114">
        <v>0</v>
      </c>
      <c r="X252" s="114">
        <v>1365.173957061457</v>
      </c>
      <c r="Y252" s="114">
        <v>0.75610706860706856</v>
      </c>
      <c r="Z252" s="114">
        <v>32.201013513513516</v>
      </c>
      <c r="AA252" s="114">
        <v>4.2879417879417882E-2</v>
      </c>
      <c r="AB252" s="657">
        <v>0</v>
      </c>
      <c r="AC252" s="657">
        <v>0</v>
      </c>
      <c r="AD252" s="768">
        <v>33</v>
      </c>
      <c r="AE252" s="769">
        <v>0.73319473319473316</v>
      </c>
      <c r="AF252" s="769">
        <v>31.225225225225227</v>
      </c>
      <c r="AG252" s="770">
        <v>31.95841995841996</v>
      </c>
      <c r="AH252" s="769">
        <v>4.1580041580041582E-2</v>
      </c>
      <c r="AI252" s="769">
        <v>0.71993369289891307</v>
      </c>
      <c r="AJ252" s="769">
        <v>30.660465344649555</v>
      </c>
      <c r="AK252" s="769">
        <v>31.380399037548468</v>
      </c>
      <c r="AL252" s="769">
        <v>4.0827997706932691E-2</v>
      </c>
      <c r="AM252" s="769">
        <v>0.69943450961473241</v>
      </c>
      <c r="AN252" s="769">
        <v>29.787448141985461</v>
      </c>
      <c r="AO252" s="769">
        <v>30.486882651600194</v>
      </c>
      <c r="AP252" s="769">
        <v>3.9665473135050991E-2</v>
      </c>
      <c r="AQ252" s="769">
        <v>0</v>
      </c>
      <c r="AR252" s="769">
        <v>0</v>
      </c>
      <c r="AS252" s="769">
        <v>29.879110382294556</v>
      </c>
      <c r="AT252" s="769">
        <v>30.620555296783245</v>
      </c>
      <c r="AU252" s="769">
        <v>31.380399037548464</v>
      </c>
      <c r="AV252" s="769">
        <v>32.159098168256293</v>
      </c>
      <c r="AW252" s="769">
        <v>32.957120582120581</v>
      </c>
      <c r="AX252" s="769">
        <v>29.083102826163412</v>
      </c>
      <c r="AY252" s="769">
        <v>29.776721495249706</v>
      </c>
      <c r="AZ252" s="769">
        <v>30.486882651600194</v>
      </c>
      <c r="BA252" s="769">
        <v>31.213980825952124</v>
      </c>
      <c r="BB252" s="769">
        <v>31.95841995841996</v>
      </c>
      <c r="BC252" s="769">
        <v>0</v>
      </c>
      <c r="BD252" s="769">
        <v>0</v>
      </c>
      <c r="BE252" s="769">
        <v>0</v>
      </c>
      <c r="BF252" s="769">
        <v>0</v>
      </c>
      <c r="BG252" s="769">
        <v>0</v>
      </c>
      <c r="BH252" s="771">
        <v>33.374135011904357</v>
      </c>
      <c r="BI252" s="771">
        <v>33.796426026279761</v>
      </c>
      <c r="BJ252" s="771">
        <v>34.224060391149742</v>
      </c>
      <c r="BK252" s="772">
        <v>34.661763993172222</v>
      </c>
      <c r="BL252" s="772">
        <v>35.099467595194689</v>
      </c>
      <c r="BM252" s="772">
        <v>35.537171197217162</v>
      </c>
      <c r="BN252" s="772">
        <v>35.974874799239636</v>
      </c>
      <c r="BO252" s="772">
        <v>36.492430600457801</v>
      </c>
      <c r="BP252" s="772">
        <v>37.009986401675967</v>
      </c>
      <c r="BQ252" s="772">
        <v>38.444799659060934</v>
      </c>
      <c r="BR252" s="772">
        <v>40.154281446366504</v>
      </c>
      <c r="BS252" s="772">
        <v>40.904881242859659</v>
      </c>
      <c r="BT252" s="772">
        <v>41.317077686505399</v>
      </c>
      <c r="BU252" s="772">
        <v>41.74394599612102</v>
      </c>
      <c r="BV252" s="772">
        <v>42.181084611915551</v>
      </c>
      <c r="BW252" s="771">
        <v>32.362797587301202</v>
      </c>
      <c r="BX252" s="771">
        <v>32.772291904271285</v>
      </c>
      <c r="BY252" s="771">
        <v>33.186967652023995</v>
      </c>
      <c r="BZ252" s="772">
        <v>33.61140750853064</v>
      </c>
      <c r="CA252" s="772">
        <v>34.035847365037277</v>
      </c>
      <c r="CB252" s="772">
        <v>34.460287221543915</v>
      </c>
      <c r="CC252" s="772">
        <v>34.88472707805056</v>
      </c>
      <c r="CD252" s="772">
        <v>35.3865993701409</v>
      </c>
      <c r="CE252" s="772">
        <v>35.88847166223124</v>
      </c>
      <c r="CF252" s="772">
        <v>37.279805729998479</v>
      </c>
      <c r="CG252" s="772">
        <v>38.937485038900853</v>
      </c>
      <c r="CH252" s="772">
        <v>39.665339387015429</v>
      </c>
      <c r="CI252" s="772">
        <v>40.06504502933857</v>
      </c>
      <c r="CJ252" s="772">
        <v>40.478977935632507</v>
      </c>
      <c r="CK252" s="772">
        <v>40.902869926705989</v>
      </c>
      <c r="CL252" s="771">
        <v>0</v>
      </c>
      <c r="CM252" s="771">
        <v>0</v>
      </c>
      <c r="CN252" s="771">
        <v>0</v>
      </c>
      <c r="CO252" s="772">
        <v>0</v>
      </c>
      <c r="CP252" s="772">
        <v>0</v>
      </c>
      <c r="CQ252" s="772">
        <v>0</v>
      </c>
      <c r="CR252" s="772">
        <v>0</v>
      </c>
      <c r="CS252" s="772">
        <v>0</v>
      </c>
      <c r="CT252" s="772">
        <v>0</v>
      </c>
      <c r="CU252" s="772">
        <v>0</v>
      </c>
      <c r="CV252" s="772">
        <v>0</v>
      </c>
      <c r="CW252" s="772">
        <v>0</v>
      </c>
      <c r="CX252" s="772">
        <v>0</v>
      </c>
      <c r="CY252" s="772">
        <v>0</v>
      </c>
      <c r="CZ252" s="772">
        <v>0</v>
      </c>
      <c r="DA252" s="773">
        <v>4.3421981540338751E-2</v>
      </c>
      <c r="DB252" s="773">
        <v>4.397141039068405E-2</v>
      </c>
      <c r="DC252" s="773">
        <v>4.4527791297358503E-2</v>
      </c>
      <c r="DD252" s="774">
        <v>4.5097272954946949E-2</v>
      </c>
      <c r="DE252" s="774">
        <v>4.566675461253538E-2</v>
      </c>
      <c r="DF252" s="774">
        <v>4.6236236270123812E-2</v>
      </c>
      <c r="DG252" s="774">
        <v>4.6805717927712258E-2</v>
      </c>
      <c r="DH252" s="774">
        <v>4.747909263655712E-2</v>
      </c>
      <c r="DI252" s="774">
        <v>4.8152467345401989E-2</v>
      </c>
      <c r="DJ252" s="774">
        <v>5.0019255346163069E-2</v>
      </c>
      <c r="DK252" s="774">
        <v>5.2243405472764126E-2</v>
      </c>
      <c r="DL252" s="774">
        <v>5.3219986004241042E-2</v>
      </c>
      <c r="DM252" s="774">
        <v>5.3756281142994279E-2</v>
      </c>
      <c r="DN252" s="774">
        <v>5.4311665360552985E-2</v>
      </c>
      <c r="DO252" s="774">
        <v>5.4880411933275509E-2</v>
      </c>
      <c r="DP252" s="773">
        <v>0</v>
      </c>
      <c r="DQ252" s="773">
        <v>0</v>
      </c>
      <c r="DR252" s="773">
        <v>0</v>
      </c>
      <c r="DS252" s="774">
        <v>0</v>
      </c>
      <c r="DT252" s="774">
        <v>0</v>
      </c>
      <c r="DU252" s="774">
        <v>0</v>
      </c>
      <c r="DV252" s="774">
        <v>0</v>
      </c>
      <c r="DW252" s="774">
        <v>0</v>
      </c>
      <c r="DX252" s="774">
        <v>0</v>
      </c>
      <c r="DY252" s="774">
        <v>0</v>
      </c>
      <c r="DZ252" s="774">
        <v>0</v>
      </c>
      <c r="EA252" s="774">
        <v>0</v>
      </c>
      <c r="EB252" s="774">
        <v>0</v>
      </c>
      <c r="EC252" s="774">
        <v>0</v>
      </c>
      <c r="ED252" s="774">
        <v>0</v>
      </c>
    </row>
    <row r="253" spans="1:134" ht="15" x14ac:dyDescent="0.25">
      <c r="A253" s="766">
        <v>106</v>
      </c>
      <c r="B253" s="766">
        <v>96</v>
      </c>
      <c r="C253" s="766" t="s">
        <v>3924</v>
      </c>
      <c r="D253" s="2">
        <v>99709</v>
      </c>
      <c r="E253" s="2">
        <v>99709</v>
      </c>
      <c r="F253" s="767" t="s">
        <v>3746</v>
      </c>
      <c r="G253" s="114">
        <v>295</v>
      </c>
      <c r="H253" s="114">
        <v>186</v>
      </c>
      <c r="I253" s="114">
        <v>169</v>
      </c>
      <c r="J253" s="114">
        <v>17</v>
      </c>
      <c r="K253" s="114">
        <v>6</v>
      </c>
      <c r="L253" s="114">
        <v>72</v>
      </c>
      <c r="M253" s="114">
        <v>78</v>
      </c>
      <c r="N253" s="114">
        <v>0</v>
      </c>
      <c r="O253" s="114">
        <v>0</v>
      </c>
      <c r="P253" s="114">
        <v>0</v>
      </c>
      <c r="Q253" s="114">
        <v>78</v>
      </c>
      <c r="R253" s="114">
        <v>5043.666666666667</v>
      </c>
      <c r="S253" s="114">
        <v>1138.4166666666667</v>
      </c>
      <c r="T253" s="114">
        <v>1438.8205128205129</v>
      </c>
      <c r="U253" s="114">
        <v>0</v>
      </c>
      <c r="V253" s="114">
        <v>0</v>
      </c>
      <c r="W253" s="114">
        <v>0</v>
      </c>
      <c r="X253" s="114">
        <v>1438.8205128205129</v>
      </c>
      <c r="Y253" s="114">
        <v>14.307692307692308</v>
      </c>
      <c r="Z253" s="114">
        <v>171.69230769230768</v>
      </c>
      <c r="AA253" s="114">
        <v>0</v>
      </c>
      <c r="AB253" s="657">
        <v>0</v>
      </c>
      <c r="AC253" s="657">
        <v>0</v>
      </c>
      <c r="AD253" s="768">
        <v>186</v>
      </c>
      <c r="AE253" s="769">
        <v>13</v>
      </c>
      <c r="AF253" s="769">
        <v>155.99999999999997</v>
      </c>
      <c r="AG253" s="770">
        <v>168.99999999999997</v>
      </c>
      <c r="AH253" s="769">
        <v>0</v>
      </c>
      <c r="AI253" s="769">
        <v>13.623189343956886</v>
      </c>
      <c r="AJ253" s="769">
        <v>163.47827212748263</v>
      </c>
      <c r="AK253" s="769">
        <v>177.10146147143951</v>
      </c>
      <c r="AL253" s="769">
        <v>0</v>
      </c>
      <c r="AM253" s="769">
        <v>12.401410175673693</v>
      </c>
      <c r="AN253" s="769">
        <v>148.81692210808427</v>
      </c>
      <c r="AO253" s="769">
        <v>161.21833228375797</v>
      </c>
      <c r="AP253" s="769">
        <v>0</v>
      </c>
      <c r="AQ253" s="769">
        <v>0</v>
      </c>
      <c r="AR253" s="769">
        <v>0</v>
      </c>
      <c r="AS253" s="769">
        <v>168.62864330817084</v>
      </c>
      <c r="AT253" s="769">
        <v>172.81313369018901</v>
      </c>
      <c r="AU253" s="769">
        <v>177.10146147143951</v>
      </c>
      <c r="AV253" s="769">
        <v>181.49620335887951</v>
      </c>
      <c r="AW253" s="769">
        <v>186</v>
      </c>
      <c r="AX253" s="769">
        <v>153.79497434530296</v>
      </c>
      <c r="AY253" s="769">
        <v>157.46291397523763</v>
      </c>
      <c r="AZ253" s="769">
        <v>161.21833228375797</v>
      </c>
      <c r="BA253" s="769">
        <v>165.06331559724313</v>
      </c>
      <c r="BB253" s="769">
        <v>168.99999999999997</v>
      </c>
      <c r="BC253" s="769">
        <v>0</v>
      </c>
      <c r="BD253" s="769">
        <v>0</v>
      </c>
      <c r="BE253" s="769">
        <v>0</v>
      </c>
      <c r="BF253" s="769">
        <v>0</v>
      </c>
      <c r="BG253" s="769">
        <v>0</v>
      </c>
      <c r="BH253" s="771">
        <v>187.76343140038284</v>
      </c>
      <c r="BI253" s="771">
        <v>189.54358156584019</v>
      </c>
      <c r="BJ253" s="771">
        <v>191.34060900387368</v>
      </c>
      <c r="BK253" s="772">
        <v>191.55780834293409</v>
      </c>
      <c r="BL253" s="772">
        <v>191.77500768199448</v>
      </c>
      <c r="BM253" s="772">
        <v>191.9922070210549</v>
      </c>
      <c r="BN253" s="772">
        <v>192.20940636011528</v>
      </c>
      <c r="BO253" s="772">
        <v>192.46623033284948</v>
      </c>
      <c r="BP253" s="772">
        <v>192.72305430558359</v>
      </c>
      <c r="BQ253" s="772">
        <v>193.43504408528642</v>
      </c>
      <c r="BR253" s="772">
        <v>194.28333117413587</v>
      </c>
      <c r="BS253" s="772">
        <v>194.65579733375594</v>
      </c>
      <c r="BT253" s="772">
        <v>194.86033939077629</v>
      </c>
      <c r="BU253" s="772">
        <v>195.07216199010134</v>
      </c>
      <c r="BV253" s="772">
        <v>195.28908096903973</v>
      </c>
      <c r="BW253" s="771">
        <v>170.60225756271342</v>
      </c>
      <c r="BX253" s="771">
        <v>172.21970583132787</v>
      </c>
      <c r="BY253" s="771">
        <v>173.85248882610026</v>
      </c>
      <c r="BZ253" s="772">
        <v>174.0498366126659</v>
      </c>
      <c r="CA253" s="772">
        <v>174.24718439923151</v>
      </c>
      <c r="CB253" s="772">
        <v>174.44453218579716</v>
      </c>
      <c r="CC253" s="772">
        <v>174.6418799723628</v>
      </c>
      <c r="CD253" s="772">
        <v>174.87523078629869</v>
      </c>
      <c r="CE253" s="772">
        <v>175.10858160023454</v>
      </c>
      <c r="CF253" s="772">
        <v>175.75549704523334</v>
      </c>
      <c r="CG253" s="772">
        <v>176.52625251843523</v>
      </c>
      <c r="CH253" s="772">
        <v>176.86467607206853</v>
      </c>
      <c r="CI253" s="772">
        <v>177.05052342495264</v>
      </c>
      <c r="CJ253" s="772">
        <v>177.24298589423185</v>
      </c>
      <c r="CK253" s="772">
        <v>177.44007894498768</v>
      </c>
      <c r="CL253" s="771">
        <v>0</v>
      </c>
      <c r="CM253" s="771">
        <v>0</v>
      </c>
      <c r="CN253" s="771">
        <v>0</v>
      </c>
      <c r="CO253" s="772">
        <v>0</v>
      </c>
      <c r="CP253" s="772">
        <v>0</v>
      </c>
      <c r="CQ253" s="772">
        <v>0</v>
      </c>
      <c r="CR253" s="772">
        <v>0</v>
      </c>
      <c r="CS253" s="772">
        <v>0</v>
      </c>
      <c r="CT253" s="772">
        <v>0</v>
      </c>
      <c r="CU253" s="772">
        <v>0</v>
      </c>
      <c r="CV253" s="772">
        <v>0</v>
      </c>
      <c r="CW253" s="772">
        <v>0</v>
      </c>
      <c r="CX253" s="772">
        <v>0</v>
      </c>
      <c r="CY253" s="772">
        <v>0</v>
      </c>
      <c r="CZ253" s="772">
        <v>0</v>
      </c>
      <c r="DA253" s="773">
        <v>0</v>
      </c>
      <c r="DB253" s="773">
        <v>0</v>
      </c>
      <c r="DC253" s="773">
        <v>0</v>
      </c>
      <c r="DD253" s="774">
        <v>0</v>
      </c>
      <c r="DE253" s="774">
        <v>0</v>
      </c>
      <c r="DF253" s="774">
        <v>0</v>
      </c>
      <c r="DG253" s="774">
        <v>0</v>
      </c>
      <c r="DH253" s="774">
        <v>0</v>
      </c>
      <c r="DI253" s="774">
        <v>0</v>
      </c>
      <c r="DJ253" s="774">
        <v>0</v>
      </c>
      <c r="DK253" s="774">
        <v>0</v>
      </c>
      <c r="DL253" s="774">
        <v>0</v>
      </c>
      <c r="DM253" s="774">
        <v>0</v>
      </c>
      <c r="DN253" s="774">
        <v>0</v>
      </c>
      <c r="DO253" s="774">
        <v>0</v>
      </c>
      <c r="DP253" s="773">
        <v>0</v>
      </c>
      <c r="DQ253" s="773">
        <v>0</v>
      </c>
      <c r="DR253" s="773">
        <v>0</v>
      </c>
      <c r="DS253" s="774">
        <v>0</v>
      </c>
      <c r="DT253" s="774">
        <v>0</v>
      </c>
      <c r="DU253" s="774">
        <v>0</v>
      </c>
      <c r="DV253" s="774">
        <v>0</v>
      </c>
      <c r="DW253" s="774">
        <v>0</v>
      </c>
      <c r="DX253" s="774">
        <v>0</v>
      </c>
      <c r="DY253" s="774">
        <v>0</v>
      </c>
      <c r="DZ253" s="774">
        <v>0</v>
      </c>
      <c r="EA253" s="774">
        <v>0</v>
      </c>
      <c r="EB253" s="774">
        <v>0</v>
      </c>
      <c r="EC253" s="774">
        <v>0</v>
      </c>
      <c r="ED253" s="774">
        <v>0</v>
      </c>
    </row>
    <row r="254" spans="1:134" ht="15" x14ac:dyDescent="0.25">
      <c r="A254" s="766">
        <v>107</v>
      </c>
      <c r="B254" s="766">
        <v>96</v>
      </c>
      <c r="C254" s="766" t="s">
        <v>3925</v>
      </c>
      <c r="D254" s="2">
        <v>99709</v>
      </c>
      <c r="E254" s="2">
        <v>99709</v>
      </c>
      <c r="F254" s="767" t="s">
        <v>3746</v>
      </c>
      <c r="G254" s="114">
        <v>234</v>
      </c>
      <c r="H254" s="114">
        <v>105</v>
      </c>
      <c r="I254" s="114">
        <v>99</v>
      </c>
      <c r="J254" s="114">
        <v>6</v>
      </c>
      <c r="K254" s="114">
        <v>1</v>
      </c>
      <c r="L254" s="114">
        <v>92</v>
      </c>
      <c r="M254" s="114">
        <v>93</v>
      </c>
      <c r="N254" s="114">
        <v>10</v>
      </c>
      <c r="O254" s="114">
        <v>0</v>
      </c>
      <c r="P254" s="114">
        <v>0</v>
      </c>
      <c r="Q254" s="114">
        <v>103</v>
      </c>
      <c r="R254" s="114">
        <v>4272</v>
      </c>
      <c r="S254" s="114">
        <v>2161.413043478261</v>
      </c>
      <c r="T254" s="114">
        <v>2184.1075268817203</v>
      </c>
      <c r="U254" s="114">
        <v>4861.3</v>
      </c>
      <c r="V254" s="114">
        <v>0</v>
      </c>
      <c r="W254" s="114">
        <v>0</v>
      </c>
      <c r="X254" s="114">
        <v>2444.029126213592</v>
      </c>
      <c r="Y254" s="114">
        <v>1.1290322580645162</v>
      </c>
      <c r="Z254" s="114">
        <v>103.87096774193549</v>
      </c>
      <c r="AA254" s="114">
        <v>0</v>
      </c>
      <c r="AB254" s="657">
        <v>10</v>
      </c>
      <c r="AC254" s="657">
        <v>0</v>
      </c>
      <c r="AD254" s="768">
        <v>115</v>
      </c>
      <c r="AE254" s="769">
        <v>1.0645161290322582</v>
      </c>
      <c r="AF254" s="769">
        <v>97.935483870967744</v>
      </c>
      <c r="AG254" s="770">
        <v>99</v>
      </c>
      <c r="AH254" s="769">
        <v>0</v>
      </c>
      <c r="AI254" s="769">
        <v>1.0750175427506736</v>
      </c>
      <c r="AJ254" s="769">
        <v>98.901613933061967</v>
      </c>
      <c r="AK254" s="769">
        <v>99.976631475812638</v>
      </c>
      <c r="AL254" s="769">
        <v>0</v>
      </c>
      <c r="AM254" s="769">
        <v>1.0155000888268781</v>
      </c>
      <c r="AN254" s="769">
        <v>93.426008172072784</v>
      </c>
      <c r="AO254" s="769">
        <v>94.441508260899667</v>
      </c>
      <c r="AP254" s="769">
        <v>0</v>
      </c>
      <c r="AQ254" s="769">
        <v>9.5966573850124082</v>
      </c>
      <c r="AR254" s="769">
        <v>0</v>
      </c>
      <c r="AS254" s="769">
        <v>95.193588964289987</v>
      </c>
      <c r="AT254" s="769">
        <v>97.555801276719592</v>
      </c>
      <c r="AU254" s="769">
        <v>99.976631475812638</v>
      </c>
      <c r="AV254" s="769">
        <v>102.45753415420619</v>
      </c>
      <c r="AW254" s="769">
        <v>105</v>
      </c>
      <c r="AX254" s="769">
        <v>90.092913965591691</v>
      </c>
      <c r="AY254" s="769">
        <v>92.241588660050468</v>
      </c>
      <c r="AZ254" s="769">
        <v>94.441508260899653</v>
      </c>
      <c r="BA254" s="769">
        <v>96.693894935663153</v>
      </c>
      <c r="BB254" s="769">
        <v>99</v>
      </c>
      <c r="BC254" s="769">
        <v>9.2095832965313207</v>
      </c>
      <c r="BD254" s="769">
        <v>9.4011284192667119</v>
      </c>
      <c r="BE254" s="769">
        <v>9.5966573850124082</v>
      </c>
      <c r="BF254" s="769">
        <v>9.7962530515561959</v>
      </c>
      <c r="BG254" s="769">
        <v>10</v>
      </c>
      <c r="BH254" s="771">
        <v>105.99548546795805</v>
      </c>
      <c r="BI254" s="771">
        <v>107.00040894845817</v>
      </c>
      <c r="BJ254" s="771">
        <v>108.01485992154159</v>
      </c>
      <c r="BK254" s="772">
        <v>108.9081800830805</v>
      </c>
      <c r="BL254" s="772">
        <v>109.8015002446194</v>
      </c>
      <c r="BM254" s="772">
        <v>110.69482040615834</v>
      </c>
      <c r="BN254" s="772">
        <v>111.58814056769725</v>
      </c>
      <c r="BO254" s="772">
        <v>112.64443306749233</v>
      </c>
      <c r="BP254" s="772">
        <v>113.70072556728736</v>
      </c>
      <c r="BQ254" s="772">
        <v>116.62907161000398</v>
      </c>
      <c r="BR254" s="772">
        <v>120.11799548297967</v>
      </c>
      <c r="BS254" s="772">
        <v>121.64991326559802</v>
      </c>
      <c r="BT254" s="772">
        <v>122.49117523356439</v>
      </c>
      <c r="BU254" s="772">
        <v>123.36238137749305</v>
      </c>
      <c r="BV254" s="772">
        <v>124.25454844459524</v>
      </c>
      <c r="BW254" s="771">
        <v>99.938600584074734</v>
      </c>
      <c r="BX254" s="771">
        <v>100.88609986568913</v>
      </c>
      <c r="BY254" s="771">
        <v>101.84258221173921</v>
      </c>
      <c r="BZ254" s="772">
        <v>102.68485550690447</v>
      </c>
      <c r="CA254" s="772">
        <v>103.52712880206974</v>
      </c>
      <c r="CB254" s="772">
        <v>104.36940209723501</v>
      </c>
      <c r="CC254" s="772">
        <v>105.21167539240028</v>
      </c>
      <c r="CD254" s="772">
        <v>106.20760832077848</v>
      </c>
      <c r="CE254" s="772">
        <v>107.20354124915666</v>
      </c>
      <c r="CF254" s="772">
        <v>109.96455323228948</v>
      </c>
      <c r="CG254" s="772">
        <v>113.2541100268094</v>
      </c>
      <c r="CH254" s="772">
        <v>114.698489650421</v>
      </c>
      <c r="CI254" s="772">
        <v>115.49167950593215</v>
      </c>
      <c r="CJ254" s="772">
        <v>116.3131024416363</v>
      </c>
      <c r="CK254" s="772">
        <v>117.15428853347551</v>
      </c>
      <c r="CL254" s="771">
        <v>10.094808139805529</v>
      </c>
      <c r="CM254" s="771">
        <v>10.190515137948397</v>
      </c>
      <c r="CN254" s="771">
        <v>10.287129516337295</v>
      </c>
      <c r="CO254" s="772">
        <v>10.372207626960048</v>
      </c>
      <c r="CP254" s="772">
        <v>10.457285737582803</v>
      </c>
      <c r="CQ254" s="772">
        <v>10.542363848205557</v>
      </c>
      <c r="CR254" s="772">
        <v>10.627441958828312</v>
      </c>
      <c r="CS254" s="772">
        <v>10.72804124452308</v>
      </c>
      <c r="CT254" s="772">
        <v>10.828640530217845</v>
      </c>
      <c r="CU254" s="772">
        <v>11.10753062952419</v>
      </c>
      <c r="CV254" s="772">
        <v>11.439809093617111</v>
      </c>
      <c r="CW254" s="772">
        <v>11.58570602529505</v>
      </c>
      <c r="CX254" s="772">
        <v>11.66582621272042</v>
      </c>
      <c r="CY254" s="772">
        <v>11.74879822642791</v>
      </c>
      <c r="CZ254" s="772">
        <v>11.833766518532881</v>
      </c>
      <c r="DA254" s="773">
        <v>0</v>
      </c>
      <c r="DB254" s="773">
        <v>0</v>
      </c>
      <c r="DC254" s="773">
        <v>0</v>
      </c>
      <c r="DD254" s="774">
        <v>0</v>
      </c>
      <c r="DE254" s="774">
        <v>0</v>
      </c>
      <c r="DF254" s="774">
        <v>0</v>
      </c>
      <c r="DG254" s="774">
        <v>0</v>
      </c>
      <c r="DH254" s="774">
        <v>0</v>
      </c>
      <c r="DI254" s="774">
        <v>0</v>
      </c>
      <c r="DJ254" s="774">
        <v>0</v>
      </c>
      <c r="DK254" s="774">
        <v>0</v>
      </c>
      <c r="DL254" s="774">
        <v>0</v>
      </c>
      <c r="DM254" s="774">
        <v>0</v>
      </c>
      <c r="DN254" s="774">
        <v>0</v>
      </c>
      <c r="DO254" s="774">
        <v>0</v>
      </c>
      <c r="DP254" s="773">
        <v>0</v>
      </c>
      <c r="DQ254" s="773">
        <v>0</v>
      </c>
      <c r="DR254" s="773">
        <v>0</v>
      </c>
      <c r="DS254" s="774">
        <v>0</v>
      </c>
      <c r="DT254" s="774">
        <v>0</v>
      </c>
      <c r="DU254" s="774">
        <v>0</v>
      </c>
      <c r="DV254" s="774">
        <v>0</v>
      </c>
      <c r="DW254" s="774">
        <v>0</v>
      </c>
      <c r="DX254" s="774">
        <v>0</v>
      </c>
      <c r="DY254" s="774">
        <v>0</v>
      </c>
      <c r="DZ254" s="774">
        <v>0</v>
      </c>
      <c r="EA254" s="774">
        <v>0</v>
      </c>
      <c r="EB254" s="774">
        <v>0</v>
      </c>
      <c r="EC254" s="774">
        <v>0</v>
      </c>
      <c r="ED254" s="774">
        <v>0</v>
      </c>
    </row>
    <row r="255" spans="1:134" ht="15" x14ac:dyDescent="0.25">
      <c r="A255" s="766">
        <v>108</v>
      </c>
      <c r="B255" s="766">
        <v>96</v>
      </c>
      <c r="C255" s="766" t="s">
        <v>3926</v>
      </c>
      <c r="D255" s="2">
        <v>99709</v>
      </c>
      <c r="E255" s="2">
        <v>99709</v>
      </c>
      <c r="F255" s="767" t="s">
        <v>3746</v>
      </c>
      <c r="G255" s="114">
        <v>613</v>
      </c>
      <c r="H255" s="114">
        <v>246</v>
      </c>
      <c r="I255" s="114">
        <v>235</v>
      </c>
      <c r="J255" s="114">
        <v>11</v>
      </c>
      <c r="K255" s="114">
        <v>6</v>
      </c>
      <c r="L255" s="114">
        <v>166</v>
      </c>
      <c r="M255" s="114">
        <v>172</v>
      </c>
      <c r="N255" s="114">
        <v>14</v>
      </c>
      <c r="O255" s="114">
        <v>0</v>
      </c>
      <c r="P255" s="114">
        <v>0</v>
      </c>
      <c r="Q255" s="114">
        <v>186</v>
      </c>
      <c r="R255" s="114">
        <v>4640.5</v>
      </c>
      <c r="S255" s="114">
        <v>2312.2831325301204</v>
      </c>
      <c r="T255" s="114">
        <v>2393.5</v>
      </c>
      <c r="U255" s="114">
        <v>4804.2857142857147</v>
      </c>
      <c r="V255" s="114">
        <v>0</v>
      </c>
      <c r="W255" s="114">
        <v>0</v>
      </c>
      <c r="X255" s="114">
        <v>2574.9569892473119</v>
      </c>
      <c r="Y255" s="114">
        <v>8.5813953488372086</v>
      </c>
      <c r="Z255" s="114">
        <v>237.41860465116278</v>
      </c>
      <c r="AA255" s="114">
        <v>0</v>
      </c>
      <c r="AB255" s="657">
        <v>14</v>
      </c>
      <c r="AC255" s="657">
        <v>0</v>
      </c>
      <c r="AD255" s="768">
        <v>260</v>
      </c>
      <c r="AE255" s="769">
        <v>8.1976744186046506</v>
      </c>
      <c r="AF255" s="769">
        <v>226.80232558139534</v>
      </c>
      <c r="AG255" s="770">
        <v>235</v>
      </c>
      <c r="AH255" s="769">
        <v>0</v>
      </c>
      <c r="AI255" s="769">
        <v>8.1708476222757156</v>
      </c>
      <c r="AJ255" s="769">
        <v>226.06011754962816</v>
      </c>
      <c r="AK255" s="769">
        <v>234.23096517190388</v>
      </c>
      <c r="AL255" s="769">
        <v>0</v>
      </c>
      <c r="AM255" s="769">
        <v>7.820209457826433</v>
      </c>
      <c r="AN255" s="769">
        <v>216.35912833319799</v>
      </c>
      <c r="AO255" s="769">
        <v>224.17933779102441</v>
      </c>
      <c r="AP255" s="769">
        <v>0</v>
      </c>
      <c r="AQ255" s="769">
        <v>13.435320339017371</v>
      </c>
      <c r="AR255" s="769">
        <v>0</v>
      </c>
      <c r="AS255" s="769">
        <v>223.02497985919368</v>
      </c>
      <c r="AT255" s="769">
        <v>228.55930584831447</v>
      </c>
      <c r="AU255" s="769">
        <v>234.23096517190388</v>
      </c>
      <c r="AV255" s="769">
        <v>240.04336573271164</v>
      </c>
      <c r="AW255" s="769">
        <v>246</v>
      </c>
      <c r="AX255" s="769">
        <v>213.85691698903076</v>
      </c>
      <c r="AY255" s="769">
        <v>218.95730641527132</v>
      </c>
      <c r="AZ255" s="769">
        <v>224.17933779102444</v>
      </c>
      <c r="BA255" s="769">
        <v>229.52591222101861</v>
      </c>
      <c r="BB255" s="769">
        <v>235</v>
      </c>
      <c r="BC255" s="769">
        <v>12.893416615143849</v>
      </c>
      <c r="BD255" s="769">
        <v>13.161579786973396</v>
      </c>
      <c r="BE255" s="769">
        <v>13.435320339017371</v>
      </c>
      <c r="BF255" s="769">
        <v>13.714754272178675</v>
      </c>
      <c r="BG255" s="769">
        <v>14</v>
      </c>
      <c r="BH255" s="771">
        <v>248.332280239216</v>
      </c>
      <c r="BI255" s="771">
        <v>250.68667239353056</v>
      </c>
      <c r="BJ255" s="771">
        <v>253.06338610189744</v>
      </c>
      <c r="BK255" s="772">
        <v>253.64779287283341</v>
      </c>
      <c r="BL255" s="772">
        <v>254.23219964376932</v>
      </c>
      <c r="BM255" s="772">
        <v>254.81660641470523</v>
      </c>
      <c r="BN255" s="772">
        <v>255.4010131856412</v>
      </c>
      <c r="BO255" s="772">
        <v>256.09203586210884</v>
      </c>
      <c r="BP255" s="772">
        <v>256.78305853857637</v>
      </c>
      <c r="BQ255" s="772">
        <v>258.69877177184645</v>
      </c>
      <c r="BR255" s="772">
        <v>260.98121296418958</v>
      </c>
      <c r="BS255" s="772">
        <v>261.98338795499808</v>
      </c>
      <c r="BT255" s="772">
        <v>262.53373844676747</v>
      </c>
      <c r="BU255" s="772">
        <v>263.10367830854756</v>
      </c>
      <c r="BV255" s="772">
        <v>263.6873307293352</v>
      </c>
      <c r="BW255" s="771">
        <v>237.22799128542994</v>
      </c>
      <c r="BX255" s="771">
        <v>239.47710574178734</v>
      </c>
      <c r="BY255" s="771">
        <v>241.74754363392643</v>
      </c>
      <c r="BZ255" s="772">
        <v>242.30581839477989</v>
      </c>
      <c r="CA255" s="772">
        <v>242.8640931556333</v>
      </c>
      <c r="CB255" s="772">
        <v>243.42236791648671</v>
      </c>
      <c r="CC255" s="772">
        <v>243.98064267734017</v>
      </c>
      <c r="CD255" s="772">
        <v>244.64076596583567</v>
      </c>
      <c r="CE255" s="772">
        <v>245.30088925433111</v>
      </c>
      <c r="CF255" s="772">
        <v>247.13094051375577</v>
      </c>
      <c r="CG255" s="772">
        <v>249.31132132757946</v>
      </c>
      <c r="CH255" s="772">
        <v>250.26868361554696</v>
      </c>
      <c r="CI255" s="772">
        <v>250.7944249389852</v>
      </c>
      <c r="CJ255" s="772">
        <v>251.33887968499465</v>
      </c>
      <c r="CK255" s="772">
        <v>251.89643382680396</v>
      </c>
      <c r="CL255" s="771">
        <v>14.13273139572774</v>
      </c>
      <c r="CM255" s="771">
        <v>14.266721193127756</v>
      </c>
      <c r="CN255" s="771">
        <v>14.401981322872212</v>
      </c>
      <c r="CO255" s="772">
        <v>14.435240244795397</v>
      </c>
      <c r="CP255" s="772">
        <v>14.46849916671858</v>
      </c>
      <c r="CQ255" s="772">
        <v>14.501758088641761</v>
      </c>
      <c r="CR255" s="772">
        <v>14.535017010564946</v>
      </c>
      <c r="CS255" s="772">
        <v>14.574343504347656</v>
      </c>
      <c r="CT255" s="772">
        <v>14.613669998130364</v>
      </c>
      <c r="CU255" s="772">
        <v>14.722694328479067</v>
      </c>
      <c r="CV255" s="772">
        <v>14.852589355685584</v>
      </c>
      <c r="CW255" s="772">
        <v>14.909623704755989</v>
      </c>
      <c r="CX255" s="772">
        <v>14.940944464450181</v>
      </c>
      <c r="CY255" s="772">
        <v>14.973380066340106</v>
      </c>
      <c r="CZ255" s="772">
        <v>15.006596057767043</v>
      </c>
      <c r="DA255" s="773">
        <v>0</v>
      </c>
      <c r="DB255" s="773">
        <v>0</v>
      </c>
      <c r="DC255" s="773">
        <v>0</v>
      </c>
      <c r="DD255" s="774">
        <v>0</v>
      </c>
      <c r="DE255" s="774">
        <v>0</v>
      </c>
      <c r="DF255" s="774">
        <v>0</v>
      </c>
      <c r="DG255" s="774">
        <v>0</v>
      </c>
      <c r="DH255" s="774">
        <v>0</v>
      </c>
      <c r="DI255" s="774">
        <v>0</v>
      </c>
      <c r="DJ255" s="774">
        <v>0</v>
      </c>
      <c r="DK255" s="774">
        <v>0</v>
      </c>
      <c r="DL255" s="774">
        <v>0</v>
      </c>
      <c r="DM255" s="774">
        <v>0</v>
      </c>
      <c r="DN255" s="774">
        <v>0</v>
      </c>
      <c r="DO255" s="774">
        <v>0</v>
      </c>
      <c r="DP255" s="773">
        <v>0</v>
      </c>
      <c r="DQ255" s="773">
        <v>0</v>
      </c>
      <c r="DR255" s="773">
        <v>0</v>
      </c>
      <c r="DS255" s="774">
        <v>0</v>
      </c>
      <c r="DT255" s="774">
        <v>0</v>
      </c>
      <c r="DU255" s="774">
        <v>0</v>
      </c>
      <c r="DV255" s="774">
        <v>0</v>
      </c>
      <c r="DW255" s="774">
        <v>0</v>
      </c>
      <c r="DX255" s="774">
        <v>0</v>
      </c>
      <c r="DY255" s="774">
        <v>0</v>
      </c>
      <c r="DZ255" s="774">
        <v>0</v>
      </c>
      <c r="EA255" s="774">
        <v>0</v>
      </c>
      <c r="EB255" s="774">
        <v>0</v>
      </c>
      <c r="EC255" s="774">
        <v>0</v>
      </c>
      <c r="ED255" s="774">
        <v>0</v>
      </c>
    </row>
    <row r="256" spans="1:134" ht="15" x14ac:dyDescent="0.25">
      <c r="A256" s="766">
        <v>109</v>
      </c>
      <c r="B256" s="766">
        <v>96</v>
      </c>
      <c r="C256" s="766" t="s">
        <v>3927</v>
      </c>
      <c r="D256" s="2">
        <v>99712</v>
      </c>
      <c r="E256" s="2">
        <v>99709</v>
      </c>
      <c r="F256" s="767" t="s">
        <v>3746</v>
      </c>
      <c r="G256" s="114">
        <v>483</v>
      </c>
      <c r="H256" s="114">
        <v>385</v>
      </c>
      <c r="I256" s="114">
        <v>272</v>
      </c>
      <c r="J256" s="114">
        <v>113</v>
      </c>
      <c r="K256" s="114">
        <v>2</v>
      </c>
      <c r="L256" s="114">
        <v>0</v>
      </c>
      <c r="M256" s="114">
        <v>2</v>
      </c>
      <c r="N256" s="114">
        <v>2</v>
      </c>
      <c r="O256" s="114">
        <v>0</v>
      </c>
      <c r="P256" s="114">
        <v>0</v>
      </c>
      <c r="Q256" s="114">
        <v>4</v>
      </c>
      <c r="R256" s="114">
        <v>259074</v>
      </c>
      <c r="S256" s="114">
        <v>0</v>
      </c>
      <c r="T256" s="775">
        <v>1345.8389610389611</v>
      </c>
      <c r="U256" s="114">
        <v>66760</v>
      </c>
      <c r="V256" s="114">
        <v>0</v>
      </c>
      <c r="W256" s="114">
        <v>0</v>
      </c>
      <c r="X256" s="775">
        <v>1683.8966408268734</v>
      </c>
      <c r="Y256" s="114">
        <v>385</v>
      </c>
      <c r="Z256" s="114">
        <v>0</v>
      </c>
      <c r="AA256" s="114">
        <v>0</v>
      </c>
      <c r="AB256" s="657">
        <v>2</v>
      </c>
      <c r="AC256" s="657">
        <v>0</v>
      </c>
      <c r="AD256" s="768">
        <v>387</v>
      </c>
      <c r="AE256" s="769">
        <v>272</v>
      </c>
      <c r="AF256" s="769">
        <v>0</v>
      </c>
      <c r="AG256" s="770">
        <v>272</v>
      </c>
      <c r="AH256" s="769">
        <v>0</v>
      </c>
      <c r="AI256" s="769">
        <v>350.0089843811092</v>
      </c>
      <c r="AJ256" s="769">
        <v>0</v>
      </c>
      <c r="AK256" s="769">
        <v>350.0089843811092</v>
      </c>
      <c r="AL256" s="769">
        <v>0</v>
      </c>
      <c r="AM256" s="769">
        <v>248.18751802551131</v>
      </c>
      <c r="AN256" s="769">
        <v>0</v>
      </c>
      <c r="AO256" s="769">
        <v>248.18751802551131</v>
      </c>
      <c r="AP256" s="769">
        <v>0</v>
      </c>
      <c r="AQ256" s="769">
        <v>1.8596827016276773</v>
      </c>
      <c r="AR256" s="769">
        <v>0</v>
      </c>
      <c r="AS256" s="769">
        <v>318.19815362985861</v>
      </c>
      <c r="AT256" s="769">
        <v>333.72475572532971</v>
      </c>
      <c r="AU256" s="769">
        <v>350.0089843811092</v>
      </c>
      <c r="AV256" s="769">
        <v>367.08780827851945</v>
      </c>
      <c r="AW256" s="769">
        <v>385</v>
      </c>
      <c r="AX256" s="769">
        <v>226.45972096935111</v>
      </c>
      <c r="AY256" s="769">
        <v>237.07483223685531</v>
      </c>
      <c r="AZ256" s="769">
        <v>248.18751802551131</v>
      </c>
      <c r="BA256" s="769">
        <v>259.82110172759081</v>
      </c>
      <c r="BB256" s="769">
        <v>272</v>
      </c>
      <c r="BC256" s="769">
        <v>1.7292098753666085</v>
      </c>
      <c r="BD256" s="769">
        <v>1.7932600739165065</v>
      </c>
      <c r="BE256" s="769">
        <v>1.8596827016276773</v>
      </c>
      <c r="BF256" s="769">
        <v>1.9285656336395076</v>
      </c>
      <c r="BG256" s="769">
        <v>2</v>
      </c>
      <c r="BH256" s="771">
        <v>388.65011338251287</v>
      </c>
      <c r="BI256" s="771">
        <v>392.33483281101331</v>
      </c>
      <c r="BJ256" s="771">
        <v>396.05448637898581</v>
      </c>
      <c r="BK256" s="772">
        <v>397.04525182983718</v>
      </c>
      <c r="BL256" s="772">
        <v>398.03601728068861</v>
      </c>
      <c r="BM256" s="772">
        <v>399.02678273153987</v>
      </c>
      <c r="BN256" s="772">
        <v>400.01754818239129</v>
      </c>
      <c r="BO256" s="772">
        <v>401.18906334554117</v>
      </c>
      <c r="BP256" s="772">
        <v>402.36057850869105</v>
      </c>
      <c r="BQ256" s="772">
        <v>405.60835485156764</v>
      </c>
      <c r="BR256" s="772">
        <v>409.47785806309258</v>
      </c>
      <c r="BS256" s="772">
        <v>411.17688074041416</v>
      </c>
      <c r="BT256" s="772">
        <v>412.10990937769503</v>
      </c>
      <c r="BU256" s="772">
        <v>413.07614856621501</v>
      </c>
      <c r="BV256" s="772">
        <v>414.06563514060235</v>
      </c>
      <c r="BW256" s="771">
        <v>274.57878140271038</v>
      </c>
      <c r="BX256" s="771">
        <v>277.18201175219639</v>
      </c>
      <c r="BY256" s="771">
        <v>279.8099228443744</v>
      </c>
      <c r="BZ256" s="772">
        <v>280.50989220185903</v>
      </c>
      <c r="CA256" s="772">
        <v>281.20986155934361</v>
      </c>
      <c r="CB256" s="772">
        <v>281.90983091682818</v>
      </c>
      <c r="CC256" s="772">
        <v>282.60980027431282</v>
      </c>
      <c r="CD256" s="772">
        <v>283.43746812983687</v>
      </c>
      <c r="CE256" s="772">
        <v>284.26513598536093</v>
      </c>
      <c r="CF256" s="772">
        <v>286.55966888214652</v>
      </c>
      <c r="CG256" s="772">
        <v>289.29344777444464</v>
      </c>
      <c r="CH256" s="772">
        <v>290.49379626335752</v>
      </c>
      <c r="CI256" s="772">
        <v>291.15297493696897</v>
      </c>
      <c r="CJ256" s="772">
        <v>291.83561664937787</v>
      </c>
      <c r="CK256" s="772">
        <v>292.53468248894507</v>
      </c>
      <c r="CL256" s="771">
        <v>2.0189616279611058</v>
      </c>
      <c r="CM256" s="771">
        <v>2.0381030275896794</v>
      </c>
      <c r="CN256" s="771">
        <v>2.0574259032674589</v>
      </c>
      <c r="CO256" s="772">
        <v>2.062572736778375</v>
      </c>
      <c r="CP256" s="772">
        <v>2.0677195702892917</v>
      </c>
      <c r="CQ256" s="772">
        <v>2.0728664038002074</v>
      </c>
      <c r="CR256" s="772">
        <v>2.0780132373111235</v>
      </c>
      <c r="CS256" s="772">
        <v>2.0840990303664477</v>
      </c>
      <c r="CT256" s="772">
        <v>2.0901848234217719</v>
      </c>
      <c r="CU256" s="772">
        <v>2.1070563888393128</v>
      </c>
      <c r="CV256" s="772">
        <v>2.1271577042238579</v>
      </c>
      <c r="CW256" s="772">
        <v>2.1359837960540995</v>
      </c>
      <c r="CX256" s="772">
        <v>2.1408306980659484</v>
      </c>
      <c r="CY256" s="772">
        <v>2.1458501224218964</v>
      </c>
      <c r="CZ256" s="772">
        <v>2.1509903124187137</v>
      </c>
      <c r="DA256" s="773">
        <v>0</v>
      </c>
      <c r="DB256" s="773">
        <v>0</v>
      </c>
      <c r="DC256" s="773">
        <v>0</v>
      </c>
      <c r="DD256" s="774">
        <v>0</v>
      </c>
      <c r="DE256" s="774">
        <v>0</v>
      </c>
      <c r="DF256" s="774">
        <v>0</v>
      </c>
      <c r="DG256" s="774">
        <v>0</v>
      </c>
      <c r="DH256" s="774">
        <v>0</v>
      </c>
      <c r="DI256" s="774">
        <v>0</v>
      </c>
      <c r="DJ256" s="774">
        <v>0</v>
      </c>
      <c r="DK256" s="774">
        <v>0</v>
      </c>
      <c r="DL256" s="774">
        <v>0</v>
      </c>
      <c r="DM256" s="774">
        <v>0</v>
      </c>
      <c r="DN256" s="774">
        <v>0</v>
      </c>
      <c r="DO256" s="774">
        <v>0</v>
      </c>
      <c r="DP256" s="773">
        <v>0</v>
      </c>
      <c r="DQ256" s="773">
        <v>0</v>
      </c>
      <c r="DR256" s="773">
        <v>0</v>
      </c>
      <c r="DS256" s="774">
        <v>0</v>
      </c>
      <c r="DT256" s="774">
        <v>0</v>
      </c>
      <c r="DU256" s="774">
        <v>0</v>
      </c>
      <c r="DV256" s="774">
        <v>0</v>
      </c>
      <c r="DW256" s="774">
        <v>0</v>
      </c>
      <c r="DX256" s="774">
        <v>0</v>
      </c>
      <c r="DY256" s="774">
        <v>0</v>
      </c>
      <c r="DZ256" s="774">
        <v>0</v>
      </c>
      <c r="EA256" s="774">
        <v>0</v>
      </c>
      <c r="EB256" s="774">
        <v>0</v>
      </c>
      <c r="EC256" s="774">
        <v>0</v>
      </c>
      <c r="ED256" s="774">
        <v>0</v>
      </c>
    </row>
    <row r="257" spans="1:134" ht="15" x14ac:dyDescent="0.25">
      <c r="A257" s="766">
        <v>111</v>
      </c>
      <c r="B257" s="766">
        <v>96</v>
      </c>
      <c r="C257" s="766" t="s">
        <v>3928</v>
      </c>
      <c r="D257" s="2">
        <v>99712</v>
      </c>
      <c r="E257" s="2">
        <v>99712</v>
      </c>
      <c r="F257" s="767" t="s">
        <v>3746</v>
      </c>
      <c r="G257" s="114">
        <v>142</v>
      </c>
      <c r="H257" s="114">
        <v>61</v>
      </c>
      <c r="I257" s="114">
        <v>56</v>
      </c>
      <c r="J257" s="114">
        <v>5</v>
      </c>
      <c r="K257" s="114">
        <v>0</v>
      </c>
      <c r="L257" s="114">
        <v>67</v>
      </c>
      <c r="M257" s="114">
        <v>67</v>
      </c>
      <c r="N257" s="114">
        <v>5</v>
      </c>
      <c r="O257" s="114">
        <v>0</v>
      </c>
      <c r="P257" s="114">
        <v>0</v>
      </c>
      <c r="Q257" s="114">
        <v>72</v>
      </c>
      <c r="R257" s="114">
        <v>0</v>
      </c>
      <c r="S257" s="114">
        <v>2531.4626865671644</v>
      </c>
      <c r="T257" s="114">
        <v>2531.4626865671644</v>
      </c>
      <c r="U257" s="114">
        <v>9182</v>
      </c>
      <c r="V257" s="114">
        <v>0</v>
      </c>
      <c r="W257" s="114">
        <v>0</v>
      </c>
      <c r="X257" s="114">
        <v>2993.3055555555557</v>
      </c>
      <c r="Y257" s="114">
        <v>0</v>
      </c>
      <c r="Z257" s="114">
        <v>61</v>
      </c>
      <c r="AA257" s="114">
        <v>0</v>
      </c>
      <c r="AB257" s="657">
        <v>5</v>
      </c>
      <c r="AC257" s="657">
        <v>0</v>
      </c>
      <c r="AD257" s="768">
        <v>66</v>
      </c>
      <c r="AE257" s="769">
        <v>0</v>
      </c>
      <c r="AF257" s="769">
        <v>56</v>
      </c>
      <c r="AG257" s="770">
        <v>56</v>
      </c>
      <c r="AH257" s="769">
        <v>0</v>
      </c>
      <c r="AI257" s="769">
        <v>0</v>
      </c>
      <c r="AJ257" s="769">
        <v>55.455968953890029</v>
      </c>
      <c r="AK257" s="769">
        <v>55.455968953890029</v>
      </c>
      <c r="AL257" s="769">
        <v>0</v>
      </c>
      <c r="AM257" s="769">
        <v>0</v>
      </c>
      <c r="AN257" s="769">
        <v>51.09743018172292</v>
      </c>
      <c r="AO257" s="769">
        <v>51.09743018172292</v>
      </c>
      <c r="AP257" s="769">
        <v>0</v>
      </c>
      <c r="AQ257" s="769">
        <v>4.6492067540691933</v>
      </c>
      <c r="AR257" s="769">
        <v>0</v>
      </c>
      <c r="AS257" s="769">
        <v>50.41581135434123</v>
      </c>
      <c r="AT257" s="769">
        <v>52.875870387649641</v>
      </c>
      <c r="AU257" s="769">
        <v>55.455968953890029</v>
      </c>
      <c r="AV257" s="769">
        <v>58.161964428544643</v>
      </c>
      <c r="AW257" s="769">
        <v>61</v>
      </c>
      <c r="AX257" s="769">
        <v>46.624060199572291</v>
      </c>
      <c r="AY257" s="769">
        <v>48.809524284058448</v>
      </c>
      <c r="AZ257" s="769">
        <v>51.09743018172292</v>
      </c>
      <c r="BA257" s="769">
        <v>53.492579767445164</v>
      </c>
      <c r="BB257" s="769">
        <v>56</v>
      </c>
      <c r="BC257" s="769">
        <v>4.3230246884165213</v>
      </c>
      <c r="BD257" s="769">
        <v>4.483150184791266</v>
      </c>
      <c r="BE257" s="769">
        <v>4.6492067540691933</v>
      </c>
      <c r="BF257" s="769">
        <v>4.8214140840987687</v>
      </c>
      <c r="BG257" s="769">
        <v>5</v>
      </c>
      <c r="BH257" s="771">
        <v>61.577627137757396</v>
      </c>
      <c r="BI257" s="771">
        <v>62.16072399863404</v>
      </c>
      <c r="BJ257" s="771">
        <v>62.749342377064515</v>
      </c>
      <c r="BK257" s="772">
        <v>63.573241115540689</v>
      </c>
      <c r="BL257" s="772">
        <v>64.397139854016871</v>
      </c>
      <c r="BM257" s="772">
        <v>65.221038592493059</v>
      </c>
      <c r="BN257" s="772">
        <v>66.044937330969233</v>
      </c>
      <c r="BO257" s="772">
        <v>67.019143551215905</v>
      </c>
      <c r="BP257" s="772">
        <v>67.993349771462576</v>
      </c>
      <c r="BQ257" s="772">
        <v>70.694129082498904</v>
      </c>
      <c r="BR257" s="772">
        <v>73.911922770970193</v>
      </c>
      <c r="BS257" s="772">
        <v>75.324792627589332</v>
      </c>
      <c r="BT257" s="772">
        <v>76.100678702903537</v>
      </c>
      <c r="BU257" s="772">
        <v>76.904181941539676</v>
      </c>
      <c r="BV257" s="772">
        <v>77.727017194501229</v>
      </c>
      <c r="BW257" s="771">
        <v>56.530280651055975</v>
      </c>
      <c r="BX257" s="771">
        <v>57.065582687270592</v>
      </c>
      <c r="BY257" s="771">
        <v>57.605953657632995</v>
      </c>
      <c r="BZ257" s="772">
        <v>58.362319712627517</v>
      </c>
      <c r="CA257" s="772">
        <v>59.11868576762204</v>
      </c>
      <c r="CB257" s="772">
        <v>59.87505182261657</v>
      </c>
      <c r="CC257" s="772">
        <v>60.631417877611092</v>
      </c>
      <c r="CD257" s="772">
        <v>61.525771128985092</v>
      </c>
      <c r="CE257" s="772">
        <v>62.420124380359091</v>
      </c>
      <c r="CF257" s="772">
        <v>64.899528338031772</v>
      </c>
      <c r="CG257" s="772">
        <v>67.853568445480818</v>
      </c>
      <c r="CH257" s="772">
        <v>69.150629297459048</v>
      </c>
      <c r="CI257" s="772">
        <v>69.862918153485211</v>
      </c>
      <c r="CJ257" s="772">
        <v>70.600560470921664</v>
      </c>
      <c r="CK257" s="772">
        <v>71.355950211345387</v>
      </c>
      <c r="CL257" s="771">
        <v>5.0473464867014259</v>
      </c>
      <c r="CM257" s="771">
        <v>5.0951413113634461</v>
      </c>
      <c r="CN257" s="771">
        <v>5.1433887194315178</v>
      </c>
      <c r="CO257" s="772">
        <v>5.2109214029131712</v>
      </c>
      <c r="CP257" s="772">
        <v>5.2784540863948255</v>
      </c>
      <c r="CQ257" s="772">
        <v>5.3459867698764798</v>
      </c>
      <c r="CR257" s="772">
        <v>5.4135194533581332</v>
      </c>
      <c r="CS257" s="772">
        <v>5.493372422230812</v>
      </c>
      <c r="CT257" s="772">
        <v>5.5732253911034908</v>
      </c>
      <c r="CU257" s="772">
        <v>5.7946007444671235</v>
      </c>
      <c r="CV257" s="772">
        <v>6.0583543254893595</v>
      </c>
      <c r="CW257" s="772">
        <v>6.1741633301302734</v>
      </c>
      <c r="CX257" s="772">
        <v>6.237760549418323</v>
      </c>
      <c r="CY257" s="772">
        <v>6.3036214706180065</v>
      </c>
      <c r="CZ257" s="772">
        <v>6.3710669831558384</v>
      </c>
      <c r="DA257" s="773">
        <v>0</v>
      </c>
      <c r="DB257" s="773">
        <v>0</v>
      </c>
      <c r="DC257" s="773">
        <v>0</v>
      </c>
      <c r="DD257" s="774">
        <v>0</v>
      </c>
      <c r="DE257" s="774">
        <v>0</v>
      </c>
      <c r="DF257" s="774">
        <v>0</v>
      </c>
      <c r="DG257" s="774">
        <v>0</v>
      </c>
      <c r="DH257" s="774">
        <v>0</v>
      </c>
      <c r="DI257" s="774">
        <v>0</v>
      </c>
      <c r="DJ257" s="774">
        <v>0</v>
      </c>
      <c r="DK257" s="774">
        <v>0</v>
      </c>
      <c r="DL257" s="774">
        <v>0</v>
      </c>
      <c r="DM257" s="774">
        <v>0</v>
      </c>
      <c r="DN257" s="774">
        <v>0</v>
      </c>
      <c r="DO257" s="774">
        <v>0</v>
      </c>
      <c r="DP257" s="773">
        <v>0</v>
      </c>
      <c r="DQ257" s="773">
        <v>0</v>
      </c>
      <c r="DR257" s="773">
        <v>0</v>
      </c>
      <c r="DS257" s="774">
        <v>0</v>
      </c>
      <c r="DT257" s="774">
        <v>0</v>
      </c>
      <c r="DU257" s="774">
        <v>0</v>
      </c>
      <c r="DV257" s="774">
        <v>0</v>
      </c>
      <c r="DW257" s="774">
        <v>0</v>
      </c>
      <c r="DX257" s="774">
        <v>0</v>
      </c>
      <c r="DY257" s="774">
        <v>0</v>
      </c>
      <c r="DZ257" s="774">
        <v>0</v>
      </c>
      <c r="EA257" s="774">
        <v>0</v>
      </c>
      <c r="EB257" s="774">
        <v>0</v>
      </c>
      <c r="EC257" s="774">
        <v>0</v>
      </c>
      <c r="ED257" s="774">
        <v>0</v>
      </c>
    </row>
    <row r="258" spans="1:134" ht="15" x14ac:dyDescent="0.25">
      <c r="A258" s="766">
        <v>112</v>
      </c>
      <c r="B258" s="766">
        <v>96</v>
      </c>
      <c r="C258" s="766" t="s">
        <v>3929</v>
      </c>
      <c r="D258" s="2">
        <v>99712</v>
      </c>
      <c r="E258" s="2">
        <v>99712</v>
      </c>
      <c r="F258" s="767" t="s">
        <v>3746</v>
      </c>
      <c r="G258" s="114">
        <v>53</v>
      </c>
      <c r="H258" s="114">
        <v>17</v>
      </c>
      <c r="I258" s="114">
        <v>15</v>
      </c>
      <c r="J258" s="114">
        <v>2</v>
      </c>
      <c r="K258" s="114">
        <v>0</v>
      </c>
      <c r="L258" s="114">
        <v>13</v>
      </c>
      <c r="M258" s="114">
        <v>13</v>
      </c>
      <c r="N258" s="114">
        <v>0</v>
      </c>
      <c r="O258" s="114">
        <v>0</v>
      </c>
      <c r="P258" s="114">
        <v>0</v>
      </c>
      <c r="Q258" s="114">
        <v>13</v>
      </c>
      <c r="R258" s="114">
        <v>0</v>
      </c>
      <c r="S258" s="114">
        <v>2751.6923076923076</v>
      </c>
      <c r="T258" s="114">
        <v>2751.6923076923076</v>
      </c>
      <c r="U258" s="114">
        <v>0</v>
      </c>
      <c r="V258" s="114">
        <v>0</v>
      </c>
      <c r="W258" s="114">
        <v>0</v>
      </c>
      <c r="X258" s="114">
        <v>2751.6923076923076</v>
      </c>
      <c r="Y258" s="114">
        <v>0</v>
      </c>
      <c r="Z258" s="114">
        <v>17</v>
      </c>
      <c r="AA258" s="114">
        <v>0</v>
      </c>
      <c r="AB258" s="657">
        <v>0</v>
      </c>
      <c r="AC258" s="657">
        <v>0</v>
      </c>
      <c r="AD258" s="768">
        <v>17</v>
      </c>
      <c r="AE258" s="769">
        <v>0</v>
      </c>
      <c r="AF258" s="769">
        <v>15</v>
      </c>
      <c r="AG258" s="770">
        <v>15</v>
      </c>
      <c r="AH258" s="769">
        <v>0</v>
      </c>
      <c r="AI258" s="769">
        <v>0</v>
      </c>
      <c r="AJ258" s="769">
        <v>15.454942167477549</v>
      </c>
      <c r="AK258" s="769">
        <v>15.454942167477549</v>
      </c>
      <c r="AL258" s="769">
        <v>0</v>
      </c>
      <c r="AM258" s="769">
        <v>0</v>
      </c>
      <c r="AN258" s="769">
        <v>13.686811655818639</v>
      </c>
      <c r="AO258" s="769">
        <v>13.686811655818639</v>
      </c>
      <c r="AP258" s="769">
        <v>0</v>
      </c>
      <c r="AQ258" s="769">
        <v>0</v>
      </c>
      <c r="AR258" s="769">
        <v>0</v>
      </c>
      <c r="AS258" s="769">
        <v>14.050308082357391</v>
      </c>
      <c r="AT258" s="769">
        <v>14.735898304754819</v>
      </c>
      <c r="AU258" s="769">
        <v>15.454942167477549</v>
      </c>
      <c r="AV258" s="769">
        <v>16.209072053856705</v>
      </c>
      <c r="AW258" s="769">
        <v>17</v>
      </c>
      <c r="AX258" s="769">
        <v>12.488587553456863</v>
      </c>
      <c r="AY258" s="769">
        <v>13.073979718944226</v>
      </c>
      <c r="AZ258" s="769">
        <v>13.686811655818639</v>
      </c>
      <c r="BA258" s="769">
        <v>14.328369580565669</v>
      </c>
      <c r="BB258" s="769">
        <v>15</v>
      </c>
      <c r="BC258" s="769">
        <v>0</v>
      </c>
      <c r="BD258" s="769">
        <v>0</v>
      </c>
      <c r="BE258" s="769">
        <v>0</v>
      </c>
      <c r="BF258" s="769">
        <v>0</v>
      </c>
      <c r="BG258" s="769">
        <v>0</v>
      </c>
      <c r="BH258" s="771">
        <v>17.160978054784849</v>
      </c>
      <c r="BI258" s="771">
        <v>17.323480458635714</v>
      </c>
      <c r="BJ258" s="771">
        <v>17.487521646067158</v>
      </c>
      <c r="BK258" s="772">
        <v>17.532870458856276</v>
      </c>
      <c r="BL258" s="772">
        <v>17.578219271645391</v>
      </c>
      <c r="BM258" s="772">
        <v>17.623568084434506</v>
      </c>
      <c r="BN258" s="772">
        <v>17.668916897223625</v>
      </c>
      <c r="BO258" s="772">
        <v>17.722538894001616</v>
      </c>
      <c r="BP258" s="772">
        <v>17.776160890779604</v>
      </c>
      <c r="BQ258" s="772">
        <v>17.924816459287243</v>
      </c>
      <c r="BR258" s="772">
        <v>18.101929394115103</v>
      </c>
      <c r="BS258" s="772">
        <v>18.179696196794893</v>
      </c>
      <c r="BT258" s="772">
        <v>18.222402309490466</v>
      </c>
      <c r="BU258" s="772">
        <v>18.266628518662429</v>
      </c>
      <c r="BV258" s="772">
        <v>18.311918795367852</v>
      </c>
      <c r="BW258" s="771">
        <v>15.142039460104279</v>
      </c>
      <c r="BX258" s="771">
        <v>15.285423934090337</v>
      </c>
      <c r="BY258" s="771">
        <v>15.430166158294552</v>
      </c>
      <c r="BZ258" s="772">
        <v>15.470179816637893</v>
      </c>
      <c r="CA258" s="772">
        <v>15.510193474981229</v>
      </c>
      <c r="CB258" s="772">
        <v>15.550207133324566</v>
      </c>
      <c r="CC258" s="772">
        <v>15.590220791667907</v>
      </c>
      <c r="CD258" s="772">
        <v>15.637534318236719</v>
      </c>
      <c r="CE258" s="772">
        <v>15.684847844805534</v>
      </c>
      <c r="CF258" s="772">
        <v>15.81601452290051</v>
      </c>
      <c r="CG258" s="772">
        <v>15.972290641866268</v>
      </c>
      <c r="CH258" s="772">
        <v>16.040908408936673</v>
      </c>
      <c r="CI258" s="772">
        <v>16.078590273079826</v>
      </c>
      <c r="CJ258" s="772">
        <v>16.117613398819792</v>
      </c>
      <c r="CK258" s="772">
        <v>16.157575407677516</v>
      </c>
      <c r="CL258" s="771">
        <v>0</v>
      </c>
      <c r="CM258" s="771">
        <v>0</v>
      </c>
      <c r="CN258" s="771">
        <v>0</v>
      </c>
      <c r="CO258" s="772">
        <v>0</v>
      </c>
      <c r="CP258" s="772">
        <v>0</v>
      </c>
      <c r="CQ258" s="772">
        <v>0</v>
      </c>
      <c r="CR258" s="772">
        <v>0</v>
      </c>
      <c r="CS258" s="772">
        <v>0</v>
      </c>
      <c r="CT258" s="772">
        <v>0</v>
      </c>
      <c r="CU258" s="772">
        <v>0</v>
      </c>
      <c r="CV258" s="772">
        <v>0</v>
      </c>
      <c r="CW258" s="772">
        <v>0</v>
      </c>
      <c r="CX258" s="772">
        <v>0</v>
      </c>
      <c r="CY258" s="772">
        <v>0</v>
      </c>
      <c r="CZ258" s="772">
        <v>0</v>
      </c>
      <c r="DA258" s="773">
        <v>0</v>
      </c>
      <c r="DB258" s="773">
        <v>0</v>
      </c>
      <c r="DC258" s="773">
        <v>0</v>
      </c>
      <c r="DD258" s="774">
        <v>0</v>
      </c>
      <c r="DE258" s="774">
        <v>0</v>
      </c>
      <c r="DF258" s="774">
        <v>0</v>
      </c>
      <c r="DG258" s="774">
        <v>0</v>
      </c>
      <c r="DH258" s="774">
        <v>0</v>
      </c>
      <c r="DI258" s="774">
        <v>0</v>
      </c>
      <c r="DJ258" s="774">
        <v>0</v>
      </c>
      <c r="DK258" s="774">
        <v>0</v>
      </c>
      <c r="DL258" s="774">
        <v>0</v>
      </c>
      <c r="DM258" s="774">
        <v>0</v>
      </c>
      <c r="DN258" s="774">
        <v>0</v>
      </c>
      <c r="DO258" s="774">
        <v>0</v>
      </c>
      <c r="DP258" s="773">
        <v>0</v>
      </c>
      <c r="DQ258" s="773">
        <v>0</v>
      </c>
      <c r="DR258" s="773">
        <v>0</v>
      </c>
      <c r="DS258" s="774">
        <v>0</v>
      </c>
      <c r="DT258" s="774">
        <v>0</v>
      </c>
      <c r="DU258" s="774">
        <v>0</v>
      </c>
      <c r="DV258" s="774">
        <v>0</v>
      </c>
      <c r="DW258" s="774">
        <v>0</v>
      </c>
      <c r="DX258" s="774">
        <v>0</v>
      </c>
      <c r="DY258" s="774">
        <v>0</v>
      </c>
      <c r="DZ258" s="774">
        <v>0</v>
      </c>
      <c r="EA258" s="774">
        <v>0</v>
      </c>
      <c r="EB258" s="774">
        <v>0</v>
      </c>
      <c r="EC258" s="774">
        <v>0</v>
      </c>
      <c r="ED258" s="774">
        <v>0</v>
      </c>
    </row>
    <row r="259" spans="1:134" ht="15" x14ac:dyDescent="0.25">
      <c r="A259" s="766">
        <v>115</v>
      </c>
      <c r="B259" s="766">
        <v>96</v>
      </c>
      <c r="C259" s="766" t="s">
        <v>3930</v>
      </c>
      <c r="D259" s="2">
        <v>99701</v>
      </c>
      <c r="E259" s="2">
        <v>99703</v>
      </c>
      <c r="F259" s="767" t="s">
        <v>3746</v>
      </c>
      <c r="G259" s="114">
        <v>10</v>
      </c>
      <c r="H259" s="114">
        <v>2</v>
      </c>
      <c r="I259" s="114">
        <v>2</v>
      </c>
      <c r="J259" s="114">
        <v>0</v>
      </c>
      <c r="K259" s="114">
        <v>0</v>
      </c>
      <c r="L259" s="114">
        <v>0</v>
      </c>
      <c r="M259" s="114">
        <v>0</v>
      </c>
      <c r="N259" s="114">
        <v>0</v>
      </c>
      <c r="O259" s="114">
        <v>0</v>
      </c>
      <c r="P259" s="114">
        <v>0</v>
      </c>
      <c r="Q259" s="114">
        <v>0</v>
      </c>
      <c r="R259" s="114">
        <v>0</v>
      </c>
      <c r="S259" s="114">
        <v>834.49503068156923</v>
      </c>
      <c r="T259" s="114">
        <v>834.49503068156923</v>
      </c>
      <c r="U259" s="114">
        <v>1408.3846153846155</v>
      </c>
      <c r="V259" s="114">
        <v>0</v>
      </c>
      <c r="W259" s="114">
        <v>0</v>
      </c>
      <c r="X259" s="114">
        <v>1365.173957061457</v>
      </c>
      <c r="Y259" s="114">
        <v>4.5824670824670823E-2</v>
      </c>
      <c r="Z259" s="114">
        <v>1.9515765765765767</v>
      </c>
      <c r="AA259" s="114">
        <v>2.5987525987525989E-3</v>
      </c>
      <c r="AB259" s="657">
        <v>0</v>
      </c>
      <c r="AC259" s="657">
        <v>0</v>
      </c>
      <c r="AD259" s="768">
        <v>2</v>
      </c>
      <c r="AE259" s="769">
        <v>4.5824670824670823E-2</v>
      </c>
      <c r="AF259" s="769">
        <v>1.9515765765765767</v>
      </c>
      <c r="AG259" s="770">
        <v>1.9974012474012475</v>
      </c>
      <c r="AH259" s="769">
        <v>2.5987525987525989E-3</v>
      </c>
      <c r="AI259" s="769">
        <v>4.5316017727981564E-2</v>
      </c>
      <c r="AJ259" s="769">
        <v>1.9299141084947009</v>
      </c>
      <c r="AK259" s="769">
        <v>1.9752301262226826</v>
      </c>
      <c r="AL259" s="769">
        <v>2.5699064874091628E-3</v>
      </c>
      <c r="AM259" s="769">
        <v>4.5399475445597207E-2</v>
      </c>
      <c r="AN259" s="769">
        <v>1.9334683975687328</v>
      </c>
      <c r="AO259" s="769">
        <v>1.9788678730143301</v>
      </c>
      <c r="AP259" s="769">
        <v>2.5746394392588213E-3</v>
      </c>
      <c r="AQ259" s="769">
        <v>0</v>
      </c>
      <c r="AR259" s="769">
        <v>0</v>
      </c>
      <c r="AS259" s="769">
        <v>1.9533051041265896</v>
      </c>
      <c r="AT259" s="769">
        <v>1.9642370242349503</v>
      </c>
      <c r="AU259" s="769">
        <v>1.9752301262226823</v>
      </c>
      <c r="AV259" s="769">
        <v>1.986284752501944</v>
      </c>
      <c r="AW259" s="769">
        <v>1.9974012474012475</v>
      </c>
      <c r="AX259" s="769">
        <v>1.9605064650596014</v>
      </c>
      <c r="AY259" s="769">
        <v>1.9696657733085927</v>
      </c>
      <c r="AZ259" s="769">
        <v>1.9788678730143299</v>
      </c>
      <c r="BA259" s="769">
        <v>1.9881129640946149</v>
      </c>
      <c r="BB259" s="769">
        <v>1.9974012474012475</v>
      </c>
      <c r="BC259" s="769">
        <v>0</v>
      </c>
      <c r="BD259" s="769">
        <v>0</v>
      </c>
      <c r="BE259" s="769">
        <v>0</v>
      </c>
      <c r="BF259" s="769">
        <v>0</v>
      </c>
      <c r="BG259" s="769">
        <v>0</v>
      </c>
      <c r="BH259" s="771">
        <v>2.005700798179324</v>
      </c>
      <c r="BI259" s="771">
        <v>2.0140348350393569</v>
      </c>
      <c r="BJ259" s="771">
        <v>2.0224035012770352</v>
      </c>
      <c r="BK259" s="772">
        <v>2.0840908246017777</v>
      </c>
      <c r="BL259" s="772">
        <v>2.1457781479265208</v>
      </c>
      <c r="BM259" s="772">
        <v>2.2074654712512638</v>
      </c>
      <c r="BN259" s="772">
        <v>2.2691527945760064</v>
      </c>
      <c r="BO259" s="772">
        <v>2.342094008449549</v>
      </c>
      <c r="BP259" s="772">
        <v>2.4150352223230906</v>
      </c>
      <c r="BQ259" s="772">
        <v>2.6172492066493822</v>
      </c>
      <c r="BR259" s="772">
        <v>2.8581733280045989</v>
      </c>
      <c r="BS259" s="772">
        <v>2.9639583663725988</v>
      </c>
      <c r="BT259" s="772">
        <v>3.0220508636127263</v>
      </c>
      <c r="BU259" s="772">
        <v>3.08221112574142</v>
      </c>
      <c r="BV259" s="772">
        <v>3.1438188232921083</v>
      </c>
      <c r="BW259" s="771">
        <v>2.005700798179324</v>
      </c>
      <c r="BX259" s="771">
        <v>2.0140348350393569</v>
      </c>
      <c r="BY259" s="771">
        <v>2.0224035012770352</v>
      </c>
      <c r="BZ259" s="772">
        <v>2.0840908246017777</v>
      </c>
      <c r="CA259" s="772">
        <v>2.1457781479265208</v>
      </c>
      <c r="CB259" s="772">
        <v>2.2074654712512638</v>
      </c>
      <c r="CC259" s="772">
        <v>2.2691527945760064</v>
      </c>
      <c r="CD259" s="772">
        <v>2.342094008449549</v>
      </c>
      <c r="CE259" s="772">
        <v>2.4150352223230906</v>
      </c>
      <c r="CF259" s="772">
        <v>2.6172492066493822</v>
      </c>
      <c r="CG259" s="772">
        <v>2.8581733280045989</v>
      </c>
      <c r="CH259" s="772">
        <v>2.9639583663725988</v>
      </c>
      <c r="CI259" s="772">
        <v>3.0220508636127263</v>
      </c>
      <c r="CJ259" s="772">
        <v>3.08221112574142</v>
      </c>
      <c r="CK259" s="772">
        <v>3.1438188232921083</v>
      </c>
      <c r="CL259" s="771">
        <v>0</v>
      </c>
      <c r="CM259" s="771">
        <v>0</v>
      </c>
      <c r="CN259" s="771">
        <v>0</v>
      </c>
      <c r="CO259" s="772">
        <v>0</v>
      </c>
      <c r="CP259" s="772">
        <v>0</v>
      </c>
      <c r="CQ259" s="772">
        <v>0</v>
      </c>
      <c r="CR259" s="772">
        <v>0</v>
      </c>
      <c r="CS259" s="772">
        <v>0</v>
      </c>
      <c r="CT259" s="772">
        <v>0</v>
      </c>
      <c r="CU259" s="772">
        <v>0</v>
      </c>
      <c r="CV259" s="772">
        <v>0</v>
      </c>
      <c r="CW259" s="772">
        <v>0</v>
      </c>
      <c r="CX259" s="772">
        <v>0</v>
      </c>
      <c r="CY259" s="772">
        <v>0</v>
      </c>
      <c r="CZ259" s="772">
        <v>0</v>
      </c>
      <c r="DA259" s="773">
        <v>2.6095508693459849E-3</v>
      </c>
      <c r="DB259" s="773">
        <v>2.6203940086382471E-3</v>
      </c>
      <c r="DC259" s="773">
        <v>2.6312822030666607E-3</v>
      </c>
      <c r="DD259" s="774">
        <v>2.7115415360418659E-3</v>
      </c>
      <c r="DE259" s="774">
        <v>2.7918008690170711E-3</v>
      </c>
      <c r="DF259" s="774">
        <v>2.8720602019922771E-3</v>
      </c>
      <c r="DG259" s="774">
        <v>2.9523195349674823E-3</v>
      </c>
      <c r="DH259" s="774">
        <v>3.0472209321487759E-3</v>
      </c>
      <c r="DI259" s="774">
        <v>3.1421223293300691E-3</v>
      </c>
      <c r="DJ259" s="774">
        <v>3.4052162459658896E-3</v>
      </c>
      <c r="DK259" s="774">
        <v>3.7186746396104596E-3</v>
      </c>
      <c r="DL259" s="774">
        <v>3.8563080488844643E-3</v>
      </c>
      <c r="DM259" s="774">
        <v>3.931890272720175E-3</v>
      </c>
      <c r="DN259" s="774">
        <v>4.0101627969573511E-3</v>
      </c>
      <c r="DO259" s="774">
        <v>4.090318531475551E-3</v>
      </c>
      <c r="DP259" s="773">
        <v>0</v>
      </c>
      <c r="DQ259" s="773">
        <v>0</v>
      </c>
      <c r="DR259" s="773">
        <v>0</v>
      </c>
      <c r="DS259" s="774">
        <v>0</v>
      </c>
      <c r="DT259" s="774">
        <v>0</v>
      </c>
      <c r="DU259" s="774">
        <v>0</v>
      </c>
      <c r="DV259" s="774">
        <v>0</v>
      </c>
      <c r="DW259" s="774">
        <v>0</v>
      </c>
      <c r="DX259" s="774">
        <v>0</v>
      </c>
      <c r="DY259" s="774">
        <v>0</v>
      </c>
      <c r="DZ259" s="774">
        <v>0</v>
      </c>
      <c r="EA259" s="774">
        <v>0</v>
      </c>
      <c r="EB259" s="774">
        <v>0</v>
      </c>
      <c r="EC259" s="774">
        <v>0</v>
      </c>
      <c r="ED259" s="774">
        <v>0</v>
      </c>
    </row>
    <row r="260" spans="1:134" ht="15" x14ac:dyDescent="0.25">
      <c r="A260" s="766">
        <v>128</v>
      </c>
      <c r="B260" s="766">
        <v>96</v>
      </c>
      <c r="C260" s="766" t="s">
        <v>3931</v>
      </c>
      <c r="D260" s="2">
        <v>99712</v>
      </c>
      <c r="E260" s="2">
        <v>99712</v>
      </c>
      <c r="F260" s="767" t="s">
        <v>3676</v>
      </c>
      <c r="G260" s="114">
        <v>134</v>
      </c>
      <c r="H260" s="114">
        <v>65</v>
      </c>
      <c r="I260" s="114">
        <v>53</v>
      </c>
      <c r="J260" s="114">
        <v>12</v>
      </c>
      <c r="K260" s="114">
        <v>0</v>
      </c>
      <c r="L260" s="114">
        <v>20</v>
      </c>
      <c r="M260" s="114">
        <v>20</v>
      </c>
      <c r="N260" s="114">
        <v>0</v>
      </c>
      <c r="O260" s="114">
        <v>0</v>
      </c>
      <c r="P260" s="114">
        <v>0</v>
      </c>
      <c r="Q260" s="114">
        <v>20</v>
      </c>
      <c r="R260" s="114">
        <v>0</v>
      </c>
      <c r="S260" s="114">
        <v>1263.8499999999999</v>
      </c>
      <c r="T260" s="114">
        <v>1263.8499999999999</v>
      </c>
      <c r="U260" s="114">
        <v>0</v>
      </c>
      <c r="V260" s="114">
        <v>0</v>
      </c>
      <c r="W260" s="114">
        <v>0</v>
      </c>
      <c r="X260" s="114">
        <v>1263.8499999999999</v>
      </c>
      <c r="Y260" s="114">
        <v>0</v>
      </c>
      <c r="Z260" s="114">
        <v>65</v>
      </c>
      <c r="AA260" s="114">
        <v>0</v>
      </c>
      <c r="AB260" s="657">
        <v>0</v>
      </c>
      <c r="AC260" s="657">
        <v>0</v>
      </c>
      <c r="AD260" s="768">
        <v>65</v>
      </c>
      <c r="AE260" s="769">
        <v>0</v>
      </c>
      <c r="AF260" s="769">
        <v>53</v>
      </c>
      <c r="AG260" s="770">
        <v>53</v>
      </c>
      <c r="AH260" s="769">
        <v>0</v>
      </c>
      <c r="AI260" s="769">
        <v>0</v>
      </c>
      <c r="AJ260" s="769">
        <v>59.092425934472985</v>
      </c>
      <c r="AK260" s="769">
        <v>59.092425934472985</v>
      </c>
      <c r="AL260" s="769">
        <v>0</v>
      </c>
      <c r="AM260" s="769">
        <v>0</v>
      </c>
      <c r="AN260" s="769">
        <v>48.36006785055919</v>
      </c>
      <c r="AO260" s="769">
        <v>48.36006785055919</v>
      </c>
      <c r="AP260" s="769">
        <v>0</v>
      </c>
      <c r="AQ260" s="769">
        <v>0</v>
      </c>
      <c r="AR260" s="769">
        <v>0</v>
      </c>
      <c r="AS260" s="769">
        <v>53.721766197248854</v>
      </c>
      <c r="AT260" s="769">
        <v>56.343140577003716</v>
      </c>
      <c r="AU260" s="769">
        <v>59.092425934472985</v>
      </c>
      <c r="AV260" s="769">
        <v>61.975863735334457</v>
      </c>
      <c r="AW260" s="769">
        <v>65</v>
      </c>
      <c r="AX260" s="769">
        <v>44.126342688880918</v>
      </c>
      <c r="AY260" s="769">
        <v>46.194728340269599</v>
      </c>
      <c r="AZ260" s="769">
        <v>48.36006785055919</v>
      </c>
      <c r="BA260" s="769">
        <v>50.626905851332026</v>
      </c>
      <c r="BB260" s="769">
        <v>53</v>
      </c>
      <c r="BC260" s="769">
        <v>0</v>
      </c>
      <c r="BD260" s="769">
        <v>0</v>
      </c>
      <c r="BE260" s="769">
        <v>0</v>
      </c>
      <c r="BF260" s="769">
        <v>0</v>
      </c>
      <c r="BG260" s="769">
        <v>0</v>
      </c>
      <c r="BH260" s="771">
        <v>65.822755328451677</v>
      </c>
      <c r="BI260" s="771">
        <v>66.655924908141756</v>
      </c>
      <c r="BJ260" s="771">
        <v>67.499640560311747</v>
      </c>
      <c r="BK260" s="772">
        <v>67.055860038769723</v>
      </c>
      <c r="BL260" s="772">
        <v>66.61499717945027</v>
      </c>
      <c r="BM260" s="772">
        <v>67.093217284302696</v>
      </c>
      <c r="BN260" s="772">
        <v>67.574870466965947</v>
      </c>
      <c r="BO260" s="772">
        <v>68.059981373043868</v>
      </c>
      <c r="BP260" s="772">
        <v>68.548574825067789</v>
      </c>
      <c r="BQ260" s="772">
        <v>69.04067582376662</v>
      </c>
      <c r="BR260" s="772">
        <v>69.428244289077369</v>
      </c>
      <c r="BS260" s="772">
        <v>69.817988418422573</v>
      </c>
      <c r="BT260" s="772">
        <v>70.209920425164285</v>
      </c>
      <c r="BU260" s="772">
        <v>70.604052591225809</v>
      </c>
      <c r="BV260" s="772">
        <v>71.000397267476529</v>
      </c>
      <c r="BW260" s="771">
        <v>53.670862037045218</v>
      </c>
      <c r="BX260" s="771">
        <v>54.35021569433097</v>
      </c>
      <c r="BY260" s="771">
        <v>55.03816845686957</v>
      </c>
      <c r="BZ260" s="772">
        <v>54.676316646996845</v>
      </c>
      <c r="CA260" s="772">
        <v>54.316843854013293</v>
      </c>
      <c r="CB260" s="772">
        <v>54.706777170277576</v>
      </c>
      <c r="CC260" s="772">
        <v>55.099509765372225</v>
      </c>
      <c r="CD260" s="772">
        <v>55.495061734943455</v>
      </c>
      <c r="CE260" s="772">
        <v>55.893453318901415</v>
      </c>
      <c r="CF260" s="772">
        <v>56.294704902455855</v>
      </c>
      <c r="CG260" s="772">
        <v>56.610722266478469</v>
      </c>
      <c r="CH260" s="772">
        <v>56.928513633483014</v>
      </c>
      <c r="CI260" s="772">
        <v>57.248088962057032</v>
      </c>
      <c r="CJ260" s="772">
        <v>57.569458266691811</v>
      </c>
      <c r="CK260" s="772">
        <v>57.892631618096232</v>
      </c>
      <c r="CL260" s="771">
        <v>0</v>
      </c>
      <c r="CM260" s="771">
        <v>0</v>
      </c>
      <c r="CN260" s="771">
        <v>0</v>
      </c>
      <c r="CO260" s="772">
        <v>0</v>
      </c>
      <c r="CP260" s="772">
        <v>0</v>
      </c>
      <c r="CQ260" s="772">
        <v>0</v>
      </c>
      <c r="CR260" s="772">
        <v>0</v>
      </c>
      <c r="CS260" s="772">
        <v>0</v>
      </c>
      <c r="CT260" s="772">
        <v>0</v>
      </c>
      <c r="CU260" s="772">
        <v>0</v>
      </c>
      <c r="CV260" s="772">
        <v>0</v>
      </c>
      <c r="CW260" s="772">
        <v>0</v>
      </c>
      <c r="CX260" s="772">
        <v>0</v>
      </c>
      <c r="CY260" s="772">
        <v>0</v>
      </c>
      <c r="CZ260" s="772">
        <v>0</v>
      </c>
      <c r="DA260" s="773">
        <v>0</v>
      </c>
      <c r="DB260" s="773">
        <v>0</v>
      </c>
      <c r="DC260" s="773">
        <v>0</v>
      </c>
      <c r="DD260" s="774">
        <v>0</v>
      </c>
      <c r="DE260" s="774">
        <v>0</v>
      </c>
      <c r="DF260" s="774">
        <v>0</v>
      </c>
      <c r="DG260" s="774">
        <v>0</v>
      </c>
      <c r="DH260" s="774">
        <v>0</v>
      </c>
      <c r="DI260" s="774">
        <v>0</v>
      </c>
      <c r="DJ260" s="774">
        <v>0</v>
      </c>
      <c r="DK260" s="774">
        <v>0</v>
      </c>
      <c r="DL260" s="774">
        <v>0</v>
      </c>
      <c r="DM260" s="774">
        <v>0</v>
      </c>
      <c r="DN260" s="774">
        <v>0</v>
      </c>
      <c r="DO260" s="774">
        <v>0</v>
      </c>
      <c r="DP260" s="773">
        <v>0</v>
      </c>
      <c r="DQ260" s="773">
        <v>0</v>
      </c>
      <c r="DR260" s="773">
        <v>0</v>
      </c>
      <c r="DS260" s="774">
        <v>0</v>
      </c>
      <c r="DT260" s="774">
        <v>0</v>
      </c>
      <c r="DU260" s="774">
        <v>0</v>
      </c>
      <c r="DV260" s="774">
        <v>0</v>
      </c>
      <c r="DW260" s="774">
        <v>0</v>
      </c>
      <c r="DX260" s="774">
        <v>0</v>
      </c>
      <c r="DY260" s="774">
        <v>0</v>
      </c>
      <c r="DZ260" s="774">
        <v>0</v>
      </c>
      <c r="EA260" s="774">
        <v>0</v>
      </c>
      <c r="EB260" s="774">
        <v>0</v>
      </c>
      <c r="EC260" s="774">
        <v>0</v>
      </c>
      <c r="ED260" s="774">
        <v>0</v>
      </c>
    </row>
    <row r="261" spans="1:134" ht="15" x14ac:dyDescent="0.25">
      <c r="A261" s="766">
        <v>131</v>
      </c>
      <c r="B261" s="766">
        <v>96</v>
      </c>
      <c r="C261" s="766" t="s">
        <v>3932</v>
      </c>
      <c r="D261" s="2">
        <v>99712</v>
      </c>
      <c r="E261" s="2">
        <v>99712</v>
      </c>
      <c r="F261" s="767" t="s">
        <v>3676</v>
      </c>
      <c r="G261" s="114">
        <v>40</v>
      </c>
      <c r="H261" s="114">
        <v>19</v>
      </c>
      <c r="I261" s="114">
        <v>16</v>
      </c>
      <c r="J261" s="114">
        <v>3</v>
      </c>
      <c r="K261" s="114">
        <v>0</v>
      </c>
      <c r="L261" s="114">
        <v>21</v>
      </c>
      <c r="M261" s="114">
        <v>21</v>
      </c>
      <c r="N261" s="114">
        <v>0</v>
      </c>
      <c r="O261" s="114">
        <v>0</v>
      </c>
      <c r="P261" s="114">
        <v>0</v>
      </c>
      <c r="Q261" s="114">
        <v>21</v>
      </c>
      <c r="R261" s="114">
        <v>0</v>
      </c>
      <c r="S261" s="114">
        <v>1460.0952380952381</v>
      </c>
      <c r="T261" s="114">
        <v>1460.0952380952381</v>
      </c>
      <c r="U261" s="114">
        <v>0</v>
      </c>
      <c r="V261" s="114">
        <v>0</v>
      </c>
      <c r="W261" s="114">
        <v>0</v>
      </c>
      <c r="X261" s="114">
        <v>1460.0952380952381</v>
      </c>
      <c r="Y261" s="114">
        <v>0</v>
      </c>
      <c r="Z261" s="114">
        <v>19</v>
      </c>
      <c r="AA261" s="114">
        <v>0</v>
      </c>
      <c r="AB261" s="657">
        <v>0</v>
      </c>
      <c r="AC261" s="657">
        <v>0</v>
      </c>
      <c r="AD261" s="768">
        <v>19</v>
      </c>
      <c r="AE261" s="769">
        <v>0</v>
      </c>
      <c r="AF261" s="769">
        <v>16</v>
      </c>
      <c r="AG261" s="770">
        <v>16</v>
      </c>
      <c r="AH261" s="769">
        <v>0</v>
      </c>
      <c r="AI261" s="769">
        <v>0</v>
      </c>
      <c r="AJ261" s="769">
        <v>17.273170657769025</v>
      </c>
      <c r="AK261" s="769">
        <v>17.273170657769025</v>
      </c>
      <c r="AL261" s="769">
        <v>0</v>
      </c>
      <c r="AM261" s="769">
        <v>0</v>
      </c>
      <c r="AN261" s="769">
        <v>14.599265766206548</v>
      </c>
      <c r="AO261" s="769">
        <v>14.599265766206548</v>
      </c>
      <c r="AP261" s="769">
        <v>0</v>
      </c>
      <c r="AQ261" s="769">
        <v>0</v>
      </c>
      <c r="AR261" s="769">
        <v>0</v>
      </c>
      <c r="AS261" s="769">
        <v>15.703285503811204</v>
      </c>
      <c r="AT261" s="769">
        <v>16.469533399431857</v>
      </c>
      <c r="AU261" s="769">
        <v>17.273170657769025</v>
      </c>
      <c r="AV261" s="769">
        <v>18.116021707251608</v>
      </c>
      <c r="AW261" s="769">
        <v>19</v>
      </c>
      <c r="AX261" s="769">
        <v>13.321160057020654</v>
      </c>
      <c r="AY261" s="769">
        <v>13.945578366873843</v>
      </c>
      <c r="AZ261" s="769">
        <v>14.599265766206548</v>
      </c>
      <c r="BA261" s="769">
        <v>15.283594219270046</v>
      </c>
      <c r="BB261" s="769">
        <v>16</v>
      </c>
      <c r="BC261" s="769">
        <v>0</v>
      </c>
      <c r="BD261" s="769">
        <v>0</v>
      </c>
      <c r="BE261" s="769">
        <v>0</v>
      </c>
      <c r="BF261" s="769">
        <v>0</v>
      </c>
      <c r="BG261" s="769">
        <v>0</v>
      </c>
      <c r="BH261" s="771">
        <v>19.240497711393569</v>
      </c>
      <c r="BI261" s="771">
        <v>19.484039588533744</v>
      </c>
      <c r="BJ261" s="771">
        <v>19.73066416378343</v>
      </c>
      <c r="BK261" s="772">
        <v>19.600943703640379</v>
      </c>
      <c r="BL261" s="772">
        <v>19.472076098608539</v>
      </c>
      <c r="BM261" s="772">
        <v>19.611863513873093</v>
      </c>
      <c r="BN261" s="772">
        <v>19.752654444190043</v>
      </c>
      <c r="BO261" s="772">
        <v>19.894456093658974</v>
      </c>
      <c r="BP261" s="772">
        <v>20.037275718096733</v>
      </c>
      <c r="BQ261" s="772">
        <v>20.181120625408703</v>
      </c>
      <c r="BR261" s="772">
        <v>20.294409869114922</v>
      </c>
      <c r="BS261" s="772">
        <v>20.408335076154287</v>
      </c>
      <c r="BT261" s="772">
        <v>20.522899816586481</v>
      </c>
      <c r="BU261" s="772">
        <v>20.638107680512157</v>
      </c>
      <c r="BV261" s="772">
        <v>20.75396227818544</v>
      </c>
      <c r="BW261" s="771">
        <v>16.202524388541953</v>
      </c>
      <c r="BX261" s="771">
        <v>16.407612285081047</v>
      </c>
      <c r="BY261" s="771">
        <v>16.61529613792289</v>
      </c>
      <c r="BZ261" s="772">
        <v>16.506057855697161</v>
      </c>
      <c r="CA261" s="772">
        <v>16.397537767249297</v>
      </c>
      <c r="CB261" s="772">
        <v>16.515253485366816</v>
      </c>
      <c r="CC261" s="772">
        <v>16.633814268791614</v>
      </c>
      <c r="CD261" s="772">
        <v>16.753226184133872</v>
      </c>
      <c r="CE261" s="772">
        <v>16.873495341555145</v>
      </c>
      <c r="CF261" s="772">
        <v>16.994627895081013</v>
      </c>
      <c r="CG261" s="772">
        <v>17.090029363465199</v>
      </c>
      <c r="CH261" s="772">
        <v>17.185966379919403</v>
      </c>
      <c r="CI261" s="772">
        <v>17.28244195080967</v>
      </c>
      <c r="CJ261" s="772">
        <v>17.379459099378661</v>
      </c>
      <c r="CK261" s="772">
        <v>17.477020865840373</v>
      </c>
      <c r="CL261" s="771">
        <v>0</v>
      </c>
      <c r="CM261" s="771">
        <v>0</v>
      </c>
      <c r="CN261" s="771">
        <v>0</v>
      </c>
      <c r="CO261" s="772">
        <v>0</v>
      </c>
      <c r="CP261" s="772">
        <v>0</v>
      </c>
      <c r="CQ261" s="772">
        <v>0</v>
      </c>
      <c r="CR261" s="772">
        <v>0</v>
      </c>
      <c r="CS261" s="772">
        <v>0</v>
      </c>
      <c r="CT261" s="772">
        <v>0</v>
      </c>
      <c r="CU261" s="772">
        <v>0</v>
      </c>
      <c r="CV261" s="772">
        <v>0</v>
      </c>
      <c r="CW261" s="772">
        <v>0</v>
      </c>
      <c r="CX261" s="772">
        <v>0</v>
      </c>
      <c r="CY261" s="772">
        <v>0</v>
      </c>
      <c r="CZ261" s="772">
        <v>0</v>
      </c>
      <c r="DA261" s="773">
        <v>0</v>
      </c>
      <c r="DB261" s="773">
        <v>0</v>
      </c>
      <c r="DC261" s="773">
        <v>0</v>
      </c>
      <c r="DD261" s="774">
        <v>0</v>
      </c>
      <c r="DE261" s="774">
        <v>0</v>
      </c>
      <c r="DF261" s="774">
        <v>0</v>
      </c>
      <c r="DG261" s="774">
        <v>0</v>
      </c>
      <c r="DH261" s="774">
        <v>0</v>
      </c>
      <c r="DI261" s="774">
        <v>0</v>
      </c>
      <c r="DJ261" s="774">
        <v>0</v>
      </c>
      <c r="DK261" s="774">
        <v>0</v>
      </c>
      <c r="DL261" s="774">
        <v>0</v>
      </c>
      <c r="DM261" s="774">
        <v>0</v>
      </c>
      <c r="DN261" s="774">
        <v>0</v>
      </c>
      <c r="DO261" s="774">
        <v>0</v>
      </c>
      <c r="DP261" s="773">
        <v>0</v>
      </c>
      <c r="DQ261" s="773">
        <v>0</v>
      </c>
      <c r="DR261" s="773">
        <v>0</v>
      </c>
      <c r="DS261" s="774">
        <v>0</v>
      </c>
      <c r="DT261" s="774">
        <v>0</v>
      </c>
      <c r="DU261" s="774">
        <v>0</v>
      </c>
      <c r="DV261" s="774">
        <v>0</v>
      </c>
      <c r="DW261" s="774">
        <v>0</v>
      </c>
      <c r="DX261" s="774">
        <v>0</v>
      </c>
      <c r="DY261" s="774">
        <v>0</v>
      </c>
      <c r="DZ261" s="774">
        <v>0</v>
      </c>
      <c r="EA261" s="774">
        <v>0</v>
      </c>
      <c r="EB261" s="774">
        <v>0</v>
      </c>
      <c r="EC261" s="774">
        <v>0</v>
      </c>
      <c r="ED261" s="774">
        <v>0</v>
      </c>
    </row>
    <row r="262" spans="1:134" ht="15" x14ac:dyDescent="0.25">
      <c r="A262" s="766">
        <v>132</v>
      </c>
      <c r="B262" s="766">
        <v>96</v>
      </c>
      <c r="C262" s="766" t="s">
        <v>3933</v>
      </c>
      <c r="D262" s="2">
        <v>99712</v>
      </c>
      <c r="E262" s="2">
        <v>99712</v>
      </c>
      <c r="F262" s="767" t="s">
        <v>3676</v>
      </c>
      <c r="G262" s="114">
        <v>19</v>
      </c>
      <c r="H262" s="114">
        <v>10</v>
      </c>
      <c r="I262" s="114">
        <v>8</v>
      </c>
      <c r="J262" s="114">
        <v>2</v>
      </c>
      <c r="K262" s="114">
        <v>0</v>
      </c>
      <c r="L262" s="114">
        <v>5</v>
      </c>
      <c r="M262" s="114">
        <v>5</v>
      </c>
      <c r="N262" s="114">
        <v>0</v>
      </c>
      <c r="O262" s="114">
        <v>0</v>
      </c>
      <c r="P262" s="114">
        <v>0</v>
      </c>
      <c r="Q262" s="114">
        <v>5</v>
      </c>
      <c r="R262" s="114">
        <v>0</v>
      </c>
      <c r="S262" s="114">
        <v>1197</v>
      </c>
      <c r="T262" s="114">
        <v>1197</v>
      </c>
      <c r="U262" s="114">
        <v>0</v>
      </c>
      <c r="V262" s="114">
        <v>0</v>
      </c>
      <c r="W262" s="114">
        <v>0</v>
      </c>
      <c r="X262" s="114">
        <v>1197</v>
      </c>
      <c r="Y262" s="114">
        <v>0</v>
      </c>
      <c r="Z262" s="114">
        <v>10</v>
      </c>
      <c r="AA262" s="114">
        <v>0</v>
      </c>
      <c r="AB262" s="657">
        <v>0</v>
      </c>
      <c r="AC262" s="657">
        <v>0</v>
      </c>
      <c r="AD262" s="768">
        <v>10</v>
      </c>
      <c r="AE262" s="769">
        <v>0</v>
      </c>
      <c r="AF262" s="769">
        <v>8</v>
      </c>
      <c r="AG262" s="770">
        <v>8</v>
      </c>
      <c r="AH262" s="769">
        <v>0</v>
      </c>
      <c r="AI262" s="769">
        <v>0</v>
      </c>
      <c r="AJ262" s="769">
        <v>9.0911424514573813</v>
      </c>
      <c r="AK262" s="769">
        <v>9.0911424514573813</v>
      </c>
      <c r="AL262" s="769">
        <v>0</v>
      </c>
      <c r="AM262" s="769">
        <v>0</v>
      </c>
      <c r="AN262" s="769">
        <v>7.299632883103274</v>
      </c>
      <c r="AO262" s="769">
        <v>7.299632883103274</v>
      </c>
      <c r="AP262" s="769">
        <v>0</v>
      </c>
      <c r="AQ262" s="769">
        <v>0</v>
      </c>
      <c r="AR262" s="769">
        <v>0</v>
      </c>
      <c r="AS262" s="769">
        <v>8.264887107269054</v>
      </c>
      <c r="AT262" s="769">
        <v>8.6681754733851868</v>
      </c>
      <c r="AU262" s="769">
        <v>9.0911424514573813</v>
      </c>
      <c r="AV262" s="769">
        <v>9.5347482669745318</v>
      </c>
      <c r="AW262" s="769">
        <v>10</v>
      </c>
      <c r="AX262" s="769">
        <v>6.6605800285103269</v>
      </c>
      <c r="AY262" s="769">
        <v>6.9727891834369213</v>
      </c>
      <c r="AZ262" s="769">
        <v>7.299632883103274</v>
      </c>
      <c r="BA262" s="769">
        <v>7.6417971096350232</v>
      </c>
      <c r="BB262" s="769">
        <v>8</v>
      </c>
      <c r="BC262" s="769">
        <v>0</v>
      </c>
      <c r="BD262" s="769">
        <v>0</v>
      </c>
      <c r="BE262" s="769">
        <v>0</v>
      </c>
      <c r="BF262" s="769">
        <v>0</v>
      </c>
      <c r="BG262" s="769">
        <v>0</v>
      </c>
      <c r="BH262" s="771">
        <v>10.12657774283872</v>
      </c>
      <c r="BI262" s="771">
        <v>10.254757678175654</v>
      </c>
      <c r="BJ262" s="771">
        <v>10.384560086201805</v>
      </c>
      <c r="BK262" s="772">
        <v>10.316286159810724</v>
      </c>
      <c r="BL262" s="772">
        <v>10.24846110453081</v>
      </c>
      <c r="BM262" s="772">
        <v>10.32203342835426</v>
      </c>
      <c r="BN262" s="772">
        <v>10.396133917994758</v>
      </c>
      <c r="BO262" s="772">
        <v>10.470766365083671</v>
      </c>
      <c r="BP262" s="772">
        <v>10.545934588471965</v>
      </c>
      <c r="BQ262" s="772">
        <v>10.621642434425633</v>
      </c>
      <c r="BR262" s="772">
        <v>10.681268352165748</v>
      </c>
      <c r="BS262" s="772">
        <v>10.741228987449626</v>
      </c>
      <c r="BT262" s="772">
        <v>10.801526219256044</v>
      </c>
      <c r="BU262" s="772">
        <v>10.862161937111662</v>
      </c>
      <c r="BV262" s="772">
        <v>10.923138041150233</v>
      </c>
      <c r="BW262" s="771">
        <v>8.1012621942709764</v>
      </c>
      <c r="BX262" s="771">
        <v>8.2038061425405235</v>
      </c>
      <c r="BY262" s="771">
        <v>8.3076480689614449</v>
      </c>
      <c r="BZ262" s="772">
        <v>8.2530289278485807</v>
      </c>
      <c r="CA262" s="772">
        <v>8.1987688836246484</v>
      </c>
      <c r="CB262" s="772">
        <v>8.2576267426834082</v>
      </c>
      <c r="CC262" s="772">
        <v>8.316907134395807</v>
      </c>
      <c r="CD262" s="772">
        <v>8.3766130920669362</v>
      </c>
      <c r="CE262" s="772">
        <v>8.4367476707775726</v>
      </c>
      <c r="CF262" s="772">
        <v>8.4973139475405066</v>
      </c>
      <c r="CG262" s="772">
        <v>8.5450146817325994</v>
      </c>
      <c r="CH262" s="772">
        <v>8.5929831899597016</v>
      </c>
      <c r="CI262" s="772">
        <v>8.6412209754048348</v>
      </c>
      <c r="CJ262" s="772">
        <v>8.6897295496893303</v>
      </c>
      <c r="CK262" s="772">
        <v>8.7385104329201866</v>
      </c>
      <c r="CL262" s="771">
        <v>0</v>
      </c>
      <c r="CM262" s="771">
        <v>0</v>
      </c>
      <c r="CN262" s="771">
        <v>0</v>
      </c>
      <c r="CO262" s="772">
        <v>0</v>
      </c>
      <c r="CP262" s="772">
        <v>0</v>
      </c>
      <c r="CQ262" s="772">
        <v>0</v>
      </c>
      <c r="CR262" s="772">
        <v>0</v>
      </c>
      <c r="CS262" s="772">
        <v>0</v>
      </c>
      <c r="CT262" s="772">
        <v>0</v>
      </c>
      <c r="CU262" s="772">
        <v>0</v>
      </c>
      <c r="CV262" s="772">
        <v>0</v>
      </c>
      <c r="CW262" s="772">
        <v>0</v>
      </c>
      <c r="CX262" s="772">
        <v>0</v>
      </c>
      <c r="CY262" s="772">
        <v>0</v>
      </c>
      <c r="CZ262" s="772">
        <v>0</v>
      </c>
      <c r="DA262" s="773">
        <v>0</v>
      </c>
      <c r="DB262" s="773">
        <v>0</v>
      </c>
      <c r="DC262" s="773">
        <v>0</v>
      </c>
      <c r="DD262" s="774">
        <v>0</v>
      </c>
      <c r="DE262" s="774">
        <v>0</v>
      </c>
      <c r="DF262" s="774">
        <v>0</v>
      </c>
      <c r="DG262" s="774">
        <v>0</v>
      </c>
      <c r="DH262" s="774">
        <v>0</v>
      </c>
      <c r="DI262" s="774">
        <v>0</v>
      </c>
      <c r="DJ262" s="774">
        <v>0</v>
      </c>
      <c r="DK262" s="774">
        <v>0</v>
      </c>
      <c r="DL262" s="774">
        <v>0</v>
      </c>
      <c r="DM262" s="774">
        <v>0</v>
      </c>
      <c r="DN262" s="774">
        <v>0</v>
      </c>
      <c r="DO262" s="774">
        <v>0</v>
      </c>
      <c r="DP262" s="773">
        <v>0</v>
      </c>
      <c r="DQ262" s="773">
        <v>0</v>
      </c>
      <c r="DR262" s="773">
        <v>0</v>
      </c>
      <c r="DS262" s="774">
        <v>0</v>
      </c>
      <c r="DT262" s="774">
        <v>0</v>
      </c>
      <c r="DU262" s="774">
        <v>0</v>
      </c>
      <c r="DV262" s="774">
        <v>0</v>
      </c>
      <c r="DW262" s="774">
        <v>0</v>
      </c>
      <c r="DX262" s="774">
        <v>0</v>
      </c>
      <c r="DY262" s="774">
        <v>0</v>
      </c>
      <c r="DZ262" s="774">
        <v>0</v>
      </c>
      <c r="EA262" s="774">
        <v>0</v>
      </c>
      <c r="EB262" s="774">
        <v>0</v>
      </c>
      <c r="EC262" s="774">
        <v>0</v>
      </c>
      <c r="ED262" s="774">
        <v>0</v>
      </c>
    </row>
    <row r="263" spans="1:134" ht="15" x14ac:dyDescent="0.25">
      <c r="A263" s="766">
        <v>138</v>
      </c>
      <c r="B263" s="766">
        <v>96</v>
      </c>
      <c r="C263" s="766" t="s">
        <v>3934</v>
      </c>
      <c r="D263" s="2">
        <v>99712</v>
      </c>
      <c r="E263" s="2">
        <v>99712</v>
      </c>
      <c r="F263" s="767" t="s">
        <v>3676</v>
      </c>
      <c r="G263" s="114">
        <v>482</v>
      </c>
      <c r="H263" s="114">
        <v>272</v>
      </c>
      <c r="I263" s="114">
        <v>205</v>
      </c>
      <c r="J263" s="114">
        <v>67</v>
      </c>
      <c r="K263" s="114">
        <v>0</v>
      </c>
      <c r="L263" s="114">
        <v>8</v>
      </c>
      <c r="M263" s="114">
        <v>8</v>
      </c>
      <c r="N263" s="114">
        <v>0</v>
      </c>
      <c r="O263" s="114">
        <v>0</v>
      </c>
      <c r="P263" s="114">
        <v>0</v>
      </c>
      <c r="Q263" s="114">
        <v>8</v>
      </c>
      <c r="R263" s="114">
        <v>0</v>
      </c>
      <c r="S263" s="114">
        <v>1442.375</v>
      </c>
      <c r="T263" s="114">
        <v>1442.375</v>
      </c>
      <c r="U263" s="114">
        <v>0</v>
      </c>
      <c r="V263" s="114">
        <v>0</v>
      </c>
      <c r="W263" s="114">
        <v>0</v>
      </c>
      <c r="X263" s="114">
        <v>1442.375</v>
      </c>
      <c r="Y263" s="114">
        <v>0</v>
      </c>
      <c r="Z263" s="114">
        <v>272</v>
      </c>
      <c r="AA263" s="114">
        <v>0</v>
      </c>
      <c r="AB263" s="657">
        <v>0</v>
      </c>
      <c r="AC263" s="657">
        <v>0</v>
      </c>
      <c r="AD263" s="768">
        <v>272</v>
      </c>
      <c r="AE263" s="769">
        <v>0</v>
      </c>
      <c r="AF263" s="769">
        <v>205</v>
      </c>
      <c r="AG263" s="770">
        <v>205</v>
      </c>
      <c r="AH263" s="769">
        <v>0</v>
      </c>
      <c r="AI263" s="769">
        <v>0</v>
      </c>
      <c r="AJ263" s="769">
        <v>247.27907467964079</v>
      </c>
      <c r="AK263" s="769">
        <v>247.27907467964079</v>
      </c>
      <c r="AL263" s="769">
        <v>0</v>
      </c>
      <c r="AM263" s="769">
        <v>0</v>
      </c>
      <c r="AN263" s="769">
        <v>187.05309262952139</v>
      </c>
      <c r="AO263" s="769">
        <v>187.05309262952139</v>
      </c>
      <c r="AP263" s="769">
        <v>0</v>
      </c>
      <c r="AQ263" s="769">
        <v>0</v>
      </c>
      <c r="AR263" s="769">
        <v>0</v>
      </c>
      <c r="AS263" s="769">
        <v>224.80492931771826</v>
      </c>
      <c r="AT263" s="769">
        <v>235.77437287607711</v>
      </c>
      <c r="AU263" s="769">
        <v>247.27907467964079</v>
      </c>
      <c r="AV263" s="769">
        <v>259.34515286170728</v>
      </c>
      <c r="AW263" s="769">
        <v>272</v>
      </c>
      <c r="AX263" s="769">
        <v>170.67736323057713</v>
      </c>
      <c r="AY263" s="769">
        <v>178.6777228255711</v>
      </c>
      <c r="AZ263" s="769">
        <v>187.05309262952139</v>
      </c>
      <c r="BA263" s="769">
        <v>195.82105093439748</v>
      </c>
      <c r="BB263" s="769">
        <v>205</v>
      </c>
      <c r="BC263" s="769">
        <v>0</v>
      </c>
      <c r="BD263" s="769">
        <v>0</v>
      </c>
      <c r="BE263" s="769">
        <v>0</v>
      </c>
      <c r="BF263" s="769">
        <v>0</v>
      </c>
      <c r="BG263" s="769">
        <v>0</v>
      </c>
      <c r="BH263" s="771">
        <v>275.44291460521322</v>
      </c>
      <c r="BI263" s="771">
        <v>278.92940884637778</v>
      </c>
      <c r="BJ263" s="771">
        <v>282.46003434468912</v>
      </c>
      <c r="BK263" s="772">
        <v>280.60298354685176</v>
      </c>
      <c r="BL263" s="772">
        <v>278.75814204323802</v>
      </c>
      <c r="BM263" s="772">
        <v>280.75930925123583</v>
      </c>
      <c r="BN263" s="772">
        <v>282.77484256945746</v>
      </c>
      <c r="BO263" s="772">
        <v>284.80484513027585</v>
      </c>
      <c r="BP263" s="772">
        <v>286.84942080643748</v>
      </c>
      <c r="BQ263" s="772">
        <v>288.90867421637722</v>
      </c>
      <c r="BR263" s="772">
        <v>290.53049917890837</v>
      </c>
      <c r="BS263" s="772">
        <v>292.16142845862981</v>
      </c>
      <c r="BT263" s="772">
        <v>293.80151316376441</v>
      </c>
      <c r="BU263" s="772">
        <v>295.45080468943723</v>
      </c>
      <c r="BV263" s="772">
        <v>297.10935471928633</v>
      </c>
      <c r="BW263" s="771">
        <v>207.59484372819378</v>
      </c>
      <c r="BX263" s="771">
        <v>210.2225324026009</v>
      </c>
      <c r="BY263" s="771">
        <v>212.88348176713703</v>
      </c>
      <c r="BZ263" s="772">
        <v>211.48386627611987</v>
      </c>
      <c r="CA263" s="772">
        <v>210.0934526428816</v>
      </c>
      <c r="CB263" s="772">
        <v>211.60168528126232</v>
      </c>
      <c r="CC263" s="772">
        <v>213.12074531889257</v>
      </c>
      <c r="CD263" s="772">
        <v>214.65071048421527</v>
      </c>
      <c r="CE263" s="772">
        <v>216.1916590636753</v>
      </c>
      <c r="CF263" s="772">
        <v>217.74366990572548</v>
      </c>
      <c r="CG263" s="772">
        <v>218.96600121939787</v>
      </c>
      <c r="CH263" s="772">
        <v>220.19519424271735</v>
      </c>
      <c r="CI263" s="772">
        <v>221.43128749474889</v>
      </c>
      <c r="CJ263" s="772">
        <v>222.67431971078909</v>
      </c>
      <c r="CK263" s="772">
        <v>223.92432984357978</v>
      </c>
      <c r="CL263" s="771">
        <v>0</v>
      </c>
      <c r="CM263" s="771">
        <v>0</v>
      </c>
      <c r="CN263" s="771">
        <v>0</v>
      </c>
      <c r="CO263" s="772">
        <v>0</v>
      </c>
      <c r="CP263" s="772">
        <v>0</v>
      </c>
      <c r="CQ263" s="772">
        <v>0</v>
      </c>
      <c r="CR263" s="772">
        <v>0</v>
      </c>
      <c r="CS263" s="772">
        <v>0</v>
      </c>
      <c r="CT263" s="772">
        <v>0</v>
      </c>
      <c r="CU263" s="772">
        <v>0</v>
      </c>
      <c r="CV263" s="772">
        <v>0</v>
      </c>
      <c r="CW263" s="772">
        <v>0</v>
      </c>
      <c r="CX263" s="772">
        <v>0</v>
      </c>
      <c r="CY263" s="772">
        <v>0</v>
      </c>
      <c r="CZ263" s="772">
        <v>0</v>
      </c>
      <c r="DA263" s="773">
        <v>0</v>
      </c>
      <c r="DB263" s="773">
        <v>0</v>
      </c>
      <c r="DC263" s="773">
        <v>0</v>
      </c>
      <c r="DD263" s="774">
        <v>0</v>
      </c>
      <c r="DE263" s="774">
        <v>0</v>
      </c>
      <c r="DF263" s="774">
        <v>0</v>
      </c>
      <c r="DG263" s="774">
        <v>0</v>
      </c>
      <c r="DH263" s="774">
        <v>0</v>
      </c>
      <c r="DI263" s="774">
        <v>0</v>
      </c>
      <c r="DJ263" s="774">
        <v>0</v>
      </c>
      <c r="DK263" s="774">
        <v>0</v>
      </c>
      <c r="DL263" s="774">
        <v>0</v>
      </c>
      <c r="DM263" s="774">
        <v>0</v>
      </c>
      <c r="DN263" s="774">
        <v>0</v>
      </c>
      <c r="DO263" s="774">
        <v>0</v>
      </c>
      <c r="DP263" s="773">
        <v>0</v>
      </c>
      <c r="DQ263" s="773">
        <v>0</v>
      </c>
      <c r="DR263" s="773">
        <v>0</v>
      </c>
      <c r="DS263" s="774">
        <v>0</v>
      </c>
      <c r="DT263" s="774">
        <v>0</v>
      </c>
      <c r="DU263" s="774">
        <v>0</v>
      </c>
      <c r="DV263" s="774">
        <v>0</v>
      </c>
      <c r="DW263" s="774">
        <v>0</v>
      </c>
      <c r="DX263" s="774">
        <v>0</v>
      </c>
      <c r="DY263" s="774">
        <v>0</v>
      </c>
      <c r="DZ263" s="774">
        <v>0</v>
      </c>
      <c r="EA263" s="774">
        <v>0</v>
      </c>
      <c r="EB263" s="774">
        <v>0</v>
      </c>
      <c r="EC263" s="774">
        <v>0</v>
      </c>
      <c r="ED263" s="774">
        <v>0</v>
      </c>
    </row>
    <row r="264" spans="1:134" ht="15" x14ac:dyDescent="0.25">
      <c r="A264" s="766">
        <v>100</v>
      </c>
      <c r="B264" s="766">
        <v>97</v>
      </c>
      <c r="C264" s="766" t="s">
        <v>3935</v>
      </c>
      <c r="D264" s="2">
        <v>99709</v>
      </c>
      <c r="E264" s="2">
        <v>99709</v>
      </c>
      <c r="F264" s="767" t="s">
        <v>3746</v>
      </c>
      <c r="G264" s="114">
        <v>6</v>
      </c>
      <c r="H264" s="114">
        <v>7</v>
      </c>
      <c r="I264" s="114">
        <v>3</v>
      </c>
      <c r="J264" s="114">
        <v>4</v>
      </c>
      <c r="K264" s="114">
        <v>0</v>
      </c>
      <c r="L264" s="114">
        <v>0</v>
      </c>
      <c r="M264" s="114">
        <v>0</v>
      </c>
      <c r="N264" s="114">
        <v>0</v>
      </c>
      <c r="O264" s="114">
        <v>0</v>
      </c>
      <c r="P264" s="114">
        <v>0</v>
      </c>
      <c r="Q264" s="114">
        <v>0</v>
      </c>
      <c r="R264" s="114">
        <v>0</v>
      </c>
      <c r="S264" s="114">
        <v>834.49503068156923</v>
      </c>
      <c r="T264" s="114">
        <v>834.49503068156923</v>
      </c>
      <c r="U264" s="114">
        <v>1408.3846153846155</v>
      </c>
      <c r="V264" s="114">
        <v>0</v>
      </c>
      <c r="W264" s="114">
        <v>0</v>
      </c>
      <c r="X264" s="114">
        <v>1365.173957061457</v>
      </c>
      <c r="Y264" s="114">
        <v>0.1603863478863479</v>
      </c>
      <c r="Z264" s="114">
        <v>6.8305180180180178</v>
      </c>
      <c r="AA264" s="114">
        <v>9.0956340956340961E-3</v>
      </c>
      <c r="AB264" s="657">
        <v>0</v>
      </c>
      <c r="AC264" s="657">
        <v>0</v>
      </c>
      <c r="AD264" s="768">
        <v>7</v>
      </c>
      <c r="AE264" s="769">
        <v>6.8737006237006251E-2</v>
      </c>
      <c r="AF264" s="769">
        <v>2.9273648648648645</v>
      </c>
      <c r="AG264" s="770">
        <v>2.9961018711018705</v>
      </c>
      <c r="AH264" s="769">
        <v>3.8981288981288983E-3</v>
      </c>
      <c r="AI264" s="769">
        <v>0.15271320758461795</v>
      </c>
      <c r="AJ264" s="769">
        <v>6.5037350731074808</v>
      </c>
      <c r="AK264" s="769">
        <v>6.656448280692099</v>
      </c>
      <c r="AL264" s="769">
        <v>8.6604843620766321E-3</v>
      </c>
      <c r="AM264" s="769">
        <v>6.5571985276381181E-2</v>
      </c>
      <c r="AN264" s="769">
        <v>2.7925732633111364</v>
      </c>
      <c r="AO264" s="769">
        <v>2.8581452485875176</v>
      </c>
      <c r="AP264" s="769">
        <v>3.7186381064110304E-3</v>
      </c>
      <c r="AQ264" s="769">
        <v>0</v>
      </c>
      <c r="AR264" s="769">
        <v>0</v>
      </c>
      <c r="AS264" s="769">
        <v>6.3379931113958152</v>
      </c>
      <c r="AT264" s="769">
        <v>6.4952693053782635</v>
      </c>
      <c r="AU264" s="769">
        <v>6.656448280692099</v>
      </c>
      <c r="AV264" s="769">
        <v>6.8216268841755774</v>
      </c>
      <c r="AW264" s="769">
        <v>6.9909043659043659</v>
      </c>
      <c r="AX264" s="769">
        <v>2.7265408899528194</v>
      </c>
      <c r="AY264" s="769">
        <v>2.7915676401796596</v>
      </c>
      <c r="AZ264" s="769">
        <v>2.8581452485875172</v>
      </c>
      <c r="BA264" s="769">
        <v>2.9263107024330108</v>
      </c>
      <c r="BB264" s="769">
        <v>2.9961018711018705</v>
      </c>
      <c r="BC264" s="769">
        <v>0</v>
      </c>
      <c r="BD264" s="769">
        <v>0</v>
      </c>
      <c r="BE264" s="769">
        <v>0</v>
      </c>
      <c r="BF264" s="769">
        <v>0</v>
      </c>
      <c r="BG264" s="769">
        <v>0</v>
      </c>
      <c r="BH264" s="771">
        <v>7.0636365727993464</v>
      </c>
      <c r="BI264" s="771">
        <v>7.137125473484276</v>
      </c>
      <c r="BJ264" s="771">
        <v>7.2113789404755577</v>
      </c>
      <c r="BK264" s="772">
        <v>7.2315674496381162</v>
      </c>
      <c r="BL264" s="772">
        <v>7.2517559588006737</v>
      </c>
      <c r="BM264" s="772">
        <v>7.2719444679632339</v>
      </c>
      <c r="BN264" s="772">
        <v>7.2921329771257914</v>
      </c>
      <c r="BO264" s="772">
        <v>7.3160045650833689</v>
      </c>
      <c r="BP264" s="772">
        <v>7.3398761530409482</v>
      </c>
      <c r="BQ264" s="772">
        <v>7.4060550477528757</v>
      </c>
      <c r="BR264" s="772">
        <v>7.4849026710458499</v>
      </c>
      <c r="BS264" s="772">
        <v>7.5195231100801587</v>
      </c>
      <c r="BT264" s="772">
        <v>7.5385351347490559</v>
      </c>
      <c r="BU264" s="772">
        <v>7.5582238801467652</v>
      </c>
      <c r="BV264" s="772">
        <v>7.5783863300546441</v>
      </c>
      <c r="BW264" s="771">
        <v>3.0272728169140048</v>
      </c>
      <c r="BX264" s="771">
        <v>3.0587680600646889</v>
      </c>
      <c r="BY264" s="771">
        <v>3.0905909744895244</v>
      </c>
      <c r="BZ264" s="772">
        <v>3.0992431927020494</v>
      </c>
      <c r="CA264" s="772">
        <v>3.107895410914574</v>
      </c>
      <c r="CB264" s="772">
        <v>3.1165476291270995</v>
      </c>
      <c r="CC264" s="772">
        <v>3.1251998473396245</v>
      </c>
      <c r="CD264" s="772">
        <v>3.135430527892872</v>
      </c>
      <c r="CE264" s="772">
        <v>3.14566120844612</v>
      </c>
      <c r="CF264" s="772">
        <v>3.1740235918940893</v>
      </c>
      <c r="CG264" s="772">
        <v>3.2078154304482212</v>
      </c>
      <c r="CH264" s="772">
        <v>3.2226527614629248</v>
      </c>
      <c r="CI264" s="772">
        <v>3.2308007720353094</v>
      </c>
      <c r="CJ264" s="772">
        <v>3.2392388057771848</v>
      </c>
      <c r="CK264" s="772">
        <v>3.247879855737704</v>
      </c>
      <c r="CL264" s="771">
        <v>0</v>
      </c>
      <c r="CM264" s="771">
        <v>0</v>
      </c>
      <c r="CN264" s="771">
        <v>0</v>
      </c>
      <c r="CO264" s="772">
        <v>0</v>
      </c>
      <c r="CP264" s="772">
        <v>0</v>
      </c>
      <c r="CQ264" s="772">
        <v>0</v>
      </c>
      <c r="CR264" s="772">
        <v>0</v>
      </c>
      <c r="CS264" s="772">
        <v>0</v>
      </c>
      <c r="CT264" s="772">
        <v>0</v>
      </c>
      <c r="CU264" s="772">
        <v>0</v>
      </c>
      <c r="CV264" s="772">
        <v>0</v>
      </c>
      <c r="CW264" s="772">
        <v>0</v>
      </c>
      <c r="CX264" s="772">
        <v>0</v>
      </c>
      <c r="CY264" s="772">
        <v>0</v>
      </c>
      <c r="CZ264" s="772">
        <v>0</v>
      </c>
      <c r="DA264" s="773">
        <v>9.1902635607589728E-3</v>
      </c>
      <c r="DB264" s="773">
        <v>9.2858775351083479E-3</v>
      </c>
      <c r="DC264" s="773">
        <v>9.3824862613525357E-3</v>
      </c>
      <c r="DD264" s="774">
        <v>9.4087528618762902E-3</v>
      </c>
      <c r="DE264" s="774">
        <v>9.4350194624000464E-3</v>
      </c>
      <c r="DF264" s="774">
        <v>9.4612860629238026E-3</v>
      </c>
      <c r="DG264" s="774">
        <v>9.4875526634475571E-3</v>
      </c>
      <c r="DH264" s="774">
        <v>9.5186111957889282E-3</v>
      </c>
      <c r="DI264" s="774">
        <v>9.5496697281303011E-3</v>
      </c>
      <c r="DJ264" s="774">
        <v>9.6357728958533402E-3</v>
      </c>
      <c r="DK264" s="774">
        <v>9.7383589266794839E-3</v>
      </c>
      <c r="DL264" s="774">
        <v>9.7834024330993499E-3</v>
      </c>
      <c r="DM264" s="774">
        <v>9.8081383486196428E-3</v>
      </c>
      <c r="DN264" s="774">
        <v>9.8337547230637097E-3</v>
      </c>
      <c r="DO264" s="774">
        <v>9.8599874187544172E-3</v>
      </c>
      <c r="DP264" s="773">
        <v>0</v>
      </c>
      <c r="DQ264" s="773">
        <v>0</v>
      </c>
      <c r="DR264" s="773">
        <v>0</v>
      </c>
      <c r="DS264" s="774">
        <v>0</v>
      </c>
      <c r="DT264" s="774">
        <v>0</v>
      </c>
      <c r="DU264" s="774">
        <v>0</v>
      </c>
      <c r="DV264" s="774">
        <v>0</v>
      </c>
      <c r="DW264" s="774">
        <v>0</v>
      </c>
      <c r="DX264" s="774">
        <v>0</v>
      </c>
      <c r="DY264" s="774">
        <v>0</v>
      </c>
      <c r="DZ264" s="774">
        <v>0</v>
      </c>
      <c r="EA264" s="774">
        <v>0</v>
      </c>
      <c r="EB264" s="774">
        <v>0</v>
      </c>
      <c r="EC264" s="774">
        <v>0</v>
      </c>
      <c r="ED264" s="774">
        <v>0</v>
      </c>
    </row>
    <row r="265" spans="1:134" ht="15" x14ac:dyDescent="0.25">
      <c r="A265" s="766">
        <v>101</v>
      </c>
      <c r="B265" s="766">
        <v>97</v>
      </c>
      <c r="C265" s="766" t="s">
        <v>3936</v>
      </c>
      <c r="D265" s="2">
        <v>99709</v>
      </c>
      <c r="E265" s="2">
        <v>99709</v>
      </c>
      <c r="F265" s="767" t="s">
        <v>3746</v>
      </c>
      <c r="G265" s="114">
        <v>8</v>
      </c>
      <c r="H265" s="114">
        <v>13</v>
      </c>
      <c r="I265" s="114">
        <v>5</v>
      </c>
      <c r="J265" s="114">
        <v>8</v>
      </c>
      <c r="K265" s="114">
        <v>0</v>
      </c>
      <c r="L265" s="114">
        <v>2</v>
      </c>
      <c r="M265" s="114">
        <v>2</v>
      </c>
      <c r="N265" s="114">
        <v>0</v>
      </c>
      <c r="O265" s="114">
        <v>0</v>
      </c>
      <c r="P265" s="114">
        <v>0</v>
      </c>
      <c r="Q265" s="114">
        <v>2</v>
      </c>
      <c r="R265" s="114">
        <v>0</v>
      </c>
      <c r="S265" s="114">
        <v>2530</v>
      </c>
      <c r="T265" s="114">
        <v>2530</v>
      </c>
      <c r="U265" s="114">
        <v>0</v>
      </c>
      <c r="V265" s="114">
        <v>0</v>
      </c>
      <c r="W265" s="114">
        <v>0</v>
      </c>
      <c r="X265" s="114">
        <v>2530</v>
      </c>
      <c r="Y265" s="114">
        <v>0</v>
      </c>
      <c r="Z265" s="114">
        <v>13</v>
      </c>
      <c r="AA265" s="114">
        <v>0</v>
      </c>
      <c r="AB265" s="657">
        <v>0</v>
      </c>
      <c r="AC265" s="657">
        <v>0</v>
      </c>
      <c r="AD265" s="768">
        <v>13</v>
      </c>
      <c r="AE265" s="769">
        <v>0</v>
      </c>
      <c r="AF265" s="769">
        <v>5</v>
      </c>
      <c r="AG265" s="770">
        <v>5</v>
      </c>
      <c r="AH265" s="769">
        <v>0</v>
      </c>
      <c r="AI265" s="769">
        <v>0</v>
      </c>
      <c r="AJ265" s="769">
        <v>12.378059135100612</v>
      </c>
      <c r="AK265" s="769">
        <v>12.378059135100612</v>
      </c>
      <c r="AL265" s="769">
        <v>0</v>
      </c>
      <c r="AM265" s="769">
        <v>0</v>
      </c>
      <c r="AN265" s="769">
        <v>4.7697731444898812</v>
      </c>
      <c r="AO265" s="769">
        <v>4.7697731444898812</v>
      </c>
      <c r="AP265" s="769">
        <v>0</v>
      </c>
      <c r="AQ265" s="769">
        <v>0</v>
      </c>
      <c r="AR265" s="769">
        <v>0</v>
      </c>
      <c r="AS265" s="769">
        <v>11.785872919388284</v>
      </c>
      <c r="AT265" s="769">
        <v>12.078337300927188</v>
      </c>
      <c r="AU265" s="769">
        <v>12.378059135100612</v>
      </c>
      <c r="AV265" s="769">
        <v>12.685218514330289</v>
      </c>
      <c r="AW265" s="769">
        <v>13</v>
      </c>
      <c r="AX265" s="769">
        <v>4.5501471699793781</v>
      </c>
      <c r="AY265" s="769">
        <v>4.6586660939419424</v>
      </c>
      <c r="AZ265" s="769">
        <v>4.7697731444898812</v>
      </c>
      <c r="BA265" s="769">
        <v>4.8835300472557153</v>
      </c>
      <c r="BB265" s="769">
        <v>5</v>
      </c>
      <c r="BC265" s="769">
        <v>0</v>
      </c>
      <c r="BD265" s="769">
        <v>0</v>
      </c>
      <c r="BE265" s="769">
        <v>0</v>
      </c>
      <c r="BF265" s="769">
        <v>0</v>
      </c>
      <c r="BG265" s="769">
        <v>0</v>
      </c>
      <c r="BH265" s="771">
        <v>13.135249838954481</v>
      </c>
      <c r="BI265" s="771">
        <v>13.271906794750285</v>
      </c>
      <c r="BJ265" s="771">
        <v>13.409985506797119</v>
      </c>
      <c r="BK265" s="772">
        <v>13.44752723321427</v>
      </c>
      <c r="BL265" s="772">
        <v>13.485068959631423</v>
      </c>
      <c r="BM265" s="772">
        <v>13.522610686048578</v>
      </c>
      <c r="BN265" s="772">
        <v>13.56015241246573</v>
      </c>
      <c r="BO265" s="772">
        <v>13.604543041661293</v>
      </c>
      <c r="BP265" s="772">
        <v>13.648933670856859</v>
      </c>
      <c r="BQ265" s="772">
        <v>13.771997238347639</v>
      </c>
      <c r="BR265" s="772">
        <v>13.918619055663269</v>
      </c>
      <c r="BS265" s="772">
        <v>13.982997808953193</v>
      </c>
      <c r="BT265" s="772">
        <v>14.018351792895684</v>
      </c>
      <c r="BU265" s="772">
        <v>14.054964179043967</v>
      </c>
      <c r="BV265" s="772">
        <v>14.092457446736312</v>
      </c>
      <c r="BW265" s="771">
        <v>5.0520191688286467</v>
      </c>
      <c r="BX265" s="771">
        <v>5.1045795364424169</v>
      </c>
      <c r="BY265" s="771">
        <v>5.1576867333835077</v>
      </c>
      <c r="BZ265" s="772">
        <v>5.1721258589285659</v>
      </c>
      <c r="CA265" s="772">
        <v>5.186564984473625</v>
      </c>
      <c r="CB265" s="772">
        <v>5.2010041100186841</v>
      </c>
      <c r="CC265" s="772">
        <v>5.2154432355637423</v>
      </c>
      <c r="CD265" s="772">
        <v>5.2325165544851133</v>
      </c>
      <c r="CE265" s="772">
        <v>5.2495898734064852</v>
      </c>
      <c r="CF265" s="772">
        <v>5.296922014749093</v>
      </c>
      <c r="CG265" s="772">
        <v>5.3533150214089504</v>
      </c>
      <c r="CH265" s="772">
        <v>5.378076080366613</v>
      </c>
      <c r="CI265" s="772">
        <v>5.3916737664983403</v>
      </c>
      <c r="CJ265" s="772">
        <v>5.4057554534784495</v>
      </c>
      <c r="CK265" s="772">
        <v>5.4201759410524275</v>
      </c>
      <c r="CL265" s="771">
        <v>0</v>
      </c>
      <c r="CM265" s="771">
        <v>0</v>
      </c>
      <c r="CN265" s="771">
        <v>0</v>
      </c>
      <c r="CO265" s="772">
        <v>0</v>
      </c>
      <c r="CP265" s="772">
        <v>0</v>
      </c>
      <c r="CQ265" s="772">
        <v>0</v>
      </c>
      <c r="CR265" s="772">
        <v>0</v>
      </c>
      <c r="CS265" s="772">
        <v>0</v>
      </c>
      <c r="CT265" s="772">
        <v>0</v>
      </c>
      <c r="CU265" s="772">
        <v>0</v>
      </c>
      <c r="CV265" s="772">
        <v>0</v>
      </c>
      <c r="CW265" s="772">
        <v>0</v>
      </c>
      <c r="CX265" s="772">
        <v>0</v>
      </c>
      <c r="CY265" s="772">
        <v>0</v>
      </c>
      <c r="CZ265" s="772">
        <v>0</v>
      </c>
      <c r="DA265" s="773">
        <v>0</v>
      </c>
      <c r="DB265" s="773">
        <v>0</v>
      </c>
      <c r="DC265" s="773">
        <v>0</v>
      </c>
      <c r="DD265" s="774">
        <v>0</v>
      </c>
      <c r="DE265" s="774">
        <v>0</v>
      </c>
      <c r="DF265" s="774">
        <v>0</v>
      </c>
      <c r="DG265" s="774">
        <v>0</v>
      </c>
      <c r="DH265" s="774">
        <v>0</v>
      </c>
      <c r="DI265" s="774">
        <v>0</v>
      </c>
      <c r="DJ265" s="774">
        <v>0</v>
      </c>
      <c r="DK265" s="774">
        <v>0</v>
      </c>
      <c r="DL265" s="774">
        <v>0</v>
      </c>
      <c r="DM265" s="774">
        <v>0</v>
      </c>
      <c r="DN265" s="774">
        <v>0</v>
      </c>
      <c r="DO265" s="774">
        <v>0</v>
      </c>
      <c r="DP265" s="773">
        <v>0</v>
      </c>
      <c r="DQ265" s="773">
        <v>0</v>
      </c>
      <c r="DR265" s="773">
        <v>0</v>
      </c>
      <c r="DS265" s="774">
        <v>0</v>
      </c>
      <c r="DT265" s="774">
        <v>0</v>
      </c>
      <c r="DU265" s="774">
        <v>0</v>
      </c>
      <c r="DV265" s="774">
        <v>0</v>
      </c>
      <c r="DW265" s="774">
        <v>0</v>
      </c>
      <c r="DX265" s="774">
        <v>0</v>
      </c>
      <c r="DY265" s="774">
        <v>0</v>
      </c>
      <c r="DZ265" s="774">
        <v>0</v>
      </c>
      <c r="EA265" s="774">
        <v>0</v>
      </c>
      <c r="EB265" s="774">
        <v>0</v>
      </c>
      <c r="EC265" s="774">
        <v>0</v>
      </c>
      <c r="ED265" s="774">
        <v>0</v>
      </c>
    </row>
    <row r="266" spans="1:134" ht="15" x14ac:dyDescent="0.25">
      <c r="A266" s="766">
        <v>102</v>
      </c>
      <c r="B266" s="766">
        <v>97</v>
      </c>
      <c r="C266" s="766" t="s">
        <v>3937</v>
      </c>
      <c r="D266" s="2">
        <v>99709</v>
      </c>
      <c r="E266" s="2">
        <v>99709</v>
      </c>
      <c r="F266" s="767" t="s">
        <v>3746</v>
      </c>
      <c r="G266" s="114">
        <v>22</v>
      </c>
      <c r="H266" s="114">
        <v>17</v>
      </c>
      <c r="I266" s="114">
        <v>14</v>
      </c>
      <c r="J266" s="114">
        <v>3</v>
      </c>
      <c r="K266" s="114">
        <v>0</v>
      </c>
      <c r="L266" s="114">
        <v>9</v>
      </c>
      <c r="M266" s="114">
        <v>9</v>
      </c>
      <c r="N266" s="114">
        <v>1</v>
      </c>
      <c r="O266" s="114">
        <v>0</v>
      </c>
      <c r="P266" s="114">
        <v>0</v>
      </c>
      <c r="Q266" s="114">
        <v>10</v>
      </c>
      <c r="R266" s="114">
        <v>0</v>
      </c>
      <c r="S266" s="114">
        <v>1240.2222222222222</v>
      </c>
      <c r="T266" s="114">
        <v>1240.2222222222222</v>
      </c>
      <c r="U266" s="114">
        <v>4120</v>
      </c>
      <c r="V266" s="114">
        <v>0</v>
      </c>
      <c r="W266" s="114">
        <v>0</v>
      </c>
      <c r="X266" s="114">
        <v>1528.2</v>
      </c>
      <c r="Y266" s="114">
        <v>0</v>
      </c>
      <c r="Z266" s="114">
        <v>17</v>
      </c>
      <c r="AA266" s="114">
        <v>0</v>
      </c>
      <c r="AB266" s="657">
        <v>1</v>
      </c>
      <c r="AC266" s="657">
        <v>0</v>
      </c>
      <c r="AD266" s="768">
        <v>18</v>
      </c>
      <c r="AE266" s="769">
        <v>0</v>
      </c>
      <c r="AF266" s="769">
        <v>14</v>
      </c>
      <c r="AG266" s="770">
        <v>14</v>
      </c>
      <c r="AH266" s="769">
        <v>0</v>
      </c>
      <c r="AI266" s="769">
        <v>0</v>
      </c>
      <c r="AJ266" s="769">
        <v>16.186692715131567</v>
      </c>
      <c r="AK266" s="769">
        <v>16.186692715131567</v>
      </c>
      <c r="AL266" s="769">
        <v>0</v>
      </c>
      <c r="AM266" s="769">
        <v>0</v>
      </c>
      <c r="AN266" s="769">
        <v>13.355364804571668</v>
      </c>
      <c r="AO266" s="769">
        <v>13.355364804571668</v>
      </c>
      <c r="AP266" s="769">
        <v>0</v>
      </c>
      <c r="AQ266" s="769">
        <v>0.95966573850124082</v>
      </c>
      <c r="AR266" s="769">
        <v>0</v>
      </c>
      <c r="AS266" s="769">
        <v>15.412295356123142</v>
      </c>
      <c r="AT266" s="769">
        <v>15.794748778135553</v>
      </c>
      <c r="AU266" s="769">
        <v>16.186692715131567</v>
      </c>
      <c r="AV266" s="769">
        <v>16.588362672585763</v>
      </c>
      <c r="AW266" s="769">
        <v>17</v>
      </c>
      <c r="AX266" s="769">
        <v>12.74041207594226</v>
      </c>
      <c r="AY266" s="769">
        <v>13.044265063037439</v>
      </c>
      <c r="AZ266" s="769">
        <v>13.355364804571668</v>
      </c>
      <c r="BA266" s="769">
        <v>13.673884132316003</v>
      </c>
      <c r="BB266" s="769">
        <v>14</v>
      </c>
      <c r="BC266" s="769">
        <v>0.92095832965313207</v>
      </c>
      <c r="BD266" s="769">
        <v>0.94011284192667122</v>
      </c>
      <c r="BE266" s="769">
        <v>0.95966573850124082</v>
      </c>
      <c r="BF266" s="769">
        <v>0.97962530515561963</v>
      </c>
      <c r="BG266" s="769">
        <v>1</v>
      </c>
      <c r="BH266" s="771">
        <v>17.176865174017397</v>
      </c>
      <c r="BI266" s="771">
        <v>17.355570423904219</v>
      </c>
      <c r="BJ266" s="771">
        <v>17.536134893503924</v>
      </c>
      <c r="BK266" s="772">
        <v>17.585227920357124</v>
      </c>
      <c r="BL266" s="772">
        <v>17.63432094721032</v>
      </c>
      <c r="BM266" s="772">
        <v>17.683413974063523</v>
      </c>
      <c r="BN266" s="772">
        <v>17.732507000916723</v>
      </c>
      <c r="BO266" s="772">
        <v>17.790556285249384</v>
      </c>
      <c r="BP266" s="772">
        <v>17.848605569582045</v>
      </c>
      <c r="BQ266" s="772">
        <v>18.009534850146913</v>
      </c>
      <c r="BR266" s="772">
        <v>18.201271072790426</v>
      </c>
      <c r="BS266" s="772">
        <v>18.285458673246481</v>
      </c>
      <c r="BT266" s="772">
        <v>18.331690806094354</v>
      </c>
      <c r="BU266" s="772">
        <v>18.379568541826728</v>
      </c>
      <c r="BV266" s="772">
        <v>18.428598199578254</v>
      </c>
      <c r="BW266" s="771">
        <v>14.14565367272021</v>
      </c>
      <c r="BX266" s="771">
        <v>14.292822702038769</v>
      </c>
      <c r="BY266" s="771">
        <v>14.44152285347382</v>
      </c>
      <c r="BZ266" s="772">
        <v>14.481952404999983</v>
      </c>
      <c r="CA266" s="772">
        <v>14.522381956526148</v>
      </c>
      <c r="CB266" s="772">
        <v>14.562811508052315</v>
      </c>
      <c r="CC266" s="772">
        <v>14.603241059578478</v>
      </c>
      <c r="CD266" s="772">
        <v>14.651046352558316</v>
      </c>
      <c r="CE266" s="772">
        <v>14.698851645538156</v>
      </c>
      <c r="CF266" s="772">
        <v>14.831381641297458</v>
      </c>
      <c r="CG266" s="772">
        <v>14.98928205994506</v>
      </c>
      <c r="CH266" s="772">
        <v>15.058613025026515</v>
      </c>
      <c r="CI266" s="772">
        <v>15.096686546195352</v>
      </c>
      <c r="CJ266" s="772">
        <v>15.136115269739658</v>
      </c>
      <c r="CK266" s="772">
        <v>15.176492634946797</v>
      </c>
      <c r="CL266" s="771">
        <v>1.0104038337657293</v>
      </c>
      <c r="CM266" s="771">
        <v>1.0209159072884835</v>
      </c>
      <c r="CN266" s="771">
        <v>1.0315373466767015</v>
      </c>
      <c r="CO266" s="772">
        <v>1.0344251717857131</v>
      </c>
      <c r="CP266" s="772">
        <v>1.0373129968947248</v>
      </c>
      <c r="CQ266" s="772">
        <v>1.0402008220037369</v>
      </c>
      <c r="CR266" s="772">
        <v>1.0430886471127485</v>
      </c>
      <c r="CS266" s="772">
        <v>1.0465033108970225</v>
      </c>
      <c r="CT266" s="772">
        <v>1.049917974681297</v>
      </c>
      <c r="CU266" s="772">
        <v>1.0593844029498185</v>
      </c>
      <c r="CV266" s="772">
        <v>1.07066300428179</v>
      </c>
      <c r="CW266" s="772">
        <v>1.0756152160733226</v>
      </c>
      <c r="CX266" s="772">
        <v>1.0783347532996681</v>
      </c>
      <c r="CY266" s="772">
        <v>1.0811510906956898</v>
      </c>
      <c r="CZ266" s="772">
        <v>1.0840351882104855</v>
      </c>
      <c r="DA266" s="773">
        <v>0</v>
      </c>
      <c r="DB266" s="773">
        <v>0</v>
      </c>
      <c r="DC266" s="773">
        <v>0</v>
      </c>
      <c r="DD266" s="774">
        <v>0</v>
      </c>
      <c r="DE266" s="774">
        <v>0</v>
      </c>
      <c r="DF266" s="774">
        <v>0</v>
      </c>
      <c r="DG266" s="774">
        <v>0</v>
      </c>
      <c r="DH266" s="774">
        <v>0</v>
      </c>
      <c r="DI266" s="774">
        <v>0</v>
      </c>
      <c r="DJ266" s="774">
        <v>0</v>
      </c>
      <c r="DK266" s="774">
        <v>0</v>
      </c>
      <c r="DL266" s="774">
        <v>0</v>
      </c>
      <c r="DM266" s="774">
        <v>0</v>
      </c>
      <c r="DN266" s="774">
        <v>0</v>
      </c>
      <c r="DO266" s="774">
        <v>0</v>
      </c>
      <c r="DP266" s="773">
        <v>0</v>
      </c>
      <c r="DQ266" s="773">
        <v>0</v>
      </c>
      <c r="DR266" s="773">
        <v>0</v>
      </c>
      <c r="DS266" s="774">
        <v>0</v>
      </c>
      <c r="DT266" s="774">
        <v>0</v>
      </c>
      <c r="DU266" s="774">
        <v>0</v>
      </c>
      <c r="DV266" s="774">
        <v>0</v>
      </c>
      <c r="DW266" s="774">
        <v>0</v>
      </c>
      <c r="DX266" s="774">
        <v>0</v>
      </c>
      <c r="DY266" s="774">
        <v>0</v>
      </c>
      <c r="DZ266" s="774">
        <v>0</v>
      </c>
      <c r="EA266" s="774">
        <v>0</v>
      </c>
      <c r="EB266" s="774">
        <v>0</v>
      </c>
      <c r="EC266" s="774">
        <v>0</v>
      </c>
      <c r="ED266" s="774">
        <v>0</v>
      </c>
    </row>
    <row r="267" spans="1:134" ht="15" x14ac:dyDescent="0.25">
      <c r="A267" s="766">
        <v>103</v>
      </c>
      <c r="B267" s="766">
        <v>97</v>
      </c>
      <c r="C267" s="766" t="s">
        <v>3938</v>
      </c>
      <c r="D267" s="2">
        <v>99709</v>
      </c>
      <c r="E267" s="2">
        <v>99709</v>
      </c>
      <c r="F267" s="767" t="s">
        <v>3746</v>
      </c>
      <c r="G267" s="114">
        <v>185</v>
      </c>
      <c r="H267" s="114">
        <v>105</v>
      </c>
      <c r="I267" s="114">
        <v>91</v>
      </c>
      <c r="J267" s="114">
        <v>14</v>
      </c>
      <c r="K267" s="114">
        <v>0</v>
      </c>
      <c r="L267" s="114">
        <v>37</v>
      </c>
      <c r="M267" s="114">
        <v>37</v>
      </c>
      <c r="N267" s="114">
        <v>1</v>
      </c>
      <c r="O267" s="114">
        <v>0</v>
      </c>
      <c r="P267" s="114">
        <v>0</v>
      </c>
      <c r="Q267" s="114">
        <v>38</v>
      </c>
      <c r="R267" s="114">
        <v>0</v>
      </c>
      <c r="S267" s="114">
        <v>1964.8108108108108</v>
      </c>
      <c r="T267" s="114">
        <v>1964.8108108108108</v>
      </c>
      <c r="U267" s="114">
        <v>1655</v>
      </c>
      <c r="V267" s="114">
        <v>0</v>
      </c>
      <c r="W267" s="114">
        <v>0</v>
      </c>
      <c r="X267" s="114">
        <v>1956.6578947368421</v>
      </c>
      <c r="Y267" s="114">
        <v>0</v>
      </c>
      <c r="Z267" s="114">
        <v>105</v>
      </c>
      <c r="AA267" s="114">
        <v>0</v>
      </c>
      <c r="AB267" s="657">
        <v>1</v>
      </c>
      <c r="AC267" s="657">
        <v>0</v>
      </c>
      <c r="AD267" s="768">
        <v>106</v>
      </c>
      <c r="AE267" s="769">
        <v>0</v>
      </c>
      <c r="AF267" s="769">
        <v>91</v>
      </c>
      <c r="AG267" s="770">
        <v>91</v>
      </c>
      <c r="AH267" s="769">
        <v>0</v>
      </c>
      <c r="AI267" s="769">
        <v>0</v>
      </c>
      <c r="AJ267" s="769">
        <v>99.976631475812638</v>
      </c>
      <c r="AK267" s="769">
        <v>99.976631475812638</v>
      </c>
      <c r="AL267" s="769">
        <v>0</v>
      </c>
      <c r="AM267" s="769">
        <v>0</v>
      </c>
      <c r="AN267" s="769">
        <v>86.809871229715839</v>
      </c>
      <c r="AO267" s="769">
        <v>86.809871229715839</v>
      </c>
      <c r="AP267" s="769">
        <v>0</v>
      </c>
      <c r="AQ267" s="769">
        <v>0.95966573850124082</v>
      </c>
      <c r="AR267" s="769">
        <v>0</v>
      </c>
      <c r="AS267" s="769">
        <v>95.193588964289987</v>
      </c>
      <c r="AT267" s="769">
        <v>97.555801276719592</v>
      </c>
      <c r="AU267" s="769">
        <v>99.976631475812638</v>
      </c>
      <c r="AV267" s="769">
        <v>102.45753415420619</v>
      </c>
      <c r="AW267" s="769">
        <v>105</v>
      </c>
      <c r="AX267" s="769">
        <v>82.812678493624688</v>
      </c>
      <c r="AY267" s="769">
        <v>84.787722909743366</v>
      </c>
      <c r="AZ267" s="769">
        <v>86.809871229715839</v>
      </c>
      <c r="BA267" s="769">
        <v>88.880246860054015</v>
      </c>
      <c r="BB267" s="769">
        <v>91</v>
      </c>
      <c r="BC267" s="769">
        <v>0.92095832965313207</v>
      </c>
      <c r="BD267" s="769">
        <v>0.94011284192667122</v>
      </c>
      <c r="BE267" s="769">
        <v>0.95966573850124082</v>
      </c>
      <c r="BF267" s="769">
        <v>0.97962530515561963</v>
      </c>
      <c r="BG267" s="769">
        <v>1</v>
      </c>
      <c r="BH267" s="771">
        <v>107.28215645669538</v>
      </c>
      <c r="BI267" s="771">
        <v>109.61391518094159</v>
      </c>
      <c r="BJ267" s="771">
        <v>111.99635426926392</v>
      </c>
      <c r="BK267" s="772">
        <v>112.53192425889695</v>
      </c>
      <c r="BL267" s="772">
        <v>113.06749424852998</v>
      </c>
      <c r="BM267" s="772">
        <v>113.60306423816299</v>
      </c>
      <c r="BN267" s="772">
        <v>114.13863422779602</v>
      </c>
      <c r="BO267" s="772">
        <v>114.77191061348746</v>
      </c>
      <c r="BP267" s="772">
        <v>115.40518699917892</v>
      </c>
      <c r="BQ267" s="772">
        <v>117.16081093700417</v>
      </c>
      <c r="BR267" s="772">
        <v>119.25251669147973</v>
      </c>
      <c r="BS267" s="772">
        <v>120.17094350672387</v>
      </c>
      <c r="BT267" s="772">
        <v>120.67530317849736</v>
      </c>
      <c r="BU267" s="772">
        <v>121.19761520677207</v>
      </c>
      <c r="BV267" s="772">
        <v>121.73249388459763</v>
      </c>
      <c r="BW267" s="771">
        <v>92.977868929135994</v>
      </c>
      <c r="BX267" s="771">
        <v>94.99872649014938</v>
      </c>
      <c r="BY267" s="771">
        <v>97.063507033362058</v>
      </c>
      <c r="BZ267" s="772">
        <v>97.527667691044016</v>
      </c>
      <c r="CA267" s="772">
        <v>97.991828348725974</v>
      </c>
      <c r="CB267" s="772">
        <v>98.455989006407918</v>
      </c>
      <c r="CC267" s="772">
        <v>98.920149664089877</v>
      </c>
      <c r="CD267" s="772">
        <v>99.4689891983558</v>
      </c>
      <c r="CE267" s="772">
        <v>100.01782873262172</v>
      </c>
      <c r="CF267" s="772">
        <v>101.53936947873694</v>
      </c>
      <c r="CG267" s="772">
        <v>103.35218113261575</v>
      </c>
      <c r="CH267" s="772">
        <v>104.14815103916068</v>
      </c>
      <c r="CI267" s="772">
        <v>104.58526275469771</v>
      </c>
      <c r="CJ267" s="772">
        <v>105.03793317920245</v>
      </c>
      <c r="CK267" s="772">
        <v>105.5014946999846</v>
      </c>
      <c r="CL267" s="771">
        <v>1.0217348233970989</v>
      </c>
      <c r="CM267" s="771">
        <v>1.0439420493423008</v>
      </c>
      <c r="CN267" s="771">
        <v>1.0666319454215611</v>
      </c>
      <c r="CO267" s="772">
        <v>1.0717326119894948</v>
      </c>
      <c r="CP267" s="772">
        <v>1.0768332785574284</v>
      </c>
      <c r="CQ267" s="772">
        <v>1.0819339451253618</v>
      </c>
      <c r="CR267" s="772">
        <v>1.0870346116932954</v>
      </c>
      <c r="CS267" s="772">
        <v>1.0930658153665473</v>
      </c>
      <c r="CT267" s="772">
        <v>1.0990970190397993</v>
      </c>
      <c r="CU267" s="772">
        <v>1.1158172470190875</v>
      </c>
      <c r="CV267" s="772">
        <v>1.1357382542045689</v>
      </c>
      <c r="CW267" s="772">
        <v>1.144485176254513</v>
      </c>
      <c r="CX267" s="772">
        <v>1.1492886016999748</v>
      </c>
      <c r="CY267" s="772">
        <v>1.1542630019692579</v>
      </c>
      <c r="CZ267" s="772">
        <v>1.1593570846152155</v>
      </c>
      <c r="DA267" s="773">
        <v>0</v>
      </c>
      <c r="DB267" s="773">
        <v>0</v>
      </c>
      <c r="DC267" s="773">
        <v>0</v>
      </c>
      <c r="DD267" s="774">
        <v>0</v>
      </c>
      <c r="DE267" s="774">
        <v>0</v>
      </c>
      <c r="DF267" s="774">
        <v>0</v>
      </c>
      <c r="DG267" s="774">
        <v>0</v>
      </c>
      <c r="DH267" s="774">
        <v>0</v>
      </c>
      <c r="DI267" s="774">
        <v>0</v>
      </c>
      <c r="DJ267" s="774">
        <v>0</v>
      </c>
      <c r="DK267" s="774">
        <v>0</v>
      </c>
      <c r="DL267" s="774">
        <v>0</v>
      </c>
      <c r="DM267" s="774">
        <v>0</v>
      </c>
      <c r="DN267" s="774">
        <v>0</v>
      </c>
      <c r="DO267" s="774">
        <v>0</v>
      </c>
      <c r="DP267" s="773">
        <v>0</v>
      </c>
      <c r="DQ267" s="773">
        <v>0</v>
      </c>
      <c r="DR267" s="773">
        <v>0</v>
      </c>
      <c r="DS267" s="774">
        <v>0</v>
      </c>
      <c r="DT267" s="774">
        <v>0</v>
      </c>
      <c r="DU267" s="774">
        <v>0</v>
      </c>
      <c r="DV267" s="774">
        <v>0</v>
      </c>
      <c r="DW267" s="774">
        <v>0</v>
      </c>
      <c r="DX267" s="774">
        <v>0</v>
      </c>
      <c r="DY267" s="774">
        <v>0</v>
      </c>
      <c r="DZ267" s="774">
        <v>0</v>
      </c>
      <c r="EA267" s="774">
        <v>0</v>
      </c>
      <c r="EB267" s="774">
        <v>0</v>
      </c>
      <c r="EC267" s="774">
        <v>0</v>
      </c>
      <c r="ED267" s="774">
        <v>0</v>
      </c>
    </row>
    <row r="268" spans="1:134" ht="15" x14ac:dyDescent="0.25">
      <c r="A268" s="766">
        <v>104</v>
      </c>
      <c r="B268" s="766">
        <v>97</v>
      </c>
      <c r="C268" s="766" t="s">
        <v>3939</v>
      </c>
      <c r="D268" s="2">
        <v>99709</v>
      </c>
      <c r="E268" s="2">
        <v>99709</v>
      </c>
      <c r="F268" s="767" t="s">
        <v>3746</v>
      </c>
      <c r="G268" s="114">
        <v>8</v>
      </c>
      <c r="H268" s="114">
        <v>3</v>
      </c>
      <c r="I268" s="114">
        <v>3</v>
      </c>
      <c r="J268" s="114">
        <v>0</v>
      </c>
      <c r="K268" s="114">
        <v>0</v>
      </c>
      <c r="L268" s="114">
        <v>18</v>
      </c>
      <c r="M268" s="114">
        <v>18</v>
      </c>
      <c r="N268" s="114">
        <v>1</v>
      </c>
      <c r="O268" s="114">
        <v>0</v>
      </c>
      <c r="P268" s="114">
        <v>0</v>
      </c>
      <c r="Q268" s="114">
        <v>19</v>
      </c>
      <c r="R268" s="114">
        <v>0</v>
      </c>
      <c r="S268" s="114">
        <v>2199.1111111111113</v>
      </c>
      <c r="T268" s="114">
        <v>2199.1111111111113</v>
      </c>
      <c r="U268" s="114">
        <v>4969</v>
      </c>
      <c r="V268" s="114">
        <v>0</v>
      </c>
      <c r="W268" s="114">
        <v>0</v>
      </c>
      <c r="X268" s="114">
        <v>2344.8947368421054</v>
      </c>
      <c r="Y268" s="114">
        <v>0</v>
      </c>
      <c r="Z268" s="114">
        <v>3</v>
      </c>
      <c r="AA268" s="114">
        <v>0</v>
      </c>
      <c r="AB268" s="657">
        <v>1</v>
      </c>
      <c r="AC268" s="657">
        <v>0</v>
      </c>
      <c r="AD268" s="768">
        <v>4</v>
      </c>
      <c r="AE268" s="769">
        <v>0</v>
      </c>
      <c r="AF268" s="769">
        <v>3</v>
      </c>
      <c r="AG268" s="770">
        <v>3</v>
      </c>
      <c r="AH268" s="769">
        <v>0</v>
      </c>
      <c r="AI268" s="769">
        <v>0</v>
      </c>
      <c r="AJ268" s="769">
        <v>2.8564751850232182</v>
      </c>
      <c r="AK268" s="769">
        <v>2.8564751850232182</v>
      </c>
      <c r="AL268" s="769">
        <v>0</v>
      </c>
      <c r="AM268" s="769">
        <v>0</v>
      </c>
      <c r="AN268" s="769">
        <v>2.861863886693929</v>
      </c>
      <c r="AO268" s="769">
        <v>2.861863886693929</v>
      </c>
      <c r="AP268" s="769">
        <v>0</v>
      </c>
      <c r="AQ268" s="769">
        <v>0.95966573850124082</v>
      </c>
      <c r="AR268" s="769">
        <v>0</v>
      </c>
      <c r="AS268" s="769">
        <v>2.7198168275511425</v>
      </c>
      <c r="AT268" s="769">
        <v>2.7873086079062741</v>
      </c>
      <c r="AU268" s="769">
        <v>2.8564751850232182</v>
      </c>
      <c r="AV268" s="769">
        <v>2.9273581186916053</v>
      </c>
      <c r="AW268" s="769">
        <v>3</v>
      </c>
      <c r="AX268" s="769">
        <v>2.7300883019876268</v>
      </c>
      <c r="AY268" s="769">
        <v>2.7951996563651655</v>
      </c>
      <c r="AZ268" s="769">
        <v>2.861863886693929</v>
      </c>
      <c r="BA268" s="769">
        <v>2.9301180283534292</v>
      </c>
      <c r="BB268" s="769">
        <v>3</v>
      </c>
      <c r="BC268" s="769">
        <v>0.92095832965313207</v>
      </c>
      <c r="BD268" s="769">
        <v>0.94011284192667122</v>
      </c>
      <c r="BE268" s="769">
        <v>0.95966573850124082</v>
      </c>
      <c r="BF268" s="769">
        <v>0.97962530515561963</v>
      </c>
      <c r="BG268" s="769">
        <v>1</v>
      </c>
      <c r="BH268" s="771">
        <v>3.0652044701912966</v>
      </c>
      <c r="BI268" s="771">
        <v>3.1318261480269025</v>
      </c>
      <c r="BJ268" s="771">
        <v>3.1998958362646834</v>
      </c>
      <c r="BK268" s="772">
        <v>3.2356533127500269</v>
      </c>
      <c r="BL268" s="772">
        <v>3.2714107892353703</v>
      </c>
      <c r="BM268" s="772">
        <v>3.3071682657207142</v>
      </c>
      <c r="BN268" s="772">
        <v>3.3429257422060576</v>
      </c>
      <c r="BO268" s="772">
        <v>3.3852066128829255</v>
      </c>
      <c r="BP268" s="772">
        <v>3.4274874835597937</v>
      </c>
      <c r="BQ268" s="772">
        <v>3.5447021947815847</v>
      </c>
      <c r="BR268" s="772">
        <v>3.6843555001902146</v>
      </c>
      <c r="BS268" s="772">
        <v>3.7456745170979842</v>
      </c>
      <c r="BT268" s="772">
        <v>3.7793482281958615</v>
      </c>
      <c r="BU268" s="772">
        <v>3.8142205332737502</v>
      </c>
      <c r="BV268" s="772">
        <v>3.8499318541376488</v>
      </c>
      <c r="BW268" s="771">
        <v>3.0652044701912966</v>
      </c>
      <c r="BX268" s="771">
        <v>3.1318261480269025</v>
      </c>
      <c r="BY268" s="771">
        <v>3.1998958362646834</v>
      </c>
      <c r="BZ268" s="772">
        <v>3.2356533127500269</v>
      </c>
      <c r="CA268" s="772">
        <v>3.2714107892353703</v>
      </c>
      <c r="CB268" s="772">
        <v>3.3071682657207142</v>
      </c>
      <c r="CC268" s="772">
        <v>3.3429257422060576</v>
      </c>
      <c r="CD268" s="772">
        <v>3.3852066128829255</v>
      </c>
      <c r="CE268" s="772">
        <v>3.4274874835597937</v>
      </c>
      <c r="CF268" s="772">
        <v>3.5447021947815847</v>
      </c>
      <c r="CG268" s="772">
        <v>3.6843555001902146</v>
      </c>
      <c r="CH268" s="772">
        <v>3.7456745170979842</v>
      </c>
      <c r="CI268" s="772">
        <v>3.7793482281958615</v>
      </c>
      <c r="CJ268" s="772">
        <v>3.8142205332737502</v>
      </c>
      <c r="CK268" s="772">
        <v>3.8499318541376488</v>
      </c>
      <c r="CL268" s="771">
        <v>1.0217348233970989</v>
      </c>
      <c r="CM268" s="771">
        <v>1.0439420493423008</v>
      </c>
      <c r="CN268" s="771">
        <v>1.0666319454215611</v>
      </c>
      <c r="CO268" s="772">
        <v>1.0785511042500089</v>
      </c>
      <c r="CP268" s="772">
        <v>1.0904702630784568</v>
      </c>
      <c r="CQ268" s="772">
        <v>1.1023894219069046</v>
      </c>
      <c r="CR268" s="772">
        <v>1.1143085807353525</v>
      </c>
      <c r="CS268" s="772">
        <v>1.1284022042943085</v>
      </c>
      <c r="CT268" s="772">
        <v>1.1424958278532646</v>
      </c>
      <c r="CU268" s="772">
        <v>1.1815673982605281</v>
      </c>
      <c r="CV268" s="772">
        <v>1.2281185000634049</v>
      </c>
      <c r="CW268" s="772">
        <v>1.2485581723659946</v>
      </c>
      <c r="CX268" s="772">
        <v>1.2597827427319539</v>
      </c>
      <c r="CY268" s="772">
        <v>1.2714068444245834</v>
      </c>
      <c r="CZ268" s="772">
        <v>1.2833106180458829</v>
      </c>
      <c r="DA268" s="773">
        <v>0</v>
      </c>
      <c r="DB268" s="773">
        <v>0</v>
      </c>
      <c r="DC268" s="773">
        <v>0</v>
      </c>
      <c r="DD268" s="774">
        <v>0</v>
      </c>
      <c r="DE268" s="774">
        <v>0</v>
      </c>
      <c r="DF268" s="774">
        <v>0</v>
      </c>
      <c r="DG268" s="774">
        <v>0</v>
      </c>
      <c r="DH268" s="774">
        <v>0</v>
      </c>
      <c r="DI268" s="774">
        <v>0</v>
      </c>
      <c r="DJ268" s="774">
        <v>0</v>
      </c>
      <c r="DK268" s="774">
        <v>0</v>
      </c>
      <c r="DL268" s="774">
        <v>0</v>
      </c>
      <c r="DM268" s="774">
        <v>0</v>
      </c>
      <c r="DN268" s="774">
        <v>0</v>
      </c>
      <c r="DO268" s="774">
        <v>0</v>
      </c>
      <c r="DP268" s="773">
        <v>0</v>
      </c>
      <c r="DQ268" s="773">
        <v>0</v>
      </c>
      <c r="DR268" s="773">
        <v>0</v>
      </c>
      <c r="DS268" s="774">
        <v>0</v>
      </c>
      <c r="DT268" s="774">
        <v>0</v>
      </c>
      <c r="DU268" s="774">
        <v>0</v>
      </c>
      <c r="DV268" s="774">
        <v>0</v>
      </c>
      <c r="DW268" s="774">
        <v>0</v>
      </c>
      <c r="DX268" s="774">
        <v>0</v>
      </c>
      <c r="DY268" s="774">
        <v>0</v>
      </c>
      <c r="DZ268" s="774">
        <v>0</v>
      </c>
      <c r="EA268" s="774">
        <v>0</v>
      </c>
      <c r="EB268" s="774">
        <v>0</v>
      </c>
      <c r="EC268" s="774">
        <v>0</v>
      </c>
      <c r="ED268" s="774">
        <v>0</v>
      </c>
    </row>
    <row r="269" spans="1:134" ht="15" x14ac:dyDescent="0.25">
      <c r="A269" s="766">
        <v>105</v>
      </c>
      <c r="B269" s="766">
        <v>97</v>
      </c>
      <c r="C269" s="766" t="s">
        <v>3940</v>
      </c>
      <c r="D269" s="2">
        <v>99709</v>
      </c>
      <c r="E269" s="2">
        <v>99709</v>
      </c>
      <c r="F269" s="767" t="s">
        <v>3746</v>
      </c>
      <c r="G269" s="114">
        <v>247</v>
      </c>
      <c r="H269" s="114">
        <v>88</v>
      </c>
      <c r="I269" s="114">
        <v>83</v>
      </c>
      <c r="J269" s="114">
        <v>5</v>
      </c>
      <c r="K269" s="114">
        <v>1</v>
      </c>
      <c r="L269" s="114">
        <v>95</v>
      </c>
      <c r="M269" s="114">
        <v>96</v>
      </c>
      <c r="N269" s="114">
        <v>0</v>
      </c>
      <c r="O269" s="114">
        <v>0</v>
      </c>
      <c r="P269" s="114">
        <v>0</v>
      </c>
      <c r="Q269" s="114">
        <v>96</v>
      </c>
      <c r="R269" s="114">
        <v>3114</v>
      </c>
      <c r="S269" s="114">
        <v>3067.8</v>
      </c>
      <c r="T269" s="114">
        <v>3068.28125</v>
      </c>
      <c r="U269" s="114">
        <v>0</v>
      </c>
      <c r="V269" s="114">
        <v>0</v>
      </c>
      <c r="W269" s="114">
        <v>0</v>
      </c>
      <c r="X269" s="114">
        <v>3068.28125</v>
      </c>
      <c r="Y269" s="114">
        <v>0.91666666666666663</v>
      </c>
      <c r="Z269" s="114">
        <v>87.083333333333329</v>
      </c>
      <c r="AA269" s="114">
        <v>0</v>
      </c>
      <c r="AB269" s="657">
        <v>0</v>
      </c>
      <c r="AC269" s="657">
        <v>0</v>
      </c>
      <c r="AD269" s="768">
        <v>88</v>
      </c>
      <c r="AE269" s="769">
        <v>0.86458333333333326</v>
      </c>
      <c r="AF269" s="769">
        <v>82.135416666666657</v>
      </c>
      <c r="AG269" s="770">
        <v>82.999999999999986</v>
      </c>
      <c r="AH269" s="769">
        <v>0</v>
      </c>
      <c r="AI269" s="769">
        <v>0.87281186209042771</v>
      </c>
      <c r="AJ269" s="769">
        <v>82.917126898590624</v>
      </c>
      <c r="AK269" s="769">
        <v>83.789938760681054</v>
      </c>
      <c r="AL269" s="769">
        <v>0</v>
      </c>
      <c r="AM269" s="769">
        <v>0.82477327290137525</v>
      </c>
      <c r="AN269" s="769">
        <v>78.353460925630657</v>
      </c>
      <c r="AO269" s="769">
        <v>79.178234198532039</v>
      </c>
      <c r="AP269" s="769">
        <v>0</v>
      </c>
      <c r="AQ269" s="769">
        <v>0</v>
      </c>
      <c r="AR269" s="769">
        <v>0</v>
      </c>
      <c r="AS269" s="769">
        <v>79.781293608166848</v>
      </c>
      <c r="AT269" s="769">
        <v>81.761052498584036</v>
      </c>
      <c r="AU269" s="769">
        <v>83.789938760681068</v>
      </c>
      <c r="AV269" s="769">
        <v>85.869171481620413</v>
      </c>
      <c r="AW269" s="769">
        <v>88</v>
      </c>
      <c r="AX269" s="769">
        <v>75.53244302165767</v>
      </c>
      <c r="AY269" s="769">
        <v>77.333857159436235</v>
      </c>
      <c r="AZ269" s="769">
        <v>79.178234198532024</v>
      </c>
      <c r="BA269" s="769">
        <v>81.066598784444849</v>
      </c>
      <c r="BB269" s="769">
        <v>82.999999999999986</v>
      </c>
      <c r="BC269" s="769">
        <v>0</v>
      </c>
      <c r="BD269" s="769">
        <v>0</v>
      </c>
      <c r="BE269" s="769">
        <v>0</v>
      </c>
      <c r="BF269" s="769">
        <v>0</v>
      </c>
      <c r="BG269" s="769">
        <v>0</v>
      </c>
      <c r="BH269" s="771">
        <v>89.912664458944704</v>
      </c>
      <c r="BI269" s="771">
        <v>91.866900342122477</v>
      </c>
      <c r="BJ269" s="771">
        <v>93.863611197097384</v>
      </c>
      <c r="BK269" s="772">
        <v>94.878813199731141</v>
      </c>
      <c r="BL269" s="772">
        <v>95.894015202364898</v>
      </c>
      <c r="BM269" s="772">
        <v>96.90921720499864</v>
      </c>
      <c r="BN269" s="772">
        <v>97.924419207632397</v>
      </c>
      <c r="BO269" s="772">
        <v>99.124828990516505</v>
      </c>
      <c r="BP269" s="772">
        <v>100.32523877340063</v>
      </c>
      <c r="BQ269" s="772">
        <v>103.65311929705204</v>
      </c>
      <c r="BR269" s="772">
        <v>107.61806115706769</v>
      </c>
      <c r="BS269" s="772">
        <v>109.35898906594336</v>
      </c>
      <c r="BT269" s="772">
        <v>110.31503021601411</v>
      </c>
      <c r="BU269" s="772">
        <v>111.30510103284146</v>
      </c>
      <c r="BV269" s="772">
        <v>112.31899261639842</v>
      </c>
      <c r="BW269" s="771">
        <v>84.803990341959192</v>
      </c>
      <c r="BX269" s="771">
        <v>86.647190095410949</v>
      </c>
      <c r="BY269" s="771">
        <v>88.530451469989558</v>
      </c>
      <c r="BZ269" s="772">
        <v>89.487971540655494</v>
      </c>
      <c r="CA269" s="772">
        <v>90.445491611321415</v>
      </c>
      <c r="CB269" s="772">
        <v>91.403011681987337</v>
      </c>
      <c r="CC269" s="772">
        <v>92.360531752653259</v>
      </c>
      <c r="CD269" s="772">
        <v>93.492736434237145</v>
      </c>
      <c r="CE269" s="772">
        <v>94.624941115821017</v>
      </c>
      <c r="CF269" s="772">
        <v>97.76373751881043</v>
      </c>
      <c r="CG269" s="772">
        <v>101.50339859132518</v>
      </c>
      <c r="CH269" s="772">
        <v>103.145410141742</v>
      </c>
      <c r="CI269" s="772">
        <v>104.04713077192238</v>
      </c>
      <c r="CJ269" s="772">
        <v>104.98094756506636</v>
      </c>
      <c r="CK269" s="772">
        <v>105.93723167228485</v>
      </c>
      <c r="CL269" s="771">
        <v>0</v>
      </c>
      <c r="CM269" s="771">
        <v>0</v>
      </c>
      <c r="CN269" s="771">
        <v>0</v>
      </c>
      <c r="CO269" s="772">
        <v>0</v>
      </c>
      <c r="CP269" s="772">
        <v>0</v>
      </c>
      <c r="CQ269" s="772">
        <v>0</v>
      </c>
      <c r="CR269" s="772">
        <v>0</v>
      </c>
      <c r="CS269" s="772">
        <v>0</v>
      </c>
      <c r="CT269" s="772">
        <v>0</v>
      </c>
      <c r="CU269" s="772">
        <v>0</v>
      </c>
      <c r="CV269" s="772">
        <v>0</v>
      </c>
      <c r="CW269" s="772">
        <v>0</v>
      </c>
      <c r="CX269" s="772">
        <v>0</v>
      </c>
      <c r="CY269" s="772">
        <v>0</v>
      </c>
      <c r="CZ269" s="772">
        <v>0</v>
      </c>
      <c r="DA269" s="773">
        <v>0</v>
      </c>
      <c r="DB269" s="773">
        <v>0</v>
      </c>
      <c r="DC269" s="773">
        <v>0</v>
      </c>
      <c r="DD269" s="774">
        <v>0</v>
      </c>
      <c r="DE269" s="774">
        <v>0</v>
      </c>
      <c r="DF269" s="774">
        <v>0</v>
      </c>
      <c r="DG269" s="774">
        <v>0</v>
      </c>
      <c r="DH269" s="774">
        <v>0</v>
      </c>
      <c r="DI269" s="774">
        <v>0</v>
      </c>
      <c r="DJ269" s="774">
        <v>0</v>
      </c>
      <c r="DK269" s="774">
        <v>0</v>
      </c>
      <c r="DL269" s="774">
        <v>0</v>
      </c>
      <c r="DM269" s="774">
        <v>0</v>
      </c>
      <c r="DN269" s="774">
        <v>0</v>
      </c>
      <c r="DO269" s="774">
        <v>0</v>
      </c>
      <c r="DP269" s="773">
        <v>0</v>
      </c>
      <c r="DQ269" s="773">
        <v>0</v>
      </c>
      <c r="DR269" s="773">
        <v>0</v>
      </c>
      <c r="DS269" s="774">
        <v>0</v>
      </c>
      <c r="DT269" s="774">
        <v>0</v>
      </c>
      <c r="DU269" s="774">
        <v>0</v>
      </c>
      <c r="DV269" s="774">
        <v>0</v>
      </c>
      <c r="DW269" s="774">
        <v>0</v>
      </c>
      <c r="DX269" s="774">
        <v>0</v>
      </c>
      <c r="DY269" s="774">
        <v>0</v>
      </c>
      <c r="DZ269" s="774">
        <v>0</v>
      </c>
      <c r="EA269" s="774">
        <v>0</v>
      </c>
      <c r="EB269" s="774">
        <v>0</v>
      </c>
      <c r="EC269" s="774">
        <v>0</v>
      </c>
      <c r="ED269" s="774">
        <v>0</v>
      </c>
    </row>
    <row r="270" spans="1:134" ht="15" x14ac:dyDescent="0.25">
      <c r="A270" s="766">
        <v>106</v>
      </c>
      <c r="B270" s="766">
        <v>97</v>
      </c>
      <c r="C270" s="766" t="s">
        <v>3941</v>
      </c>
      <c r="D270" s="2">
        <v>99709</v>
      </c>
      <c r="E270" s="2">
        <v>99709</v>
      </c>
      <c r="F270" s="767" t="s">
        <v>3746</v>
      </c>
      <c r="G270" s="114">
        <v>207</v>
      </c>
      <c r="H270" s="114">
        <v>117</v>
      </c>
      <c r="I270" s="114">
        <v>105</v>
      </c>
      <c r="J270" s="114">
        <v>12</v>
      </c>
      <c r="K270" s="114">
        <v>0</v>
      </c>
      <c r="L270" s="114">
        <v>159</v>
      </c>
      <c r="M270" s="114">
        <v>159</v>
      </c>
      <c r="N270" s="114">
        <v>2</v>
      </c>
      <c r="O270" s="114">
        <v>0</v>
      </c>
      <c r="P270" s="114">
        <v>0</v>
      </c>
      <c r="Q270" s="114">
        <v>161</v>
      </c>
      <c r="R270" s="114">
        <v>0</v>
      </c>
      <c r="S270" s="114">
        <v>1928.5786163522012</v>
      </c>
      <c r="T270" s="114">
        <v>1928.5786163522012</v>
      </c>
      <c r="U270" s="114">
        <v>3400</v>
      </c>
      <c r="V270" s="114">
        <v>0</v>
      </c>
      <c r="W270" s="114">
        <v>0</v>
      </c>
      <c r="X270" s="114">
        <v>1946.8571428571429</v>
      </c>
      <c r="Y270" s="114">
        <v>0</v>
      </c>
      <c r="Z270" s="114">
        <v>117</v>
      </c>
      <c r="AA270" s="114">
        <v>0</v>
      </c>
      <c r="AB270" s="657">
        <v>2</v>
      </c>
      <c r="AC270" s="657">
        <v>0</v>
      </c>
      <c r="AD270" s="768">
        <v>119</v>
      </c>
      <c r="AE270" s="769">
        <v>0</v>
      </c>
      <c r="AF270" s="769">
        <v>105</v>
      </c>
      <c r="AG270" s="770">
        <v>105</v>
      </c>
      <c r="AH270" s="769">
        <v>0</v>
      </c>
      <c r="AI270" s="769">
        <v>0</v>
      </c>
      <c r="AJ270" s="769">
        <v>111.40253221590551</v>
      </c>
      <c r="AK270" s="769">
        <v>111.40253221590551</v>
      </c>
      <c r="AL270" s="769">
        <v>0</v>
      </c>
      <c r="AM270" s="769">
        <v>0</v>
      </c>
      <c r="AN270" s="769">
        <v>100.16523603428752</v>
      </c>
      <c r="AO270" s="769">
        <v>100.16523603428752</v>
      </c>
      <c r="AP270" s="769">
        <v>0</v>
      </c>
      <c r="AQ270" s="769">
        <v>1.9193314770024816</v>
      </c>
      <c r="AR270" s="769">
        <v>0</v>
      </c>
      <c r="AS270" s="769">
        <v>106.07285627449455</v>
      </c>
      <c r="AT270" s="769">
        <v>108.70503570834468</v>
      </c>
      <c r="AU270" s="769">
        <v>111.40253221590551</v>
      </c>
      <c r="AV270" s="769">
        <v>114.1669666289726</v>
      </c>
      <c r="AW270" s="769">
        <v>117</v>
      </c>
      <c r="AX270" s="769">
        <v>95.553090569566947</v>
      </c>
      <c r="AY270" s="769">
        <v>97.831987972780794</v>
      </c>
      <c r="AZ270" s="769">
        <v>100.16523603428752</v>
      </c>
      <c r="BA270" s="769">
        <v>102.55413099237002</v>
      </c>
      <c r="BB270" s="769">
        <v>105</v>
      </c>
      <c r="BC270" s="769">
        <v>1.8419166593062641</v>
      </c>
      <c r="BD270" s="769">
        <v>1.8802256838533424</v>
      </c>
      <c r="BE270" s="769">
        <v>1.9193314770024816</v>
      </c>
      <c r="BF270" s="769">
        <v>1.9592506103112393</v>
      </c>
      <c r="BG270" s="769">
        <v>2</v>
      </c>
      <c r="BH270" s="771">
        <v>118.23611263472672</v>
      </c>
      <c r="BI270" s="771">
        <v>119.48528488010071</v>
      </c>
      <c r="BJ270" s="771">
        <v>120.74765471176066</v>
      </c>
      <c r="BK270" s="772">
        <v>121.09930360405686</v>
      </c>
      <c r="BL270" s="772">
        <v>121.45095249635305</v>
      </c>
      <c r="BM270" s="772">
        <v>121.80260138864922</v>
      </c>
      <c r="BN270" s="772">
        <v>122.15425028094542</v>
      </c>
      <c r="BO270" s="772">
        <v>122.57005203208226</v>
      </c>
      <c r="BP270" s="772">
        <v>122.98585378321908</v>
      </c>
      <c r="BQ270" s="772">
        <v>124.13857560291619</v>
      </c>
      <c r="BR270" s="772">
        <v>125.51196475056976</v>
      </c>
      <c r="BS270" s="772">
        <v>126.11499288599049</v>
      </c>
      <c r="BT270" s="772">
        <v>126.44614945437765</v>
      </c>
      <c r="BU270" s="772">
        <v>126.78909332675863</v>
      </c>
      <c r="BV270" s="772">
        <v>127.14028831193524</v>
      </c>
      <c r="BW270" s="771">
        <v>106.10933185167782</v>
      </c>
      <c r="BX270" s="771">
        <v>107.23038386675704</v>
      </c>
      <c r="BY270" s="771">
        <v>108.3632798695288</v>
      </c>
      <c r="BZ270" s="772">
        <v>108.67886220876898</v>
      </c>
      <c r="CA270" s="772">
        <v>108.99444454800914</v>
      </c>
      <c r="CB270" s="772">
        <v>109.31002688724929</v>
      </c>
      <c r="CC270" s="772">
        <v>109.62560922648947</v>
      </c>
      <c r="CD270" s="772">
        <v>109.99876464417639</v>
      </c>
      <c r="CE270" s="772">
        <v>110.37192006186328</v>
      </c>
      <c r="CF270" s="772">
        <v>111.4064140026171</v>
      </c>
      <c r="CG270" s="772">
        <v>112.63894272487029</v>
      </c>
      <c r="CH270" s="772">
        <v>113.18012182076069</v>
      </c>
      <c r="CI270" s="772">
        <v>113.47731361290302</v>
      </c>
      <c r="CJ270" s="772">
        <v>113.78508375478339</v>
      </c>
      <c r="CK270" s="772">
        <v>114.10025874148035</v>
      </c>
      <c r="CL270" s="771">
        <v>2.021130130508149</v>
      </c>
      <c r="CM270" s="771">
        <v>2.0424835022239436</v>
      </c>
      <c r="CN270" s="771">
        <v>2.0640624737053104</v>
      </c>
      <c r="CO270" s="772">
        <v>2.0700735658813136</v>
      </c>
      <c r="CP270" s="772">
        <v>2.0760846580573169</v>
      </c>
      <c r="CQ270" s="772">
        <v>2.0820957502333202</v>
      </c>
      <c r="CR270" s="772">
        <v>2.0881068424093234</v>
      </c>
      <c r="CS270" s="772">
        <v>2.0952145646509788</v>
      </c>
      <c r="CT270" s="772">
        <v>2.1023222868926341</v>
      </c>
      <c r="CU270" s="772">
        <v>2.1220269333831827</v>
      </c>
      <c r="CV270" s="772">
        <v>2.1455036709499105</v>
      </c>
      <c r="CW270" s="772">
        <v>2.1558118442049654</v>
      </c>
      <c r="CX270" s="772">
        <v>2.1614726402457718</v>
      </c>
      <c r="CY270" s="772">
        <v>2.167334928662541</v>
      </c>
      <c r="CZ270" s="772">
        <v>2.1733382617424826</v>
      </c>
      <c r="DA270" s="773">
        <v>0</v>
      </c>
      <c r="DB270" s="773">
        <v>0</v>
      </c>
      <c r="DC270" s="773">
        <v>0</v>
      </c>
      <c r="DD270" s="774">
        <v>0</v>
      </c>
      <c r="DE270" s="774">
        <v>0</v>
      </c>
      <c r="DF270" s="774">
        <v>0</v>
      </c>
      <c r="DG270" s="774">
        <v>0</v>
      </c>
      <c r="DH270" s="774">
        <v>0</v>
      </c>
      <c r="DI270" s="774">
        <v>0</v>
      </c>
      <c r="DJ270" s="774">
        <v>0</v>
      </c>
      <c r="DK270" s="774">
        <v>0</v>
      </c>
      <c r="DL270" s="774">
        <v>0</v>
      </c>
      <c r="DM270" s="774">
        <v>0</v>
      </c>
      <c r="DN270" s="774">
        <v>0</v>
      </c>
      <c r="DO270" s="774">
        <v>0</v>
      </c>
      <c r="DP270" s="773">
        <v>0</v>
      </c>
      <c r="DQ270" s="773">
        <v>0</v>
      </c>
      <c r="DR270" s="773">
        <v>0</v>
      </c>
      <c r="DS270" s="774">
        <v>0</v>
      </c>
      <c r="DT270" s="774">
        <v>0</v>
      </c>
      <c r="DU270" s="774">
        <v>0</v>
      </c>
      <c r="DV270" s="774">
        <v>0</v>
      </c>
      <c r="DW270" s="774">
        <v>0</v>
      </c>
      <c r="DX270" s="774">
        <v>0</v>
      </c>
      <c r="DY270" s="774">
        <v>0</v>
      </c>
      <c r="DZ270" s="774">
        <v>0</v>
      </c>
      <c r="EA270" s="774">
        <v>0</v>
      </c>
      <c r="EB270" s="774">
        <v>0</v>
      </c>
      <c r="EC270" s="774">
        <v>0</v>
      </c>
      <c r="ED270" s="774">
        <v>0</v>
      </c>
    </row>
    <row r="271" spans="1:134" ht="15" x14ac:dyDescent="0.25">
      <c r="A271" s="766">
        <v>107</v>
      </c>
      <c r="B271" s="766">
        <v>97</v>
      </c>
      <c r="C271" s="766" t="s">
        <v>3942</v>
      </c>
      <c r="D271" s="2">
        <v>99709</v>
      </c>
      <c r="E271" s="2">
        <v>99709</v>
      </c>
      <c r="F271" s="767" t="s">
        <v>3746</v>
      </c>
      <c r="G271" s="114">
        <v>197</v>
      </c>
      <c r="H271" s="114">
        <v>108</v>
      </c>
      <c r="I271" s="114">
        <v>96</v>
      </c>
      <c r="J271" s="114">
        <v>12</v>
      </c>
      <c r="K271" s="114">
        <v>2</v>
      </c>
      <c r="L271" s="114">
        <v>58</v>
      </c>
      <c r="M271" s="114">
        <v>60</v>
      </c>
      <c r="N271" s="114">
        <v>0</v>
      </c>
      <c r="O271" s="114">
        <v>0</v>
      </c>
      <c r="P271" s="114">
        <v>0</v>
      </c>
      <c r="Q271" s="114">
        <v>60</v>
      </c>
      <c r="R271" s="114">
        <v>3446</v>
      </c>
      <c r="S271" s="114">
        <v>2462.0689655172414</v>
      </c>
      <c r="T271" s="114">
        <v>2494.8666666666668</v>
      </c>
      <c r="U271" s="114">
        <v>0</v>
      </c>
      <c r="V271" s="114">
        <v>0</v>
      </c>
      <c r="W271" s="114">
        <v>0</v>
      </c>
      <c r="X271" s="114">
        <v>2494.8666666666668</v>
      </c>
      <c r="Y271" s="114">
        <v>3.6</v>
      </c>
      <c r="Z271" s="114">
        <v>104.4</v>
      </c>
      <c r="AA271" s="114">
        <v>0</v>
      </c>
      <c r="AB271" s="657">
        <v>0</v>
      </c>
      <c r="AC271" s="657">
        <v>0</v>
      </c>
      <c r="AD271" s="768">
        <v>108</v>
      </c>
      <c r="AE271" s="769">
        <v>3.2</v>
      </c>
      <c r="AF271" s="769">
        <v>92.800000000000011</v>
      </c>
      <c r="AG271" s="770">
        <v>96.000000000000014</v>
      </c>
      <c r="AH271" s="769">
        <v>0</v>
      </c>
      <c r="AI271" s="769">
        <v>3.4277702220278616</v>
      </c>
      <c r="AJ271" s="769">
        <v>99.405336438807993</v>
      </c>
      <c r="AK271" s="769">
        <v>102.83310666083585</v>
      </c>
      <c r="AL271" s="769">
        <v>0</v>
      </c>
      <c r="AM271" s="769">
        <v>3.0526548124735244</v>
      </c>
      <c r="AN271" s="769">
        <v>88.526989561732208</v>
      </c>
      <c r="AO271" s="769">
        <v>91.579644374205728</v>
      </c>
      <c r="AP271" s="769">
        <v>0</v>
      </c>
      <c r="AQ271" s="769">
        <v>0</v>
      </c>
      <c r="AR271" s="769">
        <v>0</v>
      </c>
      <c r="AS271" s="769">
        <v>97.913405791841129</v>
      </c>
      <c r="AT271" s="769">
        <v>100.34310988462586</v>
      </c>
      <c r="AU271" s="769">
        <v>102.83310666083585</v>
      </c>
      <c r="AV271" s="769">
        <v>105.38489227289779</v>
      </c>
      <c r="AW271" s="769">
        <v>108</v>
      </c>
      <c r="AX271" s="769">
        <v>87.36282566360407</v>
      </c>
      <c r="AY271" s="769">
        <v>89.446389003685312</v>
      </c>
      <c r="AZ271" s="769">
        <v>91.579644374205742</v>
      </c>
      <c r="BA271" s="769">
        <v>93.763776907309747</v>
      </c>
      <c r="BB271" s="769">
        <v>96.000000000000014</v>
      </c>
      <c r="BC271" s="769">
        <v>0</v>
      </c>
      <c r="BD271" s="769">
        <v>0</v>
      </c>
      <c r="BE271" s="769">
        <v>0</v>
      </c>
      <c r="BF271" s="769">
        <v>0</v>
      </c>
      <c r="BG271" s="769">
        <v>0</v>
      </c>
      <c r="BH271" s="771">
        <v>109.02392790989971</v>
      </c>
      <c r="BI271" s="771">
        <v>110.05756348984269</v>
      </c>
      <c r="BJ271" s="771">
        <v>111.10099877644278</v>
      </c>
      <c r="BK271" s="772">
        <v>112.38017105061867</v>
      </c>
      <c r="BL271" s="772">
        <v>113.65934332479452</v>
      </c>
      <c r="BM271" s="772">
        <v>114.93851559897038</v>
      </c>
      <c r="BN271" s="772">
        <v>116.21768787314628</v>
      </c>
      <c r="BO271" s="772">
        <v>117.73022518880482</v>
      </c>
      <c r="BP271" s="772">
        <v>119.2427625044634</v>
      </c>
      <c r="BQ271" s="772">
        <v>123.43595015242015</v>
      </c>
      <c r="BR271" s="772">
        <v>128.43184622324486</v>
      </c>
      <c r="BS271" s="772">
        <v>130.62544582863902</v>
      </c>
      <c r="BT271" s="772">
        <v>131.83007439415508</v>
      </c>
      <c r="BU271" s="772">
        <v>133.07758093479484</v>
      </c>
      <c r="BV271" s="772">
        <v>134.3551020580212</v>
      </c>
      <c r="BW271" s="771">
        <v>96.910158142133099</v>
      </c>
      <c r="BX271" s="771">
        <v>97.828945324304627</v>
      </c>
      <c r="BY271" s="771">
        <v>98.756443356838048</v>
      </c>
      <c r="BZ271" s="772">
        <v>99.893485378327725</v>
      </c>
      <c r="CA271" s="772">
        <v>101.03052739981737</v>
      </c>
      <c r="CB271" s="772">
        <v>102.16756942130704</v>
      </c>
      <c r="CC271" s="772">
        <v>103.30461144279671</v>
      </c>
      <c r="CD271" s="772">
        <v>104.64908905671543</v>
      </c>
      <c r="CE271" s="772">
        <v>105.99356667063415</v>
      </c>
      <c r="CF271" s="772">
        <v>109.72084457992904</v>
      </c>
      <c r="CG271" s="772">
        <v>114.1616410873288</v>
      </c>
      <c r="CH271" s="772">
        <v>116.1115074032347</v>
      </c>
      <c r="CI271" s="772">
        <v>117.18228835036011</v>
      </c>
      <c r="CJ271" s="772">
        <v>118.291183053151</v>
      </c>
      <c r="CK271" s="772">
        <v>119.42675738490777</v>
      </c>
      <c r="CL271" s="771">
        <v>0</v>
      </c>
      <c r="CM271" s="771">
        <v>0</v>
      </c>
      <c r="CN271" s="771">
        <v>0</v>
      </c>
      <c r="CO271" s="772">
        <v>0</v>
      </c>
      <c r="CP271" s="772">
        <v>0</v>
      </c>
      <c r="CQ271" s="772">
        <v>0</v>
      </c>
      <c r="CR271" s="772">
        <v>0</v>
      </c>
      <c r="CS271" s="772">
        <v>0</v>
      </c>
      <c r="CT271" s="772">
        <v>0</v>
      </c>
      <c r="CU271" s="772">
        <v>0</v>
      </c>
      <c r="CV271" s="772">
        <v>0</v>
      </c>
      <c r="CW271" s="772">
        <v>0</v>
      </c>
      <c r="CX271" s="772">
        <v>0</v>
      </c>
      <c r="CY271" s="772">
        <v>0</v>
      </c>
      <c r="CZ271" s="772">
        <v>0</v>
      </c>
      <c r="DA271" s="773">
        <v>0</v>
      </c>
      <c r="DB271" s="773">
        <v>0</v>
      </c>
      <c r="DC271" s="773">
        <v>0</v>
      </c>
      <c r="DD271" s="774">
        <v>0</v>
      </c>
      <c r="DE271" s="774">
        <v>0</v>
      </c>
      <c r="DF271" s="774">
        <v>0</v>
      </c>
      <c r="DG271" s="774">
        <v>0</v>
      </c>
      <c r="DH271" s="774">
        <v>0</v>
      </c>
      <c r="DI271" s="774">
        <v>0</v>
      </c>
      <c r="DJ271" s="774">
        <v>0</v>
      </c>
      <c r="DK271" s="774">
        <v>0</v>
      </c>
      <c r="DL271" s="774">
        <v>0</v>
      </c>
      <c r="DM271" s="774">
        <v>0</v>
      </c>
      <c r="DN271" s="774">
        <v>0</v>
      </c>
      <c r="DO271" s="774">
        <v>0</v>
      </c>
      <c r="DP271" s="773">
        <v>0</v>
      </c>
      <c r="DQ271" s="773">
        <v>0</v>
      </c>
      <c r="DR271" s="773">
        <v>0</v>
      </c>
      <c r="DS271" s="774">
        <v>0</v>
      </c>
      <c r="DT271" s="774">
        <v>0</v>
      </c>
      <c r="DU271" s="774">
        <v>0</v>
      </c>
      <c r="DV271" s="774">
        <v>0</v>
      </c>
      <c r="DW271" s="774">
        <v>0</v>
      </c>
      <c r="DX271" s="774">
        <v>0</v>
      </c>
      <c r="DY271" s="774">
        <v>0</v>
      </c>
      <c r="DZ271" s="774">
        <v>0</v>
      </c>
      <c r="EA271" s="774">
        <v>0</v>
      </c>
      <c r="EB271" s="774">
        <v>0</v>
      </c>
      <c r="EC271" s="774">
        <v>0</v>
      </c>
      <c r="ED271" s="774">
        <v>0</v>
      </c>
    </row>
    <row r="272" spans="1:134" ht="15" x14ac:dyDescent="0.25">
      <c r="A272" s="766">
        <v>108</v>
      </c>
      <c r="B272" s="766">
        <v>97</v>
      </c>
      <c r="C272" s="766" t="s">
        <v>3943</v>
      </c>
      <c r="D272" s="2">
        <v>99709</v>
      </c>
      <c r="E272" s="2">
        <v>99709</v>
      </c>
      <c r="F272" s="767" t="s">
        <v>3746</v>
      </c>
      <c r="G272" s="114">
        <v>102</v>
      </c>
      <c r="H272" s="114">
        <v>53</v>
      </c>
      <c r="I272" s="114">
        <v>47</v>
      </c>
      <c r="J272" s="114">
        <v>6</v>
      </c>
      <c r="K272" s="114">
        <v>0</v>
      </c>
      <c r="L272" s="114">
        <v>0</v>
      </c>
      <c r="M272" s="114">
        <v>0</v>
      </c>
      <c r="N272" s="114">
        <v>0</v>
      </c>
      <c r="O272" s="114">
        <v>0</v>
      </c>
      <c r="P272" s="114">
        <v>0</v>
      </c>
      <c r="Q272" s="114">
        <v>0</v>
      </c>
      <c r="R272" s="114">
        <v>0</v>
      </c>
      <c r="S272" s="114">
        <v>834.49503068156923</v>
      </c>
      <c r="T272" s="114">
        <v>834.49503068156923</v>
      </c>
      <c r="U272" s="114">
        <v>1408.3846153846155</v>
      </c>
      <c r="V272" s="114">
        <v>0</v>
      </c>
      <c r="W272" s="114">
        <v>0</v>
      </c>
      <c r="X272" s="114">
        <v>1365.173957061457</v>
      </c>
      <c r="Y272" s="114">
        <v>1.2143537768537769</v>
      </c>
      <c r="Z272" s="114">
        <v>51.71677927927928</v>
      </c>
      <c r="AA272" s="114">
        <v>6.8866943866943864E-2</v>
      </c>
      <c r="AB272" s="657">
        <v>0</v>
      </c>
      <c r="AC272" s="657">
        <v>0</v>
      </c>
      <c r="AD272" s="768">
        <v>53</v>
      </c>
      <c r="AE272" s="769">
        <v>1.0768797643797643</v>
      </c>
      <c r="AF272" s="769">
        <v>45.862049549549546</v>
      </c>
      <c r="AG272" s="770">
        <v>46.938929313929307</v>
      </c>
      <c r="AH272" s="769">
        <v>6.1070686070686067E-2</v>
      </c>
      <c r="AI272" s="769">
        <v>1.1562571431406787</v>
      </c>
      <c r="AJ272" s="769">
        <v>49.242565553528067</v>
      </c>
      <c r="AK272" s="769">
        <v>50.398822696668745</v>
      </c>
      <c r="AL272" s="769">
        <v>6.5572238741437347E-2</v>
      </c>
      <c r="AM272" s="769">
        <v>1.0272944359966383</v>
      </c>
      <c r="AN272" s="769">
        <v>43.750314458541141</v>
      </c>
      <c r="AO272" s="769">
        <v>44.777608894537778</v>
      </c>
      <c r="AP272" s="769">
        <v>5.8258663667106136E-2</v>
      </c>
      <c r="AQ272" s="769">
        <v>0</v>
      </c>
      <c r="AR272" s="769">
        <v>0</v>
      </c>
      <c r="AS272" s="769">
        <v>47.987662129139743</v>
      </c>
      <c r="AT272" s="769">
        <v>49.178467597864</v>
      </c>
      <c r="AU272" s="769">
        <v>50.398822696668745</v>
      </c>
      <c r="AV272" s="769">
        <v>51.649460694472232</v>
      </c>
      <c r="AW272" s="769">
        <v>52.931133056133056</v>
      </c>
      <c r="AX272" s="769">
        <v>42.715807275927503</v>
      </c>
      <c r="AY272" s="769">
        <v>43.734559696147997</v>
      </c>
      <c r="AZ272" s="769">
        <v>44.777608894537771</v>
      </c>
      <c r="BA272" s="769">
        <v>45.845534338117169</v>
      </c>
      <c r="BB272" s="769">
        <v>46.938929313929307</v>
      </c>
      <c r="BC272" s="769">
        <v>0</v>
      </c>
      <c r="BD272" s="769">
        <v>0</v>
      </c>
      <c r="BE272" s="769">
        <v>0</v>
      </c>
      <c r="BF272" s="769">
        <v>0</v>
      </c>
      <c r="BG272" s="769">
        <v>0</v>
      </c>
      <c r="BH272" s="771">
        <v>53.43296328241815</v>
      </c>
      <c r="BI272" s="771">
        <v>53.939551267728469</v>
      </c>
      <c r="BJ272" s="771">
        <v>54.450942119492304</v>
      </c>
      <c r="BK272" s="772">
        <v>55.39379915664292</v>
      </c>
      <c r="BL272" s="772">
        <v>56.336656193793544</v>
      </c>
      <c r="BM272" s="772">
        <v>57.279513230944161</v>
      </c>
      <c r="BN272" s="772">
        <v>58.222370268094778</v>
      </c>
      <c r="BO272" s="772">
        <v>59.337236874268186</v>
      </c>
      <c r="BP272" s="772">
        <v>60.452103480441586</v>
      </c>
      <c r="BQ272" s="772">
        <v>63.542833761096098</v>
      </c>
      <c r="BR272" s="772">
        <v>67.225227338837584</v>
      </c>
      <c r="BS272" s="772">
        <v>68.842093859783063</v>
      </c>
      <c r="BT272" s="772">
        <v>69.730005944088703</v>
      </c>
      <c r="BU272" s="772">
        <v>70.649522685093288</v>
      </c>
      <c r="BV272" s="772">
        <v>71.591162685787154</v>
      </c>
      <c r="BW272" s="771">
        <v>47.383948571200989</v>
      </c>
      <c r="BX272" s="771">
        <v>47.833186973268639</v>
      </c>
      <c r="BY272" s="771">
        <v>48.286684521059207</v>
      </c>
      <c r="BZ272" s="772">
        <v>49.122803025702211</v>
      </c>
      <c r="CA272" s="772">
        <v>49.958921530345208</v>
      </c>
      <c r="CB272" s="772">
        <v>50.795040034988212</v>
      </c>
      <c r="CC272" s="772">
        <v>51.631158539631215</v>
      </c>
      <c r="CD272" s="772">
        <v>52.619813831898199</v>
      </c>
      <c r="CE272" s="772">
        <v>53.608469124165175</v>
      </c>
      <c r="CF272" s="772">
        <v>56.349305410783323</v>
      </c>
      <c r="CG272" s="772">
        <v>59.614824243874828</v>
      </c>
      <c r="CH272" s="772">
        <v>61.048649271883086</v>
      </c>
      <c r="CI272" s="772">
        <v>61.836043007022042</v>
      </c>
      <c r="CJ272" s="772">
        <v>62.651463513195928</v>
      </c>
      <c r="CK272" s="772">
        <v>63.486502759094265</v>
      </c>
      <c r="CL272" s="771">
        <v>0</v>
      </c>
      <c r="CM272" s="771">
        <v>0</v>
      </c>
      <c r="CN272" s="771">
        <v>0</v>
      </c>
      <c r="CO272" s="772">
        <v>0</v>
      </c>
      <c r="CP272" s="772">
        <v>0</v>
      </c>
      <c r="CQ272" s="772">
        <v>0</v>
      </c>
      <c r="CR272" s="772">
        <v>0</v>
      </c>
      <c r="CS272" s="772">
        <v>0</v>
      </c>
      <c r="CT272" s="772">
        <v>0</v>
      </c>
      <c r="CU272" s="772">
        <v>0</v>
      </c>
      <c r="CV272" s="772">
        <v>0</v>
      </c>
      <c r="CW272" s="772">
        <v>0</v>
      </c>
      <c r="CX272" s="772">
        <v>0</v>
      </c>
      <c r="CY272" s="772">
        <v>0</v>
      </c>
      <c r="CZ272" s="772">
        <v>0</v>
      </c>
      <c r="DA272" s="773">
        <v>6.9519858551155542E-2</v>
      </c>
      <c r="DB272" s="773">
        <v>7.0178963398033395E-2</v>
      </c>
      <c r="DC272" s="773">
        <v>7.0844317095358184E-2</v>
      </c>
      <c r="DD272" s="774">
        <v>7.2071037154102152E-2</v>
      </c>
      <c r="DE272" s="774">
        <v>7.3297757212846135E-2</v>
      </c>
      <c r="DF272" s="774">
        <v>7.4524477271590103E-2</v>
      </c>
      <c r="DG272" s="774">
        <v>7.5751197330334086E-2</v>
      </c>
      <c r="DH272" s="774">
        <v>7.7201713341488648E-2</v>
      </c>
      <c r="DI272" s="774">
        <v>7.8652229352643224E-2</v>
      </c>
      <c r="DJ272" s="774">
        <v>8.2673476139859606E-2</v>
      </c>
      <c r="DK272" s="774">
        <v>8.7464516443972906E-2</v>
      </c>
      <c r="DL272" s="774">
        <v>8.9568167915408614E-2</v>
      </c>
      <c r="DM272" s="774">
        <v>9.0723400916066468E-2</v>
      </c>
      <c r="DN272" s="774">
        <v>9.1919753688645953E-2</v>
      </c>
      <c r="DO272" s="774">
        <v>9.3144890301570582E-2</v>
      </c>
      <c r="DP272" s="773">
        <v>0</v>
      </c>
      <c r="DQ272" s="773">
        <v>0</v>
      </c>
      <c r="DR272" s="773">
        <v>0</v>
      </c>
      <c r="DS272" s="774">
        <v>0</v>
      </c>
      <c r="DT272" s="774">
        <v>0</v>
      </c>
      <c r="DU272" s="774">
        <v>0</v>
      </c>
      <c r="DV272" s="774">
        <v>0</v>
      </c>
      <c r="DW272" s="774">
        <v>0</v>
      </c>
      <c r="DX272" s="774">
        <v>0</v>
      </c>
      <c r="DY272" s="774">
        <v>0</v>
      </c>
      <c r="DZ272" s="774">
        <v>0</v>
      </c>
      <c r="EA272" s="774">
        <v>0</v>
      </c>
      <c r="EB272" s="774">
        <v>0</v>
      </c>
      <c r="EC272" s="774">
        <v>0</v>
      </c>
      <c r="ED272" s="774">
        <v>0</v>
      </c>
    </row>
    <row r="273" spans="1:134" ht="15" x14ac:dyDescent="0.25">
      <c r="A273" s="766">
        <v>109</v>
      </c>
      <c r="B273" s="766">
        <v>97</v>
      </c>
      <c r="C273" s="766" t="s">
        <v>3944</v>
      </c>
      <c r="D273" s="2">
        <v>99712</v>
      </c>
      <c r="E273" s="2">
        <v>99709</v>
      </c>
      <c r="F273" s="767" t="s">
        <v>3746</v>
      </c>
      <c r="G273" s="114">
        <v>31</v>
      </c>
      <c r="H273" s="114">
        <v>20</v>
      </c>
      <c r="I273" s="114">
        <v>11</v>
      </c>
      <c r="J273" s="114">
        <v>9</v>
      </c>
      <c r="K273" s="114">
        <v>0</v>
      </c>
      <c r="L273" s="114">
        <v>7</v>
      </c>
      <c r="M273" s="114">
        <v>7</v>
      </c>
      <c r="N273" s="114">
        <v>0</v>
      </c>
      <c r="O273" s="114">
        <v>0</v>
      </c>
      <c r="P273" s="114">
        <v>0</v>
      </c>
      <c r="Q273" s="114">
        <v>7</v>
      </c>
      <c r="R273" s="114">
        <v>0</v>
      </c>
      <c r="S273" s="114">
        <v>1187.5714285714287</v>
      </c>
      <c r="T273" s="114">
        <v>1187.5714285714287</v>
      </c>
      <c r="U273" s="114">
        <v>0</v>
      </c>
      <c r="V273" s="114">
        <v>0</v>
      </c>
      <c r="W273" s="114">
        <v>0</v>
      </c>
      <c r="X273" s="114">
        <v>1187.5714285714287</v>
      </c>
      <c r="Y273" s="114">
        <v>0</v>
      </c>
      <c r="Z273" s="114">
        <v>20</v>
      </c>
      <c r="AA273" s="114">
        <v>0</v>
      </c>
      <c r="AB273" s="657">
        <v>0</v>
      </c>
      <c r="AC273" s="657">
        <v>0</v>
      </c>
      <c r="AD273" s="768">
        <v>20</v>
      </c>
      <c r="AE273" s="769">
        <v>0</v>
      </c>
      <c r="AF273" s="769">
        <v>11</v>
      </c>
      <c r="AG273" s="770">
        <v>11</v>
      </c>
      <c r="AH273" s="769">
        <v>0</v>
      </c>
      <c r="AI273" s="769">
        <v>0</v>
      </c>
      <c r="AJ273" s="769">
        <v>18.182284902914763</v>
      </c>
      <c r="AK273" s="769">
        <v>18.182284902914763</v>
      </c>
      <c r="AL273" s="769">
        <v>0</v>
      </c>
      <c r="AM273" s="769">
        <v>0</v>
      </c>
      <c r="AN273" s="769">
        <v>10.036995214267002</v>
      </c>
      <c r="AO273" s="769">
        <v>10.036995214267002</v>
      </c>
      <c r="AP273" s="769">
        <v>0</v>
      </c>
      <c r="AQ273" s="769">
        <v>0</v>
      </c>
      <c r="AR273" s="769">
        <v>0</v>
      </c>
      <c r="AS273" s="769">
        <v>16.529774214538108</v>
      </c>
      <c r="AT273" s="769">
        <v>17.336350946770374</v>
      </c>
      <c r="AU273" s="769">
        <v>18.182284902914763</v>
      </c>
      <c r="AV273" s="769">
        <v>19.069496533949064</v>
      </c>
      <c r="AW273" s="769">
        <v>20</v>
      </c>
      <c r="AX273" s="769">
        <v>9.1582975392016994</v>
      </c>
      <c r="AY273" s="769">
        <v>9.5875851272257666</v>
      </c>
      <c r="AZ273" s="769">
        <v>10.036995214267002</v>
      </c>
      <c r="BA273" s="769">
        <v>10.507471025748156</v>
      </c>
      <c r="BB273" s="769">
        <v>11</v>
      </c>
      <c r="BC273" s="769">
        <v>0</v>
      </c>
      <c r="BD273" s="769">
        <v>0</v>
      </c>
      <c r="BE273" s="769">
        <v>0</v>
      </c>
      <c r="BF273" s="769">
        <v>0</v>
      </c>
      <c r="BG273" s="769">
        <v>0</v>
      </c>
      <c r="BH273" s="771">
        <v>20.189616279611059</v>
      </c>
      <c r="BI273" s="771">
        <v>20.381030275896794</v>
      </c>
      <c r="BJ273" s="771">
        <v>20.57425903267459</v>
      </c>
      <c r="BK273" s="772">
        <v>20.930517054263028</v>
      </c>
      <c r="BL273" s="772">
        <v>21.286775075851466</v>
      </c>
      <c r="BM273" s="772">
        <v>21.643033097439908</v>
      </c>
      <c r="BN273" s="772">
        <v>21.999291119028346</v>
      </c>
      <c r="BO273" s="772">
        <v>22.420542863248933</v>
      </c>
      <c r="BP273" s="772">
        <v>22.841794607469524</v>
      </c>
      <c r="BQ273" s="772">
        <v>24.009625372541869</v>
      </c>
      <c r="BR273" s="772">
        <v>25.401015794445868</v>
      </c>
      <c r="BS273" s="772">
        <v>26.011947934980558</v>
      </c>
      <c r="BT273" s="772">
        <v>26.347445035850853</v>
      </c>
      <c r="BU273" s="772">
        <v>26.694883939162995</v>
      </c>
      <c r="BV273" s="772">
        <v>27.050682104184425</v>
      </c>
      <c r="BW273" s="771">
        <v>11.104288953786082</v>
      </c>
      <c r="BX273" s="771">
        <v>11.209566651743238</v>
      </c>
      <c r="BY273" s="771">
        <v>11.315842467971024</v>
      </c>
      <c r="BZ273" s="772">
        <v>11.511784379844665</v>
      </c>
      <c r="CA273" s="772">
        <v>11.707726291718306</v>
      </c>
      <c r="CB273" s="772">
        <v>11.903668203591948</v>
      </c>
      <c r="CC273" s="772">
        <v>12.099610115465589</v>
      </c>
      <c r="CD273" s="772">
        <v>12.331298574786913</v>
      </c>
      <c r="CE273" s="772">
        <v>12.562987034108236</v>
      </c>
      <c r="CF273" s="772">
        <v>13.205293954898028</v>
      </c>
      <c r="CG273" s="772">
        <v>13.970558686945228</v>
      </c>
      <c r="CH273" s="772">
        <v>14.306571364239305</v>
      </c>
      <c r="CI273" s="772">
        <v>14.49109476971797</v>
      </c>
      <c r="CJ273" s="772">
        <v>14.682186166539646</v>
      </c>
      <c r="CK273" s="772">
        <v>14.877875157301434</v>
      </c>
      <c r="CL273" s="771">
        <v>0</v>
      </c>
      <c r="CM273" s="771">
        <v>0</v>
      </c>
      <c r="CN273" s="771">
        <v>0</v>
      </c>
      <c r="CO273" s="772">
        <v>0</v>
      </c>
      <c r="CP273" s="772">
        <v>0</v>
      </c>
      <c r="CQ273" s="772">
        <v>0</v>
      </c>
      <c r="CR273" s="772">
        <v>0</v>
      </c>
      <c r="CS273" s="772">
        <v>0</v>
      </c>
      <c r="CT273" s="772">
        <v>0</v>
      </c>
      <c r="CU273" s="772">
        <v>0</v>
      </c>
      <c r="CV273" s="772">
        <v>0</v>
      </c>
      <c r="CW273" s="772">
        <v>0</v>
      </c>
      <c r="CX273" s="772">
        <v>0</v>
      </c>
      <c r="CY273" s="772">
        <v>0</v>
      </c>
      <c r="CZ273" s="772">
        <v>0</v>
      </c>
      <c r="DA273" s="773">
        <v>0</v>
      </c>
      <c r="DB273" s="773">
        <v>0</v>
      </c>
      <c r="DC273" s="773">
        <v>0</v>
      </c>
      <c r="DD273" s="774">
        <v>0</v>
      </c>
      <c r="DE273" s="774">
        <v>0</v>
      </c>
      <c r="DF273" s="774">
        <v>0</v>
      </c>
      <c r="DG273" s="774">
        <v>0</v>
      </c>
      <c r="DH273" s="774">
        <v>0</v>
      </c>
      <c r="DI273" s="774">
        <v>0</v>
      </c>
      <c r="DJ273" s="774">
        <v>0</v>
      </c>
      <c r="DK273" s="774">
        <v>0</v>
      </c>
      <c r="DL273" s="774">
        <v>0</v>
      </c>
      <c r="DM273" s="774">
        <v>0</v>
      </c>
      <c r="DN273" s="774">
        <v>0</v>
      </c>
      <c r="DO273" s="774">
        <v>0</v>
      </c>
      <c r="DP273" s="773">
        <v>0</v>
      </c>
      <c r="DQ273" s="773">
        <v>0</v>
      </c>
      <c r="DR273" s="773">
        <v>0</v>
      </c>
      <c r="DS273" s="774">
        <v>0</v>
      </c>
      <c r="DT273" s="774">
        <v>0</v>
      </c>
      <c r="DU273" s="774">
        <v>0</v>
      </c>
      <c r="DV273" s="774">
        <v>0</v>
      </c>
      <c r="DW273" s="774">
        <v>0</v>
      </c>
      <c r="DX273" s="774">
        <v>0</v>
      </c>
      <c r="DY273" s="774">
        <v>0</v>
      </c>
      <c r="DZ273" s="774">
        <v>0</v>
      </c>
      <c r="EA273" s="774">
        <v>0</v>
      </c>
      <c r="EB273" s="774">
        <v>0</v>
      </c>
      <c r="EC273" s="774">
        <v>0</v>
      </c>
      <c r="ED273" s="774">
        <v>0</v>
      </c>
    </row>
    <row r="274" spans="1:134" ht="15" x14ac:dyDescent="0.25">
      <c r="A274" s="766">
        <v>110</v>
      </c>
      <c r="B274" s="766">
        <v>97</v>
      </c>
      <c r="C274" s="766" t="s">
        <v>3945</v>
      </c>
      <c r="D274" s="2">
        <v>99712</v>
      </c>
      <c r="E274" s="2">
        <v>99709</v>
      </c>
      <c r="F274" s="767" t="s">
        <v>3746</v>
      </c>
      <c r="G274" s="114">
        <v>92</v>
      </c>
      <c r="H274" s="114">
        <v>44</v>
      </c>
      <c r="I274" s="114">
        <v>37</v>
      </c>
      <c r="J274" s="114">
        <v>7</v>
      </c>
      <c r="K274" s="114">
        <v>0</v>
      </c>
      <c r="L274" s="114">
        <v>4</v>
      </c>
      <c r="M274" s="114">
        <v>4</v>
      </c>
      <c r="N274" s="114">
        <v>0</v>
      </c>
      <c r="O274" s="114">
        <v>0</v>
      </c>
      <c r="P274" s="114">
        <v>0</v>
      </c>
      <c r="Q274" s="114">
        <v>4</v>
      </c>
      <c r="R274" s="114">
        <v>0</v>
      </c>
      <c r="S274" s="114">
        <v>1371</v>
      </c>
      <c r="T274" s="114">
        <v>1371</v>
      </c>
      <c r="U274" s="114">
        <v>0</v>
      </c>
      <c r="V274" s="114">
        <v>0</v>
      </c>
      <c r="W274" s="114">
        <v>0</v>
      </c>
      <c r="X274" s="114">
        <v>1371</v>
      </c>
      <c r="Y274" s="114">
        <v>0</v>
      </c>
      <c r="Z274" s="114">
        <v>44</v>
      </c>
      <c r="AA274" s="114">
        <v>0</v>
      </c>
      <c r="AB274" s="657">
        <v>0</v>
      </c>
      <c r="AC274" s="657">
        <v>0</v>
      </c>
      <c r="AD274" s="768">
        <v>44</v>
      </c>
      <c r="AE274" s="769">
        <v>0</v>
      </c>
      <c r="AF274" s="769">
        <v>37</v>
      </c>
      <c r="AG274" s="770">
        <v>37</v>
      </c>
      <c r="AH274" s="769">
        <v>0</v>
      </c>
      <c r="AI274" s="769">
        <v>0</v>
      </c>
      <c r="AJ274" s="769">
        <v>40.001026786412481</v>
      </c>
      <c r="AK274" s="769">
        <v>40.001026786412481</v>
      </c>
      <c r="AL274" s="769">
        <v>0</v>
      </c>
      <c r="AM274" s="769">
        <v>0</v>
      </c>
      <c r="AN274" s="769">
        <v>33.76080208435264</v>
      </c>
      <c r="AO274" s="769">
        <v>33.76080208435264</v>
      </c>
      <c r="AP274" s="769">
        <v>0</v>
      </c>
      <c r="AQ274" s="769">
        <v>0</v>
      </c>
      <c r="AR274" s="769">
        <v>0</v>
      </c>
      <c r="AS274" s="769">
        <v>36.36550327198384</v>
      </c>
      <c r="AT274" s="769">
        <v>38.139972082894822</v>
      </c>
      <c r="AU274" s="769">
        <v>40.001026786412481</v>
      </c>
      <c r="AV274" s="769">
        <v>41.952892374687934</v>
      </c>
      <c r="AW274" s="769">
        <v>44</v>
      </c>
      <c r="AX274" s="769">
        <v>30.805182631860262</v>
      </c>
      <c r="AY274" s="769">
        <v>32.24914997339576</v>
      </c>
      <c r="AZ274" s="769">
        <v>33.76080208435264</v>
      </c>
      <c r="BA274" s="769">
        <v>35.343311632061983</v>
      </c>
      <c r="BB274" s="769">
        <v>37</v>
      </c>
      <c r="BC274" s="769">
        <v>0</v>
      </c>
      <c r="BD274" s="769">
        <v>0</v>
      </c>
      <c r="BE274" s="769">
        <v>0</v>
      </c>
      <c r="BF274" s="769">
        <v>0</v>
      </c>
      <c r="BG274" s="769">
        <v>0</v>
      </c>
      <c r="BH274" s="771">
        <v>44.417155815144326</v>
      </c>
      <c r="BI274" s="771">
        <v>44.838266606972951</v>
      </c>
      <c r="BJ274" s="771">
        <v>45.263369871884095</v>
      </c>
      <c r="BK274" s="772">
        <v>46.784604822407559</v>
      </c>
      <c r="BL274" s="772">
        <v>48.305839772931016</v>
      </c>
      <c r="BM274" s="772">
        <v>49.82707472345448</v>
      </c>
      <c r="BN274" s="772">
        <v>51.348309673977944</v>
      </c>
      <c r="BO274" s="772">
        <v>53.147070227972236</v>
      </c>
      <c r="BP274" s="772">
        <v>54.945830781966521</v>
      </c>
      <c r="BQ274" s="772">
        <v>59.932511413615408</v>
      </c>
      <c r="BR274" s="772">
        <v>65.873800062181374</v>
      </c>
      <c r="BS274" s="772">
        <v>68.482502935553086</v>
      </c>
      <c r="BT274" s="772">
        <v>69.915087985477342</v>
      </c>
      <c r="BU274" s="772">
        <v>71.398664974237903</v>
      </c>
      <c r="BV274" s="772">
        <v>72.91793632018387</v>
      </c>
      <c r="BW274" s="771">
        <v>37.350790117280454</v>
      </c>
      <c r="BX274" s="771">
        <v>37.704906010409069</v>
      </c>
      <c r="BY274" s="771">
        <v>38.062379210447986</v>
      </c>
      <c r="BZ274" s="772">
        <v>39.341599509751809</v>
      </c>
      <c r="CA274" s="772">
        <v>40.620819809055625</v>
      </c>
      <c r="CB274" s="772">
        <v>41.900040108359448</v>
      </c>
      <c r="CC274" s="772">
        <v>43.179260407663264</v>
      </c>
      <c r="CD274" s="772">
        <v>44.691854509885736</v>
      </c>
      <c r="CE274" s="772">
        <v>46.204448612108209</v>
      </c>
      <c r="CF274" s="772">
        <v>50.397793688722047</v>
      </c>
      <c r="CG274" s="772">
        <v>55.393877325016156</v>
      </c>
      <c r="CH274" s="772">
        <v>57.587559286715098</v>
      </c>
      <c r="CI274" s="772">
        <v>58.79223307869686</v>
      </c>
      <c r="CJ274" s="772">
        <v>60.039786455609146</v>
      </c>
      <c r="CK274" s="772">
        <v>61.317355541972795</v>
      </c>
      <c r="CL274" s="771">
        <v>0</v>
      </c>
      <c r="CM274" s="771">
        <v>0</v>
      </c>
      <c r="CN274" s="771">
        <v>0</v>
      </c>
      <c r="CO274" s="772">
        <v>0</v>
      </c>
      <c r="CP274" s="772">
        <v>0</v>
      </c>
      <c r="CQ274" s="772">
        <v>0</v>
      </c>
      <c r="CR274" s="772">
        <v>0</v>
      </c>
      <c r="CS274" s="772">
        <v>0</v>
      </c>
      <c r="CT274" s="772">
        <v>0</v>
      </c>
      <c r="CU274" s="772">
        <v>0</v>
      </c>
      <c r="CV274" s="772">
        <v>0</v>
      </c>
      <c r="CW274" s="772">
        <v>0</v>
      </c>
      <c r="CX274" s="772">
        <v>0</v>
      </c>
      <c r="CY274" s="772">
        <v>0</v>
      </c>
      <c r="CZ274" s="772">
        <v>0</v>
      </c>
      <c r="DA274" s="773">
        <v>0</v>
      </c>
      <c r="DB274" s="773">
        <v>0</v>
      </c>
      <c r="DC274" s="773">
        <v>0</v>
      </c>
      <c r="DD274" s="774">
        <v>0</v>
      </c>
      <c r="DE274" s="774">
        <v>0</v>
      </c>
      <c r="DF274" s="774">
        <v>0</v>
      </c>
      <c r="DG274" s="774">
        <v>0</v>
      </c>
      <c r="DH274" s="774">
        <v>0</v>
      </c>
      <c r="DI274" s="774">
        <v>0</v>
      </c>
      <c r="DJ274" s="774">
        <v>0</v>
      </c>
      <c r="DK274" s="774">
        <v>0</v>
      </c>
      <c r="DL274" s="774">
        <v>0</v>
      </c>
      <c r="DM274" s="774">
        <v>0</v>
      </c>
      <c r="DN274" s="774">
        <v>0</v>
      </c>
      <c r="DO274" s="774">
        <v>0</v>
      </c>
      <c r="DP274" s="773">
        <v>0</v>
      </c>
      <c r="DQ274" s="773">
        <v>0</v>
      </c>
      <c r="DR274" s="773">
        <v>0</v>
      </c>
      <c r="DS274" s="774">
        <v>0</v>
      </c>
      <c r="DT274" s="774">
        <v>0</v>
      </c>
      <c r="DU274" s="774">
        <v>0</v>
      </c>
      <c r="DV274" s="774">
        <v>0</v>
      </c>
      <c r="DW274" s="774">
        <v>0</v>
      </c>
      <c r="DX274" s="774">
        <v>0</v>
      </c>
      <c r="DY274" s="774">
        <v>0</v>
      </c>
      <c r="DZ274" s="774">
        <v>0</v>
      </c>
      <c r="EA274" s="774">
        <v>0</v>
      </c>
      <c r="EB274" s="774">
        <v>0</v>
      </c>
      <c r="EC274" s="774">
        <v>0</v>
      </c>
      <c r="ED274" s="774">
        <v>0</v>
      </c>
    </row>
    <row r="275" spans="1:134" ht="15" x14ac:dyDescent="0.25">
      <c r="A275" s="766">
        <v>111</v>
      </c>
      <c r="B275" s="766">
        <v>97</v>
      </c>
      <c r="C275" s="766" t="s">
        <v>3946</v>
      </c>
      <c r="D275" s="2">
        <v>99712</v>
      </c>
      <c r="E275" s="2">
        <v>99712</v>
      </c>
      <c r="F275" s="767" t="s">
        <v>3746</v>
      </c>
      <c r="G275" s="114">
        <v>50</v>
      </c>
      <c r="H275" s="114">
        <v>25</v>
      </c>
      <c r="I275" s="114">
        <v>25</v>
      </c>
      <c r="J275" s="114">
        <v>0</v>
      </c>
      <c r="K275" s="114">
        <v>0</v>
      </c>
      <c r="L275" s="114">
        <v>16</v>
      </c>
      <c r="M275" s="114">
        <v>16</v>
      </c>
      <c r="N275" s="114">
        <v>5</v>
      </c>
      <c r="O275" s="114">
        <v>0</v>
      </c>
      <c r="P275" s="114">
        <v>0</v>
      </c>
      <c r="Q275" s="114">
        <v>21</v>
      </c>
      <c r="R275" s="114">
        <v>0</v>
      </c>
      <c r="S275" s="114">
        <v>2734.8125</v>
      </c>
      <c r="T275" s="114">
        <v>2734.8125</v>
      </c>
      <c r="U275" s="114">
        <v>3248.8</v>
      </c>
      <c r="V275" s="114">
        <v>0</v>
      </c>
      <c r="W275" s="114">
        <v>0</v>
      </c>
      <c r="X275" s="114">
        <v>2857.1904761904761</v>
      </c>
      <c r="Y275" s="114">
        <v>0</v>
      </c>
      <c r="Z275" s="114">
        <v>25</v>
      </c>
      <c r="AA275" s="114">
        <v>0</v>
      </c>
      <c r="AB275" s="657">
        <v>5</v>
      </c>
      <c r="AC275" s="657">
        <v>0</v>
      </c>
      <c r="AD275" s="768">
        <v>30</v>
      </c>
      <c r="AE275" s="769">
        <v>0</v>
      </c>
      <c r="AF275" s="769">
        <v>25</v>
      </c>
      <c r="AG275" s="770">
        <v>25</v>
      </c>
      <c r="AH275" s="769">
        <v>0</v>
      </c>
      <c r="AI275" s="769">
        <v>0</v>
      </c>
      <c r="AJ275" s="769">
        <v>22.727856128643456</v>
      </c>
      <c r="AK275" s="769">
        <v>22.727856128643456</v>
      </c>
      <c r="AL275" s="769">
        <v>0</v>
      </c>
      <c r="AM275" s="769">
        <v>0</v>
      </c>
      <c r="AN275" s="769">
        <v>22.81135275969773</v>
      </c>
      <c r="AO275" s="769">
        <v>22.81135275969773</v>
      </c>
      <c r="AP275" s="769">
        <v>0</v>
      </c>
      <c r="AQ275" s="769">
        <v>4.6492067540691933</v>
      </c>
      <c r="AR275" s="769">
        <v>0</v>
      </c>
      <c r="AS275" s="769">
        <v>20.662217768172635</v>
      </c>
      <c r="AT275" s="769">
        <v>21.670438683462969</v>
      </c>
      <c r="AU275" s="769">
        <v>22.727856128643456</v>
      </c>
      <c r="AV275" s="769">
        <v>23.83687066743633</v>
      </c>
      <c r="AW275" s="769">
        <v>25</v>
      </c>
      <c r="AX275" s="769">
        <v>20.814312589094772</v>
      </c>
      <c r="AY275" s="769">
        <v>21.789966198240379</v>
      </c>
      <c r="AZ275" s="769">
        <v>22.81135275969773</v>
      </c>
      <c r="BA275" s="769">
        <v>23.880615967609447</v>
      </c>
      <c r="BB275" s="769">
        <v>25</v>
      </c>
      <c r="BC275" s="769">
        <v>4.3230246884165213</v>
      </c>
      <c r="BD275" s="769">
        <v>4.483150184791266</v>
      </c>
      <c r="BE275" s="769">
        <v>4.6492067540691933</v>
      </c>
      <c r="BF275" s="769">
        <v>4.8214140840987687</v>
      </c>
      <c r="BG275" s="769">
        <v>5</v>
      </c>
      <c r="BH275" s="771">
        <v>25.499628449191182</v>
      </c>
      <c r="BI275" s="771">
        <v>26.00924204187201</v>
      </c>
      <c r="BJ275" s="771">
        <v>26.529040332512754</v>
      </c>
      <c r="BK275" s="772">
        <v>26.805091774349798</v>
      </c>
      <c r="BL275" s="772">
        <v>27.081143216186842</v>
      </c>
      <c r="BM275" s="772">
        <v>27.357194658023882</v>
      </c>
      <c r="BN275" s="772">
        <v>27.633246099860926</v>
      </c>
      <c r="BO275" s="772">
        <v>27.959658824127388</v>
      </c>
      <c r="BP275" s="772">
        <v>28.286071548393849</v>
      </c>
      <c r="BQ275" s="772">
        <v>29.190981324410931</v>
      </c>
      <c r="BR275" s="772">
        <v>30.269119384046178</v>
      </c>
      <c r="BS275" s="772">
        <v>30.742508579627636</v>
      </c>
      <c r="BT275" s="772">
        <v>31.002473135694213</v>
      </c>
      <c r="BU275" s="772">
        <v>31.271690962094191</v>
      </c>
      <c r="BV275" s="772">
        <v>31.547386077727566</v>
      </c>
      <c r="BW275" s="771">
        <v>25.499628449191182</v>
      </c>
      <c r="BX275" s="771">
        <v>26.00924204187201</v>
      </c>
      <c r="BY275" s="771">
        <v>26.529040332512754</v>
      </c>
      <c r="BZ275" s="772">
        <v>26.805091774349798</v>
      </c>
      <c r="CA275" s="772">
        <v>27.081143216186842</v>
      </c>
      <c r="CB275" s="772">
        <v>27.357194658023882</v>
      </c>
      <c r="CC275" s="772">
        <v>27.633246099860926</v>
      </c>
      <c r="CD275" s="772">
        <v>27.959658824127388</v>
      </c>
      <c r="CE275" s="772">
        <v>28.286071548393849</v>
      </c>
      <c r="CF275" s="772">
        <v>29.190981324410931</v>
      </c>
      <c r="CG275" s="772">
        <v>30.269119384046178</v>
      </c>
      <c r="CH275" s="772">
        <v>30.742508579627636</v>
      </c>
      <c r="CI275" s="772">
        <v>31.002473135694213</v>
      </c>
      <c r="CJ275" s="772">
        <v>31.271690962094191</v>
      </c>
      <c r="CK275" s="772">
        <v>31.547386077727566</v>
      </c>
      <c r="CL275" s="771">
        <v>5.0999256898382361</v>
      </c>
      <c r="CM275" s="771">
        <v>5.2018484083744019</v>
      </c>
      <c r="CN275" s="771">
        <v>5.3058080665025509</v>
      </c>
      <c r="CO275" s="772">
        <v>5.3610183548699597</v>
      </c>
      <c r="CP275" s="772">
        <v>5.4162286432373685</v>
      </c>
      <c r="CQ275" s="772">
        <v>5.4714389316047765</v>
      </c>
      <c r="CR275" s="772">
        <v>5.5266492199721853</v>
      </c>
      <c r="CS275" s="772">
        <v>5.5919317648254774</v>
      </c>
      <c r="CT275" s="772">
        <v>5.6572143096787704</v>
      </c>
      <c r="CU275" s="772">
        <v>5.8381962648821863</v>
      </c>
      <c r="CV275" s="772">
        <v>6.0538238768092363</v>
      </c>
      <c r="CW275" s="772">
        <v>6.1485017159255273</v>
      </c>
      <c r="CX275" s="772">
        <v>6.200494627138843</v>
      </c>
      <c r="CY275" s="772">
        <v>6.2543381924188379</v>
      </c>
      <c r="CZ275" s="772">
        <v>6.3094772155455141</v>
      </c>
      <c r="DA275" s="773">
        <v>0</v>
      </c>
      <c r="DB275" s="773">
        <v>0</v>
      </c>
      <c r="DC275" s="773">
        <v>0</v>
      </c>
      <c r="DD275" s="774">
        <v>0</v>
      </c>
      <c r="DE275" s="774">
        <v>0</v>
      </c>
      <c r="DF275" s="774">
        <v>0</v>
      </c>
      <c r="DG275" s="774">
        <v>0</v>
      </c>
      <c r="DH275" s="774">
        <v>0</v>
      </c>
      <c r="DI275" s="774">
        <v>0</v>
      </c>
      <c r="DJ275" s="774">
        <v>0</v>
      </c>
      <c r="DK275" s="774">
        <v>0</v>
      </c>
      <c r="DL275" s="774">
        <v>0</v>
      </c>
      <c r="DM275" s="774">
        <v>0</v>
      </c>
      <c r="DN275" s="774">
        <v>0</v>
      </c>
      <c r="DO275" s="774">
        <v>0</v>
      </c>
      <c r="DP275" s="773">
        <v>0</v>
      </c>
      <c r="DQ275" s="773">
        <v>0</v>
      </c>
      <c r="DR275" s="773">
        <v>0</v>
      </c>
      <c r="DS275" s="774">
        <v>0</v>
      </c>
      <c r="DT275" s="774">
        <v>0</v>
      </c>
      <c r="DU275" s="774">
        <v>0</v>
      </c>
      <c r="DV275" s="774">
        <v>0</v>
      </c>
      <c r="DW275" s="774">
        <v>0</v>
      </c>
      <c r="DX275" s="774">
        <v>0</v>
      </c>
      <c r="DY275" s="774">
        <v>0</v>
      </c>
      <c r="DZ275" s="774">
        <v>0</v>
      </c>
      <c r="EA275" s="774">
        <v>0</v>
      </c>
      <c r="EB275" s="774">
        <v>0</v>
      </c>
      <c r="EC275" s="774">
        <v>0</v>
      </c>
      <c r="ED275" s="774">
        <v>0</v>
      </c>
    </row>
    <row r="276" spans="1:134" ht="15" x14ac:dyDescent="0.25">
      <c r="A276" s="766">
        <v>112</v>
      </c>
      <c r="B276" s="766">
        <v>97</v>
      </c>
      <c r="C276" s="766" t="s">
        <v>3947</v>
      </c>
      <c r="D276" s="2">
        <v>99712</v>
      </c>
      <c r="E276" s="2">
        <v>99712</v>
      </c>
      <c r="F276" s="767" t="s">
        <v>3746</v>
      </c>
      <c r="G276" s="114">
        <v>464</v>
      </c>
      <c r="H276" s="114">
        <v>161</v>
      </c>
      <c r="I276" s="114">
        <v>156</v>
      </c>
      <c r="J276" s="114">
        <v>5</v>
      </c>
      <c r="K276" s="114">
        <v>2</v>
      </c>
      <c r="L276" s="114">
        <v>118</v>
      </c>
      <c r="M276" s="114">
        <v>120</v>
      </c>
      <c r="N276" s="114">
        <v>2</v>
      </c>
      <c r="O276" s="114">
        <v>0</v>
      </c>
      <c r="P276" s="114">
        <v>0</v>
      </c>
      <c r="Q276" s="114">
        <v>122</v>
      </c>
      <c r="R276" s="114">
        <v>3845</v>
      </c>
      <c r="S276" s="114">
        <v>3305.0169491525426</v>
      </c>
      <c r="T276" s="114">
        <v>3314.0166666666669</v>
      </c>
      <c r="U276" s="114">
        <v>5506</v>
      </c>
      <c r="V276" s="114">
        <v>0</v>
      </c>
      <c r="W276" s="114">
        <v>0</v>
      </c>
      <c r="X276" s="114">
        <v>3349.9508196721313</v>
      </c>
      <c r="Y276" s="114">
        <v>2.6833333333333331</v>
      </c>
      <c r="Z276" s="114">
        <v>158.31666666666666</v>
      </c>
      <c r="AA276" s="114">
        <v>0</v>
      </c>
      <c r="AB276" s="657">
        <v>2</v>
      </c>
      <c r="AC276" s="657">
        <v>0</v>
      </c>
      <c r="AD276" s="768">
        <v>163</v>
      </c>
      <c r="AE276" s="769">
        <v>2.5999999999999996</v>
      </c>
      <c r="AF276" s="769">
        <v>153.39999999999998</v>
      </c>
      <c r="AG276" s="770">
        <v>155.99999999999997</v>
      </c>
      <c r="AH276" s="769">
        <v>0</v>
      </c>
      <c r="AI276" s="769">
        <v>2.4394565578077305</v>
      </c>
      <c r="AJ276" s="769">
        <v>143.92793691065611</v>
      </c>
      <c r="AK276" s="769">
        <v>146.36739346846383</v>
      </c>
      <c r="AL276" s="769">
        <v>0</v>
      </c>
      <c r="AM276" s="769">
        <v>2.3723806870085635</v>
      </c>
      <c r="AN276" s="769">
        <v>139.97046053350525</v>
      </c>
      <c r="AO276" s="769">
        <v>142.3428412205138</v>
      </c>
      <c r="AP276" s="769">
        <v>0</v>
      </c>
      <c r="AQ276" s="769">
        <v>1.8596827016276773</v>
      </c>
      <c r="AR276" s="769">
        <v>0</v>
      </c>
      <c r="AS276" s="769">
        <v>133.06468242703178</v>
      </c>
      <c r="AT276" s="769">
        <v>139.55762512150153</v>
      </c>
      <c r="AU276" s="769">
        <v>146.36739346846386</v>
      </c>
      <c r="AV276" s="769">
        <v>153.50944709828997</v>
      </c>
      <c r="AW276" s="769">
        <v>161</v>
      </c>
      <c r="AX276" s="769">
        <v>129.88131055595136</v>
      </c>
      <c r="AY276" s="769">
        <v>135.96938907701994</v>
      </c>
      <c r="AZ276" s="769">
        <v>142.3428412205138</v>
      </c>
      <c r="BA276" s="769">
        <v>149.01504363788291</v>
      </c>
      <c r="BB276" s="769">
        <v>155.99999999999997</v>
      </c>
      <c r="BC276" s="769">
        <v>1.7292098753666085</v>
      </c>
      <c r="BD276" s="769">
        <v>1.7932600739165065</v>
      </c>
      <c r="BE276" s="769">
        <v>1.8596827016276773</v>
      </c>
      <c r="BF276" s="769">
        <v>1.9285656336395076</v>
      </c>
      <c r="BG276" s="769">
        <v>2</v>
      </c>
      <c r="BH276" s="771">
        <v>162.52455687178593</v>
      </c>
      <c r="BI276" s="771">
        <v>164.06355022590296</v>
      </c>
      <c r="BJ276" s="771">
        <v>165.61711676569487</v>
      </c>
      <c r="BK276" s="772">
        <v>167.63793171523858</v>
      </c>
      <c r="BL276" s="772">
        <v>169.65874666478229</v>
      </c>
      <c r="BM276" s="772">
        <v>171.67956161432599</v>
      </c>
      <c r="BN276" s="772">
        <v>173.70037656386972</v>
      </c>
      <c r="BO276" s="772">
        <v>176.08985770017307</v>
      </c>
      <c r="BP276" s="772">
        <v>178.47933883647644</v>
      </c>
      <c r="BQ276" s="772">
        <v>185.10366650234326</v>
      </c>
      <c r="BR276" s="772">
        <v>192.99609949991873</v>
      </c>
      <c r="BS276" s="772">
        <v>196.46151144277027</v>
      </c>
      <c r="BT276" s="772">
        <v>198.36456348899333</v>
      </c>
      <c r="BU276" s="772">
        <v>200.3353534426785</v>
      </c>
      <c r="BV276" s="772">
        <v>202.35355993158714</v>
      </c>
      <c r="BW276" s="771">
        <v>157.47721038508448</v>
      </c>
      <c r="BX276" s="771">
        <v>158.96840891453948</v>
      </c>
      <c r="BY276" s="771">
        <v>160.47372804626332</v>
      </c>
      <c r="BZ276" s="772">
        <v>162.43178476756032</v>
      </c>
      <c r="CA276" s="772">
        <v>164.38984148885734</v>
      </c>
      <c r="CB276" s="772">
        <v>166.34789821015434</v>
      </c>
      <c r="CC276" s="772">
        <v>168.30595493145137</v>
      </c>
      <c r="CD276" s="772">
        <v>170.62122857904964</v>
      </c>
      <c r="CE276" s="772">
        <v>172.93650222664795</v>
      </c>
      <c r="CF276" s="772">
        <v>179.35510543084189</v>
      </c>
      <c r="CG276" s="772">
        <v>187.00243181358582</v>
      </c>
      <c r="CH276" s="772">
        <v>190.36022226752891</v>
      </c>
      <c r="CI276" s="772">
        <v>192.20417331852767</v>
      </c>
      <c r="CJ276" s="772">
        <v>194.11375861526608</v>
      </c>
      <c r="CK276" s="772">
        <v>196.06928788402226</v>
      </c>
      <c r="CL276" s="771">
        <v>2.0189385946805705</v>
      </c>
      <c r="CM276" s="771">
        <v>2.0380565245453783</v>
      </c>
      <c r="CN276" s="771">
        <v>2.057355487772607</v>
      </c>
      <c r="CO276" s="772">
        <v>2.0824587790712865</v>
      </c>
      <c r="CP276" s="772">
        <v>2.1075620703699665</v>
      </c>
      <c r="CQ276" s="772">
        <v>2.132665361668646</v>
      </c>
      <c r="CR276" s="772">
        <v>2.1577686529673255</v>
      </c>
      <c r="CS276" s="772">
        <v>2.1874516484493549</v>
      </c>
      <c r="CT276" s="772">
        <v>2.2171346439313844</v>
      </c>
      <c r="CU276" s="772">
        <v>2.2994244286005374</v>
      </c>
      <c r="CV276" s="772">
        <v>2.3974670745331519</v>
      </c>
      <c r="CW276" s="772">
        <v>2.4405156700965249</v>
      </c>
      <c r="CX276" s="772">
        <v>2.4641560681862527</v>
      </c>
      <c r="CY276" s="772">
        <v>2.4886379309649502</v>
      </c>
      <c r="CZ276" s="772">
        <v>2.5137088190259269</v>
      </c>
      <c r="DA276" s="773">
        <v>0</v>
      </c>
      <c r="DB276" s="773">
        <v>0</v>
      </c>
      <c r="DC276" s="773">
        <v>0</v>
      </c>
      <c r="DD276" s="774">
        <v>0</v>
      </c>
      <c r="DE276" s="774">
        <v>0</v>
      </c>
      <c r="DF276" s="774">
        <v>0</v>
      </c>
      <c r="DG276" s="774">
        <v>0</v>
      </c>
      <c r="DH276" s="774">
        <v>0</v>
      </c>
      <c r="DI276" s="774">
        <v>0</v>
      </c>
      <c r="DJ276" s="774">
        <v>0</v>
      </c>
      <c r="DK276" s="774">
        <v>0</v>
      </c>
      <c r="DL276" s="774">
        <v>0</v>
      </c>
      <c r="DM276" s="774">
        <v>0</v>
      </c>
      <c r="DN276" s="774">
        <v>0</v>
      </c>
      <c r="DO276" s="774">
        <v>0</v>
      </c>
      <c r="DP276" s="773">
        <v>0</v>
      </c>
      <c r="DQ276" s="773">
        <v>0</v>
      </c>
      <c r="DR276" s="773">
        <v>0</v>
      </c>
      <c r="DS276" s="774">
        <v>0</v>
      </c>
      <c r="DT276" s="774">
        <v>0</v>
      </c>
      <c r="DU276" s="774">
        <v>0</v>
      </c>
      <c r="DV276" s="774">
        <v>0</v>
      </c>
      <c r="DW276" s="774">
        <v>0</v>
      </c>
      <c r="DX276" s="774">
        <v>0</v>
      </c>
      <c r="DY276" s="774">
        <v>0</v>
      </c>
      <c r="DZ276" s="774">
        <v>0</v>
      </c>
      <c r="EA276" s="774">
        <v>0</v>
      </c>
      <c r="EB276" s="774">
        <v>0</v>
      </c>
      <c r="EC276" s="774">
        <v>0</v>
      </c>
      <c r="ED276" s="774">
        <v>0</v>
      </c>
    </row>
    <row r="277" spans="1:134" ht="15" x14ac:dyDescent="0.25">
      <c r="A277" s="766">
        <v>113</v>
      </c>
      <c r="B277" s="766">
        <v>97</v>
      </c>
      <c r="C277" s="766" t="s">
        <v>3948</v>
      </c>
      <c r="D277" s="2">
        <v>99712</v>
      </c>
      <c r="E277" s="2">
        <v>99712</v>
      </c>
      <c r="F277" s="767" t="s">
        <v>3746</v>
      </c>
      <c r="G277" s="114">
        <v>225</v>
      </c>
      <c r="H277" s="114">
        <v>94</v>
      </c>
      <c r="I277" s="114">
        <v>87</v>
      </c>
      <c r="J277" s="114">
        <v>7</v>
      </c>
      <c r="K277" s="114">
        <v>0</v>
      </c>
      <c r="L277" s="114">
        <v>49</v>
      </c>
      <c r="M277" s="114">
        <v>49</v>
      </c>
      <c r="N277" s="114">
        <v>0</v>
      </c>
      <c r="O277" s="114">
        <v>0</v>
      </c>
      <c r="P277" s="114">
        <v>0</v>
      </c>
      <c r="Q277" s="114">
        <v>49</v>
      </c>
      <c r="R277" s="114">
        <v>0</v>
      </c>
      <c r="S277" s="114">
        <v>2875.0204081632655</v>
      </c>
      <c r="T277" s="114">
        <v>2875.0204081632655</v>
      </c>
      <c r="U277" s="114">
        <v>0</v>
      </c>
      <c r="V277" s="114">
        <v>0</v>
      </c>
      <c r="W277" s="114">
        <v>0</v>
      </c>
      <c r="X277" s="114">
        <v>2875.0204081632655</v>
      </c>
      <c r="Y277" s="114">
        <v>0</v>
      </c>
      <c r="Z277" s="114">
        <v>94</v>
      </c>
      <c r="AA277" s="114">
        <v>0</v>
      </c>
      <c r="AB277" s="657">
        <v>0</v>
      </c>
      <c r="AC277" s="657">
        <v>0</v>
      </c>
      <c r="AD277" s="768">
        <v>94</v>
      </c>
      <c r="AE277" s="769">
        <v>0</v>
      </c>
      <c r="AF277" s="769">
        <v>87</v>
      </c>
      <c r="AG277" s="770">
        <v>87</v>
      </c>
      <c r="AH277" s="769">
        <v>0</v>
      </c>
      <c r="AI277" s="769">
        <v>0</v>
      </c>
      <c r="AJ277" s="769">
        <v>85.456739043699386</v>
      </c>
      <c r="AK277" s="769">
        <v>85.456739043699386</v>
      </c>
      <c r="AL277" s="769">
        <v>0</v>
      </c>
      <c r="AM277" s="769">
        <v>0</v>
      </c>
      <c r="AN277" s="769">
        <v>79.3835076037481</v>
      </c>
      <c r="AO277" s="769">
        <v>79.3835076037481</v>
      </c>
      <c r="AP277" s="769">
        <v>0</v>
      </c>
      <c r="AQ277" s="769">
        <v>0</v>
      </c>
      <c r="AR277" s="769">
        <v>0</v>
      </c>
      <c r="AS277" s="769">
        <v>77.689938808329103</v>
      </c>
      <c r="AT277" s="769">
        <v>81.480849449820766</v>
      </c>
      <c r="AU277" s="769">
        <v>85.456739043699386</v>
      </c>
      <c r="AV277" s="769">
        <v>89.626633709560593</v>
      </c>
      <c r="AW277" s="769">
        <v>94</v>
      </c>
      <c r="AX277" s="769">
        <v>72.4338078100498</v>
      </c>
      <c r="AY277" s="769">
        <v>75.829082369876517</v>
      </c>
      <c r="AZ277" s="769">
        <v>79.3835076037481</v>
      </c>
      <c r="BA277" s="769">
        <v>83.104543567280871</v>
      </c>
      <c r="BB277" s="769">
        <v>87</v>
      </c>
      <c r="BC277" s="769">
        <v>0</v>
      </c>
      <c r="BD277" s="769">
        <v>0</v>
      </c>
      <c r="BE277" s="769">
        <v>0</v>
      </c>
      <c r="BF277" s="769">
        <v>0</v>
      </c>
      <c r="BG277" s="769">
        <v>0</v>
      </c>
      <c r="BH277" s="771">
        <v>94.890113949986812</v>
      </c>
      <c r="BI277" s="771">
        <v>95.788656653632785</v>
      </c>
      <c r="BJ277" s="771">
        <v>96.695707925312533</v>
      </c>
      <c r="BK277" s="772">
        <v>97.875562616350479</v>
      </c>
      <c r="BL277" s="772">
        <v>99.055417307388424</v>
      </c>
      <c r="BM277" s="772">
        <v>100.23527199842636</v>
      </c>
      <c r="BN277" s="772">
        <v>101.4151266894643</v>
      </c>
      <c r="BO277" s="772">
        <v>102.81022747711968</v>
      </c>
      <c r="BP277" s="772">
        <v>104.20532826477506</v>
      </c>
      <c r="BQ277" s="772">
        <v>108.07294814422526</v>
      </c>
      <c r="BR277" s="772">
        <v>112.68095250305814</v>
      </c>
      <c r="BS277" s="772">
        <v>114.70423649453667</v>
      </c>
      <c r="BT277" s="772">
        <v>115.81533520475386</v>
      </c>
      <c r="BU277" s="772">
        <v>116.96598275535267</v>
      </c>
      <c r="BV277" s="772">
        <v>118.14431449421858</v>
      </c>
      <c r="BW277" s="771">
        <v>87.823828868604821</v>
      </c>
      <c r="BX277" s="771">
        <v>88.655458817723954</v>
      </c>
      <c r="BY277" s="771">
        <v>89.494963718108409</v>
      </c>
      <c r="BZ277" s="772">
        <v>90.58695688960097</v>
      </c>
      <c r="CA277" s="772">
        <v>91.678950061093531</v>
      </c>
      <c r="CB277" s="772">
        <v>92.770943232586106</v>
      </c>
      <c r="CC277" s="772">
        <v>93.862936404078667</v>
      </c>
      <c r="CD277" s="772">
        <v>95.154146707546943</v>
      </c>
      <c r="CE277" s="772">
        <v>96.445357011015219</v>
      </c>
      <c r="CF277" s="772">
        <v>100.02496264412338</v>
      </c>
      <c r="CG277" s="772">
        <v>104.2898177421921</v>
      </c>
      <c r="CH277" s="772">
        <v>106.16243164919884</v>
      </c>
      <c r="CI277" s="772">
        <v>107.19078896610199</v>
      </c>
      <c r="CJ277" s="772">
        <v>108.25574999697534</v>
      </c>
      <c r="CK277" s="772">
        <v>109.34633362762783</v>
      </c>
      <c r="CL277" s="771">
        <v>0</v>
      </c>
      <c r="CM277" s="771">
        <v>0</v>
      </c>
      <c r="CN277" s="771">
        <v>0</v>
      </c>
      <c r="CO277" s="772">
        <v>0</v>
      </c>
      <c r="CP277" s="772">
        <v>0</v>
      </c>
      <c r="CQ277" s="772">
        <v>0</v>
      </c>
      <c r="CR277" s="772">
        <v>0</v>
      </c>
      <c r="CS277" s="772">
        <v>0</v>
      </c>
      <c r="CT277" s="772">
        <v>0</v>
      </c>
      <c r="CU277" s="772">
        <v>0</v>
      </c>
      <c r="CV277" s="772">
        <v>0</v>
      </c>
      <c r="CW277" s="772">
        <v>0</v>
      </c>
      <c r="CX277" s="772">
        <v>0</v>
      </c>
      <c r="CY277" s="772">
        <v>0</v>
      </c>
      <c r="CZ277" s="772">
        <v>0</v>
      </c>
      <c r="DA277" s="773">
        <v>0</v>
      </c>
      <c r="DB277" s="773">
        <v>0</v>
      </c>
      <c r="DC277" s="773">
        <v>0</v>
      </c>
      <c r="DD277" s="774">
        <v>0</v>
      </c>
      <c r="DE277" s="774">
        <v>0</v>
      </c>
      <c r="DF277" s="774">
        <v>0</v>
      </c>
      <c r="DG277" s="774">
        <v>0</v>
      </c>
      <c r="DH277" s="774">
        <v>0</v>
      </c>
      <c r="DI277" s="774">
        <v>0</v>
      </c>
      <c r="DJ277" s="774">
        <v>0</v>
      </c>
      <c r="DK277" s="774">
        <v>0</v>
      </c>
      <c r="DL277" s="774">
        <v>0</v>
      </c>
      <c r="DM277" s="774">
        <v>0</v>
      </c>
      <c r="DN277" s="774">
        <v>0</v>
      </c>
      <c r="DO277" s="774">
        <v>0</v>
      </c>
      <c r="DP277" s="773">
        <v>0</v>
      </c>
      <c r="DQ277" s="773">
        <v>0</v>
      </c>
      <c r="DR277" s="773">
        <v>0</v>
      </c>
      <c r="DS277" s="774">
        <v>0</v>
      </c>
      <c r="DT277" s="774">
        <v>0</v>
      </c>
      <c r="DU277" s="774">
        <v>0</v>
      </c>
      <c r="DV277" s="774">
        <v>0</v>
      </c>
      <c r="DW277" s="774">
        <v>0</v>
      </c>
      <c r="DX277" s="774">
        <v>0</v>
      </c>
      <c r="DY277" s="774">
        <v>0</v>
      </c>
      <c r="DZ277" s="774">
        <v>0</v>
      </c>
      <c r="EA277" s="774">
        <v>0</v>
      </c>
      <c r="EB277" s="774">
        <v>0</v>
      </c>
      <c r="EC277" s="774">
        <v>0</v>
      </c>
      <c r="ED277" s="774">
        <v>0</v>
      </c>
    </row>
    <row r="278" spans="1:134" ht="15" x14ac:dyDescent="0.25">
      <c r="A278" s="766">
        <v>114</v>
      </c>
      <c r="B278" s="766">
        <v>97</v>
      </c>
      <c r="C278" s="766" t="s">
        <v>3949</v>
      </c>
      <c r="D278" s="2">
        <v>99712</v>
      </c>
      <c r="E278" s="2">
        <v>99712</v>
      </c>
      <c r="F278" s="767" t="s">
        <v>3746</v>
      </c>
      <c r="G278" s="114">
        <v>201</v>
      </c>
      <c r="H278" s="114">
        <v>83</v>
      </c>
      <c r="I278" s="114">
        <v>74</v>
      </c>
      <c r="J278" s="114">
        <v>9</v>
      </c>
      <c r="K278" s="114">
        <v>0</v>
      </c>
      <c r="L278" s="114">
        <v>41</v>
      </c>
      <c r="M278" s="114">
        <v>41</v>
      </c>
      <c r="N278" s="114">
        <v>0</v>
      </c>
      <c r="O278" s="114">
        <v>0</v>
      </c>
      <c r="P278" s="114">
        <v>0</v>
      </c>
      <c r="Q278" s="114">
        <v>41</v>
      </c>
      <c r="R278" s="114">
        <v>0</v>
      </c>
      <c r="S278" s="114">
        <v>2094.1707317073169</v>
      </c>
      <c r="T278" s="114">
        <v>2094.1707317073169</v>
      </c>
      <c r="U278" s="114">
        <v>0</v>
      </c>
      <c r="V278" s="114">
        <v>0</v>
      </c>
      <c r="W278" s="114">
        <v>0</v>
      </c>
      <c r="X278" s="114">
        <v>2094.1707317073169</v>
      </c>
      <c r="Y278" s="114">
        <v>0</v>
      </c>
      <c r="Z278" s="114">
        <v>83</v>
      </c>
      <c r="AA278" s="114">
        <v>0</v>
      </c>
      <c r="AB278" s="657">
        <v>0</v>
      </c>
      <c r="AC278" s="657">
        <v>0</v>
      </c>
      <c r="AD278" s="768">
        <v>83</v>
      </c>
      <c r="AE278" s="769">
        <v>0</v>
      </c>
      <c r="AF278" s="769">
        <v>74</v>
      </c>
      <c r="AG278" s="770">
        <v>74</v>
      </c>
      <c r="AH278" s="769">
        <v>0</v>
      </c>
      <c r="AI278" s="769">
        <v>0</v>
      </c>
      <c r="AJ278" s="769">
        <v>75.456482347096269</v>
      </c>
      <c r="AK278" s="769">
        <v>75.456482347096269</v>
      </c>
      <c r="AL278" s="769">
        <v>0</v>
      </c>
      <c r="AM278" s="769">
        <v>0</v>
      </c>
      <c r="AN278" s="769">
        <v>67.521604168705281</v>
      </c>
      <c r="AO278" s="769">
        <v>67.521604168705281</v>
      </c>
      <c r="AP278" s="769">
        <v>0</v>
      </c>
      <c r="AQ278" s="769">
        <v>0</v>
      </c>
      <c r="AR278" s="769">
        <v>0</v>
      </c>
      <c r="AS278" s="769">
        <v>68.59856299033315</v>
      </c>
      <c r="AT278" s="769">
        <v>71.945856429097063</v>
      </c>
      <c r="AU278" s="769">
        <v>75.456482347096269</v>
      </c>
      <c r="AV278" s="769">
        <v>79.138410615888603</v>
      </c>
      <c r="AW278" s="769">
        <v>83</v>
      </c>
      <c r="AX278" s="769">
        <v>61.610365263720524</v>
      </c>
      <c r="AY278" s="769">
        <v>64.498299946791519</v>
      </c>
      <c r="AZ278" s="769">
        <v>67.521604168705281</v>
      </c>
      <c r="BA278" s="769">
        <v>70.686623264123966</v>
      </c>
      <c r="BB278" s="769">
        <v>74</v>
      </c>
      <c r="BC278" s="769">
        <v>0</v>
      </c>
      <c r="BD278" s="769">
        <v>0</v>
      </c>
      <c r="BE278" s="769">
        <v>0</v>
      </c>
      <c r="BF278" s="769">
        <v>0</v>
      </c>
      <c r="BG278" s="769">
        <v>0</v>
      </c>
      <c r="BH278" s="771">
        <v>83.785951679243681</v>
      </c>
      <c r="BI278" s="771">
        <v>84.579345768633203</v>
      </c>
      <c r="BJ278" s="771">
        <v>85.380252742563187</v>
      </c>
      <c r="BK278" s="772">
        <v>86.422039331458393</v>
      </c>
      <c r="BL278" s="772">
        <v>87.463825920353599</v>
      </c>
      <c r="BM278" s="772">
        <v>88.505612509248806</v>
      </c>
      <c r="BN278" s="772">
        <v>89.547399098143998</v>
      </c>
      <c r="BO278" s="772">
        <v>90.77924341064822</v>
      </c>
      <c r="BP278" s="772">
        <v>92.011087723152443</v>
      </c>
      <c r="BQ278" s="772">
        <v>95.426113786922301</v>
      </c>
      <c r="BR278" s="772">
        <v>99.494883593125792</v>
      </c>
      <c r="BS278" s="772">
        <v>101.28140030900578</v>
      </c>
      <c r="BT278" s="772">
        <v>102.26247682972948</v>
      </c>
      <c r="BU278" s="772">
        <v>103.27847413504543</v>
      </c>
      <c r="BV278" s="772">
        <v>104.31891598957596</v>
      </c>
      <c r="BW278" s="771">
        <v>74.700728003181112</v>
      </c>
      <c r="BX278" s="771">
        <v>75.408091408179004</v>
      </c>
      <c r="BY278" s="771">
        <v>76.122153047586465</v>
      </c>
      <c r="BZ278" s="772">
        <v>77.05097482563761</v>
      </c>
      <c r="CA278" s="772">
        <v>77.979796603688754</v>
      </c>
      <c r="CB278" s="772">
        <v>78.908618381739899</v>
      </c>
      <c r="CC278" s="772">
        <v>79.837440159791058</v>
      </c>
      <c r="CD278" s="772">
        <v>80.935710992626142</v>
      </c>
      <c r="CE278" s="772">
        <v>82.033981825461225</v>
      </c>
      <c r="CF278" s="772">
        <v>85.078703858219882</v>
      </c>
      <c r="CG278" s="772">
        <v>88.706281757726629</v>
      </c>
      <c r="CH278" s="772">
        <v>90.299079793571423</v>
      </c>
      <c r="CI278" s="772">
        <v>91.17377452289135</v>
      </c>
      <c r="CJ278" s="772">
        <v>92.079603445703171</v>
      </c>
      <c r="CK278" s="772">
        <v>93.0072263039593</v>
      </c>
      <c r="CL278" s="771">
        <v>0</v>
      </c>
      <c r="CM278" s="771">
        <v>0</v>
      </c>
      <c r="CN278" s="771">
        <v>0</v>
      </c>
      <c r="CO278" s="772">
        <v>0</v>
      </c>
      <c r="CP278" s="772">
        <v>0</v>
      </c>
      <c r="CQ278" s="772">
        <v>0</v>
      </c>
      <c r="CR278" s="772">
        <v>0</v>
      </c>
      <c r="CS278" s="772">
        <v>0</v>
      </c>
      <c r="CT278" s="772">
        <v>0</v>
      </c>
      <c r="CU278" s="772">
        <v>0</v>
      </c>
      <c r="CV278" s="772">
        <v>0</v>
      </c>
      <c r="CW278" s="772">
        <v>0</v>
      </c>
      <c r="CX278" s="772">
        <v>0</v>
      </c>
      <c r="CY278" s="772">
        <v>0</v>
      </c>
      <c r="CZ278" s="772">
        <v>0</v>
      </c>
      <c r="DA278" s="773">
        <v>0</v>
      </c>
      <c r="DB278" s="773">
        <v>0</v>
      </c>
      <c r="DC278" s="773">
        <v>0</v>
      </c>
      <c r="DD278" s="774">
        <v>0</v>
      </c>
      <c r="DE278" s="774">
        <v>0</v>
      </c>
      <c r="DF278" s="774">
        <v>0</v>
      </c>
      <c r="DG278" s="774">
        <v>0</v>
      </c>
      <c r="DH278" s="774">
        <v>0</v>
      </c>
      <c r="DI278" s="774">
        <v>0</v>
      </c>
      <c r="DJ278" s="774">
        <v>0</v>
      </c>
      <c r="DK278" s="774">
        <v>0</v>
      </c>
      <c r="DL278" s="774">
        <v>0</v>
      </c>
      <c r="DM278" s="774">
        <v>0</v>
      </c>
      <c r="DN278" s="774">
        <v>0</v>
      </c>
      <c r="DO278" s="774">
        <v>0</v>
      </c>
      <c r="DP278" s="773">
        <v>0</v>
      </c>
      <c r="DQ278" s="773">
        <v>0</v>
      </c>
      <c r="DR278" s="773">
        <v>0</v>
      </c>
      <c r="DS278" s="774">
        <v>0</v>
      </c>
      <c r="DT278" s="774">
        <v>0</v>
      </c>
      <c r="DU278" s="774">
        <v>0</v>
      </c>
      <c r="DV278" s="774">
        <v>0</v>
      </c>
      <c r="DW278" s="774">
        <v>0</v>
      </c>
      <c r="DX278" s="774">
        <v>0</v>
      </c>
      <c r="DY278" s="774">
        <v>0</v>
      </c>
      <c r="DZ278" s="774">
        <v>0</v>
      </c>
      <c r="EA278" s="774">
        <v>0</v>
      </c>
      <c r="EB278" s="774">
        <v>0</v>
      </c>
      <c r="EC278" s="774">
        <v>0</v>
      </c>
      <c r="ED278" s="774">
        <v>0</v>
      </c>
    </row>
    <row r="279" spans="1:134" ht="15" x14ac:dyDescent="0.25">
      <c r="A279" s="766">
        <v>115</v>
      </c>
      <c r="B279" s="766">
        <v>97</v>
      </c>
      <c r="C279" s="766" t="s">
        <v>3950</v>
      </c>
      <c r="D279" s="2">
        <v>99712</v>
      </c>
      <c r="E279" s="2">
        <v>99712</v>
      </c>
      <c r="F279" s="767" t="s">
        <v>3746</v>
      </c>
      <c r="G279" s="114">
        <v>36</v>
      </c>
      <c r="H279" s="114">
        <v>11</v>
      </c>
      <c r="I279" s="114">
        <v>11</v>
      </c>
      <c r="J279" s="114">
        <v>0</v>
      </c>
      <c r="K279" s="114">
        <v>0</v>
      </c>
      <c r="L279" s="114">
        <v>0</v>
      </c>
      <c r="M279" s="114">
        <v>0</v>
      </c>
      <c r="N279" s="114">
        <v>0</v>
      </c>
      <c r="O279" s="114">
        <v>0</v>
      </c>
      <c r="P279" s="114">
        <v>0</v>
      </c>
      <c r="Q279" s="114">
        <v>0</v>
      </c>
      <c r="R279" s="114">
        <v>0</v>
      </c>
      <c r="S279" s="114">
        <v>834.49503068156923</v>
      </c>
      <c r="T279" s="114">
        <v>834.49503068156923</v>
      </c>
      <c r="U279" s="114">
        <v>1408.3846153846155</v>
      </c>
      <c r="V279" s="114">
        <v>0</v>
      </c>
      <c r="W279" s="114">
        <v>0</v>
      </c>
      <c r="X279" s="114">
        <v>1365.173957061457</v>
      </c>
      <c r="Y279" s="114">
        <v>0.25203568953568956</v>
      </c>
      <c r="Z279" s="114">
        <v>10.733671171171171</v>
      </c>
      <c r="AA279" s="114">
        <v>1.4293139293139294E-2</v>
      </c>
      <c r="AB279" s="657">
        <v>0</v>
      </c>
      <c r="AC279" s="657">
        <v>0</v>
      </c>
      <c r="AD279" s="768">
        <v>11</v>
      </c>
      <c r="AE279" s="769">
        <v>0.25203568953568956</v>
      </c>
      <c r="AF279" s="769">
        <v>10.733671171171171</v>
      </c>
      <c r="AG279" s="770">
        <v>10.985706860706861</v>
      </c>
      <c r="AH279" s="769">
        <v>1.4293139293139294E-2</v>
      </c>
      <c r="AI279" s="769">
        <v>0.22912923564202403</v>
      </c>
      <c r="AJ279" s="769">
        <v>9.75813336442185</v>
      </c>
      <c r="AK279" s="769">
        <v>9.9872626000638736</v>
      </c>
      <c r="AL279" s="769">
        <v>1.299409653924522E-2</v>
      </c>
      <c r="AM279" s="769">
        <v>0.22997100088129091</v>
      </c>
      <c r="AN279" s="769">
        <v>9.7939823796873391</v>
      </c>
      <c r="AO279" s="769">
        <v>10.02395338056863</v>
      </c>
      <c r="AP279" s="769">
        <v>1.3041833698371884E-2</v>
      </c>
      <c r="AQ279" s="769">
        <v>0</v>
      </c>
      <c r="AR279" s="769">
        <v>0</v>
      </c>
      <c r="AS279" s="769">
        <v>9.0795626997293333</v>
      </c>
      <c r="AT279" s="769">
        <v>9.52260347677786</v>
      </c>
      <c r="AU279" s="769">
        <v>9.9872626000638753</v>
      </c>
      <c r="AV279" s="769">
        <v>10.474594945161495</v>
      </c>
      <c r="AW279" s="769">
        <v>10.985706860706861</v>
      </c>
      <c r="AX279" s="769">
        <v>9.1463974644366246</v>
      </c>
      <c r="AY279" s="769">
        <v>9.5751272463431967</v>
      </c>
      <c r="AZ279" s="769">
        <v>10.02395338056863</v>
      </c>
      <c r="BA279" s="769">
        <v>10.493817866930916</v>
      </c>
      <c r="BB279" s="769">
        <v>10.985706860706861</v>
      </c>
      <c r="BC279" s="769">
        <v>0</v>
      </c>
      <c r="BD279" s="769">
        <v>0</v>
      </c>
      <c r="BE279" s="769">
        <v>0</v>
      </c>
      <c r="BF279" s="769">
        <v>0</v>
      </c>
      <c r="BG279" s="769">
        <v>0</v>
      </c>
      <c r="BH279" s="771">
        <v>11.089733785464105</v>
      </c>
      <c r="BI279" s="771">
        <v>11.194745772103271</v>
      </c>
      <c r="BJ279" s="771">
        <v>11.30075214846822</v>
      </c>
      <c r="BK279" s="772">
        <v>11.438640848191334</v>
      </c>
      <c r="BL279" s="772">
        <v>11.576529547914447</v>
      </c>
      <c r="BM279" s="772">
        <v>11.714418247637562</v>
      </c>
      <c r="BN279" s="772">
        <v>11.852306947360676</v>
      </c>
      <c r="BO279" s="772">
        <v>12.015351290917305</v>
      </c>
      <c r="BP279" s="772">
        <v>12.178395634473937</v>
      </c>
      <c r="BQ279" s="772">
        <v>12.630401360476938</v>
      </c>
      <c r="BR279" s="772">
        <v>13.168935244508827</v>
      </c>
      <c r="BS279" s="772">
        <v>13.405394870320999</v>
      </c>
      <c r="BT279" s="772">
        <v>13.53524811206308</v>
      </c>
      <c r="BU279" s="772">
        <v>13.669723396008491</v>
      </c>
      <c r="BV279" s="772">
        <v>13.807434109496233</v>
      </c>
      <c r="BW279" s="771">
        <v>11.089733785464105</v>
      </c>
      <c r="BX279" s="771">
        <v>11.194745772103271</v>
      </c>
      <c r="BY279" s="771">
        <v>11.30075214846822</v>
      </c>
      <c r="BZ279" s="772">
        <v>11.438640848191334</v>
      </c>
      <c r="CA279" s="772">
        <v>11.576529547914447</v>
      </c>
      <c r="CB279" s="772">
        <v>11.714418247637562</v>
      </c>
      <c r="CC279" s="772">
        <v>11.852306947360676</v>
      </c>
      <c r="CD279" s="772">
        <v>12.015351290917305</v>
      </c>
      <c r="CE279" s="772">
        <v>12.178395634473937</v>
      </c>
      <c r="CF279" s="772">
        <v>12.630401360476938</v>
      </c>
      <c r="CG279" s="772">
        <v>13.168935244508827</v>
      </c>
      <c r="CH279" s="772">
        <v>13.405394870320999</v>
      </c>
      <c r="CI279" s="772">
        <v>13.53524811206308</v>
      </c>
      <c r="CJ279" s="772">
        <v>13.669723396008491</v>
      </c>
      <c r="CK279" s="772">
        <v>13.807434109496233</v>
      </c>
      <c r="CL279" s="771">
        <v>0</v>
      </c>
      <c r="CM279" s="771">
        <v>0</v>
      </c>
      <c r="CN279" s="771">
        <v>0</v>
      </c>
      <c r="CO279" s="772">
        <v>0</v>
      </c>
      <c r="CP279" s="772">
        <v>0</v>
      </c>
      <c r="CQ279" s="772">
        <v>0</v>
      </c>
      <c r="CR279" s="772">
        <v>0</v>
      </c>
      <c r="CS279" s="772">
        <v>0</v>
      </c>
      <c r="CT279" s="772">
        <v>0</v>
      </c>
      <c r="CU279" s="772">
        <v>0</v>
      </c>
      <c r="CV279" s="772">
        <v>0</v>
      </c>
      <c r="CW279" s="772">
        <v>0</v>
      </c>
      <c r="CX279" s="772">
        <v>0</v>
      </c>
      <c r="CY279" s="772">
        <v>0</v>
      </c>
      <c r="CZ279" s="772">
        <v>0</v>
      </c>
      <c r="DA279" s="773">
        <v>1.4428485279032144E-2</v>
      </c>
      <c r="DB279" s="773">
        <v>1.4565112896309228E-2</v>
      </c>
      <c r="DC279" s="773">
        <v>1.4703034281119205E-2</v>
      </c>
      <c r="DD279" s="774">
        <v>1.4882436700743344E-2</v>
      </c>
      <c r="DE279" s="774">
        <v>1.5061839120367484E-2</v>
      </c>
      <c r="DF279" s="774">
        <v>1.5241241539991623E-2</v>
      </c>
      <c r="DG279" s="774">
        <v>1.5420643959615763E-2</v>
      </c>
      <c r="DH279" s="774">
        <v>1.56327755541469E-2</v>
      </c>
      <c r="DI279" s="774">
        <v>1.5844907148678034E-2</v>
      </c>
      <c r="DJ279" s="774">
        <v>1.6432996826017357E-2</v>
      </c>
      <c r="DK279" s="774">
        <v>1.7133665423508752E-2</v>
      </c>
      <c r="DL279" s="774">
        <v>1.7441315209889407E-2</v>
      </c>
      <c r="DM279" s="774">
        <v>1.7610262961310279E-2</v>
      </c>
      <c r="DN279" s="774">
        <v>1.7785224298736003E-2</v>
      </c>
      <c r="DO279" s="774">
        <v>1.7964395146365126E-2</v>
      </c>
      <c r="DP279" s="773">
        <v>0</v>
      </c>
      <c r="DQ279" s="773">
        <v>0</v>
      </c>
      <c r="DR279" s="773">
        <v>0</v>
      </c>
      <c r="DS279" s="774">
        <v>0</v>
      </c>
      <c r="DT279" s="774">
        <v>0</v>
      </c>
      <c r="DU279" s="774">
        <v>0</v>
      </c>
      <c r="DV279" s="774">
        <v>0</v>
      </c>
      <c r="DW279" s="774">
        <v>0</v>
      </c>
      <c r="DX279" s="774">
        <v>0</v>
      </c>
      <c r="DY279" s="774">
        <v>0</v>
      </c>
      <c r="DZ279" s="774">
        <v>0</v>
      </c>
      <c r="EA279" s="774">
        <v>0</v>
      </c>
      <c r="EB279" s="774">
        <v>0</v>
      </c>
      <c r="EC279" s="774">
        <v>0</v>
      </c>
      <c r="ED279" s="774">
        <v>0</v>
      </c>
    </row>
    <row r="280" spans="1:134" ht="15" x14ac:dyDescent="0.25">
      <c r="A280" s="766">
        <v>116</v>
      </c>
      <c r="B280" s="766">
        <v>97</v>
      </c>
      <c r="C280" s="766" t="s">
        <v>3951</v>
      </c>
      <c r="D280" s="2">
        <v>99712</v>
      </c>
      <c r="E280" s="2">
        <v>99712</v>
      </c>
      <c r="F280" s="767" t="s">
        <v>3746</v>
      </c>
      <c r="G280" s="114">
        <v>120</v>
      </c>
      <c r="H280" s="114">
        <v>40</v>
      </c>
      <c r="I280" s="114">
        <v>39</v>
      </c>
      <c r="J280" s="114">
        <v>1</v>
      </c>
      <c r="K280" s="114">
        <v>0</v>
      </c>
      <c r="L280" s="114">
        <v>0</v>
      </c>
      <c r="M280" s="114">
        <v>0</v>
      </c>
      <c r="N280" s="114">
        <v>0</v>
      </c>
      <c r="O280" s="114">
        <v>0</v>
      </c>
      <c r="P280" s="114">
        <v>0</v>
      </c>
      <c r="Q280" s="114">
        <v>0</v>
      </c>
      <c r="R280" s="114">
        <v>0</v>
      </c>
      <c r="S280" s="114">
        <v>834.49503068156923</v>
      </c>
      <c r="T280" s="114">
        <v>834.49503068156923</v>
      </c>
      <c r="U280" s="114">
        <v>1408.3846153846155</v>
      </c>
      <c r="V280" s="114">
        <v>0</v>
      </c>
      <c r="W280" s="114">
        <v>0</v>
      </c>
      <c r="X280" s="114">
        <v>1365.173957061457</v>
      </c>
      <c r="Y280" s="114">
        <v>0.91649341649341654</v>
      </c>
      <c r="Z280" s="114">
        <v>39.031531531531535</v>
      </c>
      <c r="AA280" s="114">
        <v>5.1975051975051978E-2</v>
      </c>
      <c r="AB280" s="657">
        <v>0</v>
      </c>
      <c r="AC280" s="657">
        <v>0</v>
      </c>
      <c r="AD280" s="768">
        <v>40</v>
      </c>
      <c r="AE280" s="769">
        <v>0.89358108108108103</v>
      </c>
      <c r="AF280" s="769">
        <v>38.055743243243242</v>
      </c>
      <c r="AG280" s="770">
        <v>38.949324324324323</v>
      </c>
      <c r="AH280" s="769">
        <v>5.0675675675675678E-2</v>
      </c>
      <c r="AI280" s="769">
        <v>0.83319722051645106</v>
      </c>
      <c r="AJ280" s="769">
        <v>35.484121325170371</v>
      </c>
      <c r="AK280" s="769">
        <v>36.317318545686824</v>
      </c>
      <c r="AL280" s="769">
        <v>4.7251260142709889E-2</v>
      </c>
      <c r="AM280" s="769">
        <v>0.81535173039730402</v>
      </c>
      <c r="AN280" s="769">
        <v>34.724119346164201</v>
      </c>
      <c r="AO280" s="769">
        <v>35.539471076561505</v>
      </c>
      <c r="AP280" s="769">
        <v>4.6239228566954865E-2</v>
      </c>
      <c r="AQ280" s="769">
        <v>0</v>
      </c>
      <c r="AR280" s="769">
        <v>0</v>
      </c>
      <c r="AS280" s="769">
        <v>33.016591635379392</v>
      </c>
      <c r="AT280" s="769">
        <v>34.627649006464949</v>
      </c>
      <c r="AU280" s="769">
        <v>36.317318545686824</v>
      </c>
      <c r="AV280" s="769">
        <v>38.089436164223628</v>
      </c>
      <c r="AW280" s="769">
        <v>39.948024948024951</v>
      </c>
      <c r="AX280" s="769">
        <v>32.42813646482076</v>
      </c>
      <c r="AY280" s="769">
        <v>33.948178418853153</v>
      </c>
      <c r="AZ280" s="769">
        <v>35.539471076561505</v>
      </c>
      <c r="BA280" s="769">
        <v>37.205354255482341</v>
      </c>
      <c r="BB280" s="769">
        <v>38.949324324324323</v>
      </c>
      <c r="BC280" s="769">
        <v>0</v>
      </c>
      <c r="BD280" s="769">
        <v>0</v>
      </c>
      <c r="BE280" s="769">
        <v>0</v>
      </c>
      <c r="BF280" s="769">
        <v>0</v>
      </c>
      <c r="BG280" s="769">
        <v>0</v>
      </c>
      <c r="BH280" s="771">
        <v>40.326304674414935</v>
      </c>
      <c r="BI280" s="771">
        <v>40.708166444011901</v>
      </c>
      <c r="BJ280" s="771">
        <v>41.093644176248077</v>
      </c>
      <c r="BK280" s="772">
        <v>41.224656982922198</v>
      </c>
      <c r="BL280" s="772">
        <v>41.35566978959632</v>
      </c>
      <c r="BM280" s="772">
        <v>41.486682596270434</v>
      </c>
      <c r="BN280" s="772">
        <v>41.617695402944555</v>
      </c>
      <c r="BO280" s="772">
        <v>41.772609453947915</v>
      </c>
      <c r="BP280" s="772">
        <v>41.927523504951274</v>
      </c>
      <c r="BQ280" s="772">
        <v>42.356989726007377</v>
      </c>
      <c r="BR280" s="772">
        <v>42.868669332659771</v>
      </c>
      <c r="BS280" s="772">
        <v>43.093337773982185</v>
      </c>
      <c r="BT280" s="772">
        <v>43.216715815043734</v>
      </c>
      <c r="BU280" s="772">
        <v>43.344485417725934</v>
      </c>
      <c r="BV280" s="772">
        <v>43.475329113542585</v>
      </c>
      <c r="BW280" s="771">
        <v>39.318147057554555</v>
      </c>
      <c r="BX280" s="771">
        <v>39.690462282911597</v>
      </c>
      <c r="BY280" s="771">
        <v>40.066303071841865</v>
      </c>
      <c r="BZ280" s="772">
        <v>40.194040558349137</v>
      </c>
      <c r="CA280" s="772">
        <v>40.321778044856401</v>
      </c>
      <c r="CB280" s="772">
        <v>40.449515531363666</v>
      </c>
      <c r="CC280" s="772">
        <v>40.577253017870937</v>
      </c>
      <c r="CD280" s="772">
        <v>40.728294217599206</v>
      </c>
      <c r="CE280" s="772">
        <v>40.879335417327489</v>
      </c>
      <c r="CF280" s="772">
        <v>41.298064982857184</v>
      </c>
      <c r="CG280" s="772">
        <v>41.796952599343264</v>
      </c>
      <c r="CH280" s="772">
        <v>42.016004329632615</v>
      </c>
      <c r="CI280" s="772">
        <v>42.136297919667626</v>
      </c>
      <c r="CJ280" s="772">
        <v>42.260873282282773</v>
      </c>
      <c r="CK280" s="772">
        <v>42.388445885704009</v>
      </c>
      <c r="CL280" s="771">
        <v>0</v>
      </c>
      <c r="CM280" s="771">
        <v>0</v>
      </c>
      <c r="CN280" s="771">
        <v>0</v>
      </c>
      <c r="CO280" s="772">
        <v>0</v>
      </c>
      <c r="CP280" s="772">
        <v>0</v>
      </c>
      <c r="CQ280" s="772">
        <v>0</v>
      </c>
      <c r="CR280" s="772">
        <v>0</v>
      </c>
      <c r="CS280" s="772">
        <v>0</v>
      </c>
      <c r="CT280" s="772">
        <v>0</v>
      </c>
      <c r="CU280" s="772">
        <v>0</v>
      </c>
      <c r="CV280" s="772">
        <v>0</v>
      </c>
      <c r="CW280" s="772">
        <v>0</v>
      </c>
      <c r="CX280" s="772">
        <v>0</v>
      </c>
      <c r="CY280" s="772">
        <v>0</v>
      </c>
      <c r="CZ280" s="772">
        <v>0</v>
      </c>
      <c r="DA280" s="773">
        <v>5.2467219196480522E-2</v>
      </c>
      <c r="DB280" s="773">
        <v>5.2964046895669921E-2</v>
      </c>
      <c r="DC280" s="773">
        <v>5.346557920406983E-2</v>
      </c>
      <c r="DD280" s="774">
        <v>5.3636035627013003E-2</v>
      </c>
      <c r="DE280" s="774">
        <v>5.3806492049956169E-2</v>
      </c>
      <c r="DF280" s="774">
        <v>5.3976948472899335E-2</v>
      </c>
      <c r="DG280" s="774">
        <v>5.4147404895842507E-2</v>
      </c>
      <c r="DH280" s="774">
        <v>5.4348958436049838E-2</v>
      </c>
      <c r="DI280" s="774">
        <v>5.4550511976257182E-2</v>
      </c>
      <c r="DJ280" s="774">
        <v>5.5109276250334863E-2</v>
      </c>
      <c r="DK280" s="774">
        <v>5.57750056370801E-2</v>
      </c>
      <c r="DL280" s="774">
        <v>5.6067314303906032E-2</v>
      </c>
      <c r="DM280" s="774">
        <v>5.6227837386213543E-2</v>
      </c>
      <c r="DN280" s="774">
        <v>5.6394074183874481E-2</v>
      </c>
      <c r="DO280" s="774">
        <v>5.6564310582282826E-2</v>
      </c>
      <c r="DP280" s="773">
        <v>0</v>
      </c>
      <c r="DQ280" s="773">
        <v>0</v>
      </c>
      <c r="DR280" s="773">
        <v>0</v>
      </c>
      <c r="DS280" s="774">
        <v>0</v>
      </c>
      <c r="DT280" s="774">
        <v>0</v>
      </c>
      <c r="DU280" s="774">
        <v>0</v>
      </c>
      <c r="DV280" s="774">
        <v>0</v>
      </c>
      <c r="DW280" s="774">
        <v>0</v>
      </c>
      <c r="DX280" s="774">
        <v>0</v>
      </c>
      <c r="DY280" s="774">
        <v>0</v>
      </c>
      <c r="DZ280" s="774">
        <v>0</v>
      </c>
      <c r="EA280" s="774">
        <v>0</v>
      </c>
      <c r="EB280" s="774">
        <v>0</v>
      </c>
      <c r="EC280" s="774">
        <v>0</v>
      </c>
      <c r="ED280" s="774">
        <v>0</v>
      </c>
    </row>
    <row r="281" spans="1:134" ht="15" x14ac:dyDescent="0.25">
      <c r="A281" s="766">
        <v>119</v>
      </c>
      <c r="B281" s="766">
        <v>97</v>
      </c>
      <c r="C281" s="766" t="s">
        <v>3952</v>
      </c>
      <c r="D281" s="2">
        <v>99712</v>
      </c>
      <c r="E281" s="2">
        <v>99712</v>
      </c>
      <c r="F281" s="767" t="s">
        <v>3676</v>
      </c>
      <c r="G281" s="114">
        <v>146</v>
      </c>
      <c r="H281" s="114">
        <v>52</v>
      </c>
      <c r="I281" s="114">
        <v>52</v>
      </c>
      <c r="J281" s="114">
        <v>0</v>
      </c>
      <c r="K281" s="114">
        <v>0</v>
      </c>
      <c r="L281" s="114">
        <v>32</v>
      </c>
      <c r="M281" s="114">
        <v>32</v>
      </c>
      <c r="N281" s="114">
        <v>1</v>
      </c>
      <c r="O281" s="114">
        <v>0</v>
      </c>
      <c r="P281" s="114">
        <v>0</v>
      </c>
      <c r="Q281" s="114">
        <v>33</v>
      </c>
      <c r="R281" s="114">
        <v>0</v>
      </c>
      <c r="S281" s="114">
        <v>3082.875</v>
      </c>
      <c r="T281" s="114">
        <v>3082.875</v>
      </c>
      <c r="U281" s="114">
        <v>6720</v>
      </c>
      <c r="V281" s="114">
        <v>0</v>
      </c>
      <c r="W281" s="114">
        <v>0</v>
      </c>
      <c r="X281" s="114">
        <v>3193.090909090909</v>
      </c>
      <c r="Y281" s="114">
        <v>0</v>
      </c>
      <c r="Z281" s="114">
        <v>52</v>
      </c>
      <c r="AA281" s="114">
        <v>0</v>
      </c>
      <c r="AB281" s="657">
        <v>1</v>
      </c>
      <c r="AC281" s="657">
        <v>0</v>
      </c>
      <c r="AD281" s="768">
        <v>53</v>
      </c>
      <c r="AE281" s="769">
        <v>0</v>
      </c>
      <c r="AF281" s="769">
        <v>52</v>
      </c>
      <c r="AG281" s="770">
        <v>52</v>
      </c>
      <c r="AH281" s="769">
        <v>0</v>
      </c>
      <c r="AI281" s="769">
        <v>0</v>
      </c>
      <c r="AJ281" s="769">
        <v>47.273940747578386</v>
      </c>
      <c r="AK281" s="769">
        <v>47.273940747578386</v>
      </c>
      <c r="AL281" s="769">
        <v>0</v>
      </c>
      <c r="AM281" s="769">
        <v>0</v>
      </c>
      <c r="AN281" s="769">
        <v>47.447613740171278</v>
      </c>
      <c r="AO281" s="769">
        <v>47.447613740171278</v>
      </c>
      <c r="AP281" s="769">
        <v>0</v>
      </c>
      <c r="AQ281" s="769">
        <v>0.92984135081383867</v>
      </c>
      <c r="AR281" s="769">
        <v>0</v>
      </c>
      <c r="AS281" s="769">
        <v>42.977412957799082</v>
      </c>
      <c r="AT281" s="769">
        <v>45.074512461602971</v>
      </c>
      <c r="AU281" s="769">
        <v>47.273940747578386</v>
      </c>
      <c r="AV281" s="769">
        <v>49.580690988267563</v>
      </c>
      <c r="AW281" s="769">
        <v>52</v>
      </c>
      <c r="AX281" s="769">
        <v>43.293770185317122</v>
      </c>
      <c r="AY281" s="769">
        <v>45.32312969233999</v>
      </c>
      <c r="AZ281" s="769">
        <v>47.447613740171278</v>
      </c>
      <c r="BA281" s="769">
        <v>49.671681212627654</v>
      </c>
      <c r="BB281" s="769">
        <v>52</v>
      </c>
      <c r="BC281" s="769">
        <v>0.86460493768330426</v>
      </c>
      <c r="BD281" s="769">
        <v>0.89663003695825327</v>
      </c>
      <c r="BE281" s="769">
        <v>0.92984135081383867</v>
      </c>
      <c r="BF281" s="769">
        <v>0.96428281681975381</v>
      </c>
      <c r="BG281" s="769">
        <v>1</v>
      </c>
      <c r="BH281" s="771">
        <v>52.481462747222274</v>
      </c>
      <c r="BI281" s="771">
        <v>52.967383309386143</v>
      </c>
      <c r="BJ281" s="771">
        <v>53.457802960949849</v>
      </c>
      <c r="BK281" s="772">
        <v>53.769088771582176</v>
      </c>
      <c r="BL281" s="772">
        <v>54.080374582214503</v>
      </c>
      <c r="BM281" s="772">
        <v>54.391660392846845</v>
      </c>
      <c r="BN281" s="772">
        <v>54.702946203479172</v>
      </c>
      <c r="BO281" s="772">
        <v>55.071021257888695</v>
      </c>
      <c r="BP281" s="772">
        <v>55.439096312298197</v>
      </c>
      <c r="BQ281" s="772">
        <v>56.459506027610885</v>
      </c>
      <c r="BR281" s="772">
        <v>57.675254359275968</v>
      </c>
      <c r="BS281" s="772">
        <v>58.209065516031863</v>
      </c>
      <c r="BT281" s="772">
        <v>58.502211159584142</v>
      </c>
      <c r="BU281" s="772">
        <v>58.805791132830805</v>
      </c>
      <c r="BV281" s="772">
        <v>59.116675136863549</v>
      </c>
      <c r="BW281" s="771">
        <v>52.481462747222274</v>
      </c>
      <c r="BX281" s="771">
        <v>52.967383309386143</v>
      </c>
      <c r="BY281" s="771">
        <v>53.457802960949849</v>
      </c>
      <c r="BZ281" s="772">
        <v>53.769088771582176</v>
      </c>
      <c r="CA281" s="772">
        <v>54.080374582214503</v>
      </c>
      <c r="CB281" s="772">
        <v>54.391660392846845</v>
      </c>
      <c r="CC281" s="772">
        <v>54.702946203479172</v>
      </c>
      <c r="CD281" s="772">
        <v>55.071021257888695</v>
      </c>
      <c r="CE281" s="772">
        <v>55.439096312298197</v>
      </c>
      <c r="CF281" s="772">
        <v>56.459506027610885</v>
      </c>
      <c r="CG281" s="772">
        <v>57.675254359275968</v>
      </c>
      <c r="CH281" s="772">
        <v>58.209065516031863</v>
      </c>
      <c r="CI281" s="772">
        <v>58.502211159584142</v>
      </c>
      <c r="CJ281" s="772">
        <v>58.805791132830805</v>
      </c>
      <c r="CK281" s="772">
        <v>59.116675136863549</v>
      </c>
      <c r="CL281" s="771">
        <v>1.0092588989850437</v>
      </c>
      <c r="CM281" s="771">
        <v>1.0186035251805028</v>
      </c>
      <c r="CN281" s="771">
        <v>1.0280346723259586</v>
      </c>
      <c r="CO281" s="772">
        <v>1.0340209379150418</v>
      </c>
      <c r="CP281" s="772">
        <v>1.040007203504125</v>
      </c>
      <c r="CQ281" s="772">
        <v>1.0459934690932085</v>
      </c>
      <c r="CR281" s="772">
        <v>1.0519797346822917</v>
      </c>
      <c r="CS281" s="772">
        <v>1.0590581011132441</v>
      </c>
      <c r="CT281" s="772">
        <v>1.0661364675441962</v>
      </c>
      <c r="CU281" s="772">
        <v>1.0857597313002092</v>
      </c>
      <c r="CV281" s="772">
        <v>1.1091395069091532</v>
      </c>
      <c r="CW281" s="772">
        <v>1.1194051060775358</v>
      </c>
      <c r="CX281" s="772">
        <v>1.1250425222996949</v>
      </c>
      <c r="CY281" s="772">
        <v>1.1308805987082846</v>
      </c>
      <c r="CZ281" s="772">
        <v>1.1368591372473758</v>
      </c>
      <c r="DA281" s="773">
        <v>0</v>
      </c>
      <c r="DB281" s="773">
        <v>0</v>
      </c>
      <c r="DC281" s="773">
        <v>0</v>
      </c>
      <c r="DD281" s="774">
        <v>0</v>
      </c>
      <c r="DE281" s="774">
        <v>0</v>
      </c>
      <c r="DF281" s="774">
        <v>0</v>
      </c>
      <c r="DG281" s="774">
        <v>0</v>
      </c>
      <c r="DH281" s="774">
        <v>0</v>
      </c>
      <c r="DI281" s="774">
        <v>0</v>
      </c>
      <c r="DJ281" s="774">
        <v>0</v>
      </c>
      <c r="DK281" s="774">
        <v>0</v>
      </c>
      <c r="DL281" s="774">
        <v>0</v>
      </c>
      <c r="DM281" s="774">
        <v>0</v>
      </c>
      <c r="DN281" s="774">
        <v>0</v>
      </c>
      <c r="DO281" s="774">
        <v>0</v>
      </c>
      <c r="DP281" s="773">
        <v>0</v>
      </c>
      <c r="DQ281" s="773">
        <v>0</v>
      </c>
      <c r="DR281" s="773">
        <v>0</v>
      </c>
      <c r="DS281" s="774">
        <v>0</v>
      </c>
      <c r="DT281" s="774">
        <v>0</v>
      </c>
      <c r="DU281" s="774">
        <v>0</v>
      </c>
      <c r="DV281" s="774">
        <v>0</v>
      </c>
      <c r="DW281" s="774">
        <v>0</v>
      </c>
      <c r="DX281" s="774">
        <v>0</v>
      </c>
      <c r="DY281" s="774">
        <v>0</v>
      </c>
      <c r="DZ281" s="774">
        <v>0</v>
      </c>
      <c r="EA281" s="774">
        <v>0</v>
      </c>
      <c r="EB281" s="774">
        <v>0</v>
      </c>
      <c r="EC281" s="774">
        <v>0</v>
      </c>
      <c r="ED281" s="774">
        <v>0</v>
      </c>
    </row>
    <row r="282" spans="1:134" ht="15" x14ac:dyDescent="0.25">
      <c r="A282" s="766">
        <v>120</v>
      </c>
      <c r="B282" s="766">
        <v>97</v>
      </c>
      <c r="C282" s="766" t="s">
        <v>3953</v>
      </c>
      <c r="D282" s="2">
        <v>99712</v>
      </c>
      <c r="E282" s="2">
        <v>99712</v>
      </c>
      <c r="F282" s="767" t="s">
        <v>3676</v>
      </c>
      <c r="G282" s="114">
        <v>59</v>
      </c>
      <c r="H282" s="114">
        <v>23</v>
      </c>
      <c r="I282" s="114">
        <v>22</v>
      </c>
      <c r="J282" s="114">
        <v>1</v>
      </c>
      <c r="K282" s="114">
        <v>0</v>
      </c>
      <c r="L282" s="114">
        <v>40</v>
      </c>
      <c r="M282" s="114">
        <v>40</v>
      </c>
      <c r="N282" s="114">
        <v>0</v>
      </c>
      <c r="O282" s="114">
        <v>0</v>
      </c>
      <c r="P282" s="114">
        <v>0</v>
      </c>
      <c r="Q282" s="114">
        <v>40</v>
      </c>
      <c r="R282" s="114">
        <v>0</v>
      </c>
      <c r="S282" s="114">
        <v>2665.0250000000001</v>
      </c>
      <c r="T282" s="114">
        <v>2665.0250000000001</v>
      </c>
      <c r="U282" s="114">
        <v>0</v>
      </c>
      <c r="V282" s="114">
        <v>0</v>
      </c>
      <c r="W282" s="114">
        <v>0</v>
      </c>
      <c r="X282" s="114">
        <v>2665.0250000000001</v>
      </c>
      <c r="Y282" s="114">
        <v>0</v>
      </c>
      <c r="Z282" s="114">
        <v>23</v>
      </c>
      <c r="AA282" s="114">
        <v>0</v>
      </c>
      <c r="AB282" s="657">
        <v>0</v>
      </c>
      <c r="AC282" s="657">
        <v>0</v>
      </c>
      <c r="AD282" s="768">
        <v>23</v>
      </c>
      <c r="AE282" s="769">
        <v>0</v>
      </c>
      <c r="AF282" s="769">
        <v>22</v>
      </c>
      <c r="AG282" s="770">
        <v>22</v>
      </c>
      <c r="AH282" s="769">
        <v>0</v>
      </c>
      <c r="AI282" s="769">
        <v>0</v>
      </c>
      <c r="AJ282" s="769">
        <v>20.909627638351978</v>
      </c>
      <c r="AK282" s="769">
        <v>20.909627638351978</v>
      </c>
      <c r="AL282" s="769">
        <v>0</v>
      </c>
      <c r="AM282" s="769">
        <v>0</v>
      </c>
      <c r="AN282" s="769">
        <v>20.073990428534003</v>
      </c>
      <c r="AO282" s="769">
        <v>20.073990428534003</v>
      </c>
      <c r="AP282" s="769">
        <v>0</v>
      </c>
      <c r="AQ282" s="769">
        <v>0</v>
      </c>
      <c r="AR282" s="769">
        <v>0</v>
      </c>
      <c r="AS282" s="769">
        <v>19.009240346718826</v>
      </c>
      <c r="AT282" s="769">
        <v>19.936803588785931</v>
      </c>
      <c r="AU282" s="769">
        <v>20.909627638351978</v>
      </c>
      <c r="AV282" s="769">
        <v>21.929921014041422</v>
      </c>
      <c r="AW282" s="769">
        <v>23</v>
      </c>
      <c r="AX282" s="769">
        <v>18.316595078403399</v>
      </c>
      <c r="AY282" s="769">
        <v>19.175170254451533</v>
      </c>
      <c r="AZ282" s="769">
        <v>20.073990428534003</v>
      </c>
      <c r="BA282" s="769">
        <v>21.014942051496313</v>
      </c>
      <c r="BB282" s="769">
        <v>22</v>
      </c>
      <c r="BC282" s="769">
        <v>0</v>
      </c>
      <c r="BD282" s="769">
        <v>0</v>
      </c>
      <c r="BE282" s="769">
        <v>0</v>
      </c>
      <c r="BF282" s="769">
        <v>0</v>
      </c>
      <c r="BG282" s="769">
        <v>0</v>
      </c>
      <c r="BH282" s="771">
        <v>23.212954676656004</v>
      </c>
      <c r="BI282" s="771">
        <v>23.427881079151565</v>
      </c>
      <c r="BJ282" s="771">
        <v>23.644797463497046</v>
      </c>
      <c r="BK282" s="772">
        <v>23.78248157204596</v>
      </c>
      <c r="BL282" s="772">
        <v>23.920165680594874</v>
      </c>
      <c r="BM282" s="772">
        <v>24.057849789143795</v>
      </c>
      <c r="BN282" s="772">
        <v>24.195533897692709</v>
      </c>
      <c r="BO282" s="772">
        <v>24.358336325604611</v>
      </c>
      <c r="BP282" s="772">
        <v>24.52113875351651</v>
      </c>
      <c r="BQ282" s="772">
        <v>24.972473819904813</v>
      </c>
      <c r="BR282" s="772">
        <v>25.510208658910521</v>
      </c>
      <c r="BS282" s="772">
        <v>25.746317439783322</v>
      </c>
      <c r="BT282" s="772">
        <v>25.875978012892983</v>
      </c>
      <c r="BU282" s="772">
        <v>26.010253770290547</v>
      </c>
      <c r="BV282" s="772">
        <v>26.147760156689642</v>
      </c>
      <c r="BW282" s="771">
        <v>22.203695777670962</v>
      </c>
      <c r="BX282" s="771">
        <v>22.409277553971062</v>
      </c>
      <c r="BY282" s="771">
        <v>22.616762791171087</v>
      </c>
      <c r="BZ282" s="772">
        <v>22.748460634130918</v>
      </c>
      <c r="CA282" s="772">
        <v>22.880158477090749</v>
      </c>
      <c r="CB282" s="772">
        <v>23.011856320050587</v>
      </c>
      <c r="CC282" s="772">
        <v>23.143554163010418</v>
      </c>
      <c r="CD282" s="772">
        <v>23.299278224491367</v>
      </c>
      <c r="CE282" s="772">
        <v>23.455002285972313</v>
      </c>
      <c r="CF282" s="772">
        <v>23.886714088604602</v>
      </c>
      <c r="CG282" s="772">
        <v>24.401069152001369</v>
      </c>
      <c r="CH282" s="772">
        <v>24.626912333705786</v>
      </c>
      <c r="CI282" s="772">
        <v>24.750935490593289</v>
      </c>
      <c r="CJ282" s="772">
        <v>24.879373171582262</v>
      </c>
      <c r="CK282" s="772">
        <v>25.010901019442265</v>
      </c>
      <c r="CL282" s="771">
        <v>0</v>
      </c>
      <c r="CM282" s="771">
        <v>0</v>
      </c>
      <c r="CN282" s="771">
        <v>0</v>
      </c>
      <c r="CO282" s="772">
        <v>0</v>
      </c>
      <c r="CP282" s="772">
        <v>0</v>
      </c>
      <c r="CQ282" s="772">
        <v>0</v>
      </c>
      <c r="CR282" s="772">
        <v>0</v>
      </c>
      <c r="CS282" s="772">
        <v>0</v>
      </c>
      <c r="CT282" s="772">
        <v>0</v>
      </c>
      <c r="CU282" s="772">
        <v>0</v>
      </c>
      <c r="CV282" s="772">
        <v>0</v>
      </c>
      <c r="CW282" s="772">
        <v>0</v>
      </c>
      <c r="CX282" s="772">
        <v>0</v>
      </c>
      <c r="CY282" s="772">
        <v>0</v>
      </c>
      <c r="CZ282" s="772">
        <v>0</v>
      </c>
      <c r="DA282" s="773">
        <v>0</v>
      </c>
      <c r="DB282" s="773">
        <v>0</v>
      </c>
      <c r="DC282" s="773">
        <v>0</v>
      </c>
      <c r="DD282" s="774">
        <v>0</v>
      </c>
      <c r="DE282" s="774">
        <v>0</v>
      </c>
      <c r="DF282" s="774">
        <v>0</v>
      </c>
      <c r="DG282" s="774">
        <v>0</v>
      </c>
      <c r="DH282" s="774">
        <v>0</v>
      </c>
      <c r="DI282" s="774">
        <v>0</v>
      </c>
      <c r="DJ282" s="774">
        <v>0</v>
      </c>
      <c r="DK282" s="774">
        <v>0</v>
      </c>
      <c r="DL282" s="774">
        <v>0</v>
      </c>
      <c r="DM282" s="774">
        <v>0</v>
      </c>
      <c r="DN282" s="774">
        <v>0</v>
      </c>
      <c r="DO282" s="774">
        <v>0</v>
      </c>
      <c r="DP282" s="773">
        <v>0</v>
      </c>
      <c r="DQ282" s="773">
        <v>0</v>
      </c>
      <c r="DR282" s="773">
        <v>0</v>
      </c>
      <c r="DS282" s="774">
        <v>0</v>
      </c>
      <c r="DT282" s="774">
        <v>0</v>
      </c>
      <c r="DU282" s="774">
        <v>0</v>
      </c>
      <c r="DV282" s="774">
        <v>0</v>
      </c>
      <c r="DW282" s="774">
        <v>0</v>
      </c>
      <c r="DX282" s="774">
        <v>0</v>
      </c>
      <c r="DY282" s="774">
        <v>0</v>
      </c>
      <c r="DZ282" s="774">
        <v>0</v>
      </c>
      <c r="EA282" s="774">
        <v>0</v>
      </c>
      <c r="EB282" s="774">
        <v>0</v>
      </c>
      <c r="EC282" s="774">
        <v>0</v>
      </c>
      <c r="ED282" s="774">
        <v>0</v>
      </c>
    </row>
    <row r="283" spans="1:134" ht="15" x14ac:dyDescent="0.25">
      <c r="A283" s="766">
        <v>122</v>
      </c>
      <c r="B283" s="766">
        <v>97</v>
      </c>
      <c r="C283" s="766" t="s">
        <v>3954</v>
      </c>
      <c r="D283" s="2">
        <v>99712</v>
      </c>
      <c r="E283" s="2">
        <v>99712</v>
      </c>
      <c r="F283" s="767" t="s">
        <v>3676</v>
      </c>
      <c r="G283" s="114">
        <v>100</v>
      </c>
      <c r="H283" s="114">
        <v>55</v>
      </c>
      <c r="I283" s="114">
        <v>48</v>
      </c>
      <c r="J283" s="114">
        <v>7</v>
      </c>
      <c r="K283" s="114">
        <v>0</v>
      </c>
      <c r="L283" s="114">
        <v>4</v>
      </c>
      <c r="M283" s="114">
        <v>4</v>
      </c>
      <c r="N283" s="114">
        <v>0</v>
      </c>
      <c r="O283" s="114">
        <v>0</v>
      </c>
      <c r="P283" s="114">
        <v>0</v>
      </c>
      <c r="Q283" s="114">
        <v>4</v>
      </c>
      <c r="R283" s="114">
        <v>0</v>
      </c>
      <c r="S283" s="114">
        <v>1750</v>
      </c>
      <c r="T283" s="114">
        <v>1750</v>
      </c>
      <c r="U283" s="114">
        <v>0</v>
      </c>
      <c r="V283" s="114">
        <v>0</v>
      </c>
      <c r="W283" s="114">
        <v>0</v>
      </c>
      <c r="X283" s="114">
        <v>1750</v>
      </c>
      <c r="Y283" s="114">
        <v>0</v>
      </c>
      <c r="Z283" s="114">
        <v>55</v>
      </c>
      <c r="AA283" s="114">
        <v>0</v>
      </c>
      <c r="AB283" s="657">
        <v>0</v>
      </c>
      <c r="AC283" s="657">
        <v>0</v>
      </c>
      <c r="AD283" s="768">
        <v>55</v>
      </c>
      <c r="AE283" s="769">
        <v>0</v>
      </c>
      <c r="AF283" s="769">
        <v>48</v>
      </c>
      <c r="AG283" s="770">
        <v>48</v>
      </c>
      <c r="AH283" s="769">
        <v>0</v>
      </c>
      <c r="AI283" s="769">
        <v>0</v>
      </c>
      <c r="AJ283" s="769">
        <v>50.001283483015605</v>
      </c>
      <c r="AK283" s="769">
        <v>50.001283483015605</v>
      </c>
      <c r="AL283" s="769">
        <v>0</v>
      </c>
      <c r="AM283" s="769">
        <v>0</v>
      </c>
      <c r="AN283" s="769">
        <v>43.797797298619642</v>
      </c>
      <c r="AO283" s="769">
        <v>43.797797298619642</v>
      </c>
      <c r="AP283" s="769">
        <v>0</v>
      </c>
      <c r="AQ283" s="769">
        <v>0</v>
      </c>
      <c r="AR283" s="769">
        <v>0</v>
      </c>
      <c r="AS283" s="769">
        <v>45.4568790899798</v>
      </c>
      <c r="AT283" s="769">
        <v>47.674965103618533</v>
      </c>
      <c r="AU283" s="769">
        <v>50.001283483015605</v>
      </c>
      <c r="AV283" s="769">
        <v>52.441115468359925</v>
      </c>
      <c r="AW283" s="769">
        <v>55</v>
      </c>
      <c r="AX283" s="769">
        <v>39.96348017106196</v>
      </c>
      <c r="AY283" s="769">
        <v>41.836735100621524</v>
      </c>
      <c r="AZ283" s="769">
        <v>43.797797298619642</v>
      </c>
      <c r="BA283" s="769">
        <v>45.850782657810136</v>
      </c>
      <c r="BB283" s="769">
        <v>48</v>
      </c>
      <c r="BC283" s="769">
        <v>0</v>
      </c>
      <c r="BD283" s="769">
        <v>0</v>
      </c>
      <c r="BE283" s="769">
        <v>0</v>
      </c>
      <c r="BF283" s="769">
        <v>0</v>
      </c>
      <c r="BG283" s="769">
        <v>0</v>
      </c>
      <c r="BH283" s="771">
        <v>55.696177585612965</v>
      </c>
      <c r="BI283" s="771">
        <v>56.401167229966099</v>
      </c>
      <c r="BJ283" s="771">
        <v>57.115080474109931</v>
      </c>
      <c r="BK283" s="772">
        <v>56.739573878958986</v>
      </c>
      <c r="BL283" s="772">
        <v>56.366536074919452</v>
      </c>
      <c r="BM283" s="772">
        <v>56.771183855948429</v>
      </c>
      <c r="BN283" s="772">
        <v>57.178736548971173</v>
      </c>
      <c r="BO283" s="772">
        <v>57.589215007960192</v>
      </c>
      <c r="BP283" s="772">
        <v>58.002640236595809</v>
      </c>
      <c r="BQ283" s="772">
        <v>58.419033389340981</v>
      </c>
      <c r="BR283" s="772">
        <v>58.746975936911618</v>
      </c>
      <c r="BS283" s="772">
        <v>59.076759430972942</v>
      </c>
      <c r="BT283" s="772">
        <v>59.408394205908237</v>
      </c>
      <c r="BU283" s="772">
        <v>59.741890654114144</v>
      </c>
      <c r="BV283" s="772">
        <v>60.077259226326284</v>
      </c>
      <c r="BW283" s="771">
        <v>48.607573165625858</v>
      </c>
      <c r="BX283" s="771">
        <v>49.222836855243145</v>
      </c>
      <c r="BY283" s="771">
        <v>49.84588841376867</v>
      </c>
      <c r="BZ283" s="772">
        <v>49.518173567091488</v>
      </c>
      <c r="CA283" s="772">
        <v>49.19261330174789</v>
      </c>
      <c r="CB283" s="772">
        <v>49.545760456100446</v>
      </c>
      <c r="CC283" s="772">
        <v>49.901442806374845</v>
      </c>
      <c r="CD283" s="772">
        <v>50.259678552401624</v>
      </c>
      <c r="CE283" s="772">
        <v>50.620486024665439</v>
      </c>
      <c r="CF283" s="772">
        <v>50.983883685243036</v>
      </c>
      <c r="CG283" s="772">
        <v>51.270088090395596</v>
      </c>
      <c r="CH283" s="772">
        <v>51.557899139758206</v>
      </c>
      <c r="CI283" s="772">
        <v>51.847325852429009</v>
      </c>
      <c r="CJ283" s="772">
        <v>52.138377298135978</v>
      </c>
      <c r="CK283" s="772">
        <v>52.43106259752112</v>
      </c>
      <c r="CL283" s="771">
        <v>0</v>
      </c>
      <c r="CM283" s="771">
        <v>0</v>
      </c>
      <c r="CN283" s="771">
        <v>0</v>
      </c>
      <c r="CO283" s="772">
        <v>0</v>
      </c>
      <c r="CP283" s="772">
        <v>0</v>
      </c>
      <c r="CQ283" s="772">
        <v>0</v>
      </c>
      <c r="CR283" s="772">
        <v>0</v>
      </c>
      <c r="CS283" s="772">
        <v>0</v>
      </c>
      <c r="CT283" s="772">
        <v>0</v>
      </c>
      <c r="CU283" s="772">
        <v>0</v>
      </c>
      <c r="CV283" s="772">
        <v>0</v>
      </c>
      <c r="CW283" s="772">
        <v>0</v>
      </c>
      <c r="CX283" s="772">
        <v>0</v>
      </c>
      <c r="CY283" s="772">
        <v>0</v>
      </c>
      <c r="CZ283" s="772">
        <v>0</v>
      </c>
      <c r="DA283" s="773">
        <v>0</v>
      </c>
      <c r="DB283" s="773">
        <v>0</v>
      </c>
      <c r="DC283" s="773">
        <v>0</v>
      </c>
      <c r="DD283" s="774">
        <v>0</v>
      </c>
      <c r="DE283" s="774">
        <v>0</v>
      </c>
      <c r="DF283" s="774">
        <v>0</v>
      </c>
      <c r="DG283" s="774">
        <v>0</v>
      </c>
      <c r="DH283" s="774">
        <v>0</v>
      </c>
      <c r="DI283" s="774">
        <v>0</v>
      </c>
      <c r="DJ283" s="774">
        <v>0</v>
      </c>
      <c r="DK283" s="774">
        <v>0</v>
      </c>
      <c r="DL283" s="774">
        <v>0</v>
      </c>
      <c r="DM283" s="774">
        <v>0</v>
      </c>
      <c r="DN283" s="774">
        <v>0</v>
      </c>
      <c r="DO283" s="774">
        <v>0</v>
      </c>
      <c r="DP283" s="773">
        <v>0</v>
      </c>
      <c r="DQ283" s="773">
        <v>0</v>
      </c>
      <c r="DR283" s="773">
        <v>0</v>
      </c>
      <c r="DS283" s="774">
        <v>0</v>
      </c>
      <c r="DT283" s="774">
        <v>0</v>
      </c>
      <c r="DU283" s="774">
        <v>0</v>
      </c>
      <c r="DV283" s="774">
        <v>0</v>
      </c>
      <c r="DW283" s="774">
        <v>0</v>
      </c>
      <c r="DX283" s="774">
        <v>0</v>
      </c>
      <c r="DY283" s="774">
        <v>0</v>
      </c>
      <c r="DZ283" s="774">
        <v>0</v>
      </c>
      <c r="EA283" s="774">
        <v>0</v>
      </c>
      <c r="EB283" s="774">
        <v>0</v>
      </c>
      <c r="EC283" s="774">
        <v>0</v>
      </c>
      <c r="ED283" s="774">
        <v>0</v>
      </c>
    </row>
    <row r="284" spans="1:134" ht="15" x14ac:dyDescent="0.25">
      <c r="A284" s="766">
        <v>125</v>
      </c>
      <c r="B284" s="766">
        <v>97</v>
      </c>
      <c r="C284" s="766" t="s">
        <v>3955</v>
      </c>
      <c r="D284" s="2">
        <v>99712</v>
      </c>
      <c r="E284" s="2">
        <v>99712</v>
      </c>
      <c r="F284" s="767" t="s">
        <v>3676</v>
      </c>
      <c r="G284" s="114">
        <v>31</v>
      </c>
      <c r="H284" s="114">
        <v>17</v>
      </c>
      <c r="I284" s="114">
        <v>15</v>
      </c>
      <c r="J284" s="114">
        <v>2</v>
      </c>
      <c r="K284" s="114">
        <v>0</v>
      </c>
      <c r="L284" s="114">
        <v>0</v>
      </c>
      <c r="M284" s="114">
        <v>0</v>
      </c>
      <c r="N284" s="114">
        <v>0</v>
      </c>
      <c r="O284" s="114">
        <v>0</v>
      </c>
      <c r="P284" s="114">
        <v>0</v>
      </c>
      <c r="Q284" s="114">
        <v>0</v>
      </c>
      <c r="R284" s="114">
        <v>0</v>
      </c>
      <c r="S284" s="114">
        <v>834.49503068156923</v>
      </c>
      <c r="T284" s="114">
        <v>834.49503068156923</v>
      </c>
      <c r="U284" s="114">
        <v>1408.3846153846155</v>
      </c>
      <c r="V284" s="114">
        <v>0</v>
      </c>
      <c r="W284" s="114">
        <v>0</v>
      </c>
      <c r="X284" s="114">
        <v>1365.173957061457</v>
      </c>
      <c r="Y284" s="114">
        <v>0.38950970200970203</v>
      </c>
      <c r="Z284" s="114">
        <v>16.588400900900901</v>
      </c>
      <c r="AA284" s="114">
        <v>2.2089397089397091E-2</v>
      </c>
      <c r="AB284" s="657">
        <v>0</v>
      </c>
      <c r="AC284" s="657">
        <v>0</v>
      </c>
      <c r="AD284" s="768">
        <v>16.999999999999996</v>
      </c>
      <c r="AE284" s="769">
        <v>0.34368503118503119</v>
      </c>
      <c r="AF284" s="769">
        <v>14.636824324324325</v>
      </c>
      <c r="AG284" s="770">
        <v>14.980509355509355</v>
      </c>
      <c r="AH284" s="769">
        <v>1.9490644490644492E-2</v>
      </c>
      <c r="AI284" s="769">
        <v>0.35410881871949168</v>
      </c>
      <c r="AJ284" s="769">
        <v>15.080751563197406</v>
      </c>
      <c r="AK284" s="769">
        <v>15.434860381916899</v>
      </c>
      <c r="AL284" s="769">
        <v>2.0081785560651703E-2</v>
      </c>
      <c r="AM284" s="769">
        <v>0.31359681938357847</v>
      </c>
      <c r="AN284" s="769">
        <v>13.355430517755462</v>
      </c>
      <c r="AO284" s="769">
        <v>13.66902733713904</v>
      </c>
      <c r="AP284" s="769">
        <v>1.7784318679598024E-2</v>
      </c>
      <c r="AQ284" s="769">
        <v>0</v>
      </c>
      <c r="AR284" s="769">
        <v>0</v>
      </c>
      <c r="AS284" s="769">
        <v>14.03205144503624</v>
      </c>
      <c r="AT284" s="769">
        <v>14.7167508277476</v>
      </c>
      <c r="AU284" s="769">
        <v>15.434860381916897</v>
      </c>
      <c r="AV284" s="769">
        <v>16.188010369795037</v>
      </c>
      <c r="AW284" s="769">
        <v>16.977910602910601</v>
      </c>
      <c r="AX284" s="769">
        <v>12.472360178777215</v>
      </c>
      <c r="AY284" s="769">
        <v>13.056991699558903</v>
      </c>
      <c r="AZ284" s="769">
        <v>13.66902733713904</v>
      </c>
      <c r="BA284" s="769">
        <v>14.309751636723977</v>
      </c>
      <c r="BB284" s="769">
        <v>14.980509355509355</v>
      </c>
      <c r="BC284" s="769">
        <v>0</v>
      </c>
      <c r="BD284" s="769">
        <v>0</v>
      </c>
      <c r="BE284" s="769">
        <v>0</v>
      </c>
      <c r="BF284" s="769">
        <v>0</v>
      </c>
      <c r="BG284" s="769">
        <v>0</v>
      </c>
      <c r="BH284" s="771">
        <v>17.192813163134002</v>
      </c>
      <c r="BI284" s="771">
        <v>17.410435911457736</v>
      </c>
      <c r="BJ284" s="771">
        <v>17.630813279408788</v>
      </c>
      <c r="BK284" s="772">
        <v>17.514898417531043</v>
      </c>
      <c r="BL284" s="772">
        <v>17.399745645013052</v>
      </c>
      <c r="BM284" s="772">
        <v>17.524656078685346</v>
      </c>
      <c r="BN284" s="772">
        <v>17.650463227560177</v>
      </c>
      <c r="BO284" s="772">
        <v>17.777173529035377</v>
      </c>
      <c r="BP284" s="772">
        <v>17.904793466721983</v>
      </c>
      <c r="BQ284" s="772">
        <v>18.033329570776012</v>
      </c>
      <c r="BR284" s="772">
        <v>18.13456192087683</v>
      </c>
      <c r="BS284" s="772">
        <v>18.236362551431171</v>
      </c>
      <c r="BT284" s="772">
        <v>18.338734652552404</v>
      </c>
      <c r="BU284" s="772">
        <v>18.441681432262005</v>
      </c>
      <c r="BV284" s="772">
        <v>18.545206116590069</v>
      </c>
      <c r="BW284" s="771">
        <v>15.170129261588826</v>
      </c>
      <c r="BX284" s="771">
        <v>15.362149333639179</v>
      </c>
      <c r="BY284" s="771">
        <v>15.55659995241952</v>
      </c>
      <c r="BZ284" s="772">
        <v>15.454322133115626</v>
      </c>
      <c r="CA284" s="772">
        <v>15.352716745599754</v>
      </c>
      <c r="CB284" s="772">
        <v>15.46293183413413</v>
      </c>
      <c r="CC284" s="772">
        <v>15.573938141964863</v>
      </c>
      <c r="CD284" s="772">
        <v>15.685741349148863</v>
      </c>
      <c r="CE284" s="772">
        <v>15.798347176519398</v>
      </c>
      <c r="CF284" s="772">
        <v>15.911761385978837</v>
      </c>
      <c r="CG284" s="772">
        <v>16.001084047832499</v>
      </c>
      <c r="CH284" s="772">
        <v>16.090908133615741</v>
      </c>
      <c r="CI284" s="772">
        <v>16.181236458134475</v>
      </c>
      <c r="CJ284" s="772">
        <v>16.272071851995889</v>
      </c>
      <c r="CK284" s="772">
        <v>16.363417161697122</v>
      </c>
      <c r="CL284" s="771">
        <v>0</v>
      </c>
      <c r="CM284" s="771">
        <v>0</v>
      </c>
      <c r="CN284" s="771">
        <v>0</v>
      </c>
      <c r="CO284" s="772">
        <v>0</v>
      </c>
      <c r="CP284" s="772">
        <v>0</v>
      </c>
      <c r="CQ284" s="772">
        <v>0</v>
      </c>
      <c r="CR284" s="772">
        <v>0</v>
      </c>
      <c r="CS284" s="772">
        <v>0</v>
      </c>
      <c r="CT284" s="772">
        <v>0</v>
      </c>
      <c r="CU284" s="772">
        <v>0</v>
      </c>
      <c r="CV284" s="772">
        <v>0</v>
      </c>
      <c r="CW284" s="772">
        <v>0</v>
      </c>
      <c r="CX284" s="772">
        <v>0</v>
      </c>
      <c r="CY284" s="772">
        <v>0</v>
      </c>
      <c r="CZ284" s="772">
        <v>0</v>
      </c>
      <c r="DA284" s="773">
        <v>2.23689996918215E-2</v>
      </c>
      <c r="DB284" s="773">
        <v>2.2652141440876575E-2</v>
      </c>
      <c r="DC284" s="773">
        <v>2.2938867134281539E-2</v>
      </c>
      <c r="DD284" s="774">
        <v>2.2788054147191057E-2</v>
      </c>
      <c r="DE284" s="774">
        <v>2.2638232689322219E-2</v>
      </c>
      <c r="DF284" s="774">
        <v>2.2800749516894807E-2</v>
      </c>
      <c r="DG284" s="774">
        <v>2.2964433030913584E-2</v>
      </c>
      <c r="DH284" s="774">
        <v>2.3129291606863622E-2</v>
      </c>
      <c r="DI284" s="774">
        <v>2.3295333680356477E-2</v>
      </c>
      <c r="DJ284" s="774">
        <v>2.3462567747561822E-2</v>
      </c>
      <c r="DK284" s="774">
        <v>2.3594277804939938E-2</v>
      </c>
      <c r="DL284" s="774">
        <v>2.3726727233191743E-2</v>
      </c>
      <c r="DM284" s="774">
        <v>2.3859920182868082E-2</v>
      </c>
      <c r="DN284" s="774">
        <v>2.3993860827819423E-2</v>
      </c>
      <c r="DO284" s="774">
        <v>2.4128553365326662E-2</v>
      </c>
      <c r="DP284" s="773">
        <v>0</v>
      </c>
      <c r="DQ284" s="773">
        <v>0</v>
      </c>
      <c r="DR284" s="773">
        <v>0</v>
      </c>
      <c r="DS284" s="774">
        <v>0</v>
      </c>
      <c r="DT284" s="774">
        <v>0</v>
      </c>
      <c r="DU284" s="774">
        <v>0</v>
      </c>
      <c r="DV284" s="774">
        <v>0</v>
      </c>
      <c r="DW284" s="774">
        <v>0</v>
      </c>
      <c r="DX284" s="774">
        <v>0</v>
      </c>
      <c r="DY284" s="774">
        <v>0</v>
      </c>
      <c r="DZ284" s="774">
        <v>0</v>
      </c>
      <c r="EA284" s="774">
        <v>0</v>
      </c>
      <c r="EB284" s="774">
        <v>0</v>
      </c>
      <c r="EC284" s="774">
        <v>0</v>
      </c>
      <c r="ED284" s="774">
        <v>0</v>
      </c>
    </row>
    <row r="285" spans="1:134" ht="15" x14ac:dyDescent="0.25">
      <c r="A285" s="766">
        <v>129</v>
      </c>
      <c r="B285" s="766">
        <v>97</v>
      </c>
      <c r="C285" s="766" t="s">
        <v>3956</v>
      </c>
      <c r="D285" s="2">
        <v>99712</v>
      </c>
      <c r="E285" s="2">
        <v>99712</v>
      </c>
      <c r="F285" s="767" t="s">
        <v>3676</v>
      </c>
      <c r="G285" s="114">
        <v>14</v>
      </c>
      <c r="H285" s="114">
        <v>6</v>
      </c>
      <c r="I285" s="114">
        <v>6</v>
      </c>
      <c r="J285" s="114">
        <v>0</v>
      </c>
      <c r="K285" s="114">
        <v>0</v>
      </c>
      <c r="L285" s="114">
        <v>60</v>
      </c>
      <c r="M285" s="114">
        <v>60</v>
      </c>
      <c r="N285" s="114">
        <v>0</v>
      </c>
      <c r="O285" s="114">
        <v>0</v>
      </c>
      <c r="P285" s="114">
        <v>0</v>
      </c>
      <c r="Q285" s="114">
        <v>60</v>
      </c>
      <c r="R285" s="114">
        <v>0</v>
      </c>
      <c r="S285" s="114">
        <v>1559.2</v>
      </c>
      <c r="T285" s="114">
        <v>1559.2</v>
      </c>
      <c r="U285" s="114">
        <v>0</v>
      </c>
      <c r="V285" s="114">
        <v>0</v>
      </c>
      <c r="W285" s="114">
        <v>0</v>
      </c>
      <c r="X285" s="114">
        <v>1559.2</v>
      </c>
      <c r="Y285" s="114">
        <v>0</v>
      </c>
      <c r="Z285" s="114">
        <v>6</v>
      </c>
      <c r="AA285" s="114">
        <v>0</v>
      </c>
      <c r="AB285" s="657">
        <v>0</v>
      </c>
      <c r="AC285" s="657">
        <v>0</v>
      </c>
      <c r="AD285" s="768">
        <v>6</v>
      </c>
      <c r="AE285" s="769">
        <v>0</v>
      </c>
      <c r="AF285" s="769">
        <v>6</v>
      </c>
      <c r="AG285" s="770">
        <v>6</v>
      </c>
      <c r="AH285" s="769">
        <v>0</v>
      </c>
      <c r="AI285" s="769">
        <v>0</v>
      </c>
      <c r="AJ285" s="769">
        <v>5.4546854708744297</v>
      </c>
      <c r="AK285" s="769">
        <v>5.4546854708744297</v>
      </c>
      <c r="AL285" s="769">
        <v>0</v>
      </c>
      <c r="AM285" s="769">
        <v>0</v>
      </c>
      <c r="AN285" s="769">
        <v>5.4747246623274552</v>
      </c>
      <c r="AO285" s="769">
        <v>5.4747246623274552</v>
      </c>
      <c r="AP285" s="769">
        <v>0</v>
      </c>
      <c r="AQ285" s="769">
        <v>0</v>
      </c>
      <c r="AR285" s="769">
        <v>0</v>
      </c>
      <c r="AS285" s="769">
        <v>4.9589322643614322</v>
      </c>
      <c r="AT285" s="769">
        <v>5.2009052840311121</v>
      </c>
      <c r="AU285" s="769">
        <v>5.4546854708744297</v>
      </c>
      <c r="AV285" s="769">
        <v>5.7208489601847186</v>
      </c>
      <c r="AW285" s="769">
        <v>6</v>
      </c>
      <c r="AX285" s="769">
        <v>4.995435021382745</v>
      </c>
      <c r="AY285" s="769">
        <v>5.2295918875776906</v>
      </c>
      <c r="AZ285" s="769">
        <v>5.4747246623274552</v>
      </c>
      <c r="BA285" s="769">
        <v>5.731347832226267</v>
      </c>
      <c r="BB285" s="769">
        <v>6</v>
      </c>
      <c r="BC285" s="769">
        <v>0</v>
      </c>
      <c r="BD285" s="769">
        <v>0</v>
      </c>
      <c r="BE285" s="769">
        <v>0</v>
      </c>
      <c r="BF285" s="769">
        <v>0</v>
      </c>
      <c r="BG285" s="769">
        <v>0</v>
      </c>
      <c r="BH285" s="771">
        <v>6.0759466457032323</v>
      </c>
      <c r="BI285" s="771">
        <v>6.1528546069053931</v>
      </c>
      <c r="BJ285" s="771">
        <v>6.2307360517210837</v>
      </c>
      <c r="BK285" s="772">
        <v>6.1897716958864359</v>
      </c>
      <c r="BL285" s="772">
        <v>6.1490766627184863</v>
      </c>
      <c r="BM285" s="772">
        <v>6.1932200570125557</v>
      </c>
      <c r="BN285" s="772">
        <v>6.2376803507968557</v>
      </c>
      <c r="BO285" s="772">
        <v>6.282459819050203</v>
      </c>
      <c r="BP285" s="772">
        <v>6.3275607530831799</v>
      </c>
      <c r="BQ285" s="772">
        <v>6.3729854606553795</v>
      </c>
      <c r="BR285" s="772">
        <v>6.4087610112994495</v>
      </c>
      <c r="BS285" s="772">
        <v>6.4447373924697757</v>
      </c>
      <c r="BT285" s="772">
        <v>6.4809157315536261</v>
      </c>
      <c r="BU285" s="772">
        <v>6.5172971622669973</v>
      </c>
      <c r="BV285" s="772">
        <v>6.5538828246901399</v>
      </c>
      <c r="BW285" s="771">
        <v>6.0759466457032323</v>
      </c>
      <c r="BX285" s="771">
        <v>6.1528546069053931</v>
      </c>
      <c r="BY285" s="771">
        <v>6.2307360517210837</v>
      </c>
      <c r="BZ285" s="772">
        <v>6.1897716958864359</v>
      </c>
      <c r="CA285" s="772">
        <v>6.1490766627184863</v>
      </c>
      <c r="CB285" s="772">
        <v>6.1932200570125557</v>
      </c>
      <c r="CC285" s="772">
        <v>6.2376803507968557</v>
      </c>
      <c r="CD285" s="772">
        <v>6.282459819050203</v>
      </c>
      <c r="CE285" s="772">
        <v>6.3275607530831799</v>
      </c>
      <c r="CF285" s="772">
        <v>6.3729854606553795</v>
      </c>
      <c r="CG285" s="772">
        <v>6.4087610112994495</v>
      </c>
      <c r="CH285" s="772">
        <v>6.4447373924697757</v>
      </c>
      <c r="CI285" s="772">
        <v>6.4809157315536261</v>
      </c>
      <c r="CJ285" s="772">
        <v>6.5172971622669973</v>
      </c>
      <c r="CK285" s="772">
        <v>6.5538828246901399</v>
      </c>
      <c r="CL285" s="771">
        <v>0</v>
      </c>
      <c r="CM285" s="771">
        <v>0</v>
      </c>
      <c r="CN285" s="771">
        <v>0</v>
      </c>
      <c r="CO285" s="772">
        <v>0</v>
      </c>
      <c r="CP285" s="772">
        <v>0</v>
      </c>
      <c r="CQ285" s="772">
        <v>0</v>
      </c>
      <c r="CR285" s="772">
        <v>0</v>
      </c>
      <c r="CS285" s="772">
        <v>0</v>
      </c>
      <c r="CT285" s="772">
        <v>0</v>
      </c>
      <c r="CU285" s="772">
        <v>0</v>
      </c>
      <c r="CV285" s="772">
        <v>0</v>
      </c>
      <c r="CW285" s="772">
        <v>0</v>
      </c>
      <c r="CX285" s="772">
        <v>0</v>
      </c>
      <c r="CY285" s="772">
        <v>0</v>
      </c>
      <c r="CZ285" s="772">
        <v>0</v>
      </c>
      <c r="DA285" s="773">
        <v>0</v>
      </c>
      <c r="DB285" s="773">
        <v>0</v>
      </c>
      <c r="DC285" s="773">
        <v>0</v>
      </c>
      <c r="DD285" s="774">
        <v>0</v>
      </c>
      <c r="DE285" s="774">
        <v>0</v>
      </c>
      <c r="DF285" s="774">
        <v>0</v>
      </c>
      <c r="DG285" s="774">
        <v>0</v>
      </c>
      <c r="DH285" s="774">
        <v>0</v>
      </c>
      <c r="DI285" s="774">
        <v>0</v>
      </c>
      <c r="DJ285" s="774">
        <v>0</v>
      </c>
      <c r="DK285" s="774">
        <v>0</v>
      </c>
      <c r="DL285" s="774">
        <v>0</v>
      </c>
      <c r="DM285" s="774">
        <v>0</v>
      </c>
      <c r="DN285" s="774">
        <v>0</v>
      </c>
      <c r="DO285" s="774">
        <v>0</v>
      </c>
      <c r="DP285" s="773">
        <v>0</v>
      </c>
      <c r="DQ285" s="773">
        <v>0</v>
      </c>
      <c r="DR285" s="773">
        <v>0</v>
      </c>
      <c r="DS285" s="774">
        <v>0</v>
      </c>
      <c r="DT285" s="774">
        <v>0</v>
      </c>
      <c r="DU285" s="774">
        <v>0</v>
      </c>
      <c r="DV285" s="774">
        <v>0</v>
      </c>
      <c r="DW285" s="774">
        <v>0</v>
      </c>
      <c r="DX285" s="774">
        <v>0</v>
      </c>
      <c r="DY285" s="774">
        <v>0</v>
      </c>
      <c r="DZ285" s="774">
        <v>0</v>
      </c>
      <c r="EA285" s="774">
        <v>0</v>
      </c>
      <c r="EB285" s="774">
        <v>0</v>
      </c>
      <c r="EC285" s="774">
        <v>0</v>
      </c>
      <c r="ED285" s="774">
        <v>0</v>
      </c>
    </row>
    <row r="286" spans="1:134" ht="15" x14ac:dyDescent="0.25">
      <c r="A286" s="766">
        <v>132</v>
      </c>
      <c r="B286" s="766">
        <v>97</v>
      </c>
      <c r="C286" s="766" t="s">
        <v>3957</v>
      </c>
      <c r="D286" s="2">
        <v>99712</v>
      </c>
      <c r="E286" s="2">
        <v>99712</v>
      </c>
      <c r="F286" s="767" t="s">
        <v>3676</v>
      </c>
      <c r="G286" s="114">
        <v>79</v>
      </c>
      <c r="H286" s="114">
        <v>43</v>
      </c>
      <c r="I286" s="114">
        <v>34</v>
      </c>
      <c r="J286" s="114">
        <v>9</v>
      </c>
      <c r="K286" s="114">
        <v>0</v>
      </c>
      <c r="L286" s="114">
        <v>34</v>
      </c>
      <c r="M286" s="114">
        <v>34</v>
      </c>
      <c r="N286" s="114">
        <v>0</v>
      </c>
      <c r="O286" s="114">
        <v>0</v>
      </c>
      <c r="P286" s="114">
        <v>0</v>
      </c>
      <c r="Q286" s="114">
        <v>34</v>
      </c>
      <c r="R286" s="114">
        <v>0</v>
      </c>
      <c r="S286" s="114">
        <v>1787.6764705882354</v>
      </c>
      <c r="T286" s="114">
        <v>1787.6764705882354</v>
      </c>
      <c r="U286" s="114">
        <v>0</v>
      </c>
      <c r="V286" s="114">
        <v>0</v>
      </c>
      <c r="W286" s="114">
        <v>0</v>
      </c>
      <c r="X286" s="114">
        <v>1787.6764705882354</v>
      </c>
      <c r="Y286" s="114">
        <v>0</v>
      </c>
      <c r="Z286" s="114">
        <v>43</v>
      </c>
      <c r="AA286" s="114">
        <v>0</v>
      </c>
      <c r="AB286" s="657">
        <v>0</v>
      </c>
      <c r="AC286" s="657">
        <v>0</v>
      </c>
      <c r="AD286" s="768">
        <v>43</v>
      </c>
      <c r="AE286" s="769">
        <v>0</v>
      </c>
      <c r="AF286" s="769">
        <v>34</v>
      </c>
      <c r="AG286" s="770">
        <v>34</v>
      </c>
      <c r="AH286" s="769">
        <v>0</v>
      </c>
      <c r="AI286" s="769">
        <v>0</v>
      </c>
      <c r="AJ286" s="769">
        <v>39.091912541266744</v>
      </c>
      <c r="AK286" s="769">
        <v>39.091912541266744</v>
      </c>
      <c r="AL286" s="769">
        <v>0</v>
      </c>
      <c r="AM286" s="769">
        <v>0</v>
      </c>
      <c r="AN286" s="769">
        <v>31.023439753188914</v>
      </c>
      <c r="AO286" s="769">
        <v>31.023439753188914</v>
      </c>
      <c r="AP286" s="769">
        <v>0</v>
      </c>
      <c r="AQ286" s="769">
        <v>0</v>
      </c>
      <c r="AR286" s="769">
        <v>0</v>
      </c>
      <c r="AS286" s="769">
        <v>35.539014561256934</v>
      </c>
      <c r="AT286" s="769">
        <v>37.273154535556309</v>
      </c>
      <c r="AU286" s="769">
        <v>39.091912541266744</v>
      </c>
      <c r="AV286" s="769">
        <v>40.999417547990483</v>
      </c>
      <c r="AW286" s="769">
        <v>43</v>
      </c>
      <c r="AX286" s="769">
        <v>28.307465121168889</v>
      </c>
      <c r="AY286" s="769">
        <v>29.634354029606914</v>
      </c>
      <c r="AZ286" s="769">
        <v>31.023439753188914</v>
      </c>
      <c r="BA286" s="769">
        <v>32.477637715948852</v>
      </c>
      <c r="BB286" s="769">
        <v>34</v>
      </c>
      <c r="BC286" s="769">
        <v>0</v>
      </c>
      <c r="BD286" s="769">
        <v>0</v>
      </c>
      <c r="BE286" s="769">
        <v>0</v>
      </c>
      <c r="BF286" s="769">
        <v>0</v>
      </c>
      <c r="BG286" s="769">
        <v>0</v>
      </c>
      <c r="BH286" s="771">
        <v>43.544284294206498</v>
      </c>
      <c r="BI286" s="771">
        <v>44.095458016155312</v>
      </c>
      <c r="BJ286" s="771">
        <v>44.653608370667769</v>
      </c>
      <c r="BK286" s="772">
        <v>44.360030487186123</v>
      </c>
      <c r="BL286" s="772">
        <v>44.068382749482488</v>
      </c>
      <c r="BM286" s="772">
        <v>44.384743741923323</v>
      </c>
      <c r="BN286" s="772">
        <v>44.703375847377465</v>
      </c>
      <c r="BO286" s="772">
        <v>45.024295369859786</v>
      </c>
      <c r="BP286" s="772">
        <v>45.347518730429456</v>
      </c>
      <c r="BQ286" s="772">
        <v>45.673062468030224</v>
      </c>
      <c r="BR286" s="772">
        <v>45.929453914312724</v>
      </c>
      <c r="BS286" s="772">
        <v>46.187284646033397</v>
      </c>
      <c r="BT286" s="772">
        <v>46.446562742800992</v>
      </c>
      <c r="BU286" s="772">
        <v>46.707296329580153</v>
      </c>
      <c r="BV286" s="772">
        <v>46.969493576946007</v>
      </c>
      <c r="BW286" s="771">
        <v>34.430364325651652</v>
      </c>
      <c r="BX286" s="771">
        <v>34.866176105797223</v>
      </c>
      <c r="BY286" s="771">
        <v>35.30750429308614</v>
      </c>
      <c r="BZ286" s="772">
        <v>35.07537294335647</v>
      </c>
      <c r="CA286" s="772">
        <v>34.844767755404753</v>
      </c>
      <c r="CB286" s="772">
        <v>35.094913656404479</v>
      </c>
      <c r="CC286" s="772">
        <v>35.346855321182183</v>
      </c>
      <c r="CD286" s="772">
        <v>35.600605641284481</v>
      </c>
      <c r="CE286" s="772">
        <v>35.856177600804685</v>
      </c>
      <c r="CF286" s="772">
        <v>36.113584277047153</v>
      </c>
      <c r="CG286" s="772">
        <v>36.316312397363546</v>
      </c>
      <c r="CH286" s="772">
        <v>36.520178557328727</v>
      </c>
      <c r="CI286" s="772">
        <v>36.725189145470551</v>
      </c>
      <c r="CJ286" s="772">
        <v>36.931350586179654</v>
      </c>
      <c r="CK286" s="772">
        <v>37.138669339910791</v>
      </c>
      <c r="CL286" s="771">
        <v>0</v>
      </c>
      <c r="CM286" s="771">
        <v>0</v>
      </c>
      <c r="CN286" s="771">
        <v>0</v>
      </c>
      <c r="CO286" s="772">
        <v>0</v>
      </c>
      <c r="CP286" s="772">
        <v>0</v>
      </c>
      <c r="CQ286" s="772">
        <v>0</v>
      </c>
      <c r="CR286" s="772">
        <v>0</v>
      </c>
      <c r="CS286" s="772">
        <v>0</v>
      </c>
      <c r="CT286" s="772">
        <v>0</v>
      </c>
      <c r="CU286" s="772">
        <v>0</v>
      </c>
      <c r="CV286" s="772">
        <v>0</v>
      </c>
      <c r="CW286" s="772">
        <v>0</v>
      </c>
      <c r="CX286" s="772">
        <v>0</v>
      </c>
      <c r="CY286" s="772">
        <v>0</v>
      </c>
      <c r="CZ286" s="772">
        <v>0</v>
      </c>
      <c r="DA286" s="773">
        <v>0</v>
      </c>
      <c r="DB286" s="773">
        <v>0</v>
      </c>
      <c r="DC286" s="773">
        <v>0</v>
      </c>
      <c r="DD286" s="774">
        <v>0</v>
      </c>
      <c r="DE286" s="774">
        <v>0</v>
      </c>
      <c r="DF286" s="774">
        <v>0</v>
      </c>
      <c r="DG286" s="774">
        <v>0</v>
      </c>
      <c r="DH286" s="774">
        <v>0</v>
      </c>
      <c r="DI286" s="774">
        <v>0</v>
      </c>
      <c r="DJ286" s="774">
        <v>0</v>
      </c>
      <c r="DK286" s="774">
        <v>0</v>
      </c>
      <c r="DL286" s="774">
        <v>0</v>
      </c>
      <c r="DM286" s="774">
        <v>0</v>
      </c>
      <c r="DN286" s="774">
        <v>0</v>
      </c>
      <c r="DO286" s="774">
        <v>0</v>
      </c>
      <c r="DP286" s="773">
        <v>0</v>
      </c>
      <c r="DQ286" s="773">
        <v>0</v>
      </c>
      <c r="DR286" s="773">
        <v>0</v>
      </c>
      <c r="DS286" s="774">
        <v>0</v>
      </c>
      <c r="DT286" s="774">
        <v>0</v>
      </c>
      <c r="DU286" s="774">
        <v>0</v>
      </c>
      <c r="DV286" s="774">
        <v>0</v>
      </c>
      <c r="DW286" s="774">
        <v>0</v>
      </c>
      <c r="DX286" s="774">
        <v>0</v>
      </c>
      <c r="DY286" s="774">
        <v>0</v>
      </c>
      <c r="DZ286" s="774">
        <v>0</v>
      </c>
      <c r="EA286" s="774">
        <v>0</v>
      </c>
      <c r="EB286" s="774">
        <v>0</v>
      </c>
      <c r="EC286" s="774">
        <v>0</v>
      </c>
      <c r="ED286" s="774">
        <v>0</v>
      </c>
    </row>
    <row r="287" spans="1:134" ht="15" x14ac:dyDescent="0.25">
      <c r="A287" s="766">
        <v>133</v>
      </c>
      <c r="B287" s="766">
        <v>97</v>
      </c>
      <c r="C287" s="766" t="s">
        <v>3958</v>
      </c>
      <c r="D287" s="2">
        <v>99712</v>
      </c>
      <c r="E287" s="2">
        <v>99712</v>
      </c>
      <c r="F287" s="767" t="s">
        <v>3676</v>
      </c>
      <c r="G287" s="114">
        <v>14</v>
      </c>
      <c r="H287" s="114">
        <v>7</v>
      </c>
      <c r="I287" s="114">
        <v>5</v>
      </c>
      <c r="J287" s="114">
        <v>2</v>
      </c>
      <c r="K287" s="114">
        <v>0</v>
      </c>
      <c r="L287" s="114">
        <v>10</v>
      </c>
      <c r="M287" s="114">
        <v>10</v>
      </c>
      <c r="N287" s="114">
        <v>0</v>
      </c>
      <c r="O287" s="114">
        <v>0</v>
      </c>
      <c r="P287" s="114">
        <v>0</v>
      </c>
      <c r="Q287" s="114">
        <v>10</v>
      </c>
      <c r="R287" s="114">
        <v>0</v>
      </c>
      <c r="S287" s="114">
        <v>1791.7</v>
      </c>
      <c r="T287" s="114">
        <v>1791.7</v>
      </c>
      <c r="U287" s="114">
        <v>0</v>
      </c>
      <c r="V287" s="114">
        <v>0</v>
      </c>
      <c r="W287" s="114">
        <v>0</v>
      </c>
      <c r="X287" s="114">
        <v>1791.7</v>
      </c>
      <c r="Y287" s="114">
        <v>0</v>
      </c>
      <c r="Z287" s="114">
        <v>7</v>
      </c>
      <c r="AA287" s="114">
        <v>0</v>
      </c>
      <c r="AB287" s="657">
        <v>0</v>
      </c>
      <c r="AC287" s="657">
        <v>0</v>
      </c>
      <c r="AD287" s="768">
        <v>7</v>
      </c>
      <c r="AE287" s="769">
        <v>0</v>
      </c>
      <c r="AF287" s="769">
        <v>5</v>
      </c>
      <c r="AG287" s="770">
        <v>5</v>
      </c>
      <c r="AH287" s="769">
        <v>0</v>
      </c>
      <c r="AI287" s="769">
        <v>0</v>
      </c>
      <c r="AJ287" s="769">
        <v>6.3637997160201678</v>
      </c>
      <c r="AK287" s="769">
        <v>6.3637997160201678</v>
      </c>
      <c r="AL287" s="769">
        <v>0</v>
      </c>
      <c r="AM287" s="769">
        <v>0</v>
      </c>
      <c r="AN287" s="769">
        <v>4.5622705519395463</v>
      </c>
      <c r="AO287" s="769">
        <v>4.5622705519395463</v>
      </c>
      <c r="AP287" s="769">
        <v>0</v>
      </c>
      <c r="AQ287" s="769">
        <v>0</v>
      </c>
      <c r="AR287" s="769">
        <v>0</v>
      </c>
      <c r="AS287" s="769">
        <v>5.7854209750883383</v>
      </c>
      <c r="AT287" s="769">
        <v>6.0677228313696316</v>
      </c>
      <c r="AU287" s="769">
        <v>6.3637997160201678</v>
      </c>
      <c r="AV287" s="769">
        <v>6.6743237868821721</v>
      </c>
      <c r="AW287" s="769">
        <v>7</v>
      </c>
      <c r="AX287" s="769">
        <v>4.1628625178189544</v>
      </c>
      <c r="AY287" s="769">
        <v>4.3579932396480761</v>
      </c>
      <c r="AZ287" s="769">
        <v>4.5622705519395463</v>
      </c>
      <c r="BA287" s="769">
        <v>4.7761231935218893</v>
      </c>
      <c r="BB287" s="769">
        <v>5</v>
      </c>
      <c r="BC287" s="769">
        <v>0</v>
      </c>
      <c r="BD287" s="769">
        <v>0</v>
      </c>
      <c r="BE287" s="769">
        <v>0</v>
      </c>
      <c r="BF287" s="769">
        <v>0</v>
      </c>
      <c r="BG287" s="769">
        <v>0</v>
      </c>
      <c r="BH287" s="771">
        <v>7.0886044199871048</v>
      </c>
      <c r="BI287" s="771">
        <v>7.1783303747229583</v>
      </c>
      <c r="BJ287" s="771">
        <v>7.2691920603412647</v>
      </c>
      <c r="BK287" s="772">
        <v>7.2214003118675087</v>
      </c>
      <c r="BL287" s="772">
        <v>7.1739227731715678</v>
      </c>
      <c r="BM287" s="772">
        <v>7.2254233998479824</v>
      </c>
      <c r="BN287" s="772">
        <v>7.2772937425963322</v>
      </c>
      <c r="BO287" s="772">
        <v>7.3295364555585705</v>
      </c>
      <c r="BP287" s="772">
        <v>7.3821542119303762</v>
      </c>
      <c r="BQ287" s="772">
        <v>7.4351497040979435</v>
      </c>
      <c r="BR287" s="772">
        <v>7.4768878465160249</v>
      </c>
      <c r="BS287" s="772">
        <v>7.5188602912147386</v>
      </c>
      <c r="BT287" s="772">
        <v>7.5610683534792313</v>
      </c>
      <c r="BU287" s="772">
        <v>7.6035133559781647</v>
      </c>
      <c r="BV287" s="772">
        <v>7.6461966288051642</v>
      </c>
      <c r="BW287" s="771">
        <v>5.0632888714193598</v>
      </c>
      <c r="BX287" s="771">
        <v>5.127378839087827</v>
      </c>
      <c r="BY287" s="771">
        <v>5.1922800431009026</v>
      </c>
      <c r="BZ287" s="772">
        <v>5.1581430799053622</v>
      </c>
      <c r="CA287" s="772">
        <v>5.1242305522654048</v>
      </c>
      <c r="CB287" s="772">
        <v>5.1610167141771299</v>
      </c>
      <c r="CC287" s="772">
        <v>5.1980669589973791</v>
      </c>
      <c r="CD287" s="772">
        <v>5.2353831825418355</v>
      </c>
      <c r="CE287" s="772">
        <v>5.2729672942359826</v>
      </c>
      <c r="CF287" s="772">
        <v>5.3108212172128164</v>
      </c>
      <c r="CG287" s="772">
        <v>5.3406341760828742</v>
      </c>
      <c r="CH287" s="772">
        <v>5.3706144937248128</v>
      </c>
      <c r="CI287" s="772">
        <v>5.4007631096280218</v>
      </c>
      <c r="CJ287" s="772">
        <v>5.4310809685558308</v>
      </c>
      <c r="CK287" s="772">
        <v>5.4615690205751166</v>
      </c>
      <c r="CL287" s="771">
        <v>0</v>
      </c>
      <c r="CM287" s="771">
        <v>0</v>
      </c>
      <c r="CN287" s="771">
        <v>0</v>
      </c>
      <c r="CO287" s="772">
        <v>0</v>
      </c>
      <c r="CP287" s="772">
        <v>0</v>
      </c>
      <c r="CQ287" s="772">
        <v>0</v>
      </c>
      <c r="CR287" s="772">
        <v>0</v>
      </c>
      <c r="CS287" s="772">
        <v>0</v>
      </c>
      <c r="CT287" s="772">
        <v>0</v>
      </c>
      <c r="CU287" s="772">
        <v>0</v>
      </c>
      <c r="CV287" s="772">
        <v>0</v>
      </c>
      <c r="CW287" s="772">
        <v>0</v>
      </c>
      <c r="CX287" s="772">
        <v>0</v>
      </c>
      <c r="CY287" s="772">
        <v>0</v>
      </c>
      <c r="CZ287" s="772">
        <v>0</v>
      </c>
      <c r="DA287" s="773">
        <v>0</v>
      </c>
      <c r="DB287" s="773">
        <v>0</v>
      </c>
      <c r="DC287" s="773">
        <v>0</v>
      </c>
      <c r="DD287" s="774">
        <v>0</v>
      </c>
      <c r="DE287" s="774">
        <v>0</v>
      </c>
      <c r="DF287" s="774">
        <v>0</v>
      </c>
      <c r="DG287" s="774">
        <v>0</v>
      </c>
      <c r="DH287" s="774">
        <v>0</v>
      </c>
      <c r="DI287" s="774">
        <v>0</v>
      </c>
      <c r="DJ287" s="774">
        <v>0</v>
      </c>
      <c r="DK287" s="774">
        <v>0</v>
      </c>
      <c r="DL287" s="774">
        <v>0</v>
      </c>
      <c r="DM287" s="774">
        <v>0</v>
      </c>
      <c r="DN287" s="774">
        <v>0</v>
      </c>
      <c r="DO287" s="774">
        <v>0</v>
      </c>
      <c r="DP287" s="773">
        <v>0</v>
      </c>
      <c r="DQ287" s="773">
        <v>0</v>
      </c>
      <c r="DR287" s="773">
        <v>0</v>
      </c>
      <c r="DS287" s="774">
        <v>0</v>
      </c>
      <c r="DT287" s="774">
        <v>0</v>
      </c>
      <c r="DU287" s="774">
        <v>0</v>
      </c>
      <c r="DV287" s="774">
        <v>0</v>
      </c>
      <c r="DW287" s="774">
        <v>0</v>
      </c>
      <c r="DX287" s="774">
        <v>0</v>
      </c>
      <c r="DY287" s="774">
        <v>0</v>
      </c>
      <c r="DZ287" s="774">
        <v>0</v>
      </c>
      <c r="EA287" s="774">
        <v>0</v>
      </c>
      <c r="EB287" s="774">
        <v>0</v>
      </c>
      <c r="EC287" s="774">
        <v>0</v>
      </c>
      <c r="ED287" s="774">
        <v>0</v>
      </c>
    </row>
    <row r="288" spans="1:134" ht="15" x14ac:dyDescent="0.25">
      <c r="A288" s="766">
        <v>134</v>
      </c>
      <c r="B288" s="766">
        <v>97</v>
      </c>
      <c r="C288" s="766" t="s">
        <v>3959</v>
      </c>
      <c r="D288" s="2">
        <v>99712</v>
      </c>
      <c r="E288" s="2">
        <v>99712</v>
      </c>
      <c r="F288" s="767" t="s">
        <v>3676</v>
      </c>
      <c r="G288" s="114">
        <v>19</v>
      </c>
      <c r="H288" s="114">
        <v>7</v>
      </c>
      <c r="I288" s="114">
        <v>7</v>
      </c>
      <c r="J288" s="114">
        <v>0</v>
      </c>
      <c r="K288" s="114">
        <v>0</v>
      </c>
      <c r="L288" s="114">
        <v>18</v>
      </c>
      <c r="M288" s="114">
        <v>18</v>
      </c>
      <c r="N288" s="114">
        <v>0</v>
      </c>
      <c r="O288" s="114">
        <v>0</v>
      </c>
      <c r="P288" s="114">
        <v>0</v>
      </c>
      <c r="Q288" s="114">
        <v>18</v>
      </c>
      <c r="R288" s="114">
        <v>0</v>
      </c>
      <c r="S288" s="114">
        <v>2543.6111111111113</v>
      </c>
      <c r="T288" s="114">
        <v>2543.6111111111113</v>
      </c>
      <c r="U288" s="114">
        <v>0</v>
      </c>
      <c r="V288" s="114">
        <v>0</v>
      </c>
      <c r="W288" s="114">
        <v>0</v>
      </c>
      <c r="X288" s="114">
        <v>2543.6111111111113</v>
      </c>
      <c r="Y288" s="114">
        <v>0</v>
      </c>
      <c r="Z288" s="114">
        <v>7</v>
      </c>
      <c r="AA288" s="114">
        <v>0</v>
      </c>
      <c r="AB288" s="657">
        <v>0</v>
      </c>
      <c r="AC288" s="657">
        <v>0</v>
      </c>
      <c r="AD288" s="768">
        <v>7</v>
      </c>
      <c r="AE288" s="769">
        <v>0</v>
      </c>
      <c r="AF288" s="769">
        <v>7</v>
      </c>
      <c r="AG288" s="770">
        <v>7</v>
      </c>
      <c r="AH288" s="769">
        <v>0</v>
      </c>
      <c r="AI288" s="769">
        <v>0</v>
      </c>
      <c r="AJ288" s="769">
        <v>6.3637997160201678</v>
      </c>
      <c r="AK288" s="769">
        <v>6.3637997160201678</v>
      </c>
      <c r="AL288" s="769">
        <v>0</v>
      </c>
      <c r="AM288" s="769">
        <v>0</v>
      </c>
      <c r="AN288" s="769">
        <v>6.387178772715365</v>
      </c>
      <c r="AO288" s="769">
        <v>6.387178772715365</v>
      </c>
      <c r="AP288" s="769">
        <v>0</v>
      </c>
      <c r="AQ288" s="769">
        <v>0</v>
      </c>
      <c r="AR288" s="769">
        <v>0</v>
      </c>
      <c r="AS288" s="769">
        <v>5.7854209750883383</v>
      </c>
      <c r="AT288" s="769">
        <v>6.0677228313696316</v>
      </c>
      <c r="AU288" s="769">
        <v>6.3637997160201678</v>
      </c>
      <c r="AV288" s="769">
        <v>6.6743237868821721</v>
      </c>
      <c r="AW288" s="769">
        <v>7</v>
      </c>
      <c r="AX288" s="769">
        <v>5.8280075249465364</v>
      </c>
      <c r="AY288" s="769">
        <v>6.1011905355073059</v>
      </c>
      <c r="AZ288" s="769">
        <v>6.387178772715365</v>
      </c>
      <c r="BA288" s="769">
        <v>6.6865724709306456</v>
      </c>
      <c r="BB288" s="769">
        <v>7</v>
      </c>
      <c r="BC288" s="769">
        <v>0</v>
      </c>
      <c r="BD288" s="769">
        <v>0</v>
      </c>
      <c r="BE288" s="769">
        <v>0</v>
      </c>
      <c r="BF288" s="769">
        <v>0</v>
      </c>
      <c r="BG288" s="769">
        <v>0</v>
      </c>
      <c r="BH288" s="771">
        <v>7.0886044199871048</v>
      </c>
      <c r="BI288" s="771">
        <v>7.1783303747229583</v>
      </c>
      <c r="BJ288" s="771">
        <v>7.2691920603412647</v>
      </c>
      <c r="BK288" s="772">
        <v>7.2214003118675087</v>
      </c>
      <c r="BL288" s="772">
        <v>7.1739227731715678</v>
      </c>
      <c r="BM288" s="772">
        <v>7.2254233998479824</v>
      </c>
      <c r="BN288" s="772">
        <v>7.2772937425963322</v>
      </c>
      <c r="BO288" s="772">
        <v>7.3295364555585705</v>
      </c>
      <c r="BP288" s="772">
        <v>7.3821542119303762</v>
      </c>
      <c r="BQ288" s="772">
        <v>7.4351497040979435</v>
      </c>
      <c r="BR288" s="772">
        <v>7.4768878465160249</v>
      </c>
      <c r="BS288" s="772">
        <v>7.5188602912147386</v>
      </c>
      <c r="BT288" s="772">
        <v>7.5610683534792313</v>
      </c>
      <c r="BU288" s="772">
        <v>7.6035133559781647</v>
      </c>
      <c r="BV288" s="772">
        <v>7.6461966288051642</v>
      </c>
      <c r="BW288" s="771">
        <v>7.0886044199871048</v>
      </c>
      <c r="BX288" s="771">
        <v>7.1783303747229583</v>
      </c>
      <c r="BY288" s="771">
        <v>7.2691920603412647</v>
      </c>
      <c r="BZ288" s="772">
        <v>7.2214003118675087</v>
      </c>
      <c r="CA288" s="772">
        <v>7.1739227731715678</v>
      </c>
      <c r="CB288" s="772">
        <v>7.2254233998479824</v>
      </c>
      <c r="CC288" s="772">
        <v>7.2772937425963322</v>
      </c>
      <c r="CD288" s="772">
        <v>7.3295364555585705</v>
      </c>
      <c r="CE288" s="772">
        <v>7.3821542119303762</v>
      </c>
      <c r="CF288" s="772">
        <v>7.4351497040979435</v>
      </c>
      <c r="CG288" s="772">
        <v>7.4768878465160249</v>
      </c>
      <c r="CH288" s="772">
        <v>7.5188602912147386</v>
      </c>
      <c r="CI288" s="772">
        <v>7.5610683534792313</v>
      </c>
      <c r="CJ288" s="772">
        <v>7.6035133559781647</v>
      </c>
      <c r="CK288" s="772">
        <v>7.6461966288051642</v>
      </c>
      <c r="CL288" s="771">
        <v>0</v>
      </c>
      <c r="CM288" s="771">
        <v>0</v>
      </c>
      <c r="CN288" s="771">
        <v>0</v>
      </c>
      <c r="CO288" s="772">
        <v>0</v>
      </c>
      <c r="CP288" s="772">
        <v>0</v>
      </c>
      <c r="CQ288" s="772">
        <v>0</v>
      </c>
      <c r="CR288" s="772">
        <v>0</v>
      </c>
      <c r="CS288" s="772">
        <v>0</v>
      </c>
      <c r="CT288" s="772">
        <v>0</v>
      </c>
      <c r="CU288" s="772">
        <v>0</v>
      </c>
      <c r="CV288" s="772">
        <v>0</v>
      </c>
      <c r="CW288" s="772">
        <v>0</v>
      </c>
      <c r="CX288" s="772">
        <v>0</v>
      </c>
      <c r="CY288" s="772">
        <v>0</v>
      </c>
      <c r="CZ288" s="772">
        <v>0</v>
      </c>
      <c r="DA288" s="773">
        <v>0</v>
      </c>
      <c r="DB288" s="773">
        <v>0</v>
      </c>
      <c r="DC288" s="773">
        <v>0</v>
      </c>
      <c r="DD288" s="774">
        <v>0</v>
      </c>
      <c r="DE288" s="774">
        <v>0</v>
      </c>
      <c r="DF288" s="774">
        <v>0</v>
      </c>
      <c r="DG288" s="774">
        <v>0</v>
      </c>
      <c r="DH288" s="774">
        <v>0</v>
      </c>
      <c r="DI288" s="774">
        <v>0</v>
      </c>
      <c r="DJ288" s="774">
        <v>0</v>
      </c>
      <c r="DK288" s="774">
        <v>0</v>
      </c>
      <c r="DL288" s="774">
        <v>0</v>
      </c>
      <c r="DM288" s="774">
        <v>0</v>
      </c>
      <c r="DN288" s="774">
        <v>0</v>
      </c>
      <c r="DO288" s="774">
        <v>0</v>
      </c>
      <c r="DP288" s="773">
        <v>0</v>
      </c>
      <c r="DQ288" s="773">
        <v>0</v>
      </c>
      <c r="DR288" s="773">
        <v>0</v>
      </c>
      <c r="DS288" s="774">
        <v>0</v>
      </c>
      <c r="DT288" s="774">
        <v>0</v>
      </c>
      <c r="DU288" s="774">
        <v>0</v>
      </c>
      <c r="DV288" s="774">
        <v>0</v>
      </c>
      <c r="DW288" s="774">
        <v>0</v>
      </c>
      <c r="DX288" s="774">
        <v>0</v>
      </c>
      <c r="DY288" s="774">
        <v>0</v>
      </c>
      <c r="DZ288" s="774">
        <v>0</v>
      </c>
      <c r="EA288" s="774">
        <v>0</v>
      </c>
      <c r="EB288" s="774">
        <v>0</v>
      </c>
      <c r="EC288" s="774">
        <v>0</v>
      </c>
      <c r="ED288" s="774">
        <v>0</v>
      </c>
    </row>
    <row r="289" spans="1:134" ht="15" x14ac:dyDescent="0.25">
      <c r="A289" s="766">
        <v>135</v>
      </c>
      <c r="B289" s="766">
        <v>97</v>
      </c>
      <c r="C289" s="766" t="s">
        <v>3960</v>
      </c>
      <c r="D289" s="2">
        <v>99712</v>
      </c>
      <c r="E289" s="2">
        <v>99712</v>
      </c>
      <c r="F289" s="767" t="s">
        <v>3676</v>
      </c>
      <c r="G289" s="114">
        <v>3</v>
      </c>
      <c r="H289" s="114">
        <v>1</v>
      </c>
      <c r="I289" s="114">
        <v>1</v>
      </c>
      <c r="J289" s="114">
        <v>0</v>
      </c>
      <c r="K289" s="114">
        <v>0</v>
      </c>
      <c r="L289" s="114">
        <v>8</v>
      </c>
      <c r="M289" s="114">
        <v>8</v>
      </c>
      <c r="N289" s="114">
        <v>0</v>
      </c>
      <c r="O289" s="114">
        <v>0</v>
      </c>
      <c r="P289" s="114">
        <v>0</v>
      </c>
      <c r="Q289" s="114">
        <v>8</v>
      </c>
      <c r="R289" s="114">
        <v>0</v>
      </c>
      <c r="S289" s="114">
        <v>1390.25</v>
      </c>
      <c r="T289" s="114">
        <v>1390.25</v>
      </c>
      <c r="U289" s="114">
        <v>0</v>
      </c>
      <c r="V289" s="114">
        <v>0</v>
      </c>
      <c r="W289" s="114">
        <v>0</v>
      </c>
      <c r="X289" s="114">
        <v>1390.25</v>
      </c>
      <c r="Y289" s="114">
        <v>0</v>
      </c>
      <c r="Z289" s="114">
        <v>1</v>
      </c>
      <c r="AA289" s="114">
        <v>0</v>
      </c>
      <c r="AB289" s="657">
        <v>0</v>
      </c>
      <c r="AC289" s="657">
        <v>0</v>
      </c>
      <c r="AD289" s="768">
        <v>1</v>
      </c>
      <c r="AE289" s="769">
        <v>0</v>
      </c>
      <c r="AF289" s="769">
        <v>1</v>
      </c>
      <c r="AG289" s="770">
        <v>1</v>
      </c>
      <c r="AH289" s="769">
        <v>0</v>
      </c>
      <c r="AI289" s="769">
        <v>0</v>
      </c>
      <c r="AJ289" s="769">
        <v>0.90911424514573824</v>
      </c>
      <c r="AK289" s="769">
        <v>0.90911424514573824</v>
      </c>
      <c r="AL289" s="769">
        <v>0</v>
      </c>
      <c r="AM289" s="769">
        <v>0</v>
      </c>
      <c r="AN289" s="769">
        <v>0.91245411038790925</v>
      </c>
      <c r="AO289" s="769">
        <v>0.91245411038790925</v>
      </c>
      <c r="AP289" s="769">
        <v>0</v>
      </c>
      <c r="AQ289" s="769">
        <v>0</v>
      </c>
      <c r="AR289" s="769">
        <v>0</v>
      </c>
      <c r="AS289" s="769">
        <v>0.82648871072690544</v>
      </c>
      <c r="AT289" s="769">
        <v>0.86681754733851879</v>
      </c>
      <c r="AU289" s="769">
        <v>0.90911424514573824</v>
      </c>
      <c r="AV289" s="769">
        <v>0.95347482669745309</v>
      </c>
      <c r="AW289" s="769">
        <v>1</v>
      </c>
      <c r="AX289" s="769">
        <v>0.83257250356379087</v>
      </c>
      <c r="AY289" s="769">
        <v>0.87159864792961517</v>
      </c>
      <c r="AZ289" s="769">
        <v>0.91245411038790925</v>
      </c>
      <c r="BA289" s="769">
        <v>0.9552246387043779</v>
      </c>
      <c r="BB289" s="769">
        <v>1</v>
      </c>
      <c r="BC289" s="769">
        <v>0</v>
      </c>
      <c r="BD289" s="769">
        <v>0</v>
      </c>
      <c r="BE289" s="769">
        <v>0</v>
      </c>
      <c r="BF289" s="769">
        <v>0</v>
      </c>
      <c r="BG289" s="769">
        <v>0</v>
      </c>
      <c r="BH289" s="771">
        <v>1.012657774283872</v>
      </c>
      <c r="BI289" s="771">
        <v>1.0254757678175654</v>
      </c>
      <c r="BJ289" s="771">
        <v>1.0384560086201806</v>
      </c>
      <c r="BK289" s="772">
        <v>1.0316286159810726</v>
      </c>
      <c r="BL289" s="772">
        <v>1.024846110453081</v>
      </c>
      <c r="BM289" s="772">
        <v>1.032203342835426</v>
      </c>
      <c r="BN289" s="772">
        <v>1.0396133917994759</v>
      </c>
      <c r="BO289" s="772">
        <v>1.047076636508367</v>
      </c>
      <c r="BP289" s="772">
        <v>1.0545934588471966</v>
      </c>
      <c r="BQ289" s="772">
        <v>1.0621642434425633</v>
      </c>
      <c r="BR289" s="772">
        <v>1.0681268352165749</v>
      </c>
      <c r="BS289" s="772">
        <v>1.0741228987449627</v>
      </c>
      <c r="BT289" s="772">
        <v>1.0801526219256044</v>
      </c>
      <c r="BU289" s="772">
        <v>1.0862161937111663</v>
      </c>
      <c r="BV289" s="772">
        <v>1.0923138041150233</v>
      </c>
      <c r="BW289" s="771">
        <v>1.012657774283872</v>
      </c>
      <c r="BX289" s="771">
        <v>1.0254757678175654</v>
      </c>
      <c r="BY289" s="771">
        <v>1.0384560086201806</v>
      </c>
      <c r="BZ289" s="772">
        <v>1.0316286159810726</v>
      </c>
      <c r="CA289" s="772">
        <v>1.024846110453081</v>
      </c>
      <c r="CB289" s="772">
        <v>1.032203342835426</v>
      </c>
      <c r="CC289" s="772">
        <v>1.0396133917994759</v>
      </c>
      <c r="CD289" s="772">
        <v>1.047076636508367</v>
      </c>
      <c r="CE289" s="772">
        <v>1.0545934588471966</v>
      </c>
      <c r="CF289" s="772">
        <v>1.0621642434425633</v>
      </c>
      <c r="CG289" s="772">
        <v>1.0681268352165749</v>
      </c>
      <c r="CH289" s="772">
        <v>1.0741228987449627</v>
      </c>
      <c r="CI289" s="772">
        <v>1.0801526219256044</v>
      </c>
      <c r="CJ289" s="772">
        <v>1.0862161937111663</v>
      </c>
      <c r="CK289" s="772">
        <v>1.0923138041150233</v>
      </c>
      <c r="CL289" s="771">
        <v>0</v>
      </c>
      <c r="CM289" s="771">
        <v>0</v>
      </c>
      <c r="CN289" s="771">
        <v>0</v>
      </c>
      <c r="CO289" s="772">
        <v>0</v>
      </c>
      <c r="CP289" s="772">
        <v>0</v>
      </c>
      <c r="CQ289" s="772">
        <v>0</v>
      </c>
      <c r="CR289" s="772">
        <v>0</v>
      </c>
      <c r="CS289" s="772">
        <v>0</v>
      </c>
      <c r="CT289" s="772">
        <v>0</v>
      </c>
      <c r="CU289" s="772">
        <v>0</v>
      </c>
      <c r="CV289" s="772">
        <v>0</v>
      </c>
      <c r="CW289" s="772">
        <v>0</v>
      </c>
      <c r="CX289" s="772">
        <v>0</v>
      </c>
      <c r="CY289" s="772">
        <v>0</v>
      </c>
      <c r="CZ289" s="772">
        <v>0</v>
      </c>
      <c r="DA289" s="773">
        <v>0</v>
      </c>
      <c r="DB289" s="773">
        <v>0</v>
      </c>
      <c r="DC289" s="773">
        <v>0</v>
      </c>
      <c r="DD289" s="774">
        <v>0</v>
      </c>
      <c r="DE289" s="774">
        <v>0</v>
      </c>
      <c r="DF289" s="774">
        <v>0</v>
      </c>
      <c r="DG289" s="774">
        <v>0</v>
      </c>
      <c r="DH289" s="774">
        <v>0</v>
      </c>
      <c r="DI289" s="774">
        <v>0</v>
      </c>
      <c r="DJ289" s="774">
        <v>0</v>
      </c>
      <c r="DK289" s="774">
        <v>0</v>
      </c>
      <c r="DL289" s="774">
        <v>0</v>
      </c>
      <c r="DM289" s="774">
        <v>0</v>
      </c>
      <c r="DN289" s="774">
        <v>0</v>
      </c>
      <c r="DO289" s="774">
        <v>0</v>
      </c>
      <c r="DP289" s="773">
        <v>0</v>
      </c>
      <c r="DQ289" s="773">
        <v>0</v>
      </c>
      <c r="DR289" s="773">
        <v>0</v>
      </c>
      <c r="DS289" s="774">
        <v>0</v>
      </c>
      <c r="DT289" s="774">
        <v>0</v>
      </c>
      <c r="DU289" s="774">
        <v>0</v>
      </c>
      <c r="DV289" s="774">
        <v>0</v>
      </c>
      <c r="DW289" s="774">
        <v>0</v>
      </c>
      <c r="DX289" s="774">
        <v>0</v>
      </c>
      <c r="DY289" s="774">
        <v>0</v>
      </c>
      <c r="DZ289" s="774">
        <v>0</v>
      </c>
      <c r="EA289" s="774">
        <v>0</v>
      </c>
      <c r="EB289" s="774">
        <v>0</v>
      </c>
      <c r="EC289" s="774">
        <v>0</v>
      </c>
      <c r="ED289" s="774">
        <v>0</v>
      </c>
    </row>
    <row r="290" spans="1:134" ht="15" x14ac:dyDescent="0.25">
      <c r="A290" s="766">
        <v>136</v>
      </c>
      <c r="B290" s="766">
        <v>97</v>
      </c>
      <c r="C290" s="766" t="s">
        <v>3961</v>
      </c>
      <c r="D290" s="2">
        <v>99712</v>
      </c>
      <c r="E290" s="2">
        <v>99712</v>
      </c>
      <c r="F290" s="767" t="s">
        <v>3676</v>
      </c>
      <c r="G290" s="114">
        <v>25</v>
      </c>
      <c r="H290" s="114">
        <v>12</v>
      </c>
      <c r="I290" s="114">
        <v>12</v>
      </c>
      <c r="J290" s="114">
        <v>0</v>
      </c>
      <c r="K290" s="114">
        <v>0</v>
      </c>
      <c r="L290" s="114">
        <v>23</v>
      </c>
      <c r="M290" s="114">
        <v>23</v>
      </c>
      <c r="N290" s="114">
        <v>2</v>
      </c>
      <c r="O290" s="114">
        <v>0</v>
      </c>
      <c r="P290" s="114">
        <v>0</v>
      </c>
      <c r="Q290" s="114">
        <v>25</v>
      </c>
      <c r="R290" s="114">
        <v>0</v>
      </c>
      <c r="S290" s="114">
        <v>1751.7391304347825</v>
      </c>
      <c r="T290" s="114">
        <v>1751.7391304347825</v>
      </c>
      <c r="U290" s="114">
        <v>1336</v>
      </c>
      <c r="V290" s="114">
        <v>0</v>
      </c>
      <c r="W290" s="114">
        <v>0</v>
      </c>
      <c r="X290" s="114">
        <v>1718.48</v>
      </c>
      <c r="Y290" s="114">
        <v>0</v>
      </c>
      <c r="Z290" s="114">
        <v>12</v>
      </c>
      <c r="AA290" s="114">
        <v>0</v>
      </c>
      <c r="AB290" s="657">
        <v>2</v>
      </c>
      <c r="AC290" s="657">
        <v>0</v>
      </c>
      <c r="AD290" s="768">
        <v>14</v>
      </c>
      <c r="AE290" s="769">
        <v>0</v>
      </c>
      <c r="AF290" s="769">
        <v>12</v>
      </c>
      <c r="AG290" s="770">
        <v>12</v>
      </c>
      <c r="AH290" s="769">
        <v>0</v>
      </c>
      <c r="AI290" s="769">
        <v>0</v>
      </c>
      <c r="AJ290" s="769">
        <v>10.909370941748859</v>
      </c>
      <c r="AK290" s="769">
        <v>10.909370941748859</v>
      </c>
      <c r="AL290" s="769">
        <v>0</v>
      </c>
      <c r="AM290" s="769">
        <v>0</v>
      </c>
      <c r="AN290" s="769">
        <v>10.94944932465491</v>
      </c>
      <c r="AO290" s="769">
        <v>10.94944932465491</v>
      </c>
      <c r="AP290" s="769">
        <v>0</v>
      </c>
      <c r="AQ290" s="769">
        <v>1.8596827016276773</v>
      </c>
      <c r="AR290" s="769">
        <v>0</v>
      </c>
      <c r="AS290" s="769">
        <v>9.9178645287228644</v>
      </c>
      <c r="AT290" s="769">
        <v>10.401810568062224</v>
      </c>
      <c r="AU290" s="769">
        <v>10.909370941748859</v>
      </c>
      <c r="AV290" s="769">
        <v>11.441697920369437</v>
      </c>
      <c r="AW290" s="769">
        <v>12</v>
      </c>
      <c r="AX290" s="769">
        <v>9.99087004276549</v>
      </c>
      <c r="AY290" s="769">
        <v>10.459183775155381</v>
      </c>
      <c r="AZ290" s="769">
        <v>10.94944932465491</v>
      </c>
      <c r="BA290" s="769">
        <v>11.462695664452534</v>
      </c>
      <c r="BB290" s="769">
        <v>12</v>
      </c>
      <c r="BC290" s="769">
        <v>1.7292098753666085</v>
      </c>
      <c r="BD290" s="769">
        <v>1.7932600739165065</v>
      </c>
      <c r="BE290" s="769">
        <v>1.8596827016276773</v>
      </c>
      <c r="BF290" s="769">
        <v>1.9285656336395076</v>
      </c>
      <c r="BG290" s="769">
        <v>2</v>
      </c>
      <c r="BH290" s="771">
        <v>12.151893291406465</v>
      </c>
      <c r="BI290" s="771">
        <v>12.305709213810786</v>
      </c>
      <c r="BJ290" s="771">
        <v>12.461472103442167</v>
      </c>
      <c r="BK290" s="772">
        <v>12.379543391772872</v>
      </c>
      <c r="BL290" s="772">
        <v>12.298153325436973</v>
      </c>
      <c r="BM290" s="772">
        <v>12.386440114025111</v>
      </c>
      <c r="BN290" s="772">
        <v>12.475360701593711</v>
      </c>
      <c r="BO290" s="772">
        <v>12.564919638100406</v>
      </c>
      <c r="BP290" s="772">
        <v>12.65512150616636</v>
      </c>
      <c r="BQ290" s="772">
        <v>12.745970921310759</v>
      </c>
      <c r="BR290" s="772">
        <v>12.817522022598899</v>
      </c>
      <c r="BS290" s="772">
        <v>12.889474784939551</v>
      </c>
      <c r="BT290" s="772">
        <v>12.961831463107252</v>
      </c>
      <c r="BU290" s="772">
        <v>13.034594324533995</v>
      </c>
      <c r="BV290" s="772">
        <v>13.10776564938028</v>
      </c>
      <c r="BW290" s="771">
        <v>12.151893291406465</v>
      </c>
      <c r="BX290" s="771">
        <v>12.305709213810786</v>
      </c>
      <c r="BY290" s="771">
        <v>12.461472103442167</v>
      </c>
      <c r="BZ290" s="772">
        <v>12.379543391772872</v>
      </c>
      <c r="CA290" s="772">
        <v>12.298153325436973</v>
      </c>
      <c r="CB290" s="772">
        <v>12.386440114025111</v>
      </c>
      <c r="CC290" s="772">
        <v>12.475360701593711</v>
      </c>
      <c r="CD290" s="772">
        <v>12.564919638100406</v>
      </c>
      <c r="CE290" s="772">
        <v>12.65512150616636</v>
      </c>
      <c r="CF290" s="772">
        <v>12.745970921310759</v>
      </c>
      <c r="CG290" s="772">
        <v>12.817522022598899</v>
      </c>
      <c r="CH290" s="772">
        <v>12.889474784939551</v>
      </c>
      <c r="CI290" s="772">
        <v>12.961831463107252</v>
      </c>
      <c r="CJ290" s="772">
        <v>13.034594324533995</v>
      </c>
      <c r="CK290" s="772">
        <v>13.10776564938028</v>
      </c>
      <c r="CL290" s="771">
        <v>2.0253155485677441</v>
      </c>
      <c r="CM290" s="771">
        <v>2.0509515356351309</v>
      </c>
      <c r="CN290" s="771">
        <v>2.0769120172403612</v>
      </c>
      <c r="CO290" s="772">
        <v>2.0632572319621452</v>
      </c>
      <c r="CP290" s="772">
        <v>2.0496922209061621</v>
      </c>
      <c r="CQ290" s="772">
        <v>2.0644066856708521</v>
      </c>
      <c r="CR290" s="772">
        <v>2.0792267835989517</v>
      </c>
      <c r="CS290" s="772">
        <v>2.094153273016734</v>
      </c>
      <c r="CT290" s="772">
        <v>2.1091869176943931</v>
      </c>
      <c r="CU290" s="772">
        <v>2.1243284868851267</v>
      </c>
      <c r="CV290" s="772">
        <v>2.1362536704331498</v>
      </c>
      <c r="CW290" s="772">
        <v>2.1482457974899254</v>
      </c>
      <c r="CX290" s="772">
        <v>2.1603052438512087</v>
      </c>
      <c r="CY290" s="772">
        <v>2.1724323874223326</v>
      </c>
      <c r="CZ290" s="772">
        <v>2.1846276082300466</v>
      </c>
      <c r="DA290" s="773">
        <v>0</v>
      </c>
      <c r="DB290" s="773">
        <v>0</v>
      </c>
      <c r="DC290" s="773">
        <v>0</v>
      </c>
      <c r="DD290" s="774">
        <v>0</v>
      </c>
      <c r="DE290" s="774">
        <v>0</v>
      </c>
      <c r="DF290" s="774">
        <v>0</v>
      </c>
      <c r="DG290" s="774">
        <v>0</v>
      </c>
      <c r="DH290" s="774">
        <v>0</v>
      </c>
      <c r="DI290" s="774">
        <v>0</v>
      </c>
      <c r="DJ290" s="774">
        <v>0</v>
      </c>
      <c r="DK290" s="774">
        <v>0</v>
      </c>
      <c r="DL290" s="774">
        <v>0</v>
      </c>
      <c r="DM290" s="774">
        <v>0</v>
      </c>
      <c r="DN290" s="774">
        <v>0</v>
      </c>
      <c r="DO290" s="774">
        <v>0</v>
      </c>
      <c r="DP290" s="773">
        <v>0</v>
      </c>
      <c r="DQ290" s="773">
        <v>0</v>
      </c>
      <c r="DR290" s="773">
        <v>0</v>
      </c>
      <c r="DS290" s="774">
        <v>0</v>
      </c>
      <c r="DT290" s="774">
        <v>0</v>
      </c>
      <c r="DU290" s="774">
        <v>0</v>
      </c>
      <c r="DV290" s="774">
        <v>0</v>
      </c>
      <c r="DW290" s="774">
        <v>0</v>
      </c>
      <c r="DX290" s="774">
        <v>0</v>
      </c>
      <c r="DY290" s="774">
        <v>0</v>
      </c>
      <c r="DZ290" s="774">
        <v>0</v>
      </c>
      <c r="EA290" s="774">
        <v>0</v>
      </c>
      <c r="EB290" s="774">
        <v>0</v>
      </c>
      <c r="EC290" s="774">
        <v>0</v>
      </c>
      <c r="ED290" s="774">
        <v>0</v>
      </c>
    </row>
    <row r="291" spans="1:134" ht="15" x14ac:dyDescent="0.25">
      <c r="A291" s="766">
        <v>137</v>
      </c>
      <c r="B291" s="766">
        <v>97</v>
      </c>
      <c r="C291" s="766" t="s">
        <v>3962</v>
      </c>
      <c r="D291" s="2">
        <v>99712</v>
      </c>
      <c r="E291" s="2">
        <v>99712</v>
      </c>
      <c r="F291" s="767" t="s">
        <v>3676</v>
      </c>
      <c r="G291" s="114">
        <v>1</v>
      </c>
      <c r="H291" s="114">
        <v>1</v>
      </c>
      <c r="I291" s="114">
        <v>1</v>
      </c>
      <c r="J291" s="114">
        <v>0</v>
      </c>
      <c r="K291" s="114">
        <v>0</v>
      </c>
      <c r="L291" s="114">
        <v>53</v>
      </c>
      <c r="M291" s="114">
        <v>53</v>
      </c>
      <c r="N291" s="114">
        <v>2</v>
      </c>
      <c r="O291" s="114">
        <v>0</v>
      </c>
      <c r="P291" s="114">
        <v>0</v>
      </c>
      <c r="Q291" s="114">
        <v>55</v>
      </c>
      <c r="R291" s="114">
        <v>0</v>
      </c>
      <c r="S291" s="114">
        <v>1733.2452830188679</v>
      </c>
      <c r="T291" s="114">
        <v>1733.2452830188679</v>
      </c>
      <c r="U291" s="114">
        <v>1620</v>
      </c>
      <c r="V291" s="114">
        <v>0</v>
      </c>
      <c r="W291" s="114">
        <v>0</v>
      </c>
      <c r="X291" s="114">
        <v>1729.1272727272728</v>
      </c>
      <c r="Y291" s="114">
        <v>0</v>
      </c>
      <c r="Z291" s="114">
        <v>1</v>
      </c>
      <c r="AA291" s="114">
        <v>0</v>
      </c>
      <c r="AB291" s="657">
        <v>2</v>
      </c>
      <c r="AC291" s="657">
        <v>0</v>
      </c>
      <c r="AD291" s="768">
        <v>3</v>
      </c>
      <c r="AE291" s="769">
        <v>0</v>
      </c>
      <c r="AF291" s="769">
        <v>1</v>
      </c>
      <c r="AG291" s="770">
        <v>1</v>
      </c>
      <c r="AH291" s="769">
        <v>0</v>
      </c>
      <c r="AI291" s="769">
        <v>0</v>
      </c>
      <c r="AJ291" s="769">
        <v>0.90911424514573824</v>
      </c>
      <c r="AK291" s="769">
        <v>0.90911424514573824</v>
      </c>
      <c r="AL291" s="769">
        <v>0</v>
      </c>
      <c r="AM291" s="769">
        <v>0</v>
      </c>
      <c r="AN291" s="769">
        <v>0.91245411038790925</v>
      </c>
      <c r="AO291" s="769">
        <v>0.91245411038790925</v>
      </c>
      <c r="AP291" s="769">
        <v>0</v>
      </c>
      <c r="AQ291" s="769">
        <v>1.8596827016276773</v>
      </c>
      <c r="AR291" s="769">
        <v>0</v>
      </c>
      <c r="AS291" s="769">
        <v>0.82648871072690544</v>
      </c>
      <c r="AT291" s="769">
        <v>0.86681754733851879</v>
      </c>
      <c r="AU291" s="769">
        <v>0.90911424514573824</v>
      </c>
      <c r="AV291" s="769">
        <v>0.95347482669745309</v>
      </c>
      <c r="AW291" s="769">
        <v>1</v>
      </c>
      <c r="AX291" s="769">
        <v>0.83257250356379087</v>
      </c>
      <c r="AY291" s="769">
        <v>0.87159864792961517</v>
      </c>
      <c r="AZ291" s="769">
        <v>0.91245411038790925</v>
      </c>
      <c r="BA291" s="769">
        <v>0.9552246387043779</v>
      </c>
      <c r="BB291" s="769">
        <v>1</v>
      </c>
      <c r="BC291" s="769">
        <v>1.7292098753666085</v>
      </c>
      <c r="BD291" s="769">
        <v>1.7932600739165065</v>
      </c>
      <c r="BE291" s="769">
        <v>1.8596827016276773</v>
      </c>
      <c r="BF291" s="769">
        <v>1.9285656336395076</v>
      </c>
      <c r="BG291" s="769">
        <v>2</v>
      </c>
      <c r="BH291" s="771">
        <v>1.012657774283872</v>
      </c>
      <c r="BI291" s="771">
        <v>1.0254757678175654</v>
      </c>
      <c r="BJ291" s="771">
        <v>1.0384560086201806</v>
      </c>
      <c r="BK291" s="772">
        <v>1.0316286159810726</v>
      </c>
      <c r="BL291" s="772">
        <v>1.024846110453081</v>
      </c>
      <c r="BM291" s="772">
        <v>1.032203342835426</v>
      </c>
      <c r="BN291" s="772">
        <v>1.0396133917994759</v>
      </c>
      <c r="BO291" s="772">
        <v>1.047076636508367</v>
      </c>
      <c r="BP291" s="772">
        <v>1.0545934588471966</v>
      </c>
      <c r="BQ291" s="772">
        <v>1.0621642434425633</v>
      </c>
      <c r="BR291" s="772">
        <v>1.0681268352165749</v>
      </c>
      <c r="BS291" s="772">
        <v>1.0741228987449627</v>
      </c>
      <c r="BT291" s="772">
        <v>1.0801526219256044</v>
      </c>
      <c r="BU291" s="772">
        <v>1.0862161937111663</v>
      </c>
      <c r="BV291" s="772">
        <v>1.0923138041150233</v>
      </c>
      <c r="BW291" s="771">
        <v>1.012657774283872</v>
      </c>
      <c r="BX291" s="771">
        <v>1.0254757678175654</v>
      </c>
      <c r="BY291" s="771">
        <v>1.0384560086201806</v>
      </c>
      <c r="BZ291" s="772">
        <v>1.0316286159810726</v>
      </c>
      <c r="CA291" s="772">
        <v>1.024846110453081</v>
      </c>
      <c r="CB291" s="772">
        <v>1.032203342835426</v>
      </c>
      <c r="CC291" s="772">
        <v>1.0396133917994759</v>
      </c>
      <c r="CD291" s="772">
        <v>1.047076636508367</v>
      </c>
      <c r="CE291" s="772">
        <v>1.0545934588471966</v>
      </c>
      <c r="CF291" s="772">
        <v>1.0621642434425633</v>
      </c>
      <c r="CG291" s="772">
        <v>1.0681268352165749</v>
      </c>
      <c r="CH291" s="772">
        <v>1.0741228987449627</v>
      </c>
      <c r="CI291" s="772">
        <v>1.0801526219256044</v>
      </c>
      <c r="CJ291" s="772">
        <v>1.0862161937111663</v>
      </c>
      <c r="CK291" s="772">
        <v>1.0923138041150233</v>
      </c>
      <c r="CL291" s="771">
        <v>2.0253155485677441</v>
      </c>
      <c r="CM291" s="771">
        <v>2.0509515356351309</v>
      </c>
      <c r="CN291" s="771">
        <v>2.0769120172403612</v>
      </c>
      <c r="CO291" s="772">
        <v>2.0632572319621452</v>
      </c>
      <c r="CP291" s="772">
        <v>2.0496922209061621</v>
      </c>
      <c r="CQ291" s="772">
        <v>2.0644066856708521</v>
      </c>
      <c r="CR291" s="772">
        <v>2.0792267835989517</v>
      </c>
      <c r="CS291" s="772">
        <v>2.094153273016734</v>
      </c>
      <c r="CT291" s="772">
        <v>2.1091869176943931</v>
      </c>
      <c r="CU291" s="772">
        <v>2.1243284868851267</v>
      </c>
      <c r="CV291" s="772">
        <v>2.1362536704331498</v>
      </c>
      <c r="CW291" s="772">
        <v>2.1482457974899254</v>
      </c>
      <c r="CX291" s="772">
        <v>2.1603052438512087</v>
      </c>
      <c r="CY291" s="772">
        <v>2.1724323874223326</v>
      </c>
      <c r="CZ291" s="772">
        <v>2.1846276082300466</v>
      </c>
      <c r="DA291" s="773">
        <v>0</v>
      </c>
      <c r="DB291" s="773">
        <v>0</v>
      </c>
      <c r="DC291" s="773">
        <v>0</v>
      </c>
      <c r="DD291" s="774">
        <v>0</v>
      </c>
      <c r="DE291" s="774">
        <v>0</v>
      </c>
      <c r="DF291" s="774">
        <v>0</v>
      </c>
      <c r="DG291" s="774">
        <v>0</v>
      </c>
      <c r="DH291" s="774">
        <v>0</v>
      </c>
      <c r="DI291" s="774">
        <v>0</v>
      </c>
      <c r="DJ291" s="774">
        <v>0</v>
      </c>
      <c r="DK291" s="774">
        <v>0</v>
      </c>
      <c r="DL291" s="774">
        <v>0</v>
      </c>
      <c r="DM291" s="774">
        <v>0</v>
      </c>
      <c r="DN291" s="774">
        <v>0</v>
      </c>
      <c r="DO291" s="774">
        <v>0</v>
      </c>
      <c r="DP291" s="773">
        <v>0</v>
      </c>
      <c r="DQ291" s="773">
        <v>0</v>
      </c>
      <c r="DR291" s="773">
        <v>0</v>
      </c>
      <c r="DS291" s="774">
        <v>0</v>
      </c>
      <c r="DT291" s="774">
        <v>0</v>
      </c>
      <c r="DU291" s="774">
        <v>0</v>
      </c>
      <c r="DV291" s="774">
        <v>0</v>
      </c>
      <c r="DW291" s="774">
        <v>0</v>
      </c>
      <c r="DX291" s="774">
        <v>0</v>
      </c>
      <c r="DY291" s="774">
        <v>0</v>
      </c>
      <c r="DZ291" s="774">
        <v>0</v>
      </c>
      <c r="EA291" s="774">
        <v>0</v>
      </c>
      <c r="EB291" s="774">
        <v>0</v>
      </c>
      <c r="EC291" s="774">
        <v>0</v>
      </c>
      <c r="ED291" s="774">
        <v>0</v>
      </c>
    </row>
    <row r="292" spans="1:134" ht="15" x14ac:dyDescent="0.25">
      <c r="A292" s="766">
        <v>138</v>
      </c>
      <c r="B292" s="766">
        <v>97</v>
      </c>
      <c r="C292" s="766" t="s">
        <v>3963</v>
      </c>
      <c r="D292" s="2">
        <v>99712</v>
      </c>
      <c r="E292" s="2">
        <v>99712</v>
      </c>
      <c r="F292" s="767" t="s">
        <v>3676</v>
      </c>
      <c r="G292" s="114">
        <v>32</v>
      </c>
      <c r="H292" s="114">
        <v>16</v>
      </c>
      <c r="I292" s="114">
        <v>13</v>
      </c>
      <c r="J292" s="114">
        <v>3</v>
      </c>
      <c r="K292" s="114">
        <v>0</v>
      </c>
      <c r="L292" s="114">
        <v>51</v>
      </c>
      <c r="M292" s="114">
        <v>51</v>
      </c>
      <c r="N292" s="114">
        <v>2</v>
      </c>
      <c r="O292" s="114">
        <v>0</v>
      </c>
      <c r="P292" s="114">
        <v>0</v>
      </c>
      <c r="Q292" s="114">
        <v>53</v>
      </c>
      <c r="R292" s="114">
        <v>0</v>
      </c>
      <c r="S292" s="114">
        <v>2051.4313725490197</v>
      </c>
      <c r="T292" s="114">
        <v>2051.4313725490197</v>
      </c>
      <c r="U292" s="114">
        <v>4336</v>
      </c>
      <c r="V292" s="114">
        <v>0</v>
      </c>
      <c r="W292" s="114">
        <v>0</v>
      </c>
      <c r="X292" s="114">
        <v>2137.6415094339623</v>
      </c>
      <c r="Y292" s="114">
        <v>0</v>
      </c>
      <c r="Z292" s="114">
        <v>16</v>
      </c>
      <c r="AA292" s="114">
        <v>0</v>
      </c>
      <c r="AB292" s="657">
        <v>2</v>
      </c>
      <c r="AC292" s="657">
        <v>0</v>
      </c>
      <c r="AD292" s="768">
        <v>18</v>
      </c>
      <c r="AE292" s="769">
        <v>0</v>
      </c>
      <c r="AF292" s="769">
        <v>13</v>
      </c>
      <c r="AG292" s="770">
        <v>13</v>
      </c>
      <c r="AH292" s="769">
        <v>0</v>
      </c>
      <c r="AI292" s="769">
        <v>0</v>
      </c>
      <c r="AJ292" s="769">
        <v>14.545827922331812</v>
      </c>
      <c r="AK292" s="769">
        <v>14.545827922331812</v>
      </c>
      <c r="AL292" s="769">
        <v>0</v>
      </c>
      <c r="AM292" s="769">
        <v>0</v>
      </c>
      <c r="AN292" s="769">
        <v>11.861903435042819</v>
      </c>
      <c r="AO292" s="769">
        <v>11.861903435042819</v>
      </c>
      <c r="AP292" s="769">
        <v>0</v>
      </c>
      <c r="AQ292" s="769">
        <v>1.8596827016276773</v>
      </c>
      <c r="AR292" s="769">
        <v>0</v>
      </c>
      <c r="AS292" s="769">
        <v>13.223819371630487</v>
      </c>
      <c r="AT292" s="769">
        <v>13.869080757416301</v>
      </c>
      <c r="AU292" s="769">
        <v>14.545827922331812</v>
      </c>
      <c r="AV292" s="769">
        <v>15.255597227159249</v>
      </c>
      <c r="AW292" s="769">
        <v>16</v>
      </c>
      <c r="AX292" s="769">
        <v>10.82344254632928</v>
      </c>
      <c r="AY292" s="769">
        <v>11.330782423084997</v>
      </c>
      <c r="AZ292" s="769">
        <v>11.861903435042819</v>
      </c>
      <c r="BA292" s="769">
        <v>12.417920303156913</v>
      </c>
      <c r="BB292" s="769">
        <v>13</v>
      </c>
      <c r="BC292" s="769">
        <v>1.7292098753666085</v>
      </c>
      <c r="BD292" s="769">
        <v>1.7932600739165065</v>
      </c>
      <c r="BE292" s="769">
        <v>1.8596827016276773</v>
      </c>
      <c r="BF292" s="769">
        <v>1.9285656336395076</v>
      </c>
      <c r="BG292" s="769">
        <v>2</v>
      </c>
      <c r="BH292" s="771">
        <v>16.202524388541953</v>
      </c>
      <c r="BI292" s="771">
        <v>16.407612285081047</v>
      </c>
      <c r="BJ292" s="771">
        <v>16.61529613792289</v>
      </c>
      <c r="BK292" s="772">
        <v>16.506057855697161</v>
      </c>
      <c r="BL292" s="772">
        <v>16.397537767249297</v>
      </c>
      <c r="BM292" s="772">
        <v>16.515253485366816</v>
      </c>
      <c r="BN292" s="772">
        <v>16.633814268791614</v>
      </c>
      <c r="BO292" s="772">
        <v>16.753226184133872</v>
      </c>
      <c r="BP292" s="772">
        <v>16.873495341555145</v>
      </c>
      <c r="BQ292" s="772">
        <v>16.994627895081013</v>
      </c>
      <c r="BR292" s="772">
        <v>17.090029363465199</v>
      </c>
      <c r="BS292" s="772">
        <v>17.185966379919403</v>
      </c>
      <c r="BT292" s="772">
        <v>17.28244195080967</v>
      </c>
      <c r="BU292" s="772">
        <v>17.379459099378661</v>
      </c>
      <c r="BV292" s="772">
        <v>17.477020865840373</v>
      </c>
      <c r="BW292" s="771">
        <v>13.164551065690336</v>
      </c>
      <c r="BX292" s="771">
        <v>13.331184981628351</v>
      </c>
      <c r="BY292" s="771">
        <v>13.499928112062348</v>
      </c>
      <c r="BZ292" s="772">
        <v>13.411172007753944</v>
      </c>
      <c r="CA292" s="772">
        <v>13.322999435890052</v>
      </c>
      <c r="CB292" s="772">
        <v>13.418643456860538</v>
      </c>
      <c r="CC292" s="772">
        <v>13.514974093393187</v>
      </c>
      <c r="CD292" s="772">
        <v>13.611996274608773</v>
      </c>
      <c r="CE292" s="772">
        <v>13.709714965013555</v>
      </c>
      <c r="CF292" s="772">
        <v>13.808135164753322</v>
      </c>
      <c r="CG292" s="772">
        <v>13.885648857815474</v>
      </c>
      <c r="CH292" s="772">
        <v>13.963597683684513</v>
      </c>
      <c r="CI292" s="772">
        <v>14.041984085032857</v>
      </c>
      <c r="CJ292" s="772">
        <v>14.120810518245161</v>
      </c>
      <c r="CK292" s="772">
        <v>14.200079453495302</v>
      </c>
      <c r="CL292" s="771">
        <v>2.0253155485677441</v>
      </c>
      <c r="CM292" s="771">
        <v>2.0509515356351309</v>
      </c>
      <c r="CN292" s="771">
        <v>2.0769120172403612</v>
      </c>
      <c r="CO292" s="772">
        <v>2.0632572319621452</v>
      </c>
      <c r="CP292" s="772">
        <v>2.0496922209061621</v>
      </c>
      <c r="CQ292" s="772">
        <v>2.0644066856708521</v>
      </c>
      <c r="CR292" s="772">
        <v>2.0792267835989517</v>
      </c>
      <c r="CS292" s="772">
        <v>2.094153273016734</v>
      </c>
      <c r="CT292" s="772">
        <v>2.1091869176943931</v>
      </c>
      <c r="CU292" s="772">
        <v>2.1243284868851267</v>
      </c>
      <c r="CV292" s="772">
        <v>2.1362536704331498</v>
      </c>
      <c r="CW292" s="772">
        <v>2.1482457974899254</v>
      </c>
      <c r="CX292" s="772">
        <v>2.1603052438512087</v>
      </c>
      <c r="CY292" s="772">
        <v>2.1724323874223326</v>
      </c>
      <c r="CZ292" s="772">
        <v>2.1846276082300466</v>
      </c>
      <c r="DA292" s="773">
        <v>0</v>
      </c>
      <c r="DB292" s="773">
        <v>0</v>
      </c>
      <c r="DC292" s="773">
        <v>0</v>
      </c>
      <c r="DD292" s="774">
        <v>0</v>
      </c>
      <c r="DE292" s="774">
        <v>0</v>
      </c>
      <c r="DF292" s="774">
        <v>0</v>
      </c>
      <c r="DG292" s="774">
        <v>0</v>
      </c>
      <c r="DH292" s="774">
        <v>0</v>
      </c>
      <c r="DI292" s="774">
        <v>0</v>
      </c>
      <c r="DJ292" s="774">
        <v>0</v>
      </c>
      <c r="DK292" s="774">
        <v>0</v>
      </c>
      <c r="DL292" s="774">
        <v>0</v>
      </c>
      <c r="DM292" s="774">
        <v>0</v>
      </c>
      <c r="DN292" s="774">
        <v>0</v>
      </c>
      <c r="DO292" s="774">
        <v>0</v>
      </c>
      <c r="DP292" s="773">
        <v>0</v>
      </c>
      <c r="DQ292" s="773">
        <v>0</v>
      </c>
      <c r="DR292" s="773">
        <v>0</v>
      </c>
      <c r="DS292" s="774">
        <v>0</v>
      </c>
      <c r="DT292" s="774">
        <v>0</v>
      </c>
      <c r="DU292" s="774">
        <v>0</v>
      </c>
      <c r="DV292" s="774">
        <v>0</v>
      </c>
      <c r="DW292" s="774">
        <v>0</v>
      </c>
      <c r="DX292" s="774">
        <v>0</v>
      </c>
      <c r="DY292" s="774">
        <v>0</v>
      </c>
      <c r="DZ292" s="774">
        <v>0</v>
      </c>
      <c r="EA292" s="774">
        <v>0</v>
      </c>
      <c r="EB292" s="774">
        <v>0</v>
      </c>
      <c r="EC292" s="774">
        <v>0</v>
      </c>
      <c r="ED292" s="774">
        <v>0</v>
      </c>
    </row>
    <row r="293" spans="1:134" ht="15" x14ac:dyDescent="0.25">
      <c r="A293" s="766">
        <v>139</v>
      </c>
      <c r="B293" s="766">
        <v>97</v>
      </c>
      <c r="C293" s="766" t="s">
        <v>3964</v>
      </c>
      <c r="D293" s="2">
        <v>99712</v>
      </c>
      <c r="E293" s="2">
        <v>99712</v>
      </c>
      <c r="F293" s="767" t="s">
        <v>3676</v>
      </c>
      <c r="G293" s="114">
        <v>44</v>
      </c>
      <c r="H293" s="114">
        <v>25</v>
      </c>
      <c r="I293" s="114">
        <v>19</v>
      </c>
      <c r="J293" s="114">
        <v>6</v>
      </c>
      <c r="K293" s="114">
        <v>0</v>
      </c>
      <c r="L293" s="114">
        <v>41</v>
      </c>
      <c r="M293" s="114">
        <v>41</v>
      </c>
      <c r="N293" s="114">
        <v>2</v>
      </c>
      <c r="O293" s="114">
        <v>0</v>
      </c>
      <c r="P293" s="114">
        <v>0</v>
      </c>
      <c r="Q293" s="114">
        <v>43</v>
      </c>
      <c r="R293" s="114">
        <v>0</v>
      </c>
      <c r="S293" s="114">
        <v>2037.3902439024391</v>
      </c>
      <c r="T293" s="114">
        <v>2037.3902439024391</v>
      </c>
      <c r="U293" s="114">
        <v>2499</v>
      </c>
      <c r="V293" s="114">
        <v>0</v>
      </c>
      <c r="W293" s="114">
        <v>0</v>
      </c>
      <c r="X293" s="114">
        <v>2058.8604651162791</v>
      </c>
      <c r="Y293" s="114">
        <v>0</v>
      </c>
      <c r="Z293" s="114">
        <v>25</v>
      </c>
      <c r="AA293" s="114">
        <v>0</v>
      </c>
      <c r="AB293" s="657">
        <v>2</v>
      </c>
      <c r="AC293" s="657">
        <v>0</v>
      </c>
      <c r="AD293" s="768">
        <v>27</v>
      </c>
      <c r="AE293" s="769">
        <v>0</v>
      </c>
      <c r="AF293" s="769">
        <v>19</v>
      </c>
      <c r="AG293" s="770">
        <v>19</v>
      </c>
      <c r="AH293" s="769">
        <v>0</v>
      </c>
      <c r="AI293" s="769">
        <v>0</v>
      </c>
      <c r="AJ293" s="769">
        <v>22.727856128643456</v>
      </c>
      <c r="AK293" s="769">
        <v>22.727856128643456</v>
      </c>
      <c r="AL293" s="769">
        <v>0</v>
      </c>
      <c r="AM293" s="769">
        <v>0</v>
      </c>
      <c r="AN293" s="769">
        <v>17.336628097370276</v>
      </c>
      <c r="AO293" s="769">
        <v>17.336628097370276</v>
      </c>
      <c r="AP293" s="769">
        <v>0</v>
      </c>
      <c r="AQ293" s="769">
        <v>1.8596827016276773</v>
      </c>
      <c r="AR293" s="769">
        <v>0</v>
      </c>
      <c r="AS293" s="769">
        <v>20.662217768172635</v>
      </c>
      <c r="AT293" s="769">
        <v>21.670438683462969</v>
      </c>
      <c r="AU293" s="769">
        <v>22.727856128643456</v>
      </c>
      <c r="AV293" s="769">
        <v>23.83687066743633</v>
      </c>
      <c r="AW293" s="769">
        <v>25</v>
      </c>
      <c r="AX293" s="769">
        <v>15.818877567712025</v>
      </c>
      <c r="AY293" s="769">
        <v>16.560374310662688</v>
      </c>
      <c r="AZ293" s="769">
        <v>17.336628097370276</v>
      </c>
      <c r="BA293" s="769">
        <v>18.149268135383181</v>
      </c>
      <c r="BB293" s="769">
        <v>19</v>
      </c>
      <c r="BC293" s="769">
        <v>1.7292098753666085</v>
      </c>
      <c r="BD293" s="769">
        <v>1.7932600739165065</v>
      </c>
      <c r="BE293" s="769">
        <v>1.8596827016276773</v>
      </c>
      <c r="BF293" s="769">
        <v>1.9285656336395076</v>
      </c>
      <c r="BG293" s="769">
        <v>2</v>
      </c>
      <c r="BH293" s="771">
        <v>25.316444357096803</v>
      </c>
      <c r="BI293" s="771">
        <v>25.636894195439137</v>
      </c>
      <c r="BJ293" s="771">
        <v>25.961400215504515</v>
      </c>
      <c r="BK293" s="772">
        <v>25.790715399526814</v>
      </c>
      <c r="BL293" s="772">
        <v>25.621152761327025</v>
      </c>
      <c r="BM293" s="772">
        <v>25.80508357088565</v>
      </c>
      <c r="BN293" s="772">
        <v>25.990334794986897</v>
      </c>
      <c r="BO293" s="772">
        <v>26.176915912709177</v>
      </c>
      <c r="BP293" s="772">
        <v>26.364836471179913</v>
      </c>
      <c r="BQ293" s="772">
        <v>26.554106086064081</v>
      </c>
      <c r="BR293" s="772">
        <v>26.703170880414373</v>
      </c>
      <c r="BS293" s="772">
        <v>26.853072468624067</v>
      </c>
      <c r="BT293" s="772">
        <v>27.003815548140111</v>
      </c>
      <c r="BU293" s="772">
        <v>27.155404842779156</v>
      </c>
      <c r="BV293" s="772">
        <v>27.307845102875582</v>
      </c>
      <c r="BW293" s="771">
        <v>19.240497711393569</v>
      </c>
      <c r="BX293" s="771">
        <v>19.484039588533744</v>
      </c>
      <c r="BY293" s="771">
        <v>19.73066416378343</v>
      </c>
      <c r="BZ293" s="772">
        <v>19.600943703640379</v>
      </c>
      <c r="CA293" s="772">
        <v>19.472076098608539</v>
      </c>
      <c r="CB293" s="772">
        <v>19.611863513873093</v>
      </c>
      <c r="CC293" s="772">
        <v>19.752654444190043</v>
      </c>
      <c r="CD293" s="772">
        <v>19.894456093658974</v>
      </c>
      <c r="CE293" s="772">
        <v>20.037275718096733</v>
      </c>
      <c r="CF293" s="772">
        <v>20.181120625408703</v>
      </c>
      <c r="CG293" s="772">
        <v>20.294409869114922</v>
      </c>
      <c r="CH293" s="772">
        <v>20.408335076154287</v>
      </c>
      <c r="CI293" s="772">
        <v>20.522899816586481</v>
      </c>
      <c r="CJ293" s="772">
        <v>20.638107680512157</v>
      </c>
      <c r="CK293" s="772">
        <v>20.75396227818544</v>
      </c>
      <c r="CL293" s="771">
        <v>2.0253155485677441</v>
      </c>
      <c r="CM293" s="771">
        <v>2.0509515356351309</v>
      </c>
      <c r="CN293" s="771">
        <v>2.0769120172403612</v>
      </c>
      <c r="CO293" s="772">
        <v>2.0632572319621452</v>
      </c>
      <c r="CP293" s="772">
        <v>2.0496922209061621</v>
      </c>
      <c r="CQ293" s="772">
        <v>2.0644066856708521</v>
      </c>
      <c r="CR293" s="772">
        <v>2.0792267835989517</v>
      </c>
      <c r="CS293" s="772">
        <v>2.094153273016734</v>
      </c>
      <c r="CT293" s="772">
        <v>2.1091869176943931</v>
      </c>
      <c r="CU293" s="772">
        <v>2.1243284868851267</v>
      </c>
      <c r="CV293" s="772">
        <v>2.1362536704331498</v>
      </c>
      <c r="CW293" s="772">
        <v>2.1482457974899254</v>
      </c>
      <c r="CX293" s="772">
        <v>2.1603052438512087</v>
      </c>
      <c r="CY293" s="772">
        <v>2.1724323874223326</v>
      </c>
      <c r="CZ293" s="772">
        <v>2.1846276082300466</v>
      </c>
      <c r="DA293" s="773">
        <v>0</v>
      </c>
      <c r="DB293" s="773">
        <v>0</v>
      </c>
      <c r="DC293" s="773">
        <v>0</v>
      </c>
      <c r="DD293" s="774">
        <v>0</v>
      </c>
      <c r="DE293" s="774">
        <v>0</v>
      </c>
      <c r="DF293" s="774">
        <v>0</v>
      </c>
      <c r="DG293" s="774">
        <v>0</v>
      </c>
      <c r="DH293" s="774">
        <v>0</v>
      </c>
      <c r="DI293" s="774">
        <v>0</v>
      </c>
      <c r="DJ293" s="774">
        <v>0</v>
      </c>
      <c r="DK293" s="774">
        <v>0</v>
      </c>
      <c r="DL293" s="774">
        <v>0</v>
      </c>
      <c r="DM293" s="774">
        <v>0</v>
      </c>
      <c r="DN293" s="774">
        <v>0</v>
      </c>
      <c r="DO293" s="774">
        <v>0</v>
      </c>
      <c r="DP293" s="773">
        <v>0</v>
      </c>
      <c r="DQ293" s="773">
        <v>0</v>
      </c>
      <c r="DR293" s="773">
        <v>0</v>
      </c>
      <c r="DS293" s="774">
        <v>0</v>
      </c>
      <c r="DT293" s="774">
        <v>0</v>
      </c>
      <c r="DU293" s="774">
        <v>0</v>
      </c>
      <c r="DV293" s="774">
        <v>0</v>
      </c>
      <c r="DW293" s="774">
        <v>0</v>
      </c>
      <c r="DX293" s="774">
        <v>0</v>
      </c>
      <c r="DY293" s="774">
        <v>0</v>
      </c>
      <c r="DZ293" s="774">
        <v>0</v>
      </c>
      <c r="EA293" s="774">
        <v>0</v>
      </c>
      <c r="EB293" s="774">
        <v>0</v>
      </c>
      <c r="EC293" s="774">
        <v>0</v>
      </c>
      <c r="ED293" s="774">
        <v>0</v>
      </c>
    </row>
    <row r="294" spans="1:134" ht="15" x14ac:dyDescent="0.25">
      <c r="A294" s="766">
        <v>141</v>
      </c>
      <c r="B294" s="766">
        <v>97</v>
      </c>
      <c r="C294" s="766" t="s">
        <v>3965</v>
      </c>
      <c r="D294" s="2">
        <v>99712</v>
      </c>
      <c r="E294" s="2">
        <v>99712</v>
      </c>
      <c r="F294" s="767" t="s">
        <v>3676</v>
      </c>
      <c r="G294" s="114">
        <v>9</v>
      </c>
      <c r="H294" s="114">
        <v>3</v>
      </c>
      <c r="I294" s="114">
        <v>3</v>
      </c>
      <c r="J294" s="114">
        <v>0</v>
      </c>
      <c r="K294" s="114">
        <v>0</v>
      </c>
      <c r="L294" s="114">
        <v>6</v>
      </c>
      <c r="M294" s="114">
        <v>6</v>
      </c>
      <c r="N294" s="114">
        <v>0</v>
      </c>
      <c r="O294" s="114">
        <v>0</v>
      </c>
      <c r="P294" s="114">
        <v>0</v>
      </c>
      <c r="Q294" s="114">
        <v>6</v>
      </c>
      <c r="R294" s="114">
        <v>0</v>
      </c>
      <c r="S294" s="114">
        <v>2149.8333333333335</v>
      </c>
      <c r="T294" s="114">
        <v>2149.8333333333335</v>
      </c>
      <c r="U294" s="114">
        <v>0</v>
      </c>
      <c r="V294" s="114">
        <v>0</v>
      </c>
      <c r="W294" s="114">
        <v>0</v>
      </c>
      <c r="X294" s="114">
        <v>2149.8333333333335</v>
      </c>
      <c r="Y294" s="114">
        <v>0</v>
      </c>
      <c r="Z294" s="114">
        <v>3</v>
      </c>
      <c r="AA294" s="114">
        <v>0</v>
      </c>
      <c r="AB294" s="657">
        <v>0</v>
      </c>
      <c r="AC294" s="657">
        <v>0</v>
      </c>
      <c r="AD294" s="768">
        <v>3</v>
      </c>
      <c r="AE294" s="769">
        <v>0</v>
      </c>
      <c r="AF294" s="769">
        <v>3</v>
      </c>
      <c r="AG294" s="770">
        <v>3</v>
      </c>
      <c r="AH294" s="769">
        <v>0</v>
      </c>
      <c r="AI294" s="769">
        <v>0</v>
      </c>
      <c r="AJ294" s="769">
        <v>2.7273427354372148</v>
      </c>
      <c r="AK294" s="769">
        <v>2.7273427354372148</v>
      </c>
      <c r="AL294" s="769">
        <v>0</v>
      </c>
      <c r="AM294" s="769">
        <v>0</v>
      </c>
      <c r="AN294" s="769">
        <v>2.7373623311637276</v>
      </c>
      <c r="AO294" s="769">
        <v>2.7373623311637276</v>
      </c>
      <c r="AP294" s="769">
        <v>0</v>
      </c>
      <c r="AQ294" s="769">
        <v>0</v>
      </c>
      <c r="AR294" s="769">
        <v>0</v>
      </c>
      <c r="AS294" s="769">
        <v>2.4794661321807161</v>
      </c>
      <c r="AT294" s="769">
        <v>2.600452642015556</v>
      </c>
      <c r="AU294" s="769">
        <v>2.7273427354372148</v>
      </c>
      <c r="AV294" s="769">
        <v>2.8604244800923593</v>
      </c>
      <c r="AW294" s="769">
        <v>3</v>
      </c>
      <c r="AX294" s="769">
        <v>2.4977175106913725</v>
      </c>
      <c r="AY294" s="769">
        <v>2.6147959437888453</v>
      </c>
      <c r="AZ294" s="769">
        <v>2.7373623311637276</v>
      </c>
      <c r="BA294" s="769">
        <v>2.8656739161131335</v>
      </c>
      <c r="BB294" s="769">
        <v>3</v>
      </c>
      <c r="BC294" s="769">
        <v>0</v>
      </c>
      <c r="BD294" s="769">
        <v>0</v>
      </c>
      <c r="BE294" s="769">
        <v>0</v>
      </c>
      <c r="BF294" s="769">
        <v>0</v>
      </c>
      <c r="BG294" s="769">
        <v>0</v>
      </c>
      <c r="BH294" s="771">
        <v>3.0379733228516161</v>
      </c>
      <c r="BI294" s="771">
        <v>3.0764273034526965</v>
      </c>
      <c r="BJ294" s="771">
        <v>3.1153680258605418</v>
      </c>
      <c r="BK294" s="772">
        <v>3.094885847943218</v>
      </c>
      <c r="BL294" s="772">
        <v>3.0745383313592431</v>
      </c>
      <c r="BM294" s="772">
        <v>3.0966100285062779</v>
      </c>
      <c r="BN294" s="772">
        <v>3.1188401753984278</v>
      </c>
      <c r="BO294" s="772">
        <v>3.1412299095251015</v>
      </c>
      <c r="BP294" s="772">
        <v>3.1637803765415899</v>
      </c>
      <c r="BQ294" s="772">
        <v>3.1864927303276898</v>
      </c>
      <c r="BR294" s="772">
        <v>3.2043805056497248</v>
      </c>
      <c r="BS294" s="772">
        <v>3.2223686962348879</v>
      </c>
      <c r="BT294" s="772">
        <v>3.2404578657768131</v>
      </c>
      <c r="BU294" s="772">
        <v>3.2586485811334986</v>
      </c>
      <c r="BV294" s="772">
        <v>3.27694141234507</v>
      </c>
      <c r="BW294" s="771">
        <v>3.0379733228516161</v>
      </c>
      <c r="BX294" s="771">
        <v>3.0764273034526965</v>
      </c>
      <c r="BY294" s="771">
        <v>3.1153680258605418</v>
      </c>
      <c r="BZ294" s="772">
        <v>3.094885847943218</v>
      </c>
      <c r="CA294" s="772">
        <v>3.0745383313592431</v>
      </c>
      <c r="CB294" s="772">
        <v>3.0966100285062779</v>
      </c>
      <c r="CC294" s="772">
        <v>3.1188401753984278</v>
      </c>
      <c r="CD294" s="772">
        <v>3.1412299095251015</v>
      </c>
      <c r="CE294" s="772">
        <v>3.1637803765415899</v>
      </c>
      <c r="CF294" s="772">
        <v>3.1864927303276898</v>
      </c>
      <c r="CG294" s="772">
        <v>3.2043805056497248</v>
      </c>
      <c r="CH294" s="772">
        <v>3.2223686962348879</v>
      </c>
      <c r="CI294" s="772">
        <v>3.2404578657768131</v>
      </c>
      <c r="CJ294" s="772">
        <v>3.2586485811334986</v>
      </c>
      <c r="CK294" s="772">
        <v>3.27694141234507</v>
      </c>
      <c r="CL294" s="771">
        <v>0</v>
      </c>
      <c r="CM294" s="771">
        <v>0</v>
      </c>
      <c r="CN294" s="771">
        <v>0</v>
      </c>
      <c r="CO294" s="772">
        <v>0</v>
      </c>
      <c r="CP294" s="772">
        <v>0</v>
      </c>
      <c r="CQ294" s="772">
        <v>0</v>
      </c>
      <c r="CR294" s="772">
        <v>0</v>
      </c>
      <c r="CS294" s="772">
        <v>0</v>
      </c>
      <c r="CT294" s="772">
        <v>0</v>
      </c>
      <c r="CU294" s="772">
        <v>0</v>
      </c>
      <c r="CV294" s="772">
        <v>0</v>
      </c>
      <c r="CW294" s="772">
        <v>0</v>
      </c>
      <c r="CX294" s="772">
        <v>0</v>
      </c>
      <c r="CY294" s="772">
        <v>0</v>
      </c>
      <c r="CZ294" s="772">
        <v>0</v>
      </c>
      <c r="DA294" s="773">
        <v>0</v>
      </c>
      <c r="DB294" s="773">
        <v>0</v>
      </c>
      <c r="DC294" s="773">
        <v>0</v>
      </c>
      <c r="DD294" s="774">
        <v>0</v>
      </c>
      <c r="DE294" s="774">
        <v>0</v>
      </c>
      <c r="DF294" s="774">
        <v>0</v>
      </c>
      <c r="DG294" s="774">
        <v>0</v>
      </c>
      <c r="DH294" s="774">
        <v>0</v>
      </c>
      <c r="DI294" s="774">
        <v>0</v>
      </c>
      <c r="DJ294" s="774">
        <v>0</v>
      </c>
      <c r="DK294" s="774">
        <v>0</v>
      </c>
      <c r="DL294" s="774">
        <v>0</v>
      </c>
      <c r="DM294" s="774">
        <v>0</v>
      </c>
      <c r="DN294" s="774">
        <v>0</v>
      </c>
      <c r="DO294" s="774">
        <v>0</v>
      </c>
      <c r="DP294" s="773">
        <v>0</v>
      </c>
      <c r="DQ294" s="773">
        <v>0</v>
      </c>
      <c r="DR294" s="773">
        <v>0</v>
      </c>
      <c r="DS294" s="774">
        <v>0</v>
      </c>
      <c r="DT294" s="774">
        <v>0</v>
      </c>
      <c r="DU294" s="774">
        <v>0</v>
      </c>
      <c r="DV294" s="774">
        <v>0</v>
      </c>
      <c r="DW294" s="774">
        <v>0</v>
      </c>
      <c r="DX294" s="774">
        <v>0</v>
      </c>
      <c r="DY294" s="774">
        <v>0</v>
      </c>
      <c r="DZ294" s="774">
        <v>0</v>
      </c>
      <c r="EA294" s="774">
        <v>0</v>
      </c>
      <c r="EB294" s="774">
        <v>0</v>
      </c>
      <c r="EC294" s="774">
        <v>0</v>
      </c>
      <c r="ED294" s="774">
        <v>0</v>
      </c>
    </row>
    <row r="295" spans="1:134" ht="15" x14ac:dyDescent="0.25">
      <c r="A295" s="766">
        <v>89</v>
      </c>
      <c r="B295" s="766">
        <v>98</v>
      </c>
      <c r="C295" s="766" t="s">
        <v>3966</v>
      </c>
      <c r="D295" s="2">
        <v>99709</v>
      </c>
      <c r="E295" s="2">
        <v>99709</v>
      </c>
      <c r="F295" s="767" t="s">
        <v>3676</v>
      </c>
      <c r="G295" s="114">
        <v>55</v>
      </c>
      <c r="H295" s="114">
        <v>34</v>
      </c>
      <c r="I295" s="114">
        <v>27</v>
      </c>
      <c r="J295" s="114">
        <v>7</v>
      </c>
      <c r="K295" s="114">
        <v>0</v>
      </c>
      <c r="L295" s="114">
        <v>0</v>
      </c>
      <c r="M295" s="114">
        <v>0</v>
      </c>
      <c r="N295" s="114">
        <v>0</v>
      </c>
      <c r="O295" s="114">
        <v>0</v>
      </c>
      <c r="P295" s="114">
        <v>0</v>
      </c>
      <c r="Q295" s="114">
        <v>0</v>
      </c>
      <c r="R295" s="114">
        <v>0</v>
      </c>
      <c r="S295" s="114">
        <v>834.49503068156923</v>
      </c>
      <c r="T295" s="114">
        <v>834.49503068156923</v>
      </c>
      <c r="U295" s="114">
        <v>1408.3846153846155</v>
      </c>
      <c r="V295" s="114">
        <v>0</v>
      </c>
      <c r="W295" s="114">
        <v>0</v>
      </c>
      <c r="X295" s="114">
        <v>1365.173957061457</v>
      </c>
      <c r="Y295" s="114">
        <v>0.77901940401940406</v>
      </c>
      <c r="Z295" s="114">
        <v>33.176801801801801</v>
      </c>
      <c r="AA295" s="114">
        <v>4.4178794178794181E-2</v>
      </c>
      <c r="AB295" s="657">
        <v>0</v>
      </c>
      <c r="AC295" s="657">
        <v>0</v>
      </c>
      <c r="AD295" s="768">
        <v>33.999999999999993</v>
      </c>
      <c r="AE295" s="769">
        <v>0.61863305613305619</v>
      </c>
      <c r="AF295" s="769">
        <v>26.346283783783782</v>
      </c>
      <c r="AG295" s="770">
        <v>26.964916839916839</v>
      </c>
      <c r="AH295" s="769">
        <v>3.5083160083160085E-2</v>
      </c>
      <c r="AI295" s="769">
        <v>0.74174986541100141</v>
      </c>
      <c r="AJ295" s="769">
        <v>31.589570355093478</v>
      </c>
      <c r="AK295" s="769">
        <v>32.33132022050448</v>
      </c>
      <c r="AL295" s="769">
        <v>4.2065209758657927E-2</v>
      </c>
      <c r="AM295" s="769">
        <v>0.59014786748743053</v>
      </c>
      <c r="AN295" s="769">
        <v>25.133159369800229</v>
      </c>
      <c r="AO295" s="769">
        <v>25.72330723728766</v>
      </c>
      <c r="AP295" s="769">
        <v>3.3467742957699276E-2</v>
      </c>
      <c r="AQ295" s="769">
        <v>0</v>
      </c>
      <c r="AR295" s="769">
        <v>0</v>
      </c>
      <c r="AS295" s="769">
        <v>30.784537969636812</v>
      </c>
      <c r="AT295" s="769">
        <v>31.548450911837278</v>
      </c>
      <c r="AU295" s="769">
        <v>32.331320220504473</v>
      </c>
      <c r="AV295" s="769">
        <v>33.133616294567091</v>
      </c>
      <c r="AW295" s="769">
        <v>33.955821205821202</v>
      </c>
      <c r="AX295" s="769">
        <v>24.538868009575378</v>
      </c>
      <c r="AY295" s="769">
        <v>25.124108761616938</v>
      </c>
      <c r="AZ295" s="769">
        <v>25.72330723728766</v>
      </c>
      <c r="BA295" s="769">
        <v>26.336796321897101</v>
      </c>
      <c r="BB295" s="769">
        <v>26.964916839916839</v>
      </c>
      <c r="BC295" s="769">
        <v>0</v>
      </c>
      <c r="BD295" s="769">
        <v>0</v>
      </c>
      <c r="BE295" s="769">
        <v>0</v>
      </c>
      <c r="BF295" s="769">
        <v>0</v>
      </c>
      <c r="BG295" s="769">
        <v>0</v>
      </c>
      <c r="BH295" s="771">
        <v>34.129764280628343</v>
      </c>
      <c r="BI295" s="771">
        <v>34.304598401276785</v>
      </c>
      <c r="BJ295" s="771">
        <v>34.480328132263807</v>
      </c>
      <c r="BK295" s="772">
        <v>34.917931085069391</v>
      </c>
      <c r="BL295" s="772">
        <v>35.355534037874968</v>
      </c>
      <c r="BM295" s="772">
        <v>35.793136990680544</v>
      </c>
      <c r="BN295" s="772">
        <v>36.230739943486128</v>
      </c>
      <c r="BO295" s="772">
        <v>36.748176733606705</v>
      </c>
      <c r="BP295" s="772">
        <v>37.265613523727289</v>
      </c>
      <c r="BQ295" s="772">
        <v>38.70009684818487</v>
      </c>
      <c r="BR295" s="772">
        <v>40.409185542990421</v>
      </c>
      <c r="BS295" s="772">
        <v>41.159612740306031</v>
      </c>
      <c r="BT295" s="772">
        <v>41.571714400063627</v>
      </c>
      <c r="BU295" s="772">
        <v>41.99848455201986</v>
      </c>
      <c r="BV295" s="772">
        <v>42.435522648515132</v>
      </c>
      <c r="BW295" s="771">
        <v>27.103048105204863</v>
      </c>
      <c r="BX295" s="771">
        <v>27.241886965719804</v>
      </c>
      <c r="BY295" s="771">
        <v>27.381437046209491</v>
      </c>
      <c r="BZ295" s="772">
        <v>27.728945273437454</v>
      </c>
      <c r="CA295" s="772">
        <v>28.076453500665416</v>
      </c>
      <c r="CB295" s="772">
        <v>28.423961727893371</v>
      </c>
      <c r="CC295" s="772">
        <v>28.771469955121333</v>
      </c>
      <c r="CD295" s="772">
        <v>29.182375641393559</v>
      </c>
      <c r="CE295" s="772">
        <v>29.593281327665785</v>
      </c>
      <c r="CF295" s="772">
        <v>30.73242985002916</v>
      </c>
      <c r="CG295" s="772">
        <v>32.089647342962984</v>
      </c>
      <c r="CH295" s="772">
        <v>32.685574823184197</v>
      </c>
      <c r="CI295" s="772">
        <v>33.012832023579932</v>
      </c>
      <c r="CJ295" s="772">
        <v>33.351737732486356</v>
      </c>
      <c r="CK295" s="772">
        <v>33.698797397350248</v>
      </c>
      <c r="CL295" s="771">
        <v>0</v>
      </c>
      <c r="CM295" s="771">
        <v>0</v>
      </c>
      <c r="CN295" s="771">
        <v>0</v>
      </c>
      <c r="CO295" s="772">
        <v>0</v>
      </c>
      <c r="CP295" s="772">
        <v>0</v>
      </c>
      <c r="CQ295" s="772">
        <v>0</v>
      </c>
      <c r="CR295" s="772">
        <v>0</v>
      </c>
      <c r="CS295" s="772">
        <v>0</v>
      </c>
      <c r="CT295" s="772">
        <v>0</v>
      </c>
      <c r="CU295" s="772">
        <v>0</v>
      </c>
      <c r="CV295" s="772">
        <v>0</v>
      </c>
      <c r="CW295" s="772">
        <v>0</v>
      </c>
      <c r="CX295" s="772">
        <v>0</v>
      </c>
      <c r="CY295" s="772">
        <v>0</v>
      </c>
      <c r="CZ295" s="772">
        <v>0</v>
      </c>
      <c r="DA295" s="773">
        <v>4.4405105751533114E-2</v>
      </c>
      <c r="DB295" s="773">
        <v>4.4632576634500119E-2</v>
      </c>
      <c r="DC295" s="773">
        <v>4.4861212766411411E-2</v>
      </c>
      <c r="DD295" s="774">
        <v>4.5430563472637769E-2</v>
      </c>
      <c r="DE295" s="774">
        <v>4.5999914178864135E-2</v>
      </c>
      <c r="DF295" s="774">
        <v>4.6569264885090486E-2</v>
      </c>
      <c r="DG295" s="774">
        <v>4.7138615591316851E-2</v>
      </c>
      <c r="DH295" s="774">
        <v>4.7811835458764912E-2</v>
      </c>
      <c r="DI295" s="774">
        <v>4.8485055326212979E-2</v>
      </c>
      <c r="DJ295" s="774">
        <v>5.0351414062171321E-2</v>
      </c>
      <c r="DK295" s="774">
        <v>5.2575052749141857E-2</v>
      </c>
      <c r="DL295" s="774">
        <v>5.3551408717546226E-2</v>
      </c>
      <c r="DM295" s="774">
        <v>5.4087580536122337E-2</v>
      </c>
      <c r="DN295" s="774">
        <v>5.4642837044001906E-2</v>
      </c>
      <c r="DO295" s="774">
        <v>5.5211452834393882E-2</v>
      </c>
      <c r="DP295" s="773">
        <v>0</v>
      </c>
      <c r="DQ295" s="773">
        <v>0</v>
      </c>
      <c r="DR295" s="773">
        <v>0</v>
      </c>
      <c r="DS295" s="774">
        <v>0</v>
      </c>
      <c r="DT295" s="774">
        <v>0</v>
      </c>
      <c r="DU295" s="774">
        <v>0</v>
      </c>
      <c r="DV295" s="774">
        <v>0</v>
      </c>
      <c r="DW295" s="774">
        <v>0</v>
      </c>
      <c r="DX295" s="774">
        <v>0</v>
      </c>
      <c r="DY295" s="774">
        <v>0</v>
      </c>
      <c r="DZ295" s="774">
        <v>0</v>
      </c>
      <c r="EA295" s="774">
        <v>0</v>
      </c>
      <c r="EB295" s="774">
        <v>0</v>
      </c>
      <c r="EC295" s="774">
        <v>0</v>
      </c>
      <c r="ED295" s="774">
        <v>0</v>
      </c>
    </row>
    <row r="296" spans="1:134" ht="15" x14ac:dyDescent="0.25">
      <c r="A296" s="766">
        <v>90</v>
      </c>
      <c r="B296" s="766">
        <v>98</v>
      </c>
      <c r="C296" s="766" t="s">
        <v>3967</v>
      </c>
      <c r="D296" s="2">
        <v>99709</v>
      </c>
      <c r="E296" s="2">
        <v>99709</v>
      </c>
      <c r="F296" s="767" t="s">
        <v>3676</v>
      </c>
      <c r="G296" s="114">
        <v>10</v>
      </c>
      <c r="H296" s="114">
        <v>3</v>
      </c>
      <c r="I296" s="114">
        <v>3</v>
      </c>
      <c r="J296" s="114">
        <v>0</v>
      </c>
      <c r="K296" s="114">
        <v>0</v>
      </c>
      <c r="L296" s="114">
        <v>2</v>
      </c>
      <c r="M296" s="114">
        <v>2</v>
      </c>
      <c r="N296" s="114">
        <v>0</v>
      </c>
      <c r="O296" s="114">
        <v>0</v>
      </c>
      <c r="P296" s="114">
        <v>0</v>
      </c>
      <c r="Q296" s="114">
        <v>2</v>
      </c>
      <c r="R296" s="114">
        <v>0</v>
      </c>
      <c r="S296" s="114">
        <v>1071</v>
      </c>
      <c r="T296" s="114">
        <v>1071</v>
      </c>
      <c r="U296" s="114">
        <v>0</v>
      </c>
      <c r="V296" s="114">
        <v>0</v>
      </c>
      <c r="W296" s="114">
        <v>0</v>
      </c>
      <c r="X296" s="114">
        <v>1071</v>
      </c>
      <c r="Y296" s="114">
        <v>0</v>
      </c>
      <c r="Z296" s="114">
        <v>3</v>
      </c>
      <c r="AA296" s="114">
        <v>0</v>
      </c>
      <c r="AB296" s="657">
        <v>0</v>
      </c>
      <c r="AC296" s="657">
        <v>0</v>
      </c>
      <c r="AD296" s="768">
        <v>3</v>
      </c>
      <c r="AE296" s="769">
        <v>0</v>
      </c>
      <c r="AF296" s="769">
        <v>3</v>
      </c>
      <c r="AG296" s="770">
        <v>3</v>
      </c>
      <c r="AH296" s="769">
        <v>0</v>
      </c>
      <c r="AI296" s="769">
        <v>0</v>
      </c>
      <c r="AJ296" s="769">
        <v>2.8564751850232182</v>
      </c>
      <c r="AK296" s="769">
        <v>2.8564751850232182</v>
      </c>
      <c r="AL296" s="769">
        <v>0</v>
      </c>
      <c r="AM296" s="769">
        <v>0</v>
      </c>
      <c r="AN296" s="769">
        <v>2.861863886693929</v>
      </c>
      <c r="AO296" s="769">
        <v>2.861863886693929</v>
      </c>
      <c r="AP296" s="769">
        <v>0</v>
      </c>
      <c r="AQ296" s="769">
        <v>0</v>
      </c>
      <c r="AR296" s="769">
        <v>0</v>
      </c>
      <c r="AS296" s="769">
        <v>2.7198168275511425</v>
      </c>
      <c r="AT296" s="769">
        <v>2.7873086079062741</v>
      </c>
      <c r="AU296" s="769">
        <v>2.8564751850232182</v>
      </c>
      <c r="AV296" s="769">
        <v>2.9273581186916053</v>
      </c>
      <c r="AW296" s="769">
        <v>3</v>
      </c>
      <c r="AX296" s="769">
        <v>2.7300883019876268</v>
      </c>
      <c r="AY296" s="769">
        <v>2.7951996563651655</v>
      </c>
      <c r="AZ296" s="769">
        <v>2.861863886693929</v>
      </c>
      <c r="BA296" s="769">
        <v>2.9301180283534292</v>
      </c>
      <c r="BB296" s="769">
        <v>3</v>
      </c>
      <c r="BC296" s="769">
        <v>0</v>
      </c>
      <c r="BD296" s="769">
        <v>0</v>
      </c>
      <c r="BE296" s="769">
        <v>0</v>
      </c>
      <c r="BF296" s="769">
        <v>0</v>
      </c>
      <c r="BG296" s="769">
        <v>0</v>
      </c>
      <c r="BH296" s="771">
        <v>3.015367887033519</v>
      </c>
      <c r="BI296" s="771">
        <v>3.0308144980509963</v>
      </c>
      <c r="BJ296" s="771">
        <v>3.0463402363261958</v>
      </c>
      <c r="BK296" s="772">
        <v>3.0850024984007671</v>
      </c>
      <c r="BL296" s="772">
        <v>3.1236647604753385</v>
      </c>
      <c r="BM296" s="772">
        <v>3.1623270225499089</v>
      </c>
      <c r="BN296" s="772">
        <v>3.2009892846244803</v>
      </c>
      <c r="BO296" s="772">
        <v>3.2467048737410713</v>
      </c>
      <c r="BP296" s="772">
        <v>3.2924204628576619</v>
      </c>
      <c r="BQ296" s="772">
        <v>3.4191571996100332</v>
      </c>
      <c r="BR296" s="772">
        <v>3.570155346682903</v>
      </c>
      <c r="BS296" s="772">
        <v>3.6364556602079623</v>
      </c>
      <c r="BT296" s="772">
        <v>3.6728648806411539</v>
      </c>
      <c r="BU296" s="772">
        <v>3.7105700637409291</v>
      </c>
      <c r="BV296" s="772">
        <v>3.7491824207073114</v>
      </c>
      <c r="BW296" s="771">
        <v>3.015367887033519</v>
      </c>
      <c r="BX296" s="771">
        <v>3.0308144980509963</v>
      </c>
      <c r="BY296" s="771">
        <v>3.0463402363261958</v>
      </c>
      <c r="BZ296" s="772">
        <v>3.0850024984007671</v>
      </c>
      <c r="CA296" s="772">
        <v>3.1236647604753385</v>
      </c>
      <c r="CB296" s="772">
        <v>3.1623270225499089</v>
      </c>
      <c r="CC296" s="772">
        <v>3.2009892846244803</v>
      </c>
      <c r="CD296" s="772">
        <v>3.2467048737410713</v>
      </c>
      <c r="CE296" s="772">
        <v>3.2924204628576619</v>
      </c>
      <c r="CF296" s="772">
        <v>3.4191571996100332</v>
      </c>
      <c r="CG296" s="772">
        <v>3.570155346682903</v>
      </c>
      <c r="CH296" s="772">
        <v>3.6364556602079623</v>
      </c>
      <c r="CI296" s="772">
        <v>3.6728648806411539</v>
      </c>
      <c r="CJ296" s="772">
        <v>3.7105700637409291</v>
      </c>
      <c r="CK296" s="772">
        <v>3.7491824207073114</v>
      </c>
      <c r="CL296" s="771">
        <v>0</v>
      </c>
      <c r="CM296" s="771">
        <v>0</v>
      </c>
      <c r="CN296" s="771">
        <v>0</v>
      </c>
      <c r="CO296" s="772">
        <v>0</v>
      </c>
      <c r="CP296" s="772">
        <v>0</v>
      </c>
      <c r="CQ296" s="772">
        <v>0</v>
      </c>
      <c r="CR296" s="772">
        <v>0</v>
      </c>
      <c r="CS296" s="772">
        <v>0</v>
      </c>
      <c r="CT296" s="772">
        <v>0</v>
      </c>
      <c r="CU296" s="772">
        <v>0</v>
      </c>
      <c r="CV296" s="772">
        <v>0</v>
      </c>
      <c r="CW296" s="772">
        <v>0</v>
      </c>
      <c r="CX296" s="772">
        <v>0</v>
      </c>
      <c r="CY296" s="772">
        <v>0</v>
      </c>
      <c r="CZ296" s="772">
        <v>0</v>
      </c>
      <c r="DA296" s="773">
        <v>0</v>
      </c>
      <c r="DB296" s="773">
        <v>0</v>
      </c>
      <c r="DC296" s="773">
        <v>0</v>
      </c>
      <c r="DD296" s="774">
        <v>0</v>
      </c>
      <c r="DE296" s="774">
        <v>0</v>
      </c>
      <c r="DF296" s="774">
        <v>0</v>
      </c>
      <c r="DG296" s="774">
        <v>0</v>
      </c>
      <c r="DH296" s="774">
        <v>0</v>
      </c>
      <c r="DI296" s="774">
        <v>0</v>
      </c>
      <c r="DJ296" s="774">
        <v>0</v>
      </c>
      <c r="DK296" s="774">
        <v>0</v>
      </c>
      <c r="DL296" s="774">
        <v>0</v>
      </c>
      <c r="DM296" s="774">
        <v>0</v>
      </c>
      <c r="DN296" s="774">
        <v>0</v>
      </c>
      <c r="DO296" s="774">
        <v>0</v>
      </c>
      <c r="DP296" s="773">
        <v>0</v>
      </c>
      <c r="DQ296" s="773">
        <v>0</v>
      </c>
      <c r="DR296" s="773">
        <v>0</v>
      </c>
      <c r="DS296" s="774">
        <v>0</v>
      </c>
      <c r="DT296" s="774">
        <v>0</v>
      </c>
      <c r="DU296" s="774">
        <v>0</v>
      </c>
      <c r="DV296" s="774">
        <v>0</v>
      </c>
      <c r="DW296" s="774">
        <v>0</v>
      </c>
      <c r="DX296" s="774">
        <v>0</v>
      </c>
      <c r="DY296" s="774">
        <v>0</v>
      </c>
      <c r="DZ296" s="774">
        <v>0</v>
      </c>
      <c r="EA296" s="774">
        <v>0</v>
      </c>
      <c r="EB296" s="774">
        <v>0</v>
      </c>
      <c r="EC296" s="774">
        <v>0</v>
      </c>
      <c r="ED296" s="774">
        <v>0</v>
      </c>
    </row>
    <row r="297" spans="1:134" ht="15" x14ac:dyDescent="0.25">
      <c r="A297" s="766">
        <v>101</v>
      </c>
      <c r="B297" s="766">
        <v>98</v>
      </c>
      <c r="C297" s="766" t="s">
        <v>3968</v>
      </c>
      <c r="D297" s="2">
        <v>99709</v>
      </c>
      <c r="E297" s="2">
        <v>99709</v>
      </c>
      <c r="F297" s="767" t="s">
        <v>3746</v>
      </c>
      <c r="G297" s="114">
        <v>34</v>
      </c>
      <c r="H297" s="114">
        <v>20</v>
      </c>
      <c r="I297" s="114">
        <v>15</v>
      </c>
      <c r="J297" s="114">
        <v>5</v>
      </c>
      <c r="K297" s="114">
        <v>0</v>
      </c>
      <c r="L297" s="114">
        <v>29</v>
      </c>
      <c r="M297" s="114">
        <v>29</v>
      </c>
      <c r="N297" s="114">
        <v>1</v>
      </c>
      <c r="O297" s="114">
        <v>0</v>
      </c>
      <c r="P297" s="114">
        <v>0</v>
      </c>
      <c r="Q297" s="114">
        <v>30</v>
      </c>
      <c r="R297" s="114">
        <v>0</v>
      </c>
      <c r="S297" s="114">
        <v>1284.5862068965516</v>
      </c>
      <c r="T297" s="114">
        <v>1284.5862068965516</v>
      </c>
      <c r="U297" s="114">
        <v>11822</v>
      </c>
      <c r="V297" s="114">
        <v>0</v>
      </c>
      <c r="W297" s="114">
        <v>0</v>
      </c>
      <c r="X297" s="114">
        <v>1635.8333333333333</v>
      </c>
      <c r="Y297" s="114">
        <v>0</v>
      </c>
      <c r="Z297" s="114">
        <v>20</v>
      </c>
      <c r="AA297" s="114">
        <v>0</v>
      </c>
      <c r="AB297" s="657">
        <v>1</v>
      </c>
      <c r="AC297" s="657">
        <v>0</v>
      </c>
      <c r="AD297" s="768">
        <v>21</v>
      </c>
      <c r="AE297" s="769">
        <v>0</v>
      </c>
      <c r="AF297" s="769">
        <v>15</v>
      </c>
      <c r="AG297" s="770">
        <v>15</v>
      </c>
      <c r="AH297" s="769">
        <v>0</v>
      </c>
      <c r="AI297" s="769">
        <v>0</v>
      </c>
      <c r="AJ297" s="769">
        <v>19.043167900154788</v>
      </c>
      <c r="AK297" s="769">
        <v>19.043167900154788</v>
      </c>
      <c r="AL297" s="769">
        <v>0</v>
      </c>
      <c r="AM297" s="769">
        <v>0</v>
      </c>
      <c r="AN297" s="769">
        <v>14.309319433469645</v>
      </c>
      <c r="AO297" s="769">
        <v>14.309319433469645</v>
      </c>
      <c r="AP297" s="769">
        <v>0</v>
      </c>
      <c r="AQ297" s="769">
        <v>0.95966573850124082</v>
      </c>
      <c r="AR297" s="769">
        <v>0</v>
      </c>
      <c r="AS297" s="769">
        <v>18.132112183674284</v>
      </c>
      <c r="AT297" s="769">
        <v>18.582057386041829</v>
      </c>
      <c r="AU297" s="769">
        <v>19.043167900154788</v>
      </c>
      <c r="AV297" s="769">
        <v>19.515720791277367</v>
      </c>
      <c r="AW297" s="769">
        <v>20</v>
      </c>
      <c r="AX297" s="769">
        <v>13.650441509938135</v>
      </c>
      <c r="AY297" s="769">
        <v>13.975998281825829</v>
      </c>
      <c r="AZ297" s="769">
        <v>14.309319433469645</v>
      </c>
      <c r="BA297" s="769">
        <v>14.650590141767145</v>
      </c>
      <c r="BB297" s="769">
        <v>15</v>
      </c>
      <c r="BC297" s="769">
        <v>0.92095832965313207</v>
      </c>
      <c r="BD297" s="769">
        <v>0.94011284192667122</v>
      </c>
      <c r="BE297" s="769">
        <v>0.95966573850124082</v>
      </c>
      <c r="BF297" s="769">
        <v>0.97962530515561963</v>
      </c>
      <c r="BG297" s="769">
        <v>1</v>
      </c>
      <c r="BH297" s="771">
        <v>20.208076675314587</v>
      </c>
      <c r="BI297" s="771">
        <v>20.418318145769668</v>
      </c>
      <c r="BJ297" s="771">
        <v>20.630746933534031</v>
      </c>
      <c r="BK297" s="772">
        <v>20.688503435714264</v>
      </c>
      <c r="BL297" s="772">
        <v>20.7462599378945</v>
      </c>
      <c r="BM297" s="772">
        <v>20.804016440074736</v>
      </c>
      <c r="BN297" s="772">
        <v>20.861772942254969</v>
      </c>
      <c r="BO297" s="772">
        <v>20.930066217940453</v>
      </c>
      <c r="BP297" s="772">
        <v>20.998359493625941</v>
      </c>
      <c r="BQ297" s="772">
        <v>21.187688058996372</v>
      </c>
      <c r="BR297" s="772">
        <v>21.413260085635802</v>
      </c>
      <c r="BS297" s="772">
        <v>21.512304321466452</v>
      </c>
      <c r="BT297" s="772">
        <v>21.566695065993361</v>
      </c>
      <c r="BU297" s="772">
        <v>21.623021813913798</v>
      </c>
      <c r="BV297" s="772">
        <v>21.68070376420971</v>
      </c>
      <c r="BW297" s="771">
        <v>15.15605750648594</v>
      </c>
      <c r="BX297" s="771">
        <v>15.313738609327253</v>
      </c>
      <c r="BY297" s="771">
        <v>15.473060200150522</v>
      </c>
      <c r="BZ297" s="772">
        <v>15.516377576785697</v>
      </c>
      <c r="CA297" s="772">
        <v>15.559694953420873</v>
      </c>
      <c r="CB297" s="772">
        <v>15.603012330056051</v>
      </c>
      <c r="CC297" s="772">
        <v>15.646329706691226</v>
      </c>
      <c r="CD297" s="772">
        <v>15.697549663455339</v>
      </c>
      <c r="CE297" s="772">
        <v>15.748769620219454</v>
      </c>
      <c r="CF297" s="772">
        <v>15.890766044247277</v>
      </c>
      <c r="CG297" s="772">
        <v>16.059945064226849</v>
      </c>
      <c r="CH297" s="772">
        <v>16.134228241099837</v>
      </c>
      <c r="CI297" s="772">
        <v>16.175021299495022</v>
      </c>
      <c r="CJ297" s="772">
        <v>16.21726636043535</v>
      </c>
      <c r="CK297" s="772">
        <v>16.260527823157283</v>
      </c>
      <c r="CL297" s="771">
        <v>1.0104038337657293</v>
      </c>
      <c r="CM297" s="771">
        <v>1.0209159072884835</v>
      </c>
      <c r="CN297" s="771">
        <v>1.0315373466767015</v>
      </c>
      <c r="CO297" s="772">
        <v>1.0344251717857131</v>
      </c>
      <c r="CP297" s="772">
        <v>1.0373129968947248</v>
      </c>
      <c r="CQ297" s="772">
        <v>1.0402008220037369</v>
      </c>
      <c r="CR297" s="772">
        <v>1.0430886471127485</v>
      </c>
      <c r="CS297" s="772">
        <v>1.0465033108970225</v>
      </c>
      <c r="CT297" s="772">
        <v>1.049917974681297</v>
      </c>
      <c r="CU297" s="772">
        <v>1.0593844029498185</v>
      </c>
      <c r="CV297" s="772">
        <v>1.07066300428179</v>
      </c>
      <c r="CW297" s="772">
        <v>1.0756152160733226</v>
      </c>
      <c r="CX297" s="772">
        <v>1.0783347532996681</v>
      </c>
      <c r="CY297" s="772">
        <v>1.0811510906956898</v>
      </c>
      <c r="CZ297" s="772">
        <v>1.0840351882104855</v>
      </c>
      <c r="DA297" s="773">
        <v>0</v>
      </c>
      <c r="DB297" s="773">
        <v>0</v>
      </c>
      <c r="DC297" s="773">
        <v>0</v>
      </c>
      <c r="DD297" s="774">
        <v>0</v>
      </c>
      <c r="DE297" s="774">
        <v>0</v>
      </c>
      <c r="DF297" s="774">
        <v>0</v>
      </c>
      <c r="DG297" s="774">
        <v>0</v>
      </c>
      <c r="DH297" s="774">
        <v>0</v>
      </c>
      <c r="DI297" s="774">
        <v>0</v>
      </c>
      <c r="DJ297" s="774">
        <v>0</v>
      </c>
      <c r="DK297" s="774">
        <v>0</v>
      </c>
      <c r="DL297" s="774">
        <v>0</v>
      </c>
      <c r="DM297" s="774">
        <v>0</v>
      </c>
      <c r="DN297" s="774">
        <v>0</v>
      </c>
      <c r="DO297" s="774">
        <v>0</v>
      </c>
      <c r="DP297" s="773">
        <v>0</v>
      </c>
      <c r="DQ297" s="773">
        <v>0</v>
      </c>
      <c r="DR297" s="773">
        <v>0</v>
      </c>
      <c r="DS297" s="774">
        <v>0</v>
      </c>
      <c r="DT297" s="774">
        <v>0</v>
      </c>
      <c r="DU297" s="774">
        <v>0</v>
      </c>
      <c r="DV297" s="774">
        <v>0</v>
      </c>
      <c r="DW297" s="774">
        <v>0</v>
      </c>
      <c r="DX297" s="774">
        <v>0</v>
      </c>
      <c r="DY297" s="774">
        <v>0</v>
      </c>
      <c r="DZ297" s="774">
        <v>0</v>
      </c>
      <c r="EA297" s="774">
        <v>0</v>
      </c>
      <c r="EB297" s="774">
        <v>0</v>
      </c>
      <c r="EC297" s="774">
        <v>0</v>
      </c>
      <c r="ED297" s="774">
        <v>0</v>
      </c>
    </row>
    <row r="298" spans="1:134" ht="15" x14ac:dyDescent="0.25">
      <c r="A298" s="766">
        <v>102</v>
      </c>
      <c r="B298" s="766">
        <v>98</v>
      </c>
      <c r="C298" s="766" t="s">
        <v>3969</v>
      </c>
      <c r="D298" s="2">
        <v>99709</v>
      </c>
      <c r="E298" s="2">
        <v>99709</v>
      </c>
      <c r="F298" s="767" t="s">
        <v>3746</v>
      </c>
      <c r="G298" s="114">
        <v>37</v>
      </c>
      <c r="H298" s="114">
        <v>25</v>
      </c>
      <c r="I298" s="114">
        <v>20</v>
      </c>
      <c r="J298" s="114">
        <v>5</v>
      </c>
      <c r="K298" s="114">
        <v>0</v>
      </c>
      <c r="L298" s="114">
        <v>10</v>
      </c>
      <c r="M298" s="114">
        <v>10</v>
      </c>
      <c r="N298" s="114">
        <v>6</v>
      </c>
      <c r="O298" s="114">
        <v>0</v>
      </c>
      <c r="P298" s="114">
        <v>0</v>
      </c>
      <c r="Q298" s="114">
        <v>16</v>
      </c>
      <c r="R298" s="114">
        <v>0</v>
      </c>
      <c r="S298" s="114">
        <v>1474.6</v>
      </c>
      <c r="T298" s="114">
        <v>1474.6</v>
      </c>
      <c r="U298" s="114">
        <v>7943.166666666667</v>
      </c>
      <c r="V298" s="114">
        <v>0</v>
      </c>
      <c r="W298" s="114">
        <v>0</v>
      </c>
      <c r="X298" s="114">
        <v>3900.3125</v>
      </c>
      <c r="Y298" s="114">
        <v>0</v>
      </c>
      <c r="Z298" s="114">
        <v>25</v>
      </c>
      <c r="AA298" s="114">
        <v>0</v>
      </c>
      <c r="AB298" s="657">
        <v>6</v>
      </c>
      <c r="AC298" s="657">
        <v>0</v>
      </c>
      <c r="AD298" s="768">
        <v>31</v>
      </c>
      <c r="AE298" s="769">
        <v>0</v>
      </c>
      <c r="AF298" s="769">
        <v>20</v>
      </c>
      <c r="AG298" s="770">
        <v>20</v>
      </c>
      <c r="AH298" s="769">
        <v>0</v>
      </c>
      <c r="AI298" s="769">
        <v>0</v>
      </c>
      <c r="AJ298" s="769">
        <v>23.803959875193485</v>
      </c>
      <c r="AK298" s="769">
        <v>23.803959875193485</v>
      </c>
      <c r="AL298" s="769">
        <v>0</v>
      </c>
      <c r="AM298" s="769">
        <v>0</v>
      </c>
      <c r="AN298" s="769">
        <v>19.079092577959525</v>
      </c>
      <c r="AO298" s="769">
        <v>19.079092577959525</v>
      </c>
      <c r="AP298" s="769">
        <v>0</v>
      </c>
      <c r="AQ298" s="769">
        <v>5.7579944310074449</v>
      </c>
      <c r="AR298" s="769">
        <v>0</v>
      </c>
      <c r="AS298" s="769">
        <v>22.665140229592854</v>
      </c>
      <c r="AT298" s="769">
        <v>23.227571732552285</v>
      </c>
      <c r="AU298" s="769">
        <v>23.803959875193485</v>
      </c>
      <c r="AV298" s="769">
        <v>24.394650989096711</v>
      </c>
      <c r="AW298" s="769">
        <v>25</v>
      </c>
      <c r="AX298" s="769">
        <v>18.200588679917512</v>
      </c>
      <c r="AY298" s="769">
        <v>18.63466437576777</v>
      </c>
      <c r="AZ298" s="769">
        <v>19.079092577959525</v>
      </c>
      <c r="BA298" s="769">
        <v>19.534120189022861</v>
      </c>
      <c r="BB298" s="769">
        <v>20</v>
      </c>
      <c r="BC298" s="769">
        <v>5.5257499779187924</v>
      </c>
      <c r="BD298" s="769">
        <v>5.6406770515600275</v>
      </c>
      <c r="BE298" s="769">
        <v>5.7579944310074449</v>
      </c>
      <c r="BF298" s="769">
        <v>5.8777518309337182</v>
      </c>
      <c r="BG298" s="769">
        <v>6</v>
      </c>
      <c r="BH298" s="771">
        <v>25.128065725279324</v>
      </c>
      <c r="BI298" s="771">
        <v>25.256787483758302</v>
      </c>
      <c r="BJ298" s="771">
        <v>25.386168636051632</v>
      </c>
      <c r="BK298" s="772">
        <v>26.120030429903334</v>
      </c>
      <c r="BL298" s="772">
        <v>26.853892223755039</v>
      </c>
      <c r="BM298" s="772">
        <v>27.587754017606734</v>
      </c>
      <c r="BN298" s="772">
        <v>28.32161581145844</v>
      </c>
      <c r="BO298" s="772">
        <v>29.189359250044109</v>
      </c>
      <c r="BP298" s="772">
        <v>30.057102688629783</v>
      </c>
      <c r="BQ298" s="772">
        <v>32.462736606288679</v>
      </c>
      <c r="BR298" s="772">
        <v>35.3288847604098</v>
      </c>
      <c r="BS298" s="772">
        <v>36.587353986100354</v>
      </c>
      <c r="BT298" s="772">
        <v>37.278450015823296</v>
      </c>
      <c r="BU298" s="772">
        <v>37.994145162003235</v>
      </c>
      <c r="BV298" s="772">
        <v>38.727059689703083</v>
      </c>
      <c r="BW298" s="771">
        <v>20.10245258022346</v>
      </c>
      <c r="BX298" s="771">
        <v>20.205429987006642</v>
      </c>
      <c r="BY298" s="771">
        <v>20.308934908841305</v>
      </c>
      <c r="BZ298" s="772">
        <v>20.896024343922669</v>
      </c>
      <c r="CA298" s="772">
        <v>21.483113779004029</v>
      </c>
      <c r="CB298" s="772">
        <v>22.070203214085389</v>
      </c>
      <c r="CC298" s="772">
        <v>22.657292649166749</v>
      </c>
      <c r="CD298" s="772">
        <v>23.351487400035285</v>
      </c>
      <c r="CE298" s="772">
        <v>24.045682150903826</v>
      </c>
      <c r="CF298" s="772">
        <v>25.970189285030941</v>
      </c>
      <c r="CG298" s="772">
        <v>28.263107808327838</v>
      </c>
      <c r="CH298" s="772">
        <v>29.269883188880279</v>
      </c>
      <c r="CI298" s="772">
        <v>29.822760012658637</v>
      </c>
      <c r="CJ298" s="772">
        <v>30.395316129602588</v>
      </c>
      <c r="CK298" s="772">
        <v>30.981647751762463</v>
      </c>
      <c r="CL298" s="771">
        <v>6.030735774067038</v>
      </c>
      <c r="CM298" s="771">
        <v>6.0616289961019927</v>
      </c>
      <c r="CN298" s="771">
        <v>6.0926804726523915</v>
      </c>
      <c r="CO298" s="772">
        <v>6.2688073031767999</v>
      </c>
      <c r="CP298" s="772">
        <v>6.4449341337012092</v>
      </c>
      <c r="CQ298" s="772">
        <v>6.6210609642256166</v>
      </c>
      <c r="CR298" s="772">
        <v>6.797187794750025</v>
      </c>
      <c r="CS298" s="772">
        <v>7.0054462200105858</v>
      </c>
      <c r="CT298" s="772">
        <v>7.2137046452711475</v>
      </c>
      <c r="CU298" s="772">
        <v>7.7910567855092827</v>
      </c>
      <c r="CV298" s="772">
        <v>8.4789323424983518</v>
      </c>
      <c r="CW298" s="772">
        <v>8.7809649566640839</v>
      </c>
      <c r="CX298" s="772">
        <v>8.9468280037975916</v>
      </c>
      <c r="CY298" s="772">
        <v>9.1185948388807763</v>
      </c>
      <c r="CZ298" s="772">
        <v>9.2944943255287384</v>
      </c>
      <c r="DA298" s="773">
        <v>0</v>
      </c>
      <c r="DB298" s="773">
        <v>0</v>
      </c>
      <c r="DC298" s="773">
        <v>0</v>
      </c>
      <c r="DD298" s="774">
        <v>0</v>
      </c>
      <c r="DE298" s="774">
        <v>0</v>
      </c>
      <c r="DF298" s="774">
        <v>0</v>
      </c>
      <c r="DG298" s="774">
        <v>0</v>
      </c>
      <c r="DH298" s="774">
        <v>0</v>
      </c>
      <c r="DI298" s="774">
        <v>0</v>
      </c>
      <c r="DJ298" s="774">
        <v>0</v>
      </c>
      <c r="DK298" s="774">
        <v>0</v>
      </c>
      <c r="DL298" s="774">
        <v>0</v>
      </c>
      <c r="DM298" s="774">
        <v>0</v>
      </c>
      <c r="DN298" s="774">
        <v>0</v>
      </c>
      <c r="DO298" s="774">
        <v>0</v>
      </c>
      <c r="DP298" s="773">
        <v>0</v>
      </c>
      <c r="DQ298" s="773">
        <v>0</v>
      </c>
      <c r="DR298" s="773">
        <v>0</v>
      </c>
      <c r="DS298" s="774">
        <v>0</v>
      </c>
      <c r="DT298" s="774">
        <v>0</v>
      </c>
      <c r="DU298" s="774">
        <v>0</v>
      </c>
      <c r="DV298" s="774">
        <v>0</v>
      </c>
      <c r="DW298" s="774">
        <v>0</v>
      </c>
      <c r="DX298" s="774">
        <v>0</v>
      </c>
      <c r="DY298" s="774">
        <v>0</v>
      </c>
      <c r="DZ298" s="774">
        <v>0</v>
      </c>
      <c r="EA298" s="774">
        <v>0</v>
      </c>
      <c r="EB298" s="774">
        <v>0</v>
      </c>
      <c r="EC298" s="774">
        <v>0</v>
      </c>
      <c r="ED298" s="774">
        <v>0</v>
      </c>
    </row>
    <row r="299" spans="1:134" ht="15" x14ac:dyDescent="0.25">
      <c r="A299" s="766">
        <v>105</v>
      </c>
      <c r="B299" s="766">
        <v>98</v>
      </c>
      <c r="C299" s="766" t="s">
        <v>3970</v>
      </c>
      <c r="D299" s="2">
        <v>99709</v>
      </c>
      <c r="E299" s="2">
        <v>99709</v>
      </c>
      <c r="F299" s="767" t="s">
        <v>3746</v>
      </c>
      <c r="G299" s="114">
        <v>495</v>
      </c>
      <c r="H299" s="114">
        <v>198</v>
      </c>
      <c r="I299" s="114">
        <v>186</v>
      </c>
      <c r="J299" s="114">
        <v>12</v>
      </c>
      <c r="K299" s="114">
        <v>0</v>
      </c>
      <c r="L299" s="114">
        <v>129</v>
      </c>
      <c r="M299" s="114">
        <v>129</v>
      </c>
      <c r="N299" s="114">
        <v>0</v>
      </c>
      <c r="O299" s="114">
        <v>0</v>
      </c>
      <c r="P299" s="114">
        <v>0</v>
      </c>
      <c r="Q299" s="114">
        <v>129</v>
      </c>
      <c r="R299" s="114">
        <v>0</v>
      </c>
      <c r="S299" s="114">
        <v>2874.6046511627906</v>
      </c>
      <c r="T299" s="114">
        <v>2874.6046511627906</v>
      </c>
      <c r="U299" s="114">
        <v>0</v>
      </c>
      <c r="V299" s="114">
        <v>0</v>
      </c>
      <c r="W299" s="114">
        <v>0</v>
      </c>
      <c r="X299" s="114">
        <v>2874.6046511627906</v>
      </c>
      <c r="Y299" s="114">
        <v>0</v>
      </c>
      <c r="Z299" s="114">
        <v>198</v>
      </c>
      <c r="AA299" s="114">
        <v>0</v>
      </c>
      <c r="AB299" s="657">
        <v>0</v>
      </c>
      <c r="AC299" s="657">
        <v>0</v>
      </c>
      <c r="AD299" s="768">
        <v>198</v>
      </c>
      <c r="AE299" s="769">
        <v>0</v>
      </c>
      <c r="AF299" s="769">
        <v>186</v>
      </c>
      <c r="AG299" s="770">
        <v>186</v>
      </c>
      <c r="AH299" s="769">
        <v>0</v>
      </c>
      <c r="AI299" s="769">
        <v>0</v>
      </c>
      <c r="AJ299" s="769">
        <v>188.52736221153239</v>
      </c>
      <c r="AK299" s="769">
        <v>188.52736221153239</v>
      </c>
      <c r="AL299" s="769">
        <v>0</v>
      </c>
      <c r="AM299" s="769">
        <v>0</v>
      </c>
      <c r="AN299" s="769">
        <v>177.43556097502361</v>
      </c>
      <c r="AO299" s="769">
        <v>177.43556097502361</v>
      </c>
      <c r="AP299" s="769">
        <v>0</v>
      </c>
      <c r="AQ299" s="769">
        <v>0</v>
      </c>
      <c r="AR299" s="769">
        <v>0</v>
      </c>
      <c r="AS299" s="769">
        <v>179.5079106183754</v>
      </c>
      <c r="AT299" s="769">
        <v>183.96236812181408</v>
      </c>
      <c r="AU299" s="769">
        <v>188.52736221153239</v>
      </c>
      <c r="AV299" s="769">
        <v>193.20563583364594</v>
      </c>
      <c r="AW299" s="769">
        <v>198</v>
      </c>
      <c r="AX299" s="769">
        <v>169.26547472323287</v>
      </c>
      <c r="AY299" s="769">
        <v>173.30237869464028</v>
      </c>
      <c r="AZ299" s="769">
        <v>177.43556097502361</v>
      </c>
      <c r="BA299" s="769">
        <v>181.6673177579126</v>
      </c>
      <c r="BB299" s="769">
        <v>186</v>
      </c>
      <c r="BC299" s="769">
        <v>0</v>
      </c>
      <c r="BD299" s="769">
        <v>0</v>
      </c>
      <c r="BE299" s="769">
        <v>0</v>
      </c>
      <c r="BF299" s="769">
        <v>0</v>
      </c>
      <c r="BG299" s="769">
        <v>0</v>
      </c>
      <c r="BH299" s="771">
        <v>202.30349503262556</v>
      </c>
      <c r="BI299" s="771">
        <v>206.70052576977557</v>
      </c>
      <c r="BJ299" s="771">
        <v>211.19312519346911</v>
      </c>
      <c r="BK299" s="772">
        <v>212.69018656628967</v>
      </c>
      <c r="BL299" s="772">
        <v>214.18724793911022</v>
      </c>
      <c r="BM299" s="772">
        <v>215.68430931193083</v>
      </c>
      <c r="BN299" s="772">
        <v>217.18137068475139</v>
      </c>
      <c r="BO299" s="772">
        <v>218.95154756861243</v>
      </c>
      <c r="BP299" s="772">
        <v>220.72172445247352</v>
      </c>
      <c r="BQ299" s="772">
        <v>225.62916294490699</v>
      </c>
      <c r="BR299" s="772">
        <v>231.47604000849589</v>
      </c>
      <c r="BS299" s="772">
        <v>234.04328861368143</v>
      </c>
      <c r="BT299" s="772">
        <v>235.45310880009234</v>
      </c>
      <c r="BU299" s="772">
        <v>236.91311062473793</v>
      </c>
      <c r="BV299" s="772">
        <v>238.40823959614775</v>
      </c>
      <c r="BW299" s="771">
        <v>190.0426771518604</v>
      </c>
      <c r="BX299" s="771">
        <v>194.17322117766795</v>
      </c>
      <c r="BY299" s="771">
        <v>198.39354184841036</v>
      </c>
      <c r="BZ299" s="772">
        <v>199.79987222893877</v>
      </c>
      <c r="CA299" s="772">
        <v>201.20620260946717</v>
      </c>
      <c r="CB299" s="772">
        <v>202.6125329899956</v>
      </c>
      <c r="CC299" s="772">
        <v>204.018863370524</v>
      </c>
      <c r="CD299" s="772">
        <v>205.68175680687833</v>
      </c>
      <c r="CE299" s="772">
        <v>207.34465024323268</v>
      </c>
      <c r="CF299" s="772">
        <v>211.95466822097322</v>
      </c>
      <c r="CG299" s="772">
        <v>217.44718909889008</v>
      </c>
      <c r="CH299" s="772">
        <v>219.85884687951889</v>
      </c>
      <c r="CI299" s="772">
        <v>221.18322341826854</v>
      </c>
      <c r="CJ299" s="772">
        <v>222.55474028384469</v>
      </c>
      <c r="CK299" s="772">
        <v>223.9592553781994</v>
      </c>
      <c r="CL299" s="771">
        <v>0</v>
      </c>
      <c r="CM299" s="771">
        <v>0</v>
      </c>
      <c r="CN299" s="771">
        <v>0</v>
      </c>
      <c r="CO299" s="772">
        <v>0</v>
      </c>
      <c r="CP299" s="772">
        <v>0</v>
      </c>
      <c r="CQ299" s="772">
        <v>0</v>
      </c>
      <c r="CR299" s="772">
        <v>0</v>
      </c>
      <c r="CS299" s="772">
        <v>0</v>
      </c>
      <c r="CT299" s="772">
        <v>0</v>
      </c>
      <c r="CU299" s="772">
        <v>0</v>
      </c>
      <c r="CV299" s="772">
        <v>0</v>
      </c>
      <c r="CW299" s="772">
        <v>0</v>
      </c>
      <c r="CX299" s="772">
        <v>0</v>
      </c>
      <c r="CY299" s="772">
        <v>0</v>
      </c>
      <c r="CZ299" s="772">
        <v>0</v>
      </c>
      <c r="DA299" s="773">
        <v>0</v>
      </c>
      <c r="DB299" s="773">
        <v>0</v>
      </c>
      <c r="DC299" s="773">
        <v>0</v>
      </c>
      <c r="DD299" s="774">
        <v>0</v>
      </c>
      <c r="DE299" s="774">
        <v>0</v>
      </c>
      <c r="DF299" s="774">
        <v>0</v>
      </c>
      <c r="DG299" s="774">
        <v>0</v>
      </c>
      <c r="DH299" s="774">
        <v>0</v>
      </c>
      <c r="DI299" s="774">
        <v>0</v>
      </c>
      <c r="DJ299" s="774">
        <v>0</v>
      </c>
      <c r="DK299" s="774">
        <v>0</v>
      </c>
      <c r="DL299" s="774">
        <v>0</v>
      </c>
      <c r="DM299" s="774">
        <v>0</v>
      </c>
      <c r="DN299" s="774">
        <v>0</v>
      </c>
      <c r="DO299" s="774">
        <v>0</v>
      </c>
      <c r="DP299" s="773">
        <v>0</v>
      </c>
      <c r="DQ299" s="773">
        <v>0</v>
      </c>
      <c r="DR299" s="773">
        <v>0</v>
      </c>
      <c r="DS299" s="774">
        <v>0</v>
      </c>
      <c r="DT299" s="774">
        <v>0</v>
      </c>
      <c r="DU299" s="774">
        <v>0</v>
      </c>
      <c r="DV299" s="774">
        <v>0</v>
      </c>
      <c r="DW299" s="774">
        <v>0</v>
      </c>
      <c r="DX299" s="774">
        <v>0</v>
      </c>
      <c r="DY299" s="774">
        <v>0</v>
      </c>
      <c r="DZ299" s="774">
        <v>0</v>
      </c>
      <c r="EA299" s="774">
        <v>0</v>
      </c>
      <c r="EB299" s="774">
        <v>0</v>
      </c>
      <c r="EC299" s="774">
        <v>0</v>
      </c>
      <c r="ED299" s="774">
        <v>0</v>
      </c>
    </row>
    <row r="300" spans="1:134" ht="15" x14ac:dyDescent="0.25">
      <c r="A300" s="766">
        <v>106</v>
      </c>
      <c r="B300" s="766">
        <v>98</v>
      </c>
      <c r="C300" s="766" t="s">
        <v>3971</v>
      </c>
      <c r="D300" s="2">
        <v>99709</v>
      </c>
      <c r="E300" s="2">
        <v>99709</v>
      </c>
      <c r="F300" s="767" t="s">
        <v>3746</v>
      </c>
      <c r="G300" s="114">
        <v>107</v>
      </c>
      <c r="H300" s="114">
        <v>48</v>
      </c>
      <c r="I300" s="114">
        <v>45</v>
      </c>
      <c r="J300" s="114">
        <v>3</v>
      </c>
      <c r="K300" s="114">
        <v>0</v>
      </c>
      <c r="L300" s="114">
        <v>60</v>
      </c>
      <c r="M300" s="114">
        <v>60</v>
      </c>
      <c r="N300" s="114">
        <v>3</v>
      </c>
      <c r="O300" s="114">
        <v>0</v>
      </c>
      <c r="P300" s="114">
        <v>0</v>
      </c>
      <c r="Q300" s="114">
        <v>63</v>
      </c>
      <c r="R300" s="114">
        <v>0</v>
      </c>
      <c r="S300" s="114">
        <v>3196.5166666666669</v>
      </c>
      <c r="T300" s="114">
        <v>3196.5166666666669</v>
      </c>
      <c r="U300" s="114">
        <v>1737</v>
      </c>
      <c r="V300" s="114">
        <v>0</v>
      </c>
      <c r="W300" s="114">
        <v>0</v>
      </c>
      <c r="X300" s="114">
        <v>3127.0158730158732</v>
      </c>
      <c r="Y300" s="114">
        <v>0</v>
      </c>
      <c r="Z300" s="114">
        <v>48</v>
      </c>
      <c r="AA300" s="114">
        <v>0</v>
      </c>
      <c r="AB300" s="657">
        <v>3</v>
      </c>
      <c r="AC300" s="657">
        <v>0</v>
      </c>
      <c r="AD300" s="768">
        <v>51</v>
      </c>
      <c r="AE300" s="769">
        <v>0</v>
      </c>
      <c r="AF300" s="769">
        <v>45</v>
      </c>
      <c r="AG300" s="770">
        <v>45</v>
      </c>
      <c r="AH300" s="769">
        <v>0</v>
      </c>
      <c r="AI300" s="769">
        <v>0</v>
      </c>
      <c r="AJ300" s="769">
        <v>45.703602960371491</v>
      </c>
      <c r="AK300" s="769">
        <v>45.703602960371491</v>
      </c>
      <c r="AL300" s="769">
        <v>0</v>
      </c>
      <c r="AM300" s="769">
        <v>0</v>
      </c>
      <c r="AN300" s="769">
        <v>42.927958300408932</v>
      </c>
      <c r="AO300" s="769">
        <v>42.927958300408932</v>
      </c>
      <c r="AP300" s="769">
        <v>0</v>
      </c>
      <c r="AQ300" s="769">
        <v>2.8789972155037225</v>
      </c>
      <c r="AR300" s="769">
        <v>0</v>
      </c>
      <c r="AS300" s="769">
        <v>43.51706924081828</v>
      </c>
      <c r="AT300" s="769">
        <v>44.596937726500386</v>
      </c>
      <c r="AU300" s="769">
        <v>45.703602960371491</v>
      </c>
      <c r="AV300" s="769">
        <v>46.837729899065685</v>
      </c>
      <c r="AW300" s="769">
        <v>48</v>
      </c>
      <c r="AX300" s="769">
        <v>40.951324529814407</v>
      </c>
      <c r="AY300" s="769">
        <v>41.927994845477485</v>
      </c>
      <c r="AZ300" s="769">
        <v>42.927958300408932</v>
      </c>
      <c r="BA300" s="769">
        <v>43.951770425301433</v>
      </c>
      <c r="BB300" s="769">
        <v>45</v>
      </c>
      <c r="BC300" s="769">
        <v>2.7628749889593962</v>
      </c>
      <c r="BD300" s="769">
        <v>2.8203385257800138</v>
      </c>
      <c r="BE300" s="769">
        <v>2.8789972155037225</v>
      </c>
      <c r="BF300" s="769">
        <v>2.9388759154668591</v>
      </c>
      <c r="BG300" s="769">
        <v>3</v>
      </c>
      <c r="BH300" s="771">
        <v>48.507123132195574</v>
      </c>
      <c r="BI300" s="771">
        <v>49.01960405337465</v>
      </c>
      <c r="BJ300" s="771">
        <v>49.537499368927449</v>
      </c>
      <c r="BK300" s="772">
        <v>49.681765581151531</v>
      </c>
      <c r="BL300" s="772">
        <v>49.826031793375613</v>
      </c>
      <c r="BM300" s="772">
        <v>49.97029800559968</v>
      </c>
      <c r="BN300" s="772">
        <v>50.114564217823762</v>
      </c>
      <c r="BO300" s="772">
        <v>50.285149551623491</v>
      </c>
      <c r="BP300" s="772">
        <v>50.455734885423212</v>
      </c>
      <c r="BQ300" s="772">
        <v>50.928646401196389</v>
      </c>
      <c r="BR300" s="772">
        <v>51.492088102797844</v>
      </c>
      <c r="BS300" s="772">
        <v>51.739484260919177</v>
      </c>
      <c r="BT300" s="772">
        <v>51.875343365898523</v>
      </c>
      <c r="BU300" s="772">
        <v>52.016038287900976</v>
      </c>
      <c r="BV300" s="772">
        <v>52.160118281819585</v>
      </c>
      <c r="BW300" s="771">
        <v>45.475427936433356</v>
      </c>
      <c r="BX300" s="771">
        <v>45.955878800038732</v>
      </c>
      <c r="BY300" s="771">
        <v>46.441405658369483</v>
      </c>
      <c r="BZ300" s="772">
        <v>46.576655232329557</v>
      </c>
      <c r="CA300" s="772">
        <v>46.711904806289631</v>
      </c>
      <c r="CB300" s="772">
        <v>46.847154380249698</v>
      </c>
      <c r="CC300" s="772">
        <v>46.982403954209772</v>
      </c>
      <c r="CD300" s="772">
        <v>47.142327704647023</v>
      </c>
      <c r="CE300" s="772">
        <v>47.30225145508426</v>
      </c>
      <c r="CF300" s="772">
        <v>47.745606001121615</v>
      </c>
      <c r="CG300" s="772">
        <v>48.273832596372984</v>
      </c>
      <c r="CH300" s="772">
        <v>48.505766494611727</v>
      </c>
      <c r="CI300" s="772">
        <v>48.633134405529866</v>
      </c>
      <c r="CJ300" s="772">
        <v>48.765035894907165</v>
      </c>
      <c r="CK300" s="772">
        <v>48.900110889205855</v>
      </c>
      <c r="CL300" s="771">
        <v>3.0316951957622233</v>
      </c>
      <c r="CM300" s="771">
        <v>3.0637252533359156</v>
      </c>
      <c r="CN300" s="771">
        <v>3.0960937105579656</v>
      </c>
      <c r="CO300" s="772">
        <v>3.1051103488219707</v>
      </c>
      <c r="CP300" s="772">
        <v>3.1141269870859758</v>
      </c>
      <c r="CQ300" s="772">
        <v>3.12314362534998</v>
      </c>
      <c r="CR300" s="772">
        <v>3.1321602636139851</v>
      </c>
      <c r="CS300" s="772">
        <v>3.1428218469764682</v>
      </c>
      <c r="CT300" s="772">
        <v>3.1534834303389507</v>
      </c>
      <c r="CU300" s="772">
        <v>3.1830404000747743</v>
      </c>
      <c r="CV300" s="772">
        <v>3.2182555064248652</v>
      </c>
      <c r="CW300" s="772">
        <v>3.2337177663074486</v>
      </c>
      <c r="CX300" s="772">
        <v>3.2422089603686577</v>
      </c>
      <c r="CY300" s="772">
        <v>3.251002392993811</v>
      </c>
      <c r="CZ300" s="772">
        <v>3.2600073926137241</v>
      </c>
      <c r="DA300" s="773">
        <v>0</v>
      </c>
      <c r="DB300" s="773">
        <v>0</v>
      </c>
      <c r="DC300" s="773">
        <v>0</v>
      </c>
      <c r="DD300" s="774">
        <v>0</v>
      </c>
      <c r="DE300" s="774">
        <v>0</v>
      </c>
      <c r="DF300" s="774">
        <v>0</v>
      </c>
      <c r="DG300" s="774">
        <v>0</v>
      </c>
      <c r="DH300" s="774">
        <v>0</v>
      </c>
      <c r="DI300" s="774">
        <v>0</v>
      </c>
      <c r="DJ300" s="774">
        <v>0</v>
      </c>
      <c r="DK300" s="774">
        <v>0</v>
      </c>
      <c r="DL300" s="774">
        <v>0</v>
      </c>
      <c r="DM300" s="774">
        <v>0</v>
      </c>
      <c r="DN300" s="774">
        <v>0</v>
      </c>
      <c r="DO300" s="774">
        <v>0</v>
      </c>
      <c r="DP300" s="773">
        <v>0</v>
      </c>
      <c r="DQ300" s="773">
        <v>0</v>
      </c>
      <c r="DR300" s="773">
        <v>0</v>
      </c>
      <c r="DS300" s="774">
        <v>0</v>
      </c>
      <c r="DT300" s="774">
        <v>0</v>
      </c>
      <c r="DU300" s="774">
        <v>0</v>
      </c>
      <c r="DV300" s="774">
        <v>0</v>
      </c>
      <c r="DW300" s="774">
        <v>0</v>
      </c>
      <c r="DX300" s="774">
        <v>0</v>
      </c>
      <c r="DY300" s="774">
        <v>0</v>
      </c>
      <c r="DZ300" s="774">
        <v>0</v>
      </c>
      <c r="EA300" s="774">
        <v>0</v>
      </c>
      <c r="EB300" s="774">
        <v>0</v>
      </c>
      <c r="EC300" s="774">
        <v>0</v>
      </c>
      <c r="ED300" s="774">
        <v>0</v>
      </c>
    </row>
    <row r="301" spans="1:134" ht="15" x14ac:dyDescent="0.25">
      <c r="A301" s="766">
        <v>107</v>
      </c>
      <c r="B301" s="766">
        <v>98</v>
      </c>
      <c r="C301" s="766" t="s">
        <v>3972</v>
      </c>
      <c r="D301" s="2">
        <v>99709</v>
      </c>
      <c r="E301" s="2">
        <v>99709</v>
      </c>
      <c r="F301" s="767" t="s">
        <v>3746</v>
      </c>
      <c r="G301" s="114">
        <v>13</v>
      </c>
      <c r="H301" s="114">
        <v>7</v>
      </c>
      <c r="I301" s="114">
        <v>7</v>
      </c>
      <c r="J301" s="114">
        <v>0</v>
      </c>
      <c r="K301" s="114">
        <v>2</v>
      </c>
      <c r="L301" s="114">
        <v>162</v>
      </c>
      <c r="M301" s="114">
        <v>164</v>
      </c>
      <c r="N301" s="114">
        <v>0</v>
      </c>
      <c r="O301" s="114">
        <v>0</v>
      </c>
      <c r="P301" s="114">
        <v>0</v>
      </c>
      <c r="Q301" s="114">
        <v>164</v>
      </c>
      <c r="R301" s="114">
        <v>3256</v>
      </c>
      <c r="S301" s="114">
        <v>3317.6975308641977</v>
      </c>
      <c r="T301" s="114">
        <v>3316.9451219512193</v>
      </c>
      <c r="U301" s="114">
        <v>0</v>
      </c>
      <c r="V301" s="114">
        <v>0</v>
      </c>
      <c r="W301" s="114">
        <v>0</v>
      </c>
      <c r="X301" s="114">
        <v>3316.9451219512193</v>
      </c>
      <c r="Y301" s="114">
        <v>8.5365853658536592E-2</v>
      </c>
      <c r="Z301" s="114">
        <v>6.9146341463414638</v>
      </c>
      <c r="AA301" s="114">
        <v>0</v>
      </c>
      <c r="AB301" s="657">
        <v>0</v>
      </c>
      <c r="AC301" s="657">
        <v>0</v>
      </c>
      <c r="AD301" s="768">
        <v>7</v>
      </c>
      <c r="AE301" s="769">
        <v>8.5365853658536592E-2</v>
      </c>
      <c r="AF301" s="769">
        <v>6.9146341463414638</v>
      </c>
      <c r="AG301" s="770">
        <v>7</v>
      </c>
      <c r="AH301" s="769">
        <v>0</v>
      </c>
      <c r="AI301" s="769">
        <v>8.1281814207977754E-2</v>
      </c>
      <c r="AJ301" s="769">
        <v>6.5838269508461984</v>
      </c>
      <c r="AK301" s="769">
        <v>6.6651087650541765</v>
      </c>
      <c r="AL301" s="769">
        <v>0</v>
      </c>
      <c r="AM301" s="769">
        <v>8.1435151247388232E-2</v>
      </c>
      <c r="AN301" s="769">
        <v>6.596247251038446</v>
      </c>
      <c r="AO301" s="769">
        <v>6.6776824022858339</v>
      </c>
      <c r="AP301" s="769">
        <v>0</v>
      </c>
      <c r="AQ301" s="769">
        <v>0</v>
      </c>
      <c r="AR301" s="769">
        <v>0</v>
      </c>
      <c r="AS301" s="769">
        <v>6.346239264285999</v>
      </c>
      <c r="AT301" s="769">
        <v>6.5037200851146393</v>
      </c>
      <c r="AU301" s="769">
        <v>6.6651087650541756</v>
      </c>
      <c r="AV301" s="769">
        <v>6.8305022769470787</v>
      </c>
      <c r="AW301" s="769">
        <v>7</v>
      </c>
      <c r="AX301" s="769">
        <v>6.3702060379711298</v>
      </c>
      <c r="AY301" s="769">
        <v>6.5221325315187197</v>
      </c>
      <c r="AZ301" s="769">
        <v>6.6776824022858339</v>
      </c>
      <c r="BA301" s="769">
        <v>6.8369420661580014</v>
      </c>
      <c r="BB301" s="769">
        <v>7</v>
      </c>
      <c r="BC301" s="769">
        <v>0</v>
      </c>
      <c r="BD301" s="769">
        <v>0</v>
      </c>
      <c r="BE301" s="769">
        <v>0</v>
      </c>
      <c r="BF301" s="769">
        <v>0</v>
      </c>
      <c r="BG301" s="769">
        <v>0</v>
      </c>
      <c r="BH301" s="771">
        <v>7.0739554567785214</v>
      </c>
      <c r="BI301" s="771">
        <v>7.1486922577838028</v>
      </c>
      <c r="BJ301" s="771">
        <v>7.2242186579685868</v>
      </c>
      <c r="BK301" s="772">
        <v>7.2452574805845984</v>
      </c>
      <c r="BL301" s="772">
        <v>7.26629630320061</v>
      </c>
      <c r="BM301" s="772">
        <v>7.2873351258166199</v>
      </c>
      <c r="BN301" s="772">
        <v>7.3083739484326316</v>
      </c>
      <c r="BO301" s="772">
        <v>7.3332509762784266</v>
      </c>
      <c r="BP301" s="772">
        <v>7.358128004124219</v>
      </c>
      <c r="BQ301" s="772">
        <v>7.4270942668411406</v>
      </c>
      <c r="BR301" s="772">
        <v>7.5092628483246866</v>
      </c>
      <c r="BS301" s="772">
        <v>7.5453414547173798</v>
      </c>
      <c r="BT301" s="772">
        <v>7.5651542408602017</v>
      </c>
      <c r="BU301" s="772">
        <v>7.5856722503188934</v>
      </c>
      <c r="BV301" s="772">
        <v>7.6066839160986897</v>
      </c>
      <c r="BW301" s="771">
        <v>7.0739554567785214</v>
      </c>
      <c r="BX301" s="771">
        <v>7.1486922577838028</v>
      </c>
      <c r="BY301" s="771">
        <v>7.2242186579685868</v>
      </c>
      <c r="BZ301" s="772">
        <v>7.2452574805845984</v>
      </c>
      <c r="CA301" s="772">
        <v>7.26629630320061</v>
      </c>
      <c r="CB301" s="772">
        <v>7.2873351258166199</v>
      </c>
      <c r="CC301" s="772">
        <v>7.3083739484326316</v>
      </c>
      <c r="CD301" s="772">
        <v>7.3332509762784266</v>
      </c>
      <c r="CE301" s="772">
        <v>7.358128004124219</v>
      </c>
      <c r="CF301" s="772">
        <v>7.4270942668411406</v>
      </c>
      <c r="CG301" s="772">
        <v>7.5092628483246866</v>
      </c>
      <c r="CH301" s="772">
        <v>7.5453414547173798</v>
      </c>
      <c r="CI301" s="772">
        <v>7.5651542408602017</v>
      </c>
      <c r="CJ301" s="772">
        <v>7.5856722503188934</v>
      </c>
      <c r="CK301" s="772">
        <v>7.6066839160986897</v>
      </c>
      <c r="CL301" s="771">
        <v>0</v>
      </c>
      <c r="CM301" s="771">
        <v>0</v>
      </c>
      <c r="CN301" s="771">
        <v>0</v>
      </c>
      <c r="CO301" s="772">
        <v>0</v>
      </c>
      <c r="CP301" s="772">
        <v>0</v>
      </c>
      <c r="CQ301" s="772">
        <v>0</v>
      </c>
      <c r="CR301" s="772">
        <v>0</v>
      </c>
      <c r="CS301" s="772">
        <v>0</v>
      </c>
      <c r="CT301" s="772">
        <v>0</v>
      </c>
      <c r="CU301" s="772">
        <v>0</v>
      </c>
      <c r="CV301" s="772">
        <v>0</v>
      </c>
      <c r="CW301" s="772">
        <v>0</v>
      </c>
      <c r="CX301" s="772">
        <v>0</v>
      </c>
      <c r="CY301" s="772">
        <v>0</v>
      </c>
      <c r="CZ301" s="772">
        <v>0</v>
      </c>
      <c r="DA301" s="773">
        <v>0</v>
      </c>
      <c r="DB301" s="773">
        <v>0</v>
      </c>
      <c r="DC301" s="773">
        <v>0</v>
      </c>
      <c r="DD301" s="774">
        <v>0</v>
      </c>
      <c r="DE301" s="774">
        <v>0</v>
      </c>
      <c r="DF301" s="774">
        <v>0</v>
      </c>
      <c r="DG301" s="774">
        <v>0</v>
      </c>
      <c r="DH301" s="774">
        <v>0</v>
      </c>
      <c r="DI301" s="774">
        <v>0</v>
      </c>
      <c r="DJ301" s="774">
        <v>0</v>
      </c>
      <c r="DK301" s="774">
        <v>0</v>
      </c>
      <c r="DL301" s="774">
        <v>0</v>
      </c>
      <c r="DM301" s="774">
        <v>0</v>
      </c>
      <c r="DN301" s="774">
        <v>0</v>
      </c>
      <c r="DO301" s="774">
        <v>0</v>
      </c>
      <c r="DP301" s="773">
        <v>0</v>
      </c>
      <c r="DQ301" s="773">
        <v>0</v>
      </c>
      <c r="DR301" s="773">
        <v>0</v>
      </c>
      <c r="DS301" s="774">
        <v>0</v>
      </c>
      <c r="DT301" s="774">
        <v>0</v>
      </c>
      <c r="DU301" s="774">
        <v>0</v>
      </c>
      <c r="DV301" s="774">
        <v>0</v>
      </c>
      <c r="DW301" s="774">
        <v>0</v>
      </c>
      <c r="DX301" s="774">
        <v>0</v>
      </c>
      <c r="DY301" s="774">
        <v>0</v>
      </c>
      <c r="DZ301" s="774">
        <v>0</v>
      </c>
      <c r="EA301" s="774">
        <v>0</v>
      </c>
      <c r="EB301" s="774">
        <v>0</v>
      </c>
      <c r="EC301" s="774">
        <v>0</v>
      </c>
      <c r="ED301" s="774">
        <v>0</v>
      </c>
    </row>
    <row r="302" spans="1:134" ht="15" x14ac:dyDescent="0.25">
      <c r="A302" s="766">
        <v>108</v>
      </c>
      <c r="B302" s="766">
        <v>98</v>
      </c>
      <c r="C302" s="766" t="s">
        <v>3973</v>
      </c>
      <c r="D302" s="2">
        <v>99709</v>
      </c>
      <c r="E302" s="2">
        <v>99709</v>
      </c>
      <c r="F302" s="767" t="s">
        <v>3746</v>
      </c>
      <c r="G302" s="114">
        <v>103</v>
      </c>
      <c r="H302" s="114">
        <v>65</v>
      </c>
      <c r="I302" s="114">
        <v>55</v>
      </c>
      <c r="J302" s="114">
        <v>10</v>
      </c>
      <c r="K302" s="114">
        <v>0</v>
      </c>
      <c r="L302" s="114">
        <v>118</v>
      </c>
      <c r="M302" s="114">
        <v>118</v>
      </c>
      <c r="N302" s="114">
        <v>0</v>
      </c>
      <c r="O302" s="114">
        <v>0</v>
      </c>
      <c r="P302" s="114">
        <v>0</v>
      </c>
      <c r="Q302" s="114">
        <v>118</v>
      </c>
      <c r="R302" s="114">
        <v>0</v>
      </c>
      <c r="S302" s="114">
        <v>2388.101694915254</v>
      </c>
      <c r="T302" s="114">
        <v>2388.101694915254</v>
      </c>
      <c r="U302" s="114">
        <v>0</v>
      </c>
      <c r="V302" s="114">
        <v>0</v>
      </c>
      <c r="W302" s="114">
        <v>0</v>
      </c>
      <c r="X302" s="114">
        <v>2388.101694915254</v>
      </c>
      <c r="Y302" s="114">
        <v>0</v>
      </c>
      <c r="Z302" s="114">
        <v>65</v>
      </c>
      <c r="AA302" s="114">
        <v>0</v>
      </c>
      <c r="AB302" s="657">
        <v>0</v>
      </c>
      <c r="AC302" s="657">
        <v>0</v>
      </c>
      <c r="AD302" s="768">
        <v>65</v>
      </c>
      <c r="AE302" s="769">
        <v>0</v>
      </c>
      <c r="AF302" s="769">
        <v>55</v>
      </c>
      <c r="AG302" s="770">
        <v>55</v>
      </c>
      <c r="AH302" s="769">
        <v>0</v>
      </c>
      <c r="AI302" s="769">
        <v>0</v>
      </c>
      <c r="AJ302" s="769">
        <v>61.890295675503054</v>
      </c>
      <c r="AK302" s="769">
        <v>61.890295675503054</v>
      </c>
      <c r="AL302" s="769">
        <v>0</v>
      </c>
      <c r="AM302" s="769">
        <v>0</v>
      </c>
      <c r="AN302" s="769">
        <v>52.467504589388696</v>
      </c>
      <c r="AO302" s="769">
        <v>52.467504589388696</v>
      </c>
      <c r="AP302" s="769">
        <v>0</v>
      </c>
      <c r="AQ302" s="769">
        <v>0</v>
      </c>
      <c r="AR302" s="769">
        <v>0</v>
      </c>
      <c r="AS302" s="769">
        <v>58.929364596941426</v>
      </c>
      <c r="AT302" s="769">
        <v>60.391686504635935</v>
      </c>
      <c r="AU302" s="769">
        <v>61.890295675503054</v>
      </c>
      <c r="AV302" s="769">
        <v>63.426092571651445</v>
      </c>
      <c r="AW302" s="769">
        <v>65</v>
      </c>
      <c r="AX302" s="769">
        <v>50.051618869773158</v>
      </c>
      <c r="AY302" s="769">
        <v>51.24532703336137</v>
      </c>
      <c r="AZ302" s="769">
        <v>52.467504589388696</v>
      </c>
      <c r="BA302" s="769">
        <v>53.718830519812869</v>
      </c>
      <c r="BB302" s="769">
        <v>55</v>
      </c>
      <c r="BC302" s="769">
        <v>0</v>
      </c>
      <c r="BD302" s="769">
        <v>0</v>
      </c>
      <c r="BE302" s="769">
        <v>0</v>
      </c>
      <c r="BF302" s="769">
        <v>0</v>
      </c>
      <c r="BG302" s="769">
        <v>0</v>
      </c>
      <c r="BH302" s="771">
        <v>65.68672924151484</v>
      </c>
      <c r="BI302" s="771">
        <v>66.380713822278167</v>
      </c>
      <c r="BJ302" s="771">
        <v>67.082030395422592</v>
      </c>
      <c r="BK302" s="772">
        <v>67.854552702255006</v>
      </c>
      <c r="BL302" s="772">
        <v>68.627075009087434</v>
      </c>
      <c r="BM302" s="772">
        <v>69.399597315919848</v>
      </c>
      <c r="BN302" s="772">
        <v>70.172119622752277</v>
      </c>
      <c r="BO302" s="772">
        <v>71.085576582265773</v>
      </c>
      <c r="BP302" s="772">
        <v>71.999033541779269</v>
      </c>
      <c r="BQ302" s="772">
        <v>74.531398462577556</v>
      </c>
      <c r="BR302" s="772">
        <v>77.548537932564159</v>
      </c>
      <c r="BS302" s="772">
        <v>78.873304472331085</v>
      </c>
      <c r="BT302" s="772">
        <v>79.600808075321737</v>
      </c>
      <c r="BU302" s="772">
        <v>80.354206698806166</v>
      </c>
      <c r="BV302" s="772">
        <v>81.125731836636277</v>
      </c>
      <c r="BW302" s="771">
        <v>55.581078588974101</v>
      </c>
      <c r="BX302" s="771">
        <v>56.16829631115845</v>
      </c>
      <c r="BY302" s="771">
        <v>56.761718026896034</v>
      </c>
      <c r="BZ302" s="772">
        <v>57.415390748061924</v>
      </c>
      <c r="CA302" s="772">
        <v>58.069063469227821</v>
      </c>
      <c r="CB302" s="772">
        <v>58.722736190393711</v>
      </c>
      <c r="CC302" s="772">
        <v>59.376408911559608</v>
      </c>
      <c r="CD302" s="772">
        <v>60.149334031147959</v>
      </c>
      <c r="CE302" s="772">
        <v>60.922259150736295</v>
      </c>
      <c r="CF302" s="772">
        <v>63.065029468334849</v>
      </c>
      <c r="CG302" s="772">
        <v>65.617993635246592</v>
      </c>
      <c r="CH302" s="772">
        <v>66.738949938126297</v>
      </c>
      <c r="CI302" s="772">
        <v>67.354529909887617</v>
      </c>
      <c r="CJ302" s="772">
        <v>67.99202105283598</v>
      </c>
      <c r="CK302" s="772">
        <v>68.644850015615305</v>
      </c>
      <c r="CL302" s="771">
        <v>0</v>
      </c>
      <c r="CM302" s="771">
        <v>0</v>
      </c>
      <c r="CN302" s="771">
        <v>0</v>
      </c>
      <c r="CO302" s="772">
        <v>0</v>
      </c>
      <c r="CP302" s="772">
        <v>0</v>
      </c>
      <c r="CQ302" s="772">
        <v>0</v>
      </c>
      <c r="CR302" s="772">
        <v>0</v>
      </c>
      <c r="CS302" s="772">
        <v>0</v>
      </c>
      <c r="CT302" s="772">
        <v>0</v>
      </c>
      <c r="CU302" s="772">
        <v>0</v>
      </c>
      <c r="CV302" s="772">
        <v>0</v>
      </c>
      <c r="CW302" s="772">
        <v>0</v>
      </c>
      <c r="CX302" s="772">
        <v>0</v>
      </c>
      <c r="CY302" s="772">
        <v>0</v>
      </c>
      <c r="CZ302" s="772">
        <v>0</v>
      </c>
      <c r="DA302" s="773">
        <v>0</v>
      </c>
      <c r="DB302" s="773">
        <v>0</v>
      </c>
      <c r="DC302" s="773">
        <v>0</v>
      </c>
      <c r="DD302" s="774">
        <v>0</v>
      </c>
      <c r="DE302" s="774">
        <v>0</v>
      </c>
      <c r="DF302" s="774">
        <v>0</v>
      </c>
      <c r="DG302" s="774">
        <v>0</v>
      </c>
      <c r="DH302" s="774">
        <v>0</v>
      </c>
      <c r="DI302" s="774">
        <v>0</v>
      </c>
      <c r="DJ302" s="774">
        <v>0</v>
      </c>
      <c r="DK302" s="774">
        <v>0</v>
      </c>
      <c r="DL302" s="774">
        <v>0</v>
      </c>
      <c r="DM302" s="774">
        <v>0</v>
      </c>
      <c r="DN302" s="774">
        <v>0</v>
      </c>
      <c r="DO302" s="774">
        <v>0</v>
      </c>
      <c r="DP302" s="773">
        <v>0</v>
      </c>
      <c r="DQ302" s="773">
        <v>0</v>
      </c>
      <c r="DR302" s="773">
        <v>0</v>
      </c>
      <c r="DS302" s="774">
        <v>0</v>
      </c>
      <c r="DT302" s="774">
        <v>0</v>
      </c>
      <c r="DU302" s="774">
        <v>0</v>
      </c>
      <c r="DV302" s="774">
        <v>0</v>
      </c>
      <c r="DW302" s="774">
        <v>0</v>
      </c>
      <c r="DX302" s="774">
        <v>0</v>
      </c>
      <c r="DY302" s="774">
        <v>0</v>
      </c>
      <c r="DZ302" s="774">
        <v>0</v>
      </c>
      <c r="EA302" s="774">
        <v>0</v>
      </c>
      <c r="EB302" s="774">
        <v>0</v>
      </c>
      <c r="EC302" s="774">
        <v>0</v>
      </c>
      <c r="ED302" s="774">
        <v>0</v>
      </c>
    </row>
    <row r="303" spans="1:134" ht="15" x14ac:dyDescent="0.25">
      <c r="A303" s="766">
        <v>109</v>
      </c>
      <c r="B303" s="766">
        <v>98</v>
      </c>
      <c r="C303" s="766" t="s">
        <v>3974</v>
      </c>
      <c r="D303" s="2">
        <v>99709</v>
      </c>
      <c r="E303" s="2">
        <v>99709</v>
      </c>
      <c r="F303" s="767" t="s">
        <v>3746</v>
      </c>
      <c r="G303" s="114">
        <v>66</v>
      </c>
      <c r="H303" s="114">
        <v>34</v>
      </c>
      <c r="I303" s="114">
        <v>30</v>
      </c>
      <c r="J303" s="114">
        <v>4</v>
      </c>
      <c r="K303" s="114">
        <v>0</v>
      </c>
      <c r="L303" s="114">
        <v>71</v>
      </c>
      <c r="M303" s="114">
        <v>71</v>
      </c>
      <c r="N303" s="114">
        <v>0</v>
      </c>
      <c r="O303" s="114">
        <v>0</v>
      </c>
      <c r="P303" s="114">
        <v>0</v>
      </c>
      <c r="Q303" s="114">
        <v>71</v>
      </c>
      <c r="R303" s="114">
        <v>0</v>
      </c>
      <c r="S303" s="114">
        <v>1156.6338028169014</v>
      </c>
      <c r="T303" s="114">
        <v>1156.6338028169014</v>
      </c>
      <c r="U303" s="114">
        <v>0</v>
      </c>
      <c r="V303" s="114">
        <v>0</v>
      </c>
      <c r="W303" s="114">
        <v>0</v>
      </c>
      <c r="X303" s="114">
        <v>1156.6338028169014</v>
      </c>
      <c r="Y303" s="114">
        <v>0</v>
      </c>
      <c r="Z303" s="114">
        <v>34</v>
      </c>
      <c r="AA303" s="114">
        <v>0</v>
      </c>
      <c r="AB303" s="657">
        <v>0</v>
      </c>
      <c r="AC303" s="657">
        <v>0</v>
      </c>
      <c r="AD303" s="768">
        <v>34</v>
      </c>
      <c r="AE303" s="769">
        <v>0</v>
      </c>
      <c r="AF303" s="769">
        <v>30</v>
      </c>
      <c r="AG303" s="770">
        <v>30</v>
      </c>
      <c r="AH303" s="769">
        <v>0</v>
      </c>
      <c r="AI303" s="769">
        <v>0</v>
      </c>
      <c r="AJ303" s="769">
        <v>32.373385430263134</v>
      </c>
      <c r="AK303" s="769">
        <v>32.373385430263134</v>
      </c>
      <c r="AL303" s="769">
        <v>0</v>
      </c>
      <c r="AM303" s="769">
        <v>0</v>
      </c>
      <c r="AN303" s="769">
        <v>28.618638866939289</v>
      </c>
      <c r="AO303" s="769">
        <v>28.618638866939289</v>
      </c>
      <c r="AP303" s="769">
        <v>0</v>
      </c>
      <c r="AQ303" s="769">
        <v>0</v>
      </c>
      <c r="AR303" s="769">
        <v>0</v>
      </c>
      <c r="AS303" s="769">
        <v>30.824590712246284</v>
      </c>
      <c r="AT303" s="769">
        <v>31.589497556271105</v>
      </c>
      <c r="AU303" s="769">
        <v>32.373385430263134</v>
      </c>
      <c r="AV303" s="769">
        <v>33.176725345171526</v>
      </c>
      <c r="AW303" s="769">
        <v>34</v>
      </c>
      <c r="AX303" s="769">
        <v>27.30088301987627</v>
      </c>
      <c r="AY303" s="769">
        <v>27.951996563651658</v>
      </c>
      <c r="AZ303" s="769">
        <v>28.618638866939289</v>
      </c>
      <c r="BA303" s="769">
        <v>29.30118028353429</v>
      </c>
      <c r="BB303" s="769">
        <v>30</v>
      </c>
      <c r="BC303" s="769">
        <v>0</v>
      </c>
      <c r="BD303" s="769">
        <v>0</v>
      </c>
      <c r="BE303" s="769">
        <v>0</v>
      </c>
      <c r="BF303" s="769">
        <v>0</v>
      </c>
      <c r="BG303" s="769">
        <v>0</v>
      </c>
      <c r="BH303" s="771">
        <v>34.322347675338797</v>
      </c>
      <c r="BI303" s="771">
        <v>34.647751469024548</v>
      </c>
      <c r="BJ303" s="771">
        <v>34.9762403555468</v>
      </c>
      <c r="BK303" s="772">
        <v>35.581878992247148</v>
      </c>
      <c r="BL303" s="772">
        <v>36.187517628947489</v>
      </c>
      <c r="BM303" s="772">
        <v>36.793156265647838</v>
      </c>
      <c r="BN303" s="772">
        <v>37.398794902348186</v>
      </c>
      <c r="BO303" s="772">
        <v>38.114922867523184</v>
      </c>
      <c r="BP303" s="772">
        <v>38.831050832698182</v>
      </c>
      <c r="BQ303" s="772">
        <v>40.816363133321175</v>
      </c>
      <c r="BR303" s="772">
        <v>43.181726850557972</v>
      </c>
      <c r="BS303" s="772">
        <v>44.220311489466944</v>
      </c>
      <c r="BT303" s="772">
        <v>44.790656560946445</v>
      </c>
      <c r="BU303" s="772">
        <v>45.381302696577087</v>
      </c>
      <c r="BV303" s="772">
        <v>45.986159577113519</v>
      </c>
      <c r="BW303" s="771">
        <v>30.284424419416588</v>
      </c>
      <c r="BX303" s="771">
        <v>30.571545413845193</v>
      </c>
      <c r="BY303" s="771">
        <v>30.861388549011885</v>
      </c>
      <c r="BZ303" s="772">
        <v>31.395775581394542</v>
      </c>
      <c r="CA303" s="772">
        <v>31.930162613777203</v>
      </c>
      <c r="CB303" s="772">
        <v>32.46454964615986</v>
      </c>
      <c r="CC303" s="772">
        <v>32.99893667854252</v>
      </c>
      <c r="CD303" s="772">
        <v>33.630814294873403</v>
      </c>
      <c r="CE303" s="772">
        <v>34.262691911204286</v>
      </c>
      <c r="CF303" s="772">
        <v>36.014438058812807</v>
      </c>
      <c r="CG303" s="772">
        <v>38.101523691668802</v>
      </c>
      <c r="CH303" s="772">
        <v>39.017921902470839</v>
      </c>
      <c r="CI303" s="772">
        <v>39.52116755377628</v>
      </c>
      <c r="CJ303" s="772">
        <v>40.042325908744495</v>
      </c>
      <c r="CK303" s="772">
        <v>40.576023156276641</v>
      </c>
      <c r="CL303" s="771">
        <v>0</v>
      </c>
      <c r="CM303" s="771">
        <v>0</v>
      </c>
      <c r="CN303" s="771">
        <v>0</v>
      </c>
      <c r="CO303" s="772">
        <v>0</v>
      </c>
      <c r="CP303" s="772">
        <v>0</v>
      </c>
      <c r="CQ303" s="772">
        <v>0</v>
      </c>
      <c r="CR303" s="772">
        <v>0</v>
      </c>
      <c r="CS303" s="772">
        <v>0</v>
      </c>
      <c r="CT303" s="772">
        <v>0</v>
      </c>
      <c r="CU303" s="772">
        <v>0</v>
      </c>
      <c r="CV303" s="772">
        <v>0</v>
      </c>
      <c r="CW303" s="772">
        <v>0</v>
      </c>
      <c r="CX303" s="772">
        <v>0</v>
      </c>
      <c r="CY303" s="772">
        <v>0</v>
      </c>
      <c r="CZ303" s="772">
        <v>0</v>
      </c>
      <c r="DA303" s="773">
        <v>0</v>
      </c>
      <c r="DB303" s="773">
        <v>0</v>
      </c>
      <c r="DC303" s="773">
        <v>0</v>
      </c>
      <c r="DD303" s="774">
        <v>0</v>
      </c>
      <c r="DE303" s="774">
        <v>0</v>
      </c>
      <c r="DF303" s="774">
        <v>0</v>
      </c>
      <c r="DG303" s="774">
        <v>0</v>
      </c>
      <c r="DH303" s="774">
        <v>0</v>
      </c>
      <c r="DI303" s="774">
        <v>0</v>
      </c>
      <c r="DJ303" s="774">
        <v>0</v>
      </c>
      <c r="DK303" s="774">
        <v>0</v>
      </c>
      <c r="DL303" s="774">
        <v>0</v>
      </c>
      <c r="DM303" s="774">
        <v>0</v>
      </c>
      <c r="DN303" s="774">
        <v>0</v>
      </c>
      <c r="DO303" s="774">
        <v>0</v>
      </c>
      <c r="DP303" s="773">
        <v>0</v>
      </c>
      <c r="DQ303" s="773">
        <v>0</v>
      </c>
      <c r="DR303" s="773">
        <v>0</v>
      </c>
      <c r="DS303" s="774">
        <v>0</v>
      </c>
      <c r="DT303" s="774">
        <v>0</v>
      </c>
      <c r="DU303" s="774">
        <v>0</v>
      </c>
      <c r="DV303" s="774">
        <v>0</v>
      </c>
      <c r="DW303" s="774">
        <v>0</v>
      </c>
      <c r="DX303" s="774">
        <v>0</v>
      </c>
      <c r="DY303" s="774">
        <v>0</v>
      </c>
      <c r="DZ303" s="774">
        <v>0</v>
      </c>
      <c r="EA303" s="774">
        <v>0</v>
      </c>
      <c r="EB303" s="774">
        <v>0</v>
      </c>
      <c r="EC303" s="774">
        <v>0</v>
      </c>
      <c r="ED303" s="774">
        <v>0</v>
      </c>
    </row>
    <row r="304" spans="1:134" ht="15" x14ac:dyDescent="0.25">
      <c r="A304" s="766">
        <v>110</v>
      </c>
      <c r="B304" s="766">
        <v>98</v>
      </c>
      <c r="C304" s="766" t="s">
        <v>3975</v>
      </c>
      <c r="D304" s="2">
        <v>99712</v>
      </c>
      <c r="E304" s="2">
        <v>99709</v>
      </c>
      <c r="F304" s="767" t="s">
        <v>3746</v>
      </c>
      <c r="G304" s="114">
        <v>81</v>
      </c>
      <c r="H304" s="114">
        <v>48</v>
      </c>
      <c r="I304" s="114">
        <v>34</v>
      </c>
      <c r="J304" s="114">
        <v>14</v>
      </c>
      <c r="K304" s="114">
        <v>0</v>
      </c>
      <c r="L304" s="114">
        <v>50</v>
      </c>
      <c r="M304" s="114">
        <v>50</v>
      </c>
      <c r="N304" s="114">
        <v>4</v>
      </c>
      <c r="O304" s="114">
        <v>0</v>
      </c>
      <c r="P304" s="114">
        <v>0</v>
      </c>
      <c r="Q304" s="114">
        <v>54</v>
      </c>
      <c r="R304" s="114">
        <v>0</v>
      </c>
      <c r="S304" s="114">
        <v>2638.36</v>
      </c>
      <c r="T304" s="114">
        <v>2638.36</v>
      </c>
      <c r="U304" s="114">
        <v>3539</v>
      </c>
      <c r="V304" s="114">
        <v>0</v>
      </c>
      <c r="W304" s="114">
        <v>0</v>
      </c>
      <c r="X304" s="114">
        <v>2705.0740740740739</v>
      </c>
      <c r="Y304" s="114">
        <v>0</v>
      </c>
      <c r="Z304" s="114">
        <v>48</v>
      </c>
      <c r="AA304" s="114">
        <v>0</v>
      </c>
      <c r="AB304" s="657">
        <v>4</v>
      </c>
      <c r="AC304" s="657">
        <v>0</v>
      </c>
      <c r="AD304" s="768">
        <v>52</v>
      </c>
      <c r="AE304" s="769">
        <v>0</v>
      </c>
      <c r="AF304" s="769">
        <v>34</v>
      </c>
      <c r="AG304" s="770">
        <v>34</v>
      </c>
      <c r="AH304" s="769">
        <v>0</v>
      </c>
      <c r="AI304" s="769">
        <v>0</v>
      </c>
      <c r="AJ304" s="769">
        <v>43.637483766995437</v>
      </c>
      <c r="AK304" s="769">
        <v>43.637483766995437</v>
      </c>
      <c r="AL304" s="769">
        <v>0</v>
      </c>
      <c r="AM304" s="769">
        <v>0</v>
      </c>
      <c r="AN304" s="769">
        <v>31.023439753188914</v>
      </c>
      <c r="AO304" s="769">
        <v>31.023439753188914</v>
      </c>
      <c r="AP304" s="769">
        <v>0</v>
      </c>
      <c r="AQ304" s="769">
        <v>3.7193654032553547</v>
      </c>
      <c r="AR304" s="769">
        <v>0</v>
      </c>
      <c r="AS304" s="769">
        <v>39.671458114891458</v>
      </c>
      <c r="AT304" s="769">
        <v>41.607242272248897</v>
      </c>
      <c r="AU304" s="769">
        <v>43.637483766995437</v>
      </c>
      <c r="AV304" s="769">
        <v>45.766791681477748</v>
      </c>
      <c r="AW304" s="769">
        <v>48</v>
      </c>
      <c r="AX304" s="769">
        <v>28.307465121168889</v>
      </c>
      <c r="AY304" s="769">
        <v>29.634354029606914</v>
      </c>
      <c r="AZ304" s="769">
        <v>31.023439753188914</v>
      </c>
      <c r="BA304" s="769">
        <v>32.477637715948852</v>
      </c>
      <c r="BB304" s="769">
        <v>34</v>
      </c>
      <c r="BC304" s="769">
        <v>3.4584197507332171</v>
      </c>
      <c r="BD304" s="769">
        <v>3.5865201478330131</v>
      </c>
      <c r="BE304" s="769">
        <v>3.7193654032553547</v>
      </c>
      <c r="BF304" s="769">
        <v>3.8571312672790152</v>
      </c>
      <c r="BG304" s="769">
        <v>4</v>
      </c>
      <c r="BH304" s="771">
        <v>48.455079071066535</v>
      </c>
      <c r="BI304" s="771">
        <v>48.914472662152306</v>
      </c>
      <c r="BJ304" s="771">
        <v>49.37822167841901</v>
      </c>
      <c r="BK304" s="772">
        <v>51.037750715353695</v>
      </c>
      <c r="BL304" s="772">
        <v>52.697279752288381</v>
      </c>
      <c r="BM304" s="772">
        <v>54.356808789223066</v>
      </c>
      <c r="BN304" s="772">
        <v>56.016337826157752</v>
      </c>
      <c r="BO304" s="772">
        <v>57.978622066878799</v>
      </c>
      <c r="BP304" s="772">
        <v>59.940906307599839</v>
      </c>
      <c r="BQ304" s="772">
        <v>65.380921542125904</v>
      </c>
      <c r="BR304" s="772">
        <v>71.862327340561492</v>
      </c>
      <c r="BS304" s="772">
        <v>74.708185020603366</v>
      </c>
      <c r="BT304" s="772">
        <v>76.271005075066199</v>
      </c>
      <c r="BU304" s="772">
        <v>77.889452699168615</v>
      </c>
      <c r="BV304" s="772">
        <v>79.546839622018766</v>
      </c>
      <c r="BW304" s="771">
        <v>34.322347675338797</v>
      </c>
      <c r="BX304" s="771">
        <v>34.647751469024548</v>
      </c>
      <c r="BY304" s="771">
        <v>34.9762403555468</v>
      </c>
      <c r="BZ304" s="772">
        <v>36.151740090042203</v>
      </c>
      <c r="CA304" s="772">
        <v>37.327239824537607</v>
      </c>
      <c r="CB304" s="772">
        <v>38.50273955903301</v>
      </c>
      <c r="CC304" s="772">
        <v>39.678239293528407</v>
      </c>
      <c r="CD304" s="772">
        <v>41.068190630705814</v>
      </c>
      <c r="CE304" s="772">
        <v>42.458141967883222</v>
      </c>
      <c r="CF304" s="772">
        <v>46.31148609233918</v>
      </c>
      <c r="CG304" s="772">
        <v>50.902481866231064</v>
      </c>
      <c r="CH304" s="772">
        <v>52.918297722927392</v>
      </c>
      <c r="CI304" s="772">
        <v>54.025295261505221</v>
      </c>
      <c r="CJ304" s="772">
        <v>55.171695661911109</v>
      </c>
      <c r="CK304" s="772">
        <v>56.345678065596623</v>
      </c>
      <c r="CL304" s="771">
        <v>4.0379232559222116</v>
      </c>
      <c r="CM304" s="771">
        <v>4.0762060551793589</v>
      </c>
      <c r="CN304" s="771">
        <v>4.1148518065349178</v>
      </c>
      <c r="CO304" s="772">
        <v>4.2531458929461419</v>
      </c>
      <c r="CP304" s="772">
        <v>4.3914399793573651</v>
      </c>
      <c r="CQ304" s="772">
        <v>4.5297340657685892</v>
      </c>
      <c r="CR304" s="772">
        <v>4.6680281521798133</v>
      </c>
      <c r="CS304" s="772">
        <v>4.8315518389065666</v>
      </c>
      <c r="CT304" s="772">
        <v>4.9950755256333208</v>
      </c>
      <c r="CU304" s="772">
        <v>5.448410128510492</v>
      </c>
      <c r="CV304" s="772">
        <v>5.9885272783801256</v>
      </c>
      <c r="CW304" s="772">
        <v>6.2256820850502814</v>
      </c>
      <c r="CX304" s="772">
        <v>6.3559170895888499</v>
      </c>
      <c r="CY304" s="772">
        <v>6.4907877249307191</v>
      </c>
      <c r="CZ304" s="772">
        <v>6.6289033018348968</v>
      </c>
      <c r="DA304" s="773">
        <v>0</v>
      </c>
      <c r="DB304" s="773">
        <v>0</v>
      </c>
      <c r="DC304" s="773">
        <v>0</v>
      </c>
      <c r="DD304" s="774">
        <v>0</v>
      </c>
      <c r="DE304" s="774">
        <v>0</v>
      </c>
      <c r="DF304" s="774">
        <v>0</v>
      </c>
      <c r="DG304" s="774">
        <v>0</v>
      </c>
      <c r="DH304" s="774">
        <v>0</v>
      </c>
      <c r="DI304" s="774">
        <v>0</v>
      </c>
      <c r="DJ304" s="774">
        <v>0</v>
      </c>
      <c r="DK304" s="774">
        <v>0</v>
      </c>
      <c r="DL304" s="774">
        <v>0</v>
      </c>
      <c r="DM304" s="774">
        <v>0</v>
      </c>
      <c r="DN304" s="774">
        <v>0</v>
      </c>
      <c r="DO304" s="774">
        <v>0</v>
      </c>
      <c r="DP304" s="773">
        <v>0</v>
      </c>
      <c r="DQ304" s="773">
        <v>0</v>
      </c>
      <c r="DR304" s="773">
        <v>0</v>
      </c>
      <c r="DS304" s="774">
        <v>0</v>
      </c>
      <c r="DT304" s="774">
        <v>0</v>
      </c>
      <c r="DU304" s="774">
        <v>0</v>
      </c>
      <c r="DV304" s="774">
        <v>0</v>
      </c>
      <c r="DW304" s="774">
        <v>0</v>
      </c>
      <c r="DX304" s="774">
        <v>0</v>
      </c>
      <c r="DY304" s="774">
        <v>0</v>
      </c>
      <c r="DZ304" s="774">
        <v>0</v>
      </c>
      <c r="EA304" s="774">
        <v>0</v>
      </c>
      <c r="EB304" s="774">
        <v>0</v>
      </c>
      <c r="EC304" s="774">
        <v>0</v>
      </c>
      <c r="ED304" s="774">
        <v>0</v>
      </c>
    </row>
    <row r="305" spans="1:134" ht="15" x14ac:dyDescent="0.25">
      <c r="A305" s="766">
        <v>111</v>
      </c>
      <c r="B305" s="766">
        <v>98</v>
      </c>
      <c r="C305" s="766" t="s">
        <v>3976</v>
      </c>
      <c r="D305" s="2">
        <v>99712</v>
      </c>
      <c r="E305" s="2">
        <v>99712</v>
      </c>
      <c r="F305" s="767" t="s">
        <v>3746</v>
      </c>
      <c r="G305" s="114">
        <v>338</v>
      </c>
      <c r="H305" s="114">
        <v>162</v>
      </c>
      <c r="I305" s="114">
        <v>147</v>
      </c>
      <c r="J305" s="114">
        <v>15</v>
      </c>
      <c r="K305" s="114">
        <v>0</v>
      </c>
      <c r="L305" s="114">
        <v>148</v>
      </c>
      <c r="M305" s="114">
        <v>148</v>
      </c>
      <c r="N305" s="114">
        <v>3</v>
      </c>
      <c r="O305" s="114">
        <v>0</v>
      </c>
      <c r="P305" s="114">
        <v>0</v>
      </c>
      <c r="Q305" s="114">
        <v>151</v>
      </c>
      <c r="R305" s="114">
        <v>0</v>
      </c>
      <c r="S305" s="114">
        <v>1644.0135135135135</v>
      </c>
      <c r="T305" s="114">
        <v>1644.0135135135135</v>
      </c>
      <c r="U305" s="114">
        <v>2548</v>
      </c>
      <c r="V305" s="114">
        <v>0</v>
      </c>
      <c r="W305" s="114">
        <v>0</v>
      </c>
      <c r="X305" s="114">
        <v>1661.9735099337747</v>
      </c>
      <c r="Y305" s="114">
        <v>0</v>
      </c>
      <c r="Z305" s="114">
        <v>162</v>
      </c>
      <c r="AA305" s="114">
        <v>0</v>
      </c>
      <c r="AB305" s="657">
        <v>3</v>
      </c>
      <c r="AC305" s="657">
        <v>0</v>
      </c>
      <c r="AD305" s="768">
        <v>165</v>
      </c>
      <c r="AE305" s="769">
        <v>0</v>
      </c>
      <c r="AF305" s="769">
        <v>147</v>
      </c>
      <c r="AG305" s="770">
        <v>147</v>
      </c>
      <c r="AH305" s="769">
        <v>0</v>
      </c>
      <c r="AI305" s="769">
        <v>0</v>
      </c>
      <c r="AJ305" s="769">
        <v>147.27650771360959</v>
      </c>
      <c r="AK305" s="769">
        <v>147.27650771360959</v>
      </c>
      <c r="AL305" s="769">
        <v>0</v>
      </c>
      <c r="AM305" s="769">
        <v>0</v>
      </c>
      <c r="AN305" s="769">
        <v>134.13075422702266</v>
      </c>
      <c r="AO305" s="769">
        <v>134.13075422702266</v>
      </c>
      <c r="AP305" s="769">
        <v>0</v>
      </c>
      <c r="AQ305" s="769">
        <v>2.7895240524415161</v>
      </c>
      <c r="AR305" s="769">
        <v>0</v>
      </c>
      <c r="AS305" s="769">
        <v>133.89117113775868</v>
      </c>
      <c r="AT305" s="769">
        <v>140.42444266884004</v>
      </c>
      <c r="AU305" s="769">
        <v>147.27650771360959</v>
      </c>
      <c r="AV305" s="769">
        <v>154.4629219249874</v>
      </c>
      <c r="AW305" s="769">
        <v>162</v>
      </c>
      <c r="AX305" s="769">
        <v>122.38815802387725</v>
      </c>
      <c r="AY305" s="769">
        <v>128.12500124565344</v>
      </c>
      <c r="AZ305" s="769">
        <v>134.13075422702266</v>
      </c>
      <c r="BA305" s="769">
        <v>140.41802188954355</v>
      </c>
      <c r="BB305" s="769">
        <v>147</v>
      </c>
      <c r="BC305" s="769">
        <v>2.5938148130499128</v>
      </c>
      <c r="BD305" s="769">
        <v>2.6898901108747597</v>
      </c>
      <c r="BE305" s="769">
        <v>2.7895240524415161</v>
      </c>
      <c r="BF305" s="769">
        <v>2.8928484504592613</v>
      </c>
      <c r="BG305" s="769">
        <v>3</v>
      </c>
      <c r="BH305" s="771">
        <v>164.21424748789261</v>
      </c>
      <c r="BI305" s="771">
        <v>166.45875974083236</v>
      </c>
      <c r="BJ305" s="771">
        <v>168.73395042351049</v>
      </c>
      <c r="BK305" s="772">
        <v>168.99463128425683</v>
      </c>
      <c r="BL305" s="772">
        <v>169.25531214500316</v>
      </c>
      <c r="BM305" s="772">
        <v>169.51599300574946</v>
      </c>
      <c r="BN305" s="772">
        <v>169.7766738664958</v>
      </c>
      <c r="BO305" s="772">
        <v>170.08491188675063</v>
      </c>
      <c r="BP305" s="772">
        <v>170.39314990700544</v>
      </c>
      <c r="BQ305" s="772">
        <v>171.2476741860315</v>
      </c>
      <c r="BR305" s="772">
        <v>172.2657813747453</v>
      </c>
      <c r="BS305" s="772">
        <v>172.71281219679418</v>
      </c>
      <c r="BT305" s="772">
        <v>172.95830189171477</v>
      </c>
      <c r="BU305" s="772">
        <v>173.21252963364279</v>
      </c>
      <c r="BV305" s="772">
        <v>173.472874008476</v>
      </c>
      <c r="BW305" s="771">
        <v>149.00922457234699</v>
      </c>
      <c r="BX305" s="771">
        <v>151.04591161668122</v>
      </c>
      <c r="BY305" s="771">
        <v>153.11043649540767</v>
      </c>
      <c r="BZ305" s="772">
        <v>153.34698023941823</v>
      </c>
      <c r="CA305" s="772">
        <v>153.58352398342879</v>
      </c>
      <c r="CB305" s="772">
        <v>153.82006772743932</v>
      </c>
      <c r="CC305" s="772">
        <v>154.05661147144988</v>
      </c>
      <c r="CD305" s="772">
        <v>154.33630893427372</v>
      </c>
      <c r="CE305" s="772">
        <v>154.61600639709752</v>
      </c>
      <c r="CF305" s="772">
        <v>155.39140805769526</v>
      </c>
      <c r="CG305" s="772">
        <v>156.3152460622689</v>
      </c>
      <c r="CH305" s="772">
        <v>156.72088514153546</v>
      </c>
      <c r="CI305" s="772">
        <v>156.9436443091486</v>
      </c>
      <c r="CJ305" s="772">
        <v>157.17433244534254</v>
      </c>
      <c r="CK305" s="772">
        <v>157.41057085954301</v>
      </c>
      <c r="CL305" s="771">
        <v>3.0410045831091224</v>
      </c>
      <c r="CM305" s="771">
        <v>3.0825696248302288</v>
      </c>
      <c r="CN305" s="771">
        <v>3.1247027856205642</v>
      </c>
      <c r="CO305" s="772">
        <v>3.1295302089677186</v>
      </c>
      <c r="CP305" s="772">
        <v>3.1343576323148725</v>
      </c>
      <c r="CQ305" s="772">
        <v>3.1391850556620269</v>
      </c>
      <c r="CR305" s="772">
        <v>3.1440124790091812</v>
      </c>
      <c r="CS305" s="772">
        <v>3.1497205904953818</v>
      </c>
      <c r="CT305" s="772">
        <v>3.1554287019815819</v>
      </c>
      <c r="CU305" s="772">
        <v>3.1712532256672494</v>
      </c>
      <c r="CV305" s="772">
        <v>3.190107062495283</v>
      </c>
      <c r="CW305" s="772">
        <v>3.1983854110517433</v>
      </c>
      <c r="CX305" s="772">
        <v>3.2029315165132362</v>
      </c>
      <c r="CY305" s="772">
        <v>3.2076394376600512</v>
      </c>
      <c r="CZ305" s="772">
        <v>3.2124606297865919</v>
      </c>
      <c r="DA305" s="773">
        <v>0</v>
      </c>
      <c r="DB305" s="773">
        <v>0</v>
      </c>
      <c r="DC305" s="773">
        <v>0</v>
      </c>
      <c r="DD305" s="774">
        <v>0</v>
      </c>
      <c r="DE305" s="774">
        <v>0</v>
      </c>
      <c r="DF305" s="774">
        <v>0</v>
      </c>
      <c r="DG305" s="774">
        <v>0</v>
      </c>
      <c r="DH305" s="774">
        <v>0</v>
      </c>
      <c r="DI305" s="774">
        <v>0</v>
      </c>
      <c r="DJ305" s="774">
        <v>0</v>
      </c>
      <c r="DK305" s="774">
        <v>0</v>
      </c>
      <c r="DL305" s="774">
        <v>0</v>
      </c>
      <c r="DM305" s="774">
        <v>0</v>
      </c>
      <c r="DN305" s="774">
        <v>0</v>
      </c>
      <c r="DO305" s="774">
        <v>0</v>
      </c>
      <c r="DP305" s="773">
        <v>0</v>
      </c>
      <c r="DQ305" s="773">
        <v>0</v>
      </c>
      <c r="DR305" s="773">
        <v>0</v>
      </c>
      <c r="DS305" s="774">
        <v>0</v>
      </c>
      <c r="DT305" s="774">
        <v>0</v>
      </c>
      <c r="DU305" s="774">
        <v>0</v>
      </c>
      <c r="DV305" s="774">
        <v>0</v>
      </c>
      <c r="DW305" s="774">
        <v>0</v>
      </c>
      <c r="DX305" s="774">
        <v>0</v>
      </c>
      <c r="DY305" s="774">
        <v>0</v>
      </c>
      <c r="DZ305" s="774">
        <v>0</v>
      </c>
      <c r="EA305" s="774">
        <v>0</v>
      </c>
      <c r="EB305" s="774">
        <v>0</v>
      </c>
      <c r="EC305" s="774">
        <v>0</v>
      </c>
      <c r="ED305" s="774">
        <v>0</v>
      </c>
    </row>
    <row r="306" spans="1:134" ht="15" x14ac:dyDescent="0.25">
      <c r="A306" s="766">
        <v>112</v>
      </c>
      <c r="B306" s="766">
        <v>98</v>
      </c>
      <c r="C306" s="766" t="s">
        <v>3977</v>
      </c>
      <c r="D306" s="2">
        <v>99712</v>
      </c>
      <c r="E306" s="2">
        <v>99712</v>
      </c>
      <c r="F306" s="767" t="s">
        <v>3746</v>
      </c>
      <c r="G306" s="114">
        <v>168</v>
      </c>
      <c r="H306" s="114">
        <v>86</v>
      </c>
      <c r="I306" s="114">
        <v>74</v>
      </c>
      <c r="J306" s="114">
        <v>12</v>
      </c>
      <c r="K306" s="114">
        <v>4</v>
      </c>
      <c r="L306" s="114">
        <v>35</v>
      </c>
      <c r="M306" s="114">
        <v>39</v>
      </c>
      <c r="N306" s="114">
        <v>9</v>
      </c>
      <c r="O306" s="114">
        <v>0</v>
      </c>
      <c r="P306" s="114">
        <v>0</v>
      </c>
      <c r="Q306" s="114">
        <v>48</v>
      </c>
      <c r="R306" s="114">
        <v>6543</v>
      </c>
      <c r="S306" s="114">
        <v>1661.3428571428572</v>
      </c>
      <c r="T306" s="114">
        <v>2162.0256410256411</v>
      </c>
      <c r="U306" s="114">
        <v>8518.1111111111113</v>
      </c>
      <c r="V306" s="114">
        <v>0</v>
      </c>
      <c r="W306" s="114">
        <v>0</v>
      </c>
      <c r="X306" s="114">
        <v>3353.7916666666665</v>
      </c>
      <c r="Y306" s="114">
        <v>8.8205128205128212</v>
      </c>
      <c r="Z306" s="114">
        <v>77.179487179487182</v>
      </c>
      <c r="AA306" s="114">
        <v>0</v>
      </c>
      <c r="AB306" s="657">
        <v>9</v>
      </c>
      <c r="AC306" s="657">
        <v>0</v>
      </c>
      <c r="AD306" s="768">
        <v>95</v>
      </c>
      <c r="AE306" s="769">
        <v>7.5897435897435903</v>
      </c>
      <c r="AF306" s="769">
        <v>66.410256410256409</v>
      </c>
      <c r="AG306" s="770">
        <v>74</v>
      </c>
      <c r="AH306" s="769">
        <v>0</v>
      </c>
      <c r="AI306" s="769">
        <v>8.0188538546188202</v>
      </c>
      <c r="AJ306" s="769">
        <v>70.164971227914677</v>
      </c>
      <c r="AK306" s="769">
        <v>78.183825082533502</v>
      </c>
      <c r="AL306" s="769">
        <v>0</v>
      </c>
      <c r="AM306" s="769">
        <v>6.9252927352518245</v>
      </c>
      <c r="AN306" s="769">
        <v>60.596311433453458</v>
      </c>
      <c r="AO306" s="769">
        <v>67.521604168705281</v>
      </c>
      <c r="AP306" s="769">
        <v>0</v>
      </c>
      <c r="AQ306" s="769">
        <v>8.3685721573245484</v>
      </c>
      <c r="AR306" s="769">
        <v>0</v>
      </c>
      <c r="AS306" s="769">
        <v>71.078029122513868</v>
      </c>
      <c r="AT306" s="769">
        <v>74.546309071112617</v>
      </c>
      <c r="AU306" s="769">
        <v>78.183825082533488</v>
      </c>
      <c r="AV306" s="769">
        <v>81.998835095980965</v>
      </c>
      <c r="AW306" s="769">
        <v>86</v>
      </c>
      <c r="AX306" s="769">
        <v>61.610365263720524</v>
      </c>
      <c r="AY306" s="769">
        <v>64.498299946791519</v>
      </c>
      <c r="AZ306" s="769">
        <v>67.521604168705281</v>
      </c>
      <c r="BA306" s="769">
        <v>70.686623264123966</v>
      </c>
      <c r="BB306" s="769">
        <v>74</v>
      </c>
      <c r="BC306" s="769">
        <v>7.7814444391497384</v>
      </c>
      <c r="BD306" s="769">
        <v>8.0696703326242787</v>
      </c>
      <c r="BE306" s="769">
        <v>8.3685721573245484</v>
      </c>
      <c r="BF306" s="769">
        <v>8.6785453513777835</v>
      </c>
      <c r="BG306" s="769">
        <v>9</v>
      </c>
      <c r="BH306" s="771">
        <v>87.71872186521766</v>
      </c>
      <c r="BI306" s="771">
        <v>89.471792624039722</v>
      </c>
      <c r="BJ306" s="771">
        <v>91.259898743843877</v>
      </c>
      <c r="BK306" s="772">
        <v>92.165504586589947</v>
      </c>
      <c r="BL306" s="772">
        <v>93.071110429336017</v>
      </c>
      <c r="BM306" s="772">
        <v>93.976716272082072</v>
      </c>
      <c r="BN306" s="772">
        <v>94.882322114828142</v>
      </c>
      <c r="BO306" s="772">
        <v>95.953141626855441</v>
      </c>
      <c r="BP306" s="772">
        <v>97.023961138882726</v>
      </c>
      <c r="BQ306" s="772">
        <v>99.992580229823233</v>
      </c>
      <c r="BR306" s="772">
        <v>103.52948668318257</v>
      </c>
      <c r="BS306" s="772">
        <v>105.08247267216537</v>
      </c>
      <c r="BT306" s="772">
        <v>105.93530437380072</v>
      </c>
      <c r="BU306" s="772">
        <v>106.81849206858965</v>
      </c>
      <c r="BV306" s="772">
        <v>107.72292895858612</v>
      </c>
      <c r="BW306" s="771">
        <v>75.478900209605897</v>
      </c>
      <c r="BX306" s="771">
        <v>76.987356443941152</v>
      </c>
      <c r="BY306" s="771">
        <v>78.525959384237751</v>
      </c>
      <c r="BZ306" s="772">
        <v>79.305201621019251</v>
      </c>
      <c r="CA306" s="772">
        <v>80.084443857800764</v>
      </c>
      <c r="CB306" s="772">
        <v>80.863686094582249</v>
      </c>
      <c r="CC306" s="772">
        <v>81.642928331363748</v>
      </c>
      <c r="CD306" s="772">
        <v>82.564331167294213</v>
      </c>
      <c r="CE306" s="772">
        <v>83.485734003224678</v>
      </c>
      <c r="CF306" s="772">
        <v>86.040127174499048</v>
      </c>
      <c r="CG306" s="772">
        <v>89.083511797157101</v>
      </c>
      <c r="CH306" s="772">
        <v>90.419802066746939</v>
      </c>
      <c r="CI306" s="772">
        <v>91.153633996061089</v>
      </c>
      <c r="CJ306" s="772">
        <v>91.913586198553872</v>
      </c>
      <c r="CK306" s="772">
        <v>92.691822592271777</v>
      </c>
      <c r="CL306" s="771">
        <v>9.1798662417088259</v>
      </c>
      <c r="CM306" s="771">
        <v>9.3633271350739236</v>
      </c>
      <c r="CN306" s="771">
        <v>9.5504545197045907</v>
      </c>
      <c r="CO306" s="772">
        <v>9.6452272241780168</v>
      </c>
      <c r="CP306" s="772">
        <v>9.7399999286514429</v>
      </c>
      <c r="CQ306" s="772">
        <v>9.8347726331248673</v>
      </c>
      <c r="CR306" s="772">
        <v>9.9295453375982934</v>
      </c>
      <c r="CS306" s="772">
        <v>10.041607844670917</v>
      </c>
      <c r="CT306" s="772">
        <v>10.153670351743541</v>
      </c>
      <c r="CU306" s="772">
        <v>10.464339791493128</v>
      </c>
      <c r="CV306" s="772">
        <v>10.834481164519106</v>
      </c>
      <c r="CW306" s="772">
        <v>10.997002954063817</v>
      </c>
      <c r="CX306" s="772">
        <v>11.086252783304726</v>
      </c>
      <c r="CY306" s="772">
        <v>11.178679402526821</v>
      </c>
      <c r="CZ306" s="772">
        <v>11.273329774735757</v>
      </c>
      <c r="DA306" s="773">
        <v>0</v>
      </c>
      <c r="DB306" s="773">
        <v>0</v>
      </c>
      <c r="DC306" s="773">
        <v>0</v>
      </c>
      <c r="DD306" s="774">
        <v>0</v>
      </c>
      <c r="DE306" s="774">
        <v>0</v>
      </c>
      <c r="DF306" s="774">
        <v>0</v>
      </c>
      <c r="DG306" s="774">
        <v>0</v>
      </c>
      <c r="DH306" s="774">
        <v>0</v>
      </c>
      <c r="DI306" s="774">
        <v>0</v>
      </c>
      <c r="DJ306" s="774">
        <v>0</v>
      </c>
      <c r="DK306" s="774">
        <v>0</v>
      </c>
      <c r="DL306" s="774">
        <v>0</v>
      </c>
      <c r="DM306" s="774">
        <v>0</v>
      </c>
      <c r="DN306" s="774">
        <v>0</v>
      </c>
      <c r="DO306" s="774">
        <v>0</v>
      </c>
      <c r="DP306" s="773">
        <v>0</v>
      </c>
      <c r="DQ306" s="773">
        <v>0</v>
      </c>
      <c r="DR306" s="773">
        <v>0</v>
      </c>
      <c r="DS306" s="774">
        <v>0</v>
      </c>
      <c r="DT306" s="774">
        <v>0</v>
      </c>
      <c r="DU306" s="774">
        <v>0</v>
      </c>
      <c r="DV306" s="774">
        <v>0</v>
      </c>
      <c r="DW306" s="774">
        <v>0</v>
      </c>
      <c r="DX306" s="774">
        <v>0</v>
      </c>
      <c r="DY306" s="774">
        <v>0</v>
      </c>
      <c r="DZ306" s="774">
        <v>0</v>
      </c>
      <c r="EA306" s="774">
        <v>0</v>
      </c>
      <c r="EB306" s="774">
        <v>0</v>
      </c>
      <c r="EC306" s="774">
        <v>0</v>
      </c>
      <c r="ED306" s="774">
        <v>0</v>
      </c>
    </row>
    <row r="307" spans="1:134" ht="15" x14ac:dyDescent="0.25">
      <c r="A307" s="766">
        <v>113</v>
      </c>
      <c r="B307" s="766">
        <v>98</v>
      </c>
      <c r="C307" s="766" t="s">
        <v>3978</v>
      </c>
      <c r="D307" s="2">
        <v>99712</v>
      </c>
      <c r="E307" s="2">
        <v>99712</v>
      </c>
      <c r="F307" s="767" t="s">
        <v>3746</v>
      </c>
      <c r="G307" s="114">
        <v>351</v>
      </c>
      <c r="H307" s="114">
        <v>157</v>
      </c>
      <c r="I307" s="114">
        <v>145</v>
      </c>
      <c r="J307" s="114">
        <v>12</v>
      </c>
      <c r="K307" s="114">
        <v>0</v>
      </c>
      <c r="L307" s="114">
        <v>146</v>
      </c>
      <c r="M307" s="114">
        <v>146</v>
      </c>
      <c r="N307" s="114">
        <v>5</v>
      </c>
      <c r="O307" s="114">
        <v>0</v>
      </c>
      <c r="P307" s="114">
        <v>0</v>
      </c>
      <c r="Q307" s="114">
        <v>151</v>
      </c>
      <c r="R307" s="114">
        <v>0</v>
      </c>
      <c r="S307" s="114">
        <v>1851.4657534246576</v>
      </c>
      <c r="T307" s="114">
        <v>1851.4657534246576</v>
      </c>
      <c r="U307" s="114">
        <v>2919</v>
      </c>
      <c r="V307" s="114">
        <v>0</v>
      </c>
      <c r="W307" s="114">
        <v>0</v>
      </c>
      <c r="X307" s="114">
        <v>1886.8145695364237</v>
      </c>
      <c r="Y307" s="114">
        <v>0</v>
      </c>
      <c r="Z307" s="114">
        <v>157</v>
      </c>
      <c r="AA307" s="114">
        <v>0</v>
      </c>
      <c r="AB307" s="657">
        <v>5</v>
      </c>
      <c r="AC307" s="657">
        <v>0</v>
      </c>
      <c r="AD307" s="768">
        <v>162</v>
      </c>
      <c r="AE307" s="769">
        <v>0</v>
      </c>
      <c r="AF307" s="769">
        <v>145</v>
      </c>
      <c r="AG307" s="770">
        <v>145</v>
      </c>
      <c r="AH307" s="769">
        <v>0</v>
      </c>
      <c r="AI307" s="769">
        <v>0</v>
      </c>
      <c r="AJ307" s="769">
        <v>142.73093648788091</v>
      </c>
      <c r="AK307" s="769">
        <v>142.73093648788091</v>
      </c>
      <c r="AL307" s="769">
        <v>0</v>
      </c>
      <c r="AM307" s="769">
        <v>0</v>
      </c>
      <c r="AN307" s="769">
        <v>132.30584600624684</v>
      </c>
      <c r="AO307" s="769">
        <v>132.30584600624684</v>
      </c>
      <c r="AP307" s="769">
        <v>0</v>
      </c>
      <c r="AQ307" s="769">
        <v>4.6492067540691933</v>
      </c>
      <c r="AR307" s="769">
        <v>0</v>
      </c>
      <c r="AS307" s="769">
        <v>129.75872758412416</v>
      </c>
      <c r="AT307" s="769">
        <v>136.09035493214745</v>
      </c>
      <c r="AU307" s="769">
        <v>142.73093648788091</v>
      </c>
      <c r="AV307" s="769">
        <v>149.69554779150013</v>
      </c>
      <c r="AW307" s="769">
        <v>157</v>
      </c>
      <c r="AX307" s="769">
        <v>120.72301301674968</v>
      </c>
      <c r="AY307" s="769">
        <v>126.38180394979419</v>
      </c>
      <c r="AZ307" s="769">
        <v>132.30584600624684</v>
      </c>
      <c r="BA307" s="769">
        <v>138.50757261213479</v>
      </c>
      <c r="BB307" s="769">
        <v>145</v>
      </c>
      <c r="BC307" s="769">
        <v>4.3230246884165213</v>
      </c>
      <c r="BD307" s="769">
        <v>4.483150184791266</v>
      </c>
      <c r="BE307" s="769">
        <v>4.6492067540691933</v>
      </c>
      <c r="BF307" s="769">
        <v>4.8214140840987687</v>
      </c>
      <c r="BG307" s="769">
        <v>5</v>
      </c>
      <c r="BH307" s="771">
        <v>158.48667968242478</v>
      </c>
      <c r="BI307" s="771">
        <v>159.98743717681219</v>
      </c>
      <c r="BJ307" s="771">
        <v>161.50240579014965</v>
      </c>
      <c r="BK307" s="772">
        <v>161.90145765777453</v>
      </c>
      <c r="BL307" s="772">
        <v>162.30050952539938</v>
      </c>
      <c r="BM307" s="772">
        <v>162.69956139302423</v>
      </c>
      <c r="BN307" s="772">
        <v>163.0986132606491</v>
      </c>
      <c r="BO307" s="772">
        <v>163.57046592103814</v>
      </c>
      <c r="BP307" s="772">
        <v>164.04231858142725</v>
      </c>
      <c r="BQ307" s="772">
        <v>165.3504296122864</v>
      </c>
      <c r="BR307" s="772">
        <v>166.9089543690919</v>
      </c>
      <c r="BS307" s="772">
        <v>167.59327190553759</v>
      </c>
      <c r="BT307" s="772">
        <v>167.9690690429272</v>
      </c>
      <c r="BU307" s="772">
        <v>168.35824243650879</v>
      </c>
      <c r="BV307" s="772">
        <v>168.75677920942479</v>
      </c>
      <c r="BW307" s="771">
        <v>146.37304811434137</v>
      </c>
      <c r="BX307" s="771">
        <v>147.75909802953993</v>
      </c>
      <c r="BY307" s="771">
        <v>149.15827286351401</v>
      </c>
      <c r="BZ307" s="772">
        <v>149.52682395144782</v>
      </c>
      <c r="CA307" s="772">
        <v>149.89537503938161</v>
      </c>
      <c r="CB307" s="772">
        <v>150.26392612731536</v>
      </c>
      <c r="CC307" s="772">
        <v>150.63247721524917</v>
      </c>
      <c r="CD307" s="772">
        <v>151.06826470414353</v>
      </c>
      <c r="CE307" s="772">
        <v>151.50405219303789</v>
      </c>
      <c r="CF307" s="772">
        <v>152.71218021516896</v>
      </c>
      <c r="CG307" s="772">
        <v>154.15158206062628</v>
      </c>
      <c r="CH307" s="772">
        <v>154.78359507199332</v>
      </c>
      <c r="CI307" s="772">
        <v>155.13066886130221</v>
      </c>
      <c r="CJ307" s="772">
        <v>155.49009651779477</v>
      </c>
      <c r="CK307" s="772">
        <v>155.85817188131588</v>
      </c>
      <c r="CL307" s="771">
        <v>5.0473464867014259</v>
      </c>
      <c r="CM307" s="771">
        <v>5.0951413113634461</v>
      </c>
      <c r="CN307" s="771">
        <v>5.1433887194315178</v>
      </c>
      <c r="CO307" s="772">
        <v>5.1560973776361312</v>
      </c>
      <c r="CP307" s="772">
        <v>5.1688060358407446</v>
      </c>
      <c r="CQ307" s="772">
        <v>5.1815146940453571</v>
      </c>
      <c r="CR307" s="772">
        <v>5.1942233522499714</v>
      </c>
      <c r="CS307" s="772">
        <v>5.2092505070394317</v>
      </c>
      <c r="CT307" s="772">
        <v>5.2242776618288929</v>
      </c>
      <c r="CU307" s="772">
        <v>5.26593724879893</v>
      </c>
      <c r="CV307" s="772">
        <v>5.3155717951940096</v>
      </c>
      <c r="CW307" s="772">
        <v>5.3373653473101141</v>
      </c>
      <c r="CX307" s="772">
        <v>5.3493334090104208</v>
      </c>
      <c r="CY307" s="772">
        <v>5.361727466130854</v>
      </c>
      <c r="CZ307" s="772">
        <v>5.3744197200453758</v>
      </c>
      <c r="DA307" s="773">
        <v>0</v>
      </c>
      <c r="DB307" s="773">
        <v>0</v>
      </c>
      <c r="DC307" s="773">
        <v>0</v>
      </c>
      <c r="DD307" s="774">
        <v>0</v>
      </c>
      <c r="DE307" s="774">
        <v>0</v>
      </c>
      <c r="DF307" s="774">
        <v>0</v>
      </c>
      <c r="DG307" s="774">
        <v>0</v>
      </c>
      <c r="DH307" s="774">
        <v>0</v>
      </c>
      <c r="DI307" s="774">
        <v>0</v>
      </c>
      <c r="DJ307" s="774">
        <v>0</v>
      </c>
      <c r="DK307" s="774">
        <v>0</v>
      </c>
      <c r="DL307" s="774">
        <v>0</v>
      </c>
      <c r="DM307" s="774">
        <v>0</v>
      </c>
      <c r="DN307" s="774">
        <v>0</v>
      </c>
      <c r="DO307" s="774">
        <v>0</v>
      </c>
      <c r="DP307" s="773">
        <v>0</v>
      </c>
      <c r="DQ307" s="773">
        <v>0</v>
      </c>
      <c r="DR307" s="773">
        <v>0</v>
      </c>
      <c r="DS307" s="774">
        <v>0</v>
      </c>
      <c r="DT307" s="774">
        <v>0</v>
      </c>
      <c r="DU307" s="774">
        <v>0</v>
      </c>
      <c r="DV307" s="774">
        <v>0</v>
      </c>
      <c r="DW307" s="774">
        <v>0</v>
      </c>
      <c r="DX307" s="774">
        <v>0</v>
      </c>
      <c r="DY307" s="774">
        <v>0</v>
      </c>
      <c r="DZ307" s="774">
        <v>0</v>
      </c>
      <c r="EA307" s="774">
        <v>0</v>
      </c>
      <c r="EB307" s="774">
        <v>0</v>
      </c>
      <c r="EC307" s="774">
        <v>0</v>
      </c>
      <c r="ED307" s="774">
        <v>0</v>
      </c>
    </row>
    <row r="308" spans="1:134" ht="15" x14ac:dyDescent="0.25">
      <c r="A308" s="766">
        <v>114</v>
      </c>
      <c r="B308" s="766">
        <v>98</v>
      </c>
      <c r="C308" s="766" t="s">
        <v>3979</v>
      </c>
      <c r="D308" s="2">
        <v>99712</v>
      </c>
      <c r="E308" s="2">
        <v>99712</v>
      </c>
      <c r="F308" s="767" t="s">
        <v>3746</v>
      </c>
      <c r="G308" s="114">
        <v>561</v>
      </c>
      <c r="H308" s="114">
        <v>193</v>
      </c>
      <c r="I308" s="114">
        <v>187</v>
      </c>
      <c r="J308" s="114">
        <v>6</v>
      </c>
      <c r="K308" s="114">
        <v>0</v>
      </c>
      <c r="L308" s="114">
        <v>91</v>
      </c>
      <c r="M308" s="114">
        <v>91</v>
      </c>
      <c r="N308" s="114">
        <v>0</v>
      </c>
      <c r="O308" s="114">
        <v>0</v>
      </c>
      <c r="P308" s="114">
        <v>0</v>
      </c>
      <c r="Q308" s="114">
        <v>91</v>
      </c>
      <c r="R308" s="114">
        <v>0</v>
      </c>
      <c r="S308" s="114">
        <v>2840.2527472527472</v>
      </c>
      <c r="T308" s="114">
        <v>2840.2527472527472</v>
      </c>
      <c r="U308" s="114">
        <v>0</v>
      </c>
      <c r="V308" s="114">
        <v>0</v>
      </c>
      <c r="W308" s="114">
        <v>0</v>
      </c>
      <c r="X308" s="114">
        <v>2840.2527472527472</v>
      </c>
      <c r="Y308" s="114">
        <v>0</v>
      </c>
      <c r="Z308" s="114">
        <v>193</v>
      </c>
      <c r="AA308" s="114">
        <v>0</v>
      </c>
      <c r="AB308" s="657">
        <v>0</v>
      </c>
      <c r="AC308" s="657">
        <v>0</v>
      </c>
      <c r="AD308" s="768">
        <v>193</v>
      </c>
      <c r="AE308" s="769">
        <v>0</v>
      </c>
      <c r="AF308" s="769">
        <v>187</v>
      </c>
      <c r="AG308" s="770">
        <v>187</v>
      </c>
      <c r="AH308" s="769">
        <v>0</v>
      </c>
      <c r="AI308" s="769">
        <v>0</v>
      </c>
      <c r="AJ308" s="769">
        <v>175.45904931312748</v>
      </c>
      <c r="AK308" s="769">
        <v>175.45904931312748</v>
      </c>
      <c r="AL308" s="769">
        <v>0</v>
      </c>
      <c r="AM308" s="769">
        <v>0</v>
      </c>
      <c r="AN308" s="769">
        <v>170.62891864253902</v>
      </c>
      <c r="AO308" s="769">
        <v>170.62891864253902</v>
      </c>
      <c r="AP308" s="769">
        <v>0</v>
      </c>
      <c r="AQ308" s="769">
        <v>0</v>
      </c>
      <c r="AR308" s="769">
        <v>0</v>
      </c>
      <c r="AS308" s="769">
        <v>159.51232117029275</v>
      </c>
      <c r="AT308" s="769">
        <v>167.29578663633413</v>
      </c>
      <c r="AU308" s="769">
        <v>175.45904931312748</v>
      </c>
      <c r="AV308" s="769">
        <v>184.02064155260845</v>
      </c>
      <c r="AW308" s="769">
        <v>193</v>
      </c>
      <c r="AX308" s="769">
        <v>155.69105816642889</v>
      </c>
      <c r="AY308" s="769">
        <v>162.98894716283803</v>
      </c>
      <c r="AZ308" s="769">
        <v>170.62891864253902</v>
      </c>
      <c r="BA308" s="769">
        <v>178.62700743771867</v>
      </c>
      <c r="BB308" s="769">
        <v>187</v>
      </c>
      <c r="BC308" s="769">
        <v>0</v>
      </c>
      <c r="BD308" s="769">
        <v>0</v>
      </c>
      <c r="BE308" s="769">
        <v>0</v>
      </c>
      <c r="BF308" s="769">
        <v>0</v>
      </c>
      <c r="BG308" s="769">
        <v>0</v>
      </c>
      <c r="BH308" s="771">
        <v>194.82757438667505</v>
      </c>
      <c r="BI308" s="771">
        <v>196.67245461862902</v>
      </c>
      <c r="BJ308" s="771">
        <v>198.53480457005656</v>
      </c>
      <c r="BK308" s="772">
        <v>200.14560525529433</v>
      </c>
      <c r="BL308" s="772">
        <v>201.75640594053206</v>
      </c>
      <c r="BM308" s="772">
        <v>203.3672066257698</v>
      </c>
      <c r="BN308" s="772">
        <v>204.97800731100756</v>
      </c>
      <c r="BO308" s="772">
        <v>206.8826734718499</v>
      </c>
      <c r="BP308" s="772">
        <v>208.78733963269218</v>
      </c>
      <c r="BQ308" s="772">
        <v>214.06762100918687</v>
      </c>
      <c r="BR308" s="772">
        <v>220.3587148491043</v>
      </c>
      <c r="BS308" s="772">
        <v>223.12101029502668</v>
      </c>
      <c r="BT308" s="772">
        <v>224.63794164036904</v>
      </c>
      <c r="BU308" s="772">
        <v>226.20886717641204</v>
      </c>
      <c r="BV308" s="772">
        <v>227.81758864594556</v>
      </c>
      <c r="BW308" s="771">
        <v>188.77075860263335</v>
      </c>
      <c r="BX308" s="771">
        <v>190.55828504499289</v>
      </c>
      <c r="BY308" s="771">
        <v>192.36273810673876</v>
      </c>
      <c r="BZ308" s="772">
        <v>193.92346208673598</v>
      </c>
      <c r="CA308" s="772">
        <v>195.48418606673317</v>
      </c>
      <c r="CB308" s="772">
        <v>197.04491004673034</v>
      </c>
      <c r="CC308" s="772">
        <v>198.60563402672756</v>
      </c>
      <c r="CD308" s="772">
        <v>200.45108776806183</v>
      </c>
      <c r="CE308" s="772">
        <v>202.29654150939606</v>
      </c>
      <c r="CF308" s="772">
        <v>207.41266906071476</v>
      </c>
      <c r="CG308" s="772">
        <v>213.50818485379537</v>
      </c>
      <c r="CH308" s="772">
        <v>216.18460582989633</v>
      </c>
      <c r="CI308" s="772">
        <v>217.65437868781871</v>
      </c>
      <c r="CJ308" s="772">
        <v>219.17646716056507</v>
      </c>
      <c r="CK308" s="772">
        <v>220.73517656368821</v>
      </c>
      <c r="CL308" s="771">
        <v>0</v>
      </c>
      <c r="CM308" s="771">
        <v>0</v>
      </c>
      <c r="CN308" s="771">
        <v>0</v>
      </c>
      <c r="CO308" s="772">
        <v>0</v>
      </c>
      <c r="CP308" s="772">
        <v>0</v>
      </c>
      <c r="CQ308" s="772">
        <v>0</v>
      </c>
      <c r="CR308" s="772">
        <v>0</v>
      </c>
      <c r="CS308" s="772">
        <v>0</v>
      </c>
      <c r="CT308" s="772">
        <v>0</v>
      </c>
      <c r="CU308" s="772">
        <v>0</v>
      </c>
      <c r="CV308" s="772">
        <v>0</v>
      </c>
      <c r="CW308" s="772">
        <v>0</v>
      </c>
      <c r="CX308" s="772">
        <v>0</v>
      </c>
      <c r="CY308" s="772">
        <v>0</v>
      </c>
      <c r="CZ308" s="772">
        <v>0</v>
      </c>
      <c r="DA308" s="773">
        <v>0</v>
      </c>
      <c r="DB308" s="773">
        <v>0</v>
      </c>
      <c r="DC308" s="773">
        <v>0</v>
      </c>
      <c r="DD308" s="774">
        <v>0</v>
      </c>
      <c r="DE308" s="774">
        <v>0</v>
      </c>
      <c r="DF308" s="774">
        <v>0</v>
      </c>
      <c r="DG308" s="774">
        <v>0</v>
      </c>
      <c r="DH308" s="774">
        <v>0</v>
      </c>
      <c r="DI308" s="774">
        <v>0</v>
      </c>
      <c r="DJ308" s="774">
        <v>0</v>
      </c>
      <c r="DK308" s="774">
        <v>0</v>
      </c>
      <c r="DL308" s="774">
        <v>0</v>
      </c>
      <c r="DM308" s="774">
        <v>0</v>
      </c>
      <c r="DN308" s="774">
        <v>0</v>
      </c>
      <c r="DO308" s="774">
        <v>0</v>
      </c>
      <c r="DP308" s="773">
        <v>0</v>
      </c>
      <c r="DQ308" s="773">
        <v>0</v>
      </c>
      <c r="DR308" s="773">
        <v>0</v>
      </c>
      <c r="DS308" s="774">
        <v>0</v>
      </c>
      <c r="DT308" s="774">
        <v>0</v>
      </c>
      <c r="DU308" s="774">
        <v>0</v>
      </c>
      <c r="DV308" s="774">
        <v>0</v>
      </c>
      <c r="DW308" s="774">
        <v>0</v>
      </c>
      <c r="DX308" s="774">
        <v>0</v>
      </c>
      <c r="DY308" s="774">
        <v>0</v>
      </c>
      <c r="DZ308" s="774">
        <v>0</v>
      </c>
      <c r="EA308" s="774">
        <v>0</v>
      </c>
      <c r="EB308" s="774">
        <v>0</v>
      </c>
      <c r="EC308" s="774">
        <v>0</v>
      </c>
      <c r="ED308" s="774">
        <v>0</v>
      </c>
    </row>
    <row r="309" spans="1:134" ht="15" x14ac:dyDescent="0.25">
      <c r="A309" s="766">
        <v>115</v>
      </c>
      <c r="B309" s="766">
        <v>98</v>
      </c>
      <c r="C309" s="766" t="s">
        <v>3980</v>
      </c>
      <c r="D309" s="2">
        <v>99712</v>
      </c>
      <c r="E309" s="2">
        <v>99712</v>
      </c>
      <c r="F309" s="767" t="s">
        <v>3746</v>
      </c>
      <c r="G309" s="114">
        <v>5</v>
      </c>
      <c r="H309" s="114">
        <v>3</v>
      </c>
      <c r="I309" s="114">
        <v>2</v>
      </c>
      <c r="J309" s="114">
        <v>1</v>
      </c>
      <c r="K309" s="114">
        <v>0</v>
      </c>
      <c r="L309" s="114">
        <v>32</v>
      </c>
      <c r="M309" s="114">
        <v>32</v>
      </c>
      <c r="N309" s="114">
        <v>3</v>
      </c>
      <c r="O309" s="114">
        <v>0</v>
      </c>
      <c r="P309" s="114">
        <v>0</v>
      </c>
      <c r="Q309" s="114">
        <v>35</v>
      </c>
      <c r="R309" s="114">
        <v>0</v>
      </c>
      <c r="S309" s="114">
        <v>1974.96875</v>
      </c>
      <c r="T309" s="114">
        <v>1974.96875</v>
      </c>
      <c r="U309" s="114">
        <v>4730.666666666667</v>
      </c>
      <c r="V309" s="114">
        <v>0</v>
      </c>
      <c r="W309" s="114">
        <v>0</v>
      </c>
      <c r="X309" s="114">
        <v>2211.1714285714284</v>
      </c>
      <c r="Y309" s="114">
        <v>0</v>
      </c>
      <c r="Z309" s="114">
        <v>3</v>
      </c>
      <c r="AA309" s="114">
        <v>0</v>
      </c>
      <c r="AB309" s="657">
        <v>3</v>
      </c>
      <c r="AC309" s="657">
        <v>0</v>
      </c>
      <c r="AD309" s="768">
        <v>6</v>
      </c>
      <c r="AE309" s="769">
        <v>0</v>
      </c>
      <c r="AF309" s="769">
        <v>2</v>
      </c>
      <c r="AG309" s="770">
        <v>2</v>
      </c>
      <c r="AH309" s="769">
        <v>0</v>
      </c>
      <c r="AI309" s="769">
        <v>0</v>
      </c>
      <c r="AJ309" s="769">
        <v>2.7273427354372148</v>
      </c>
      <c r="AK309" s="769">
        <v>2.7273427354372148</v>
      </c>
      <c r="AL309" s="769">
        <v>0</v>
      </c>
      <c r="AM309" s="769">
        <v>0</v>
      </c>
      <c r="AN309" s="769">
        <v>1.8249082207758185</v>
      </c>
      <c r="AO309" s="769">
        <v>1.8249082207758185</v>
      </c>
      <c r="AP309" s="769">
        <v>0</v>
      </c>
      <c r="AQ309" s="769">
        <v>2.7895240524415161</v>
      </c>
      <c r="AR309" s="769">
        <v>0</v>
      </c>
      <c r="AS309" s="769">
        <v>2.4794661321807161</v>
      </c>
      <c r="AT309" s="769">
        <v>2.600452642015556</v>
      </c>
      <c r="AU309" s="769">
        <v>2.7273427354372148</v>
      </c>
      <c r="AV309" s="769">
        <v>2.8604244800923593</v>
      </c>
      <c r="AW309" s="769">
        <v>3</v>
      </c>
      <c r="AX309" s="769">
        <v>1.6651450071275817</v>
      </c>
      <c r="AY309" s="769">
        <v>1.7431972958592303</v>
      </c>
      <c r="AZ309" s="769">
        <v>1.8249082207758185</v>
      </c>
      <c r="BA309" s="769">
        <v>1.9104492774087558</v>
      </c>
      <c r="BB309" s="769">
        <v>2</v>
      </c>
      <c r="BC309" s="769">
        <v>2.5938148130499128</v>
      </c>
      <c r="BD309" s="769">
        <v>2.6898901108747597</v>
      </c>
      <c r="BE309" s="769">
        <v>2.7895240524415161</v>
      </c>
      <c r="BF309" s="769">
        <v>2.8928484504592613</v>
      </c>
      <c r="BG309" s="769">
        <v>3</v>
      </c>
      <c r="BH309" s="771">
        <v>3.0284078920208559</v>
      </c>
      <c r="BI309" s="771">
        <v>3.0570847868180673</v>
      </c>
      <c r="BJ309" s="771">
        <v>3.0860332316589103</v>
      </c>
      <c r="BK309" s="772">
        <v>3.1105067577401684</v>
      </c>
      <c r="BL309" s="772">
        <v>3.1349802838214269</v>
      </c>
      <c r="BM309" s="772">
        <v>3.1594538099026859</v>
      </c>
      <c r="BN309" s="772">
        <v>3.183927335983944</v>
      </c>
      <c r="BO309" s="772">
        <v>3.2128656754015132</v>
      </c>
      <c r="BP309" s="772">
        <v>3.2418040148190825</v>
      </c>
      <c r="BQ309" s="772">
        <v>3.3220293991067442</v>
      </c>
      <c r="BR309" s="772">
        <v>3.4176124532871177</v>
      </c>
      <c r="BS309" s="772">
        <v>3.4595810905365756</v>
      </c>
      <c r="BT309" s="772">
        <v>3.4826284229495461</v>
      </c>
      <c r="BU309" s="772">
        <v>3.5064961102620753</v>
      </c>
      <c r="BV309" s="772">
        <v>3.5309380460042976</v>
      </c>
      <c r="BW309" s="771">
        <v>2.0189385946805705</v>
      </c>
      <c r="BX309" s="771">
        <v>2.0380565245453783</v>
      </c>
      <c r="BY309" s="771">
        <v>2.057355487772607</v>
      </c>
      <c r="BZ309" s="772">
        <v>2.0736711718267791</v>
      </c>
      <c r="CA309" s="772">
        <v>2.0899868558809516</v>
      </c>
      <c r="CB309" s="772">
        <v>2.1063025399351241</v>
      </c>
      <c r="CC309" s="772">
        <v>2.1226182239892961</v>
      </c>
      <c r="CD309" s="772">
        <v>2.1419104502676758</v>
      </c>
      <c r="CE309" s="772">
        <v>2.1612026765460555</v>
      </c>
      <c r="CF309" s="772">
        <v>2.2146862660711628</v>
      </c>
      <c r="CG309" s="772">
        <v>2.2784083021914121</v>
      </c>
      <c r="CH309" s="772">
        <v>2.3063873936910504</v>
      </c>
      <c r="CI309" s="772">
        <v>2.3217522819663641</v>
      </c>
      <c r="CJ309" s="772">
        <v>2.3376640735080505</v>
      </c>
      <c r="CK309" s="772">
        <v>2.3539586973361986</v>
      </c>
      <c r="CL309" s="771">
        <v>3.0284078920208559</v>
      </c>
      <c r="CM309" s="771">
        <v>3.0570847868180673</v>
      </c>
      <c r="CN309" s="771">
        <v>3.0860332316589103</v>
      </c>
      <c r="CO309" s="772">
        <v>3.1105067577401684</v>
      </c>
      <c r="CP309" s="772">
        <v>3.1349802838214269</v>
      </c>
      <c r="CQ309" s="772">
        <v>3.1594538099026859</v>
      </c>
      <c r="CR309" s="772">
        <v>3.183927335983944</v>
      </c>
      <c r="CS309" s="772">
        <v>3.2128656754015132</v>
      </c>
      <c r="CT309" s="772">
        <v>3.2418040148190825</v>
      </c>
      <c r="CU309" s="772">
        <v>3.3220293991067442</v>
      </c>
      <c r="CV309" s="772">
        <v>3.4176124532871177</v>
      </c>
      <c r="CW309" s="772">
        <v>3.4595810905365756</v>
      </c>
      <c r="CX309" s="772">
        <v>3.4826284229495461</v>
      </c>
      <c r="CY309" s="772">
        <v>3.5064961102620753</v>
      </c>
      <c r="CZ309" s="772">
        <v>3.5309380460042976</v>
      </c>
      <c r="DA309" s="773">
        <v>0</v>
      </c>
      <c r="DB309" s="773">
        <v>0</v>
      </c>
      <c r="DC309" s="773">
        <v>0</v>
      </c>
      <c r="DD309" s="774">
        <v>0</v>
      </c>
      <c r="DE309" s="774">
        <v>0</v>
      </c>
      <c r="DF309" s="774">
        <v>0</v>
      </c>
      <c r="DG309" s="774">
        <v>0</v>
      </c>
      <c r="DH309" s="774">
        <v>0</v>
      </c>
      <c r="DI309" s="774">
        <v>0</v>
      </c>
      <c r="DJ309" s="774">
        <v>0</v>
      </c>
      <c r="DK309" s="774">
        <v>0</v>
      </c>
      <c r="DL309" s="774">
        <v>0</v>
      </c>
      <c r="DM309" s="774">
        <v>0</v>
      </c>
      <c r="DN309" s="774">
        <v>0</v>
      </c>
      <c r="DO309" s="774">
        <v>0</v>
      </c>
      <c r="DP309" s="773">
        <v>0</v>
      </c>
      <c r="DQ309" s="773">
        <v>0</v>
      </c>
      <c r="DR309" s="773">
        <v>0</v>
      </c>
      <c r="DS309" s="774">
        <v>0</v>
      </c>
      <c r="DT309" s="774">
        <v>0</v>
      </c>
      <c r="DU309" s="774">
        <v>0</v>
      </c>
      <c r="DV309" s="774">
        <v>0</v>
      </c>
      <c r="DW309" s="774">
        <v>0</v>
      </c>
      <c r="DX309" s="774">
        <v>0</v>
      </c>
      <c r="DY309" s="774">
        <v>0</v>
      </c>
      <c r="DZ309" s="774">
        <v>0</v>
      </c>
      <c r="EA309" s="774">
        <v>0</v>
      </c>
      <c r="EB309" s="774">
        <v>0</v>
      </c>
      <c r="EC309" s="774">
        <v>0</v>
      </c>
      <c r="ED309" s="774">
        <v>0</v>
      </c>
    </row>
    <row r="310" spans="1:134" ht="15" x14ac:dyDescent="0.25">
      <c r="A310" s="766">
        <v>117</v>
      </c>
      <c r="B310" s="766">
        <v>98</v>
      </c>
      <c r="C310" s="766" t="s">
        <v>3981</v>
      </c>
      <c r="D310" s="2">
        <v>99712</v>
      </c>
      <c r="E310" s="2">
        <v>99712</v>
      </c>
      <c r="F310" s="767" t="s">
        <v>3746</v>
      </c>
      <c r="G310" s="114">
        <v>134</v>
      </c>
      <c r="H310" s="114">
        <v>65</v>
      </c>
      <c r="I310" s="114">
        <v>59</v>
      </c>
      <c r="J310" s="114">
        <v>6</v>
      </c>
      <c r="K310" s="114">
        <v>1</v>
      </c>
      <c r="L310" s="114">
        <v>70</v>
      </c>
      <c r="M310" s="114">
        <v>71</v>
      </c>
      <c r="N310" s="114">
        <v>1</v>
      </c>
      <c r="O310" s="114">
        <v>0</v>
      </c>
      <c r="P310" s="114">
        <v>0</v>
      </c>
      <c r="Q310" s="114">
        <v>72</v>
      </c>
      <c r="R310" s="114">
        <v>4411</v>
      </c>
      <c r="S310" s="114">
        <v>1989.3571428571429</v>
      </c>
      <c r="T310" s="114">
        <v>2023.4647887323943</v>
      </c>
      <c r="U310" s="114">
        <v>8254</v>
      </c>
      <c r="V310" s="114">
        <v>0</v>
      </c>
      <c r="W310" s="114">
        <v>0</v>
      </c>
      <c r="X310" s="114">
        <v>2110</v>
      </c>
      <c r="Y310" s="114">
        <v>0.91549295774647887</v>
      </c>
      <c r="Z310" s="114">
        <v>64.08450704225352</v>
      </c>
      <c r="AA310" s="114">
        <v>0</v>
      </c>
      <c r="AB310" s="657">
        <v>1</v>
      </c>
      <c r="AC310" s="657">
        <v>0</v>
      </c>
      <c r="AD310" s="768">
        <v>66</v>
      </c>
      <c r="AE310" s="769">
        <v>0.83098591549295775</v>
      </c>
      <c r="AF310" s="769">
        <v>58.16901408450704</v>
      </c>
      <c r="AG310" s="770">
        <v>59</v>
      </c>
      <c r="AH310" s="769">
        <v>0</v>
      </c>
      <c r="AI310" s="769">
        <v>0.83228768921792939</v>
      </c>
      <c r="AJ310" s="769">
        <v>58.260138245255057</v>
      </c>
      <c r="AK310" s="769">
        <v>59.092425934472985</v>
      </c>
      <c r="AL310" s="769">
        <v>0</v>
      </c>
      <c r="AM310" s="769">
        <v>0.75823651426600913</v>
      </c>
      <c r="AN310" s="769">
        <v>53.076555998620634</v>
      </c>
      <c r="AO310" s="769">
        <v>53.834792512886644</v>
      </c>
      <c r="AP310" s="769">
        <v>0</v>
      </c>
      <c r="AQ310" s="769">
        <v>0.92984135081383867</v>
      </c>
      <c r="AR310" s="769">
        <v>0</v>
      </c>
      <c r="AS310" s="769">
        <v>53.721766197248854</v>
      </c>
      <c r="AT310" s="769">
        <v>56.343140577003716</v>
      </c>
      <c r="AU310" s="769">
        <v>59.092425934472985</v>
      </c>
      <c r="AV310" s="769">
        <v>61.975863735334457</v>
      </c>
      <c r="AW310" s="769">
        <v>65</v>
      </c>
      <c r="AX310" s="769">
        <v>49.121777710263657</v>
      </c>
      <c r="AY310" s="769">
        <v>51.424320227847289</v>
      </c>
      <c r="AZ310" s="769">
        <v>53.834792512886644</v>
      </c>
      <c r="BA310" s="769">
        <v>56.358253683558296</v>
      </c>
      <c r="BB310" s="769">
        <v>59</v>
      </c>
      <c r="BC310" s="769">
        <v>0.86460493768330426</v>
      </c>
      <c r="BD310" s="769">
        <v>0.89663003695825327</v>
      </c>
      <c r="BE310" s="769">
        <v>0.92984135081383867</v>
      </c>
      <c r="BF310" s="769">
        <v>0.96428281681975381</v>
      </c>
      <c r="BG310" s="769">
        <v>1</v>
      </c>
      <c r="BH310" s="771">
        <v>65.601828434027837</v>
      </c>
      <c r="BI310" s="771">
        <v>66.209229136732688</v>
      </c>
      <c r="BJ310" s="771">
        <v>66.822253701187307</v>
      </c>
      <c r="BK310" s="772">
        <v>67.827493568113638</v>
      </c>
      <c r="BL310" s="772">
        <v>68.83273343503997</v>
      </c>
      <c r="BM310" s="772">
        <v>69.837973301966301</v>
      </c>
      <c r="BN310" s="772">
        <v>70.843213168892632</v>
      </c>
      <c r="BO310" s="772">
        <v>72.031843379700859</v>
      </c>
      <c r="BP310" s="772">
        <v>73.220473590509101</v>
      </c>
      <c r="BQ310" s="772">
        <v>76.515697758766592</v>
      </c>
      <c r="BR310" s="772">
        <v>80.441731806564533</v>
      </c>
      <c r="BS310" s="772">
        <v>82.165576061113256</v>
      </c>
      <c r="BT310" s="772">
        <v>83.112235618501799</v>
      </c>
      <c r="BU310" s="772">
        <v>84.092590910919597</v>
      </c>
      <c r="BV310" s="772">
        <v>85.09653321785791</v>
      </c>
      <c r="BW310" s="771">
        <v>59.546275040117578</v>
      </c>
      <c r="BX310" s="771">
        <v>60.097607985649667</v>
      </c>
      <c r="BY310" s="771">
        <v>60.654045667231557</v>
      </c>
      <c r="BZ310" s="772">
        <v>61.566494161826228</v>
      </c>
      <c r="CA310" s="772">
        <v>62.478942656420891</v>
      </c>
      <c r="CB310" s="772">
        <v>63.391391151015569</v>
      </c>
      <c r="CC310" s="772">
        <v>64.303839645610239</v>
      </c>
      <c r="CD310" s="772">
        <v>65.382750144651553</v>
      </c>
      <c r="CE310" s="772">
        <v>66.461660643692881</v>
      </c>
      <c r="CF310" s="772">
        <v>69.452710273341978</v>
      </c>
      <c r="CG310" s="772">
        <v>73.016341178266273</v>
      </c>
      <c r="CH310" s="772">
        <v>74.581061347779723</v>
      </c>
      <c r="CI310" s="772">
        <v>75.440336946024701</v>
      </c>
      <c r="CJ310" s="772">
        <v>76.330197903757792</v>
      </c>
      <c r="CK310" s="772">
        <v>77.241468613132568</v>
      </c>
      <c r="CL310" s="771">
        <v>1.0092588989850437</v>
      </c>
      <c r="CM310" s="771">
        <v>1.0186035251805028</v>
      </c>
      <c r="CN310" s="771">
        <v>1.0280346723259586</v>
      </c>
      <c r="CO310" s="772">
        <v>1.043499901047902</v>
      </c>
      <c r="CP310" s="772">
        <v>1.0589651297698457</v>
      </c>
      <c r="CQ310" s="772">
        <v>1.0744303584917894</v>
      </c>
      <c r="CR310" s="772">
        <v>1.0898955872137328</v>
      </c>
      <c r="CS310" s="772">
        <v>1.1081822058415518</v>
      </c>
      <c r="CT310" s="772">
        <v>1.1264688244693708</v>
      </c>
      <c r="CU310" s="772">
        <v>1.1771645809041014</v>
      </c>
      <c r="CV310" s="772">
        <v>1.2375651047163776</v>
      </c>
      <c r="CW310" s="772">
        <v>1.2640857855555885</v>
      </c>
      <c r="CX310" s="772">
        <v>1.2786497787461815</v>
      </c>
      <c r="CY310" s="772">
        <v>1.2937321678603015</v>
      </c>
      <c r="CZ310" s="772">
        <v>1.309177434120891</v>
      </c>
      <c r="DA310" s="773">
        <v>0</v>
      </c>
      <c r="DB310" s="773">
        <v>0</v>
      </c>
      <c r="DC310" s="773">
        <v>0</v>
      </c>
      <c r="DD310" s="774">
        <v>0</v>
      </c>
      <c r="DE310" s="774">
        <v>0</v>
      </c>
      <c r="DF310" s="774">
        <v>0</v>
      </c>
      <c r="DG310" s="774">
        <v>0</v>
      </c>
      <c r="DH310" s="774">
        <v>0</v>
      </c>
      <c r="DI310" s="774">
        <v>0</v>
      </c>
      <c r="DJ310" s="774">
        <v>0</v>
      </c>
      <c r="DK310" s="774">
        <v>0</v>
      </c>
      <c r="DL310" s="774">
        <v>0</v>
      </c>
      <c r="DM310" s="774">
        <v>0</v>
      </c>
      <c r="DN310" s="774">
        <v>0</v>
      </c>
      <c r="DO310" s="774">
        <v>0</v>
      </c>
      <c r="DP310" s="773">
        <v>0</v>
      </c>
      <c r="DQ310" s="773">
        <v>0</v>
      </c>
      <c r="DR310" s="773">
        <v>0</v>
      </c>
      <c r="DS310" s="774">
        <v>0</v>
      </c>
      <c r="DT310" s="774">
        <v>0</v>
      </c>
      <c r="DU310" s="774">
        <v>0</v>
      </c>
      <c r="DV310" s="774">
        <v>0</v>
      </c>
      <c r="DW310" s="774">
        <v>0</v>
      </c>
      <c r="DX310" s="774">
        <v>0</v>
      </c>
      <c r="DY310" s="774">
        <v>0</v>
      </c>
      <c r="DZ310" s="774">
        <v>0</v>
      </c>
      <c r="EA310" s="774">
        <v>0</v>
      </c>
      <c r="EB310" s="774">
        <v>0</v>
      </c>
      <c r="EC310" s="774">
        <v>0</v>
      </c>
      <c r="ED310" s="774">
        <v>0</v>
      </c>
    </row>
    <row r="311" spans="1:134" ht="15" x14ac:dyDescent="0.25">
      <c r="A311" s="766">
        <v>118</v>
      </c>
      <c r="B311" s="766">
        <v>98</v>
      </c>
      <c r="C311" s="766" t="s">
        <v>3982</v>
      </c>
      <c r="D311" s="2">
        <v>99712</v>
      </c>
      <c r="E311" s="2">
        <v>99712</v>
      </c>
      <c r="F311" s="767" t="s">
        <v>3746</v>
      </c>
      <c r="G311" s="114">
        <v>148</v>
      </c>
      <c r="H311" s="114">
        <v>64</v>
      </c>
      <c r="I311" s="114">
        <v>59</v>
      </c>
      <c r="J311" s="114">
        <v>5</v>
      </c>
      <c r="K311" s="114">
        <v>0</v>
      </c>
      <c r="L311" s="114">
        <v>36</v>
      </c>
      <c r="M311" s="114">
        <v>36</v>
      </c>
      <c r="N311" s="114">
        <v>0</v>
      </c>
      <c r="O311" s="114">
        <v>0</v>
      </c>
      <c r="P311" s="114">
        <v>0</v>
      </c>
      <c r="Q311" s="114">
        <v>36</v>
      </c>
      <c r="R311" s="114">
        <v>0</v>
      </c>
      <c r="S311" s="114">
        <v>2430.3055555555557</v>
      </c>
      <c r="T311" s="114">
        <v>2430.3055555555557</v>
      </c>
      <c r="U311" s="114">
        <v>0</v>
      </c>
      <c r="V311" s="114">
        <v>0</v>
      </c>
      <c r="W311" s="114">
        <v>0</v>
      </c>
      <c r="X311" s="114">
        <v>2430.3055555555557</v>
      </c>
      <c r="Y311" s="114">
        <v>0</v>
      </c>
      <c r="Z311" s="114">
        <v>64</v>
      </c>
      <c r="AA311" s="114">
        <v>0</v>
      </c>
      <c r="AB311" s="657">
        <v>0</v>
      </c>
      <c r="AC311" s="657">
        <v>0</v>
      </c>
      <c r="AD311" s="768">
        <v>64</v>
      </c>
      <c r="AE311" s="769">
        <v>0</v>
      </c>
      <c r="AF311" s="769">
        <v>59</v>
      </c>
      <c r="AG311" s="770">
        <v>59</v>
      </c>
      <c r="AH311" s="769">
        <v>0</v>
      </c>
      <c r="AI311" s="769">
        <v>0</v>
      </c>
      <c r="AJ311" s="769">
        <v>58.183311689327248</v>
      </c>
      <c r="AK311" s="769">
        <v>58.183311689327248</v>
      </c>
      <c r="AL311" s="769">
        <v>0</v>
      </c>
      <c r="AM311" s="769">
        <v>0</v>
      </c>
      <c r="AN311" s="769">
        <v>53.834792512886644</v>
      </c>
      <c r="AO311" s="769">
        <v>53.834792512886644</v>
      </c>
      <c r="AP311" s="769">
        <v>0</v>
      </c>
      <c r="AQ311" s="769">
        <v>0</v>
      </c>
      <c r="AR311" s="769">
        <v>0</v>
      </c>
      <c r="AS311" s="769">
        <v>52.895277486521948</v>
      </c>
      <c r="AT311" s="769">
        <v>55.476323029665203</v>
      </c>
      <c r="AU311" s="769">
        <v>58.183311689327248</v>
      </c>
      <c r="AV311" s="769">
        <v>61.022388908636998</v>
      </c>
      <c r="AW311" s="769">
        <v>64</v>
      </c>
      <c r="AX311" s="769">
        <v>49.121777710263657</v>
      </c>
      <c r="AY311" s="769">
        <v>51.424320227847289</v>
      </c>
      <c r="AZ311" s="769">
        <v>53.834792512886644</v>
      </c>
      <c r="BA311" s="769">
        <v>56.358253683558296</v>
      </c>
      <c r="BB311" s="769">
        <v>59</v>
      </c>
      <c r="BC311" s="769">
        <v>0</v>
      </c>
      <c r="BD311" s="769">
        <v>0</v>
      </c>
      <c r="BE311" s="769">
        <v>0</v>
      </c>
      <c r="BF311" s="769">
        <v>0</v>
      </c>
      <c r="BG311" s="769">
        <v>0</v>
      </c>
      <c r="BH311" s="771">
        <v>64.592569535042799</v>
      </c>
      <c r="BI311" s="771">
        <v>65.190625611552178</v>
      </c>
      <c r="BJ311" s="771">
        <v>65.794219028861349</v>
      </c>
      <c r="BK311" s="772">
        <v>66.783993667065729</v>
      </c>
      <c r="BL311" s="772">
        <v>67.773768305270124</v>
      </c>
      <c r="BM311" s="772">
        <v>68.763542943474519</v>
      </c>
      <c r="BN311" s="772">
        <v>69.7533175816789</v>
      </c>
      <c r="BO311" s="772">
        <v>70.923661173859315</v>
      </c>
      <c r="BP311" s="772">
        <v>72.094004766039731</v>
      </c>
      <c r="BQ311" s="772">
        <v>75.338533177862487</v>
      </c>
      <c r="BR311" s="772">
        <v>79.204166701848166</v>
      </c>
      <c r="BS311" s="772">
        <v>80.901490275557663</v>
      </c>
      <c r="BT311" s="772">
        <v>81.833585839755614</v>
      </c>
      <c r="BU311" s="772">
        <v>82.798858743059299</v>
      </c>
      <c r="BV311" s="772">
        <v>83.787355783737027</v>
      </c>
      <c r="BW311" s="771">
        <v>59.546275040117578</v>
      </c>
      <c r="BX311" s="771">
        <v>60.097607985649667</v>
      </c>
      <c r="BY311" s="771">
        <v>60.654045667231557</v>
      </c>
      <c r="BZ311" s="772">
        <v>61.566494161826228</v>
      </c>
      <c r="CA311" s="772">
        <v>62.478942656420891</v>
      </c>
      <c r="CB311" s="772">
        <v>63.391391151015569</v>
      </c>
      <c r="CC311" s="772">
        <v>64.303839645610239</v>
      </c>
      <c r="CD311" s="772">
        <v>65.382750144651553</v>
      </c>
      <c r="CE311" s="772">
        <v>66.461660643692881</v>
      </c>
      <c r="CF311" s="772">
        <v>69.452710273341978</v>
      </c>
      <c r="CG311" s="772">
        <v>73.016341178266273</v>
      </c>
      <c r="CH311" s="772">
        <v>74.581061347779723</v>
      </c>
      <c r="CI311" s="772">
        <v>75.440336946024701</v>
      </c>
      <c r="CJ311" s="772">
        <v>76.330197903757792</v>
      </c>
      <c r="CK311" s="772">
        <v>77.241468613132568</v>
      </c>
      <c r="CL311" s="771">
        <v>0</v>
      </c>
      <c r="CM311" s="771">
        <v>0</v>
      </c>
      <c r="CN311" s="771">
        <v>0</v>
      </c>
      <c r="CO311" s="772">
        <v>0</v>
      </c>
      <c r="CP311" s="772">
        <v>0</v>
      </c>
      <c r="CQ311" s="772">
        <v>0</v>
      </c>
      <c r="CR311" s="772">
        <v>0</v>
      </c>
      <c r="CS311" s="772">
        <v>0</v>
      </c>
      <c r="CT311" s="772">
        <v>0</v>
      </c>
      <c r="CU311" s="772">
        <v>0</v>
      </c>
      <c r="CV311" s="772">
        <v>0</v>
      </c>
      <c r="CW311" s="772">
        <v>0</v>
      </c>
      <c r="CX311" s="772">
        <v>0</v>
      </c>
      <c r="CY311" s="772">
        <v>0</v>
      </c>
      <c r="CZ311" s="772">
        <v>0</v>
      </c>
      <c r="DA311" s="773">
        <v>0</v>
      </c>
      <c r="DB311" s="773">
        <v>0</v>
      </c>
      <c r="DC311" s="773">
        <v>0</v>
      </c>
      <c r="DD311" s="774">
        <v>0</v>
      </c>
      <c r="DE311" s="774">
        <v>0</v>
      </c>
      <c r="DF311" s="774">
        <v>0</v>
      </c>
      <c r="DG311" s="774">
        <v>0</v>
      </c>
      <c r="DH311" s="774">
        <v>0</v>
      </c>
      <c r="DI311" s="774">
        <v>0</v>
      </c>
      <c r="DJ311" s="774">
        <v>0</v>
      </c>
      <c r="DK311" s="774">
        <v>0</v>
      </c>
      <c r="DL311" s="774">
        <v>0</v>
      </c>
      <c r="DM311" s="774">
        <v>0</v>
      </c>
      <c r="DN311" s="774">
        <v>0</v>
      </c>
      <c r="DO311" s="774">
        <v>0</v>
      </c>
      <c r="DP311" s="773">
        <v>0</v>
      </c>
      <c r="DQ311" s="773">
        <v>0</v>
      </c>
      <c r="DR311" s="773">
        <v>0</v>
      </c>
      <c r="DS311" s="774">
        <v>0</v>
      </c>
      <c r="DT311" s="774">
        <v>0</v>
      </c>
      <c r="DU311" s="774">
        <v>0</v>
      </c>
      <c r="DV311" s="774">
        <v>0</v>
      </c>
      <c r="DW311" s="774">
        <v>0</v>
      </c>
      <c r="DX311" s="774">
        <v>0</v>
      </c>
      <c r="DY311" s="774">
        <v>0</v>
      </c>
      <c r="DZ311" s="774">
        <v>0</v>
      </c>
      <c r="EA311" s="774">
        <v>0</v>
      </c>
      <c r="EB311" s="774">
        <v>0</v>
      </c>
      <c r="EC311" s="774">
        <v>0</v>
      </c>
      <c r="ED311" s="774">
        <v>0</v>
      </c>
    </row>
    <row r="312" spans="1:134" ht="15" x14ac:dyDescent="0.25">
      <c r="A312" s="766">
        <v>119</v>
      </c>
      <c r="B312" s="766">
        <v>98</v>
      </c>
      <c r="C312" s="766" t="s">
        <v>3983</v>
      </c>
      <c r="D312" s="2">
        <v>99712</v>
      </c>
      <c r="E312" s="2">
        <v>99712</v>
      </c>
      <c r="F312" s="767" t="s">
        <v>3676</v>
      </c>
      <c r="G312" s="114">
        <v>35</v>
      </c>
      <c r="H312" s="114">
        <v>13</v>
      </c>
      <c r="I312" s="114">
        <v>13</v>
      </c>
      <c r="J312" s="114">
        <v>0</v>
      </c>
      <c r="K312" s="114">
        <v>0</v>
      </c>
      <c r="L312" s="114">
        <v>68</v>
      </c>
      <c r="M312" s="114">
        <v>68</v>
      </c>
      <c r="N312" s="114">
        <v>2</v>
      </c>
      <c r="O312" s="114">
        <v>0</v>
      </c>
      <c r="P312" s="114">
        <v>0</v>
      </c>
      <c r="Q312" s="114">
        <v>70</v>
      </c>
      <c r="R312" s="114">
        <v>0</v>
      </c>
      <c r="S312" s="114">
        <v>2283.3529411764707</v>
      </c>
      <c r="T312" s="114">
        <v>2283.3529411764707</v>
      </c>
      <c r="U312" s="114">
        <v>1766</v>
      </c>
      <c r="V312" s="114">
        <v>0</v>
      </c>
      <c r="W312" s="114">
        <v>0</v>
      </c>
      <c r="X312" s="114">
        <v>2268.5714285714284</v>
      </c>
      <c r="Y312" s="114">
        <v>0</v>
      </c>
      <c r="Z312" s="114">
        <v>13</v>
      </c>
      <c r="AA312" s="114">
        <v>0</v>
      </c>
      <c r="AB312" s="657">
        <v>2</v>
      </c>
      <c r="AC312" s="657">
        <v>0</v>
      </c>
      <c r="AD312" s="768">
        <v>15</v>
      </c>
      <c r="AE312" s="769">
        <v>0</v>
      </c>
      <c r="AF312" s="769">
        <v>13</v>
      </c>
      <c r="AG312" s="770">
        <v>13</v>
      </c>
      <c r="AH312" s="769">
        <v>0</v>
      </c>
      <c r="AI312" s="769">
        <v>0</v>
      </c>
      <c r="AJ312" s="769">
        <v>11.818485186894597</v>
      </c>
      <c r="AK312" s="769">
        <v>11.818485186894597</v>
      </c>
      <c r="AL312" s="769">
        <v>0</v>
      </c>
      <c r="AM312" s="769">
        <v>0</v>
      </c>
      <c r="AN312" s="769">
        <v>11.861903435042819</v>
      </c>
      <c r="AO312" s="769">
        <v>11.861903435042819</v>
      </c>
      <c r="AP312" s="769">
        <v>0</v>
      </c>
      <c r="AQ312" s="769">
        <v>1.8596827016276773</v>
      </c>
      <c r="AR312" s="769">
        <v>0</v>
      </c>
      <c r="AS312" s="769">
        <v>10.74435323944977</v>
      </c>
      <c r="AT312" s="769">
        <v>11.268628115400743</v>
      </c>
      <c r="AU312" s="769">
        <v>11.818485186894597</v>
      </c>
      <c r="AV312" s="769">
        <v>12.395172747066891</v>
      </c>
      <c r="AW312" s="769">
        <v>13</v>
      </c>
      <c r="AX312" s="769">
        <v>10.82344254632928</v>
      </c>
      <c r="AY312" s="769">
        <v>11.330782423084997</v>
      </c>
      <c r="AZ312" s="769">
        <v>11.861903435042819</v>
      </c>
      <c r="BA312" s="769">
        <v>12.417920303156913</v>
      </c>
      <c r="BB312" s="769">
        <v>13</v>
      </c>
      <c r="BC312" s="769">
        <v>1.7292098753666085</v>
      </c>
      <c r="BD312" s="769">
        <v>1.7932600739165065</v>
      </c>
      <c r="BE312" s="769">
        <v>1.8596827016276773</v>
      </c>
      <c r="BF312" s="769">
        <v>1.9285656336395076</v>
      </c>
      <c r="BG312" s="769">
        <v>2</v>
      </c>
      <c r="BH312" s="771">
        <v>13.120365686805568</v>
      </c>
      <c r="BI312" s="771">
        <v>13.241845827346536</v>
      </c>
      <c r="BJ312" s="771">
        <v>13.364450740237462</v>
      </c>
      <c r="BK312" s="772">
        <v>13.442272192895544</v>
      </c>
      <c r="BL312" s="772">
        <v>13.520093645553626</v>
      </c>
      <c r="BM312" s="772">
        <v>13.597915098211711</v>
      </c>
      <c r="BN312" s="772">
        <v>13.675736550869793</v>
      </c>
      <c r="BO312" s="772">
        <v>13.767755314472174</v>
      </c>
      <c r="BP312" s="772">
        <v>13.859774078074549</v>
      </c>
      <c r="BQ312" s="772">
        <v>14.114876506902721</v>
      </c>
      <c r="BR312" s="772">
        <v>14.418813589818992</v>
      </c>
      <c r="BS312" s="772">
        <v>14.552266379007966</v>
      </c>
      <c r="BT312" s="772">
        <v>14.625552789896036</v>
      </c>
      <c r="BU312" s="772">
        <v>14.701447783207701</v>
      </c>
      <c r="BV312" s="772">
        <v>14.779168784215887</v>
      </c>
      <c r="BW312" s="771">
        <v>13.120365686805568</v>
      </c>
      <c r="BX312" s="771">
        <v>13.241845827346536</v>
      </c>
      <c r="BY312" s="771">
        <v>13.364450740237462</v>
      </c>
      <c r="BZ312" s="772">
        <v>13.442272192895544</v>
      </c>
      <c r="CA312" s="772">
        <v>13.520093645553626</v>
      </c>
      <c r="CB312" s="772">
        <v>13.597915098211711</v>
      </c>
      <c r="CC312" s="772">
        <v>13.675736550869793</v>
      </c>
      <c r="CD312" s="772">
        <v>13.767755314472174</v>
      </c>
      <c r="CE312" s="772">
        <v>13.859774078074549</v>
      </c>
      <c r="CF312" s="772">
        <v>14.114876506902721</v>
      </c>
      <c r="CG312" s="772">
        <v>14.418813589818992</v>
      </c>
      <c r="CH312" s="772">
        <v>14.552266379007966</v>
      </c>
      <c r="CI312" s="772">
        <v>14.625552789896036</v>
      </c>
      <c r="CJ312" s="772">
        <v>14.701447783207701</v>
      </c>
      <c r="CK312" s="772">
        <v>14.779168784215887</v>
      </c>
      <c r="CL312" s="771">
        <v>2.0185177979700875</v>
      </c>
      <c r="CM312" s="771">
        <v>2.0372070503610056</v>
      </c>
      <c r="CN312" s="771">
        <v>2.0560693446519172</v>
      </c>
      <c r="CO312" s="772">
        <v>2.0680418758300836</v>
      </c>
      <c r="CP312" s="772">
        <v>2.08001440700825</v>
      </c>
      <c r="CQ312" s="772">
        <v>2.0919869381864169</v>
      </c>
      <c r="CR312" s="772">
        <v>2.1039594693645833</v>
      </c>
      <c r="CS312" s="772">
        <v>2.1181162022264881</v>
      </c>
      <c r="CT312" s="772">
        <v>2.1322729350883924</v>
      </c>
      <c r="CU312" s="772">
        <v>2.1715194626004184</v>
      </c>
      <c r="CV312" s="772">
        <v>2.2182790138183064</v>
      </c>
      <c r="CW312" s="772">
        <v>2.2388102121550717</v>
      </c>
      <c r="CX312" s="772">
        <v>2.2500850445993898</v>
      </c>
      <c r="CY312" s="772">
        <v>2.2617611974165692</v>
      </c>
      <c r="CZ312" s="772">
        <v>2.2737182744947515</v>
      </c>
      <c r="DA312" s="773">
        <v>0</v>
      </c>
      <c r="DB312" s="773">
        <v>0</v>
      </c>
      <c r="DC312" s="773">
        <v>0</v>
      </c>
      <c r="DD312" s="774">
        <v>0</v>
      </c>
      <c r="DE312" s="774">
        <v>0</v>
      </c>
      <c r="DF312" s="774">
        <v>0</v>
      </c>
      <c r="DG312" s="774">
        <v>0</v>
      </c>
      <c r="DH312" s="774">
        <v>0</v>
      </c>
      <c r="DI312" s="774">
        <v>0</v>
      </c>
      <c r="DJ312" s="774">
        <v>0</v>
      </c>
      <c r="DK312" s="774">
        <v>0</v>
      </c>
      <c r="DL312" s="774">
        <v>0</v>
      </c>
      <c r="DM312" s="774">
        <v>0</v>
      </c>
      <c r="DN312" s="774">
        <v>0</v>
      </c>
      <c r="DO312" s="774">
        <v>0</v>
      </c>
      <c r="DP312" s="773">
        <v>0</v>
      </c>
      <c r="DQ312" s="773">
        <v>0</v>
      </c>
      <c r="DR312" s="773">
        <v>0</v>
      </c>
      <c r="DS312" s="774">
        <v>0</v>
      </c>
      <c r="DT312" s="774">
        <v>0</v>
      </c>
      <c r="DU312" s="774">
        <v>0</v>
      </c>
      <c r="DV312" s="774">
        <v>0</v>
      </c>
      <c r="DW312" s="774">
        <v>0</v>
      </c>
      <c r="DX312" s="774">
        <v>0</v>
      </c>
      <c r="DY312" s="774">
        <v>0</v>
      </c>
      <c r="DZ312" s="774">
        <v>0</v>
      </c>
      <c r="EA312" s="774">
        <v>0</v>
      </c>
      <c r="EB312" s="774">
        <v>0</v>
      </c>
      <c r="EC312" s="774">
        <v>0</v>
      </c>
      <c r="ED312" s="774">
        <v>0</v>
      </c>
    </row>
    <row r="313" spans="1:134" ht="15" x14ac:dyDescent="0.25">
      <c r="A313" s="766">
        <v>120</v>
      </c>
      <c r="B313" s="766">
        <v>98</v>
      </c>
      <c r="C313" s="766" t="s">
        <v>3984</v>
      </c>
      <c r="D313" s="2">
        <v>99712</v>
      </c>
      <c r="E313" s="2">
        <v>99712</v>
      </c>
      <c r="F313" s="767" t="s">
        <v>3676</v>
      </c>
      <c r="G313" s="114">
        <v>29</v>
      </c>
      <c r="H313" s="114">
        <v>15</v>
      </c>
      <c r="I313" s="114">
        <v>13</v>
      </c>
      <c r="J313" s="114">
        <v>2</v>
      </c>
      <c r="K313" s="114">
        <v>0</v>
      </c>
      <c r="L313" s="114">
        <v>34</v>
      </c>
      <c r="M313" s="114">
        <v>34</v>
      </c>
      <c r="N313" s="114">
        <v>0</v>
      </c>
      <c r="O313" s="114">
        <v>0</v>
      </c>
      <c r="P313" s="114">
        <v>0</v>
      </c>
      <c r="Q313" s="114">
        <v>34</v>
      </c>
      <c r="R313" s="114">
        <v>0</v>
      </c>
      <c r="S313" s="114">
        <v>1493.8823529411766</v>
      </c>
      <c r="T313" s="114">
        <v>1493.8823529411766</v>
      </c>
      <c r="U313" s="114">
        <v>0</v>
      </c>
      <c r="V313" s="114">
        <v>0</v>
      </c>
      <c r="W313" s="114">
        <v>0</v>
      </c>
      <c r="X313" s="114">
        <v>1493.8823529411766</v>
      </c>
      <c r="Y313" s="114">
        <v>0</v>
      </c>
      <c r="Z313" s="114">
        <v>15</v>
      </c>
      <c r="AA313" s="114">
        <v>0</v>
      </c>
      <c r="AB313" s="657">
        <v>0</v>
      </c>
      <c r="AC313" s="657">
        <v>0</v>
      </c>
      <c r="AD313" s="768">
        <v>15</v>
      </c>
      <c r="AE313" s="769">
        <v>0</v>
      </c>
      <c r="AF313" s="769">
        <v>13</v>
      </c>
      <c r="AG313" s="770">
        <v>13</v>
      </c>
      <c r="AH313" s="769">
        <v>0</v>
      </c>
      <c r="AI313" s="769">
        <v>0</v>
      </c>
      <c r="AJ313" s="769">
        <v>13.636713677186073</v>
      </c>
      <c r="AK313" s="769">
        <v>13.636713677186073</v>
      </c>
      <c r="AL313" s="769">
        <v>0</v>
      </c>
      <c r="AM313" s="769">
        <v>0</v>
      </c>
      <c r="AN313" s="769">
        <v>11.861903435042819</v>
      </c>
      <c r="AO313" s="769">
        <v>11.861903435042819</v>
      </c>
      <c r="AP313" s="769">
        <v>0</v>
      </c>
      <c r="AQ313" s="769">
        <v>0</v>
      </c>
      <c r="AR313" s="769">
        <v>0</v>
      </c>
      <c r="AS313" s="769">
        <v>12.397330660903581</v>
      </c>
      <c r="AT313" s="769">
        <v>13.002263210077782</v>
      </c>
      <c r="AU313" s="769">
        <v>13.636713677186073</v>
      </c>
      <c r="AV313" s="769">
        <v>14.302122400461798</v>
      </c>
      <c r="AW313" s="769">
        <v>15</v>
      </c>
      <c r="AX313" s="769">
        <v>10.82344254632928</v>
      </c>
      <c r="AY313" s="769">
        <v>11.330782423084997</v>
      </c>
      <c r="AZ313" s="769">
        <v>11.861903435042819</v>
      </c>
      <c r="BA313" s="769">
        <v>12.417920303156913</v>
      </c>
      <c r="BB313" s="769">
        <v>13</v>
      </c>
      <c r="BC313" s="769">
        <v>0</v>
      </c>
      <c r="BD313" s="769">
        <v>0</v>
      </c>
      <c r="BE313" s="769">
        <v>0</v>
      </c>
      <c r="BF313" s="769">
        <v>0</v>
      </c>
      <c r="BG313" s="769">
        <v>0</v>
      </c>
      <c r="BH313" s="771">
        <v>15.138883484775656</v>
      </c>
      <c r="BI313" s="771">
        <v>15.279052877707542</v>
      </c>
      <c r="BJ313" s="771">
        <v>15.420520084889379</v>
      </c>
      <c r="BK313" s="772">
        <v>15.541455614714744</v>
      </c>
      <c r="BL313" s="772">
        <v>15.662391144540106</v>
      </c>
      <c r="BM313" s="772">
        <v>15.783326674365467</v>
      </c>
      <c r="BN313" s="772">
        <v>15.904262204190834</v>
      </c>
      <c r="BO313" s="772">
        <v>16.047260536270574</v>
      </c>
      <c r="BP313" s="772">
        <v>16.19025886835032</v>
      </c>
      <c r="BQ313" s="772">
        <v>16.586691295866412</v>
      </c>
      <c r="BR313" s="772">
        <v>17.059013398584668</v>
      </c>
      <c r="BS313" s="772">
        <v>17.266400734800946</v>
      </c>
      <c r="BT313" s="772">
        <v>17.380288751883953</v>
      </c>
      <c r="BU313" s="772">
        <v>17.498230539318389</v>
      </c>
      <c r="BV313" s="772">
        <v>17.619009965998831</v>
      </c>
      <c r="BW313" s="771">
        <v>13.120365686805568</v>
      </c>
      <c r="BX313" s="771">
        <v>13.241845827346536</v>
      </c>
      <c r="BY313" s="771">
        <v>13.364450740237462</v>
      </c>
      <c r="BZ313" s="772">
        <v>13.469261532752778</v>
      </c>
      <c r="CA313" s="772">
        <v>13.574072325268093</v>
      </c>
      <c r="CB313" s="772">
        <v>13.678883117783407</v>
      </c>
      <c r="CC313" s="772">
        <v>13.783693910298723</v>
      </c>
      <c r="CD313" s="772">
        <v>13.907625798101167</v>
      </c>
      <c r="CE313" s="772">
        <v>14.031557685903609</v>
      </c>
      <c r="CF313" s="772">
        <v>14.375132456417559</v>
      </c>
      <c r="CG313" s="772">
        <v>14.78447827877338</v>
      </c>
      <c r="CH313" s="772">
        <v>14.964213970160822</v>
      </c>
      <c r="CI313" s="772">
        <v>15.062916918299425</v>
      </c>
      <c r="CJ313" s="772">
        <v>15.165133134075939</v>
      </c>
      <c r="CK313" s="772">
        <v>15.269808637198988</v>
      </c>
      <c r="CL313" s="771">
        <v>0</v>
      </c>
      <c r="CM313" s="771">
        <v>0</v>
      </c>
      <c r="CN313" s="771">
        <v>0</v>
      </c>
      <c r="CO313" s="772">
        <v>0</v>
      </c>
      <c r="CP313" s="772">
        <v>0</v>
      </c>
      <c r="CQ313" s="772">
        <v>0</v>
      </c>
      <c r="CR313" s="772">
        <v>0</v>
      </c>
      <c r="CS313" s="772">
        <v>0</v>
      </c>
      <c r="CT313" s="772">
        <v>0</v>
      </c>
      <c r="CU313" s="772">
        <v>0</v>
      </c>
      <c r="CV313" s="772">
        <v>0</v>
      </c>
      <c r="CW313" s="772">
        <v>0</v>
      </c>
      <c r="CX313" s="772">
        <v>0</v>
      </c>
      <c r="CY313" s="772">
        <v>0</v>
      </c>
      <c r="CZ313" s="772">
        <v>0</v>
      </c>
      <c r="DA313" s="773">
        <v>0</v>
      </c>
      <c r="DB313" s="773">
        <v>0</v>
      </c>
      <c r="DC313" s="773">
        <v>0</v>
      </c>
      <c r="DD313" s="774">
        <v>0</v>
      </c>
      <c r="DE313" s="774">
        <v>0</v>
      </c>
      <c r="DF313" s="774">
        <v>0</v>
      </c>
      <c r="DG313" s="774">
        <v>0</v>
      </c>
      <c r="DH313" s="774">
        <v>0</v>
      </c>
      <c r="DI313" s="774">
        <v>0</v>
      </c>
      <c r="DJ313" s="774">
        <v>0</v>
      </c>
      <c r="DK313" s="774">
        <v>0</v>
      </c>
      <c r="DL313" s="774">
        <v>0</v>
      </c>
      <c r="DM313" s="774">
        <v>0</v>
      </c>
      <c r="DN313" s="774">
        <v>0</v>
      </c>
      <c r="DO313" s="774">
        <v>0</v>
      </c>
      <c r="DP313" s="773">
        <v>0</v>
      </c>
      <c r="DQ313" s="773">
        <v>0</v>
      </c>
      <c r="DR313" s="773">
        <v>0</v>
      </c>
      <c r="DS313" s="774">
        <v>0</v>
      </c>
      <c r="DT313" s="774">
        <v>0</v>
      </c>
      <c r="DU313" s="774">
        <v>0</v>
      </c>
      <c r="DV313" s="774">
        <v>0</v>
      </c>
      <c r="DW313" s="774">
        <v>0</v>
      </c>
      <c r="DX313" s="774">
        <v>0</v>
      </c>
      <c r="DY313" s="774">
        <v>0</v>
      </c>
      <c r="DZ313" s="774">
        <v>0</v>
      </c>
      <c r="EA313" s="774">
        <v>0</v>
      </c>
      <c r="EB313" s="774">
        <v>0</v>
      </c>
      <c r="EC313" s="774">
        <v>0</v>
      </c>
      <c r="ED313" s="774">
        <v>0</v>
      </c>
    </row>
    <row r="314" spans="1:134" ht="15" x14ac:dyDescent="0.25">
      <c r="A314" s="766">
        <v>122</v>
      </c>
      <c r="B314" s="766">
        <v>98</v>
      </c>
      <c r="C314" s="766" t="s">
        <v>3985</v>
      </c>
      <c r="D314" s="2">
        <v>99712</v>
      </c>
      <c r="E314" s="2">
        <v>99712</v>
      </c>
      <c r="F314" s="767" t="s">
        <v>3676</v>
      </c>
      <c r="G314" s="114">
        <v>4</v>
      </c>
      <c r="H314" s="114">
        <v>4</v>
      </c>
      <c r="I314" s="114">
        <v>3</v>
      </c>
      <c r="J314" s="114">
        <v>1</v>
      </c>
      <c r="K314" s="114">
        <v>0</v>
      </c>
      <c r="L314" s="114">
        <v>28</v>
      </c>
      <c r="M314" s="114">
        <v>28</v>
      </c>
      <c r="N314" s="114">
        <v>0</v>
      </c>
      <c r="O314" s="114">
        <v>0</v>
      </c>
      <c r="P314" s="114">
        <v>0</v>
      </c>
      <c r="Q314" s="114">
        <v>28</v>
      </c>
      <c r="R314" s="114">
        <v>0</v>
      </c>
      <c r="S314" s="114">
        <v>2195.3571428571427</v>
      </c>
      <c r="T314" s="114">
        <v>2195.3571428571427</v>
      </c>
      <c r="U314" s="114">
        <v>0</v>
      </c>
      <c r="V314" s="114">
        <v>0</v>
      </c>
      <c r="W314" s="114">
        <v>0</v>
      </c>
      <c r="X314" s="114">
        <v>2195.3571428571427</v>
      </c>
      <c r="Y314" s="114">
        <v>0</v>
      </c>
      <c r="Z314" s="114">
        <v>4</v>
      </c>
      <c r="AA314" s="114">
        <v>0</v>
      </c>
      <c r="AB314" s="657">
        <v>0</v>
      </c>
      <c r="AC314" s="657">
        <v>0</v>
      </c>
      <c r="AD314" s="768">
        <v>4</v>
      </c>
      <c r="AE314" s="769">
        <v>0</v>
      </c>
      <c r="AF314" s="769">
        <v>3</v>
      </c>
      <c r="AG314" s="770">
        <v>3</v>
      </c>
      <c r="AH314" s="769">
        <v>0</v>
      </c>
      <c r="AI314" s="769">
        <v>0</v>
      </c>
      <c r="AJ314" s="769">
        <v>3.636456980582953</v>
      </c>
      <c r="AK314" s="769">
        <v>3.636456980582953</v>
      </c>
      <c r="AL314" s="769">
        <v>0</v>
      </c>
      <c r="AM314" s="769">
        <v>0</v>
      </c>
      <c r="AN314" s="769">
        <v>2.7373623311637276</v>
      </c>
      <c r="AO314" s="769">
        <v>2.7373623311637276</v>
      </c>
      <c r="AP314" s="769">
        <v>0</v>
      </c>
      <c r="AQ314" s="769">
        <v>0</v>
      </c>
      <c r="AR314" s="769">
        <v>0</v>
      </c>
      <c r="AS314" s="769">
        <v>3.3059548429076218</v>
      </c>
      <c r="AT314" s="769">
        <v>3.4672701893540752</v>
      </c>
      <c r="AU314" s="769">
        <v>3.636456980582953</v>
      </c>
      <c r="AV314" s="769">
        <v>3.8138993067898124</v>
      </c>
      <c r="AW314" s="769">
        <v>4</v>
      </c>
      <c r="AX314" s="769">
        <v>2.4977175106913725</v>
      </c>
      <c r="AY314" s="769">
        <v>2.6147959437888453</v>
      </c>
      <c r="AZ314" s="769">
        <v>2.7373623311637276</v>
      </c>
      <c r="BA314" s="769">
        <v>2.8656739161131335</v>
      </c>
      <c r="BB314" s="769">
        <v>3</v>
      </c>
      <c r="BC314" s="769">
        <v>0</v>
      </c>
      <c r="BD314" s="769">
        <v>0</v>
      </c>
      <c r="BE314" s="769">
        <v>0</v>
      </c>
      <c r="BF314" s="769">
        <v>0</v>
      </c>
      <c r="BG314" s="769">
        <v>0</v>
      </c>
      <c r="BH314" s="771">
        <v>4.0370355959401749</v>
      </c>
      <c r="BI314" s="771">
        <v>4.0744141007220112</v>
      </c>
      <c r="BJ314" s="771">
        <v>4.1121386893038343</v>
      </c>
      <c r="BK314" s="772">
        <v>4.2154246768949895</v>
      </c>
      <c r="BL314" s="772">
        <v>4.3187106644861446</v>
      </c>
      <c r="BM314" s="772">
        <v>4.4219966520772989</v>
      </c>
      <c r="BN314" s="772">
        <v>4.525282639668454</v>
      </c>
      <c r="BO314" s="772">
        <v>4.6474115456572243</v>
      </c>
      <c r="BP314" s="772">
        <v>4.7695404516459963</v>
      </c>
      <c r="BQ314" s="772">
        <v>5.1081168389846558</v>
      </c>
      <c r="BR314" s="772">
        <v>5.5115074299121716</v>
      </c>
      <c r="BS314" s="772">
        <v>5.6886282964261623</v>
      </c>
      <c r="BT314" s="772">
        <v>5.7858952975812654</v>
      </c>
      <c r="BU314" s="772">
        <v>5.8866244547695858</v>
      </c>
      <c r="BV314" s="772">
        <v>5.9897771211811603</v>
      </c>
      <c r="BW314" s="771">
        <v>3.0277766969551312</v>
      </c>
      <c r="BX314" s="771">
        <v>3.0558105755415084</v>
      </c>
      <c r="BY314" s="771">
        <v>3.084104016977876</v>
      </c>
      <c r="BZ314" s="772">
        <v>3.1615685076712423</v>
      </c>
      <c r="CA314" s="772">
        <v>3.2390329983646087</v>
      </c>
      <c r="CB314" s="772">
        <v>3.3164974890579741</v>
      </c>
      <c r="CC314" s="772">
        <v>3.3939619797513405</v>
      </c>
      <c r="CD314" s="772">
        <v>3.4855586592429186</v>
      </c>
      <c r="CE314" s="772">
        <v>3.5771553387344972</v>
      </c>
      <c r="CF314" s="772">
        <v>3.8310876292384921</v>
      </c>
      <c r="CG314" s="772">
        <v>4.1336305724341287</v>
      </c>
      <c r="CH314" s="772">
        <v>4.2664712223196224</v>
      </c>
      <c r="CI314" s="772">
        <v>4.3394214731859488</v>
      </c>
      <c r="CJ314" s="772">
        <v>4.4149683410771896</v>
      </c>
      <c r="CK314" s="772">
        <v>4.4923328408858705</v>
      </c>
      <c r="CL314" s="771">
        <v>0</v>
      </c>
      <c r="CM314" s="771">
        <v>0</v>
      </c>
      <c r="CN314" s="771">
        <v>0</v>
      </c>
      <c r="CO314" s="772">
        <v>0</v>
      </c>
      <c r="CP314" s="772">
        <v>0</v>
      </c>
      <c r="CQ314" s="772">
        <v>0</v>
      </c>
      <c r="CR314" s="772">
        <v>0</v>
      </c>
      <c r="CS314" s="772">
        <v>0</v>
      </c>
      <c r="CT314" s="772">
        <v>0</v>
      </c>
      <c r="CU314" s="772">
        <v>0</v>
      </c>
      <c r="CV314" s="772">
        <v>0</v>
      </c>
      <c r="CW314" s="772">
        <v>0</v>
      </c>
      <c r="CX314" s="772">
        <v>0</v>
      </c>
      <c r="CY314" s="772">
        <v>0</v>
      </c>
      <c r="CZ314" s="772">
        <v>0</v>
      </c>
      <c r="DA314" s="773">
        <v>0</v>
      </c>
      <c r="DB314" s="773">
        <v>0</v>
      </c>
      <c r="DC314" s="773">
        <v>0</v>
      </c>
      <c r="DD314" s="774">
        <v>0</v>
      </c>
      <c r="DE314" s="774">
        <v>0</v>
      </c>
      <c r="DF314" s="774">
        <v>0</v>
      </c>
      <c r="DG314" s="774">
        <v>0</v>
      </c>
      <c r="DH314" s="774">
        <v>0</v>
      </c>
      <c r="DI314" s="774">
        <v>0</v>
      </c>
      <c r="DJ314" s="774">
        <v>0</v>
      </c>
      <c r="DK314" s="774">
        <v>0</v>
      </c>
      <c r="DL314" s="774">
        <v>0</v>
      </c>
      <c r="DM314" s="774">
        <v>0</v>
      </c>
      <c r="DN314" s="774">
        <v>0</v>
      </c>
      <c r="DO314" s="774">
        <v>0</v>
      </c>
      <c r="DP314" s="773">
        <v>0</v>
      </c>
      <c r="DQ314" s="773">
        <v>0</v>
      </c>
      <c r="DR314" s="773">
        <v>0</v>
      </c>
      <c r="DS314" s="774">
        <v>0</v>
      </c>
      <c r="DT314" s="774">
        <v>0</v>
      </c>
      <c r="DU314" s="774">
        <v>0</v>
      </c>
      <c r="DV314" s="774">
        <v>0</v>
      </c>
      <c r="DW314" s="774">
        <v>0</v>
      </c>
      <c r="DX314" s="774">
        <v>0</v>
      </c>
      <c r="DY314" s="774">
        <v>0</v>
      </c>
      <c r="DZ314" s="774">
        <v>0</v>
      </c>
      <c r="EA314" s="774">
        <v>0</v>
      </c>
      <c r="EB314" s="774">
        <v>0</v>
      </c>
      <c r="EC314" s="774">
        <v>0</v>
      </c>
      <c r="ED314" s="774">
        <v>0</v>
      </c>
    </row>
    <row r="315" spans="1:134" ht="15" x14ac:dyDescent="0.25">
      <c r="A315" s="766">
        <v>124</v>
      </c>
      <c r="B315" s="766">
        <v>98</v>
      </c>
      <c r="C315" s="766" t="s">
        <v>3986</v>
      </c>
      <c r="D315" s="2">
        <v>99712</v>
      </c>
      <c r="E315" s="2">
        <v>99712</v>
      </c>
      <c r="F315" s="767" t="s">
        <v>3676</v>
      </c>
      <c r="G315" s="114">
        <v>62</v>
      </c>
      <c r="H315" s="114">
        <v>24</v>
      </c>
      <c r="I315" s="114">
        <v>22</v>
      </c>
      <c r="J315" s="114">
        <v>2</v>
      </c>
      <c r="K315" s="114">
        <v>0</v>
      </c>
      <c r="L315" s="114">
        <v>30</v>
      </c>
      <c r="M315" s="114">
        <v>30</v>
      </c>
      <c r="N315" s="114">
        <v>2</v>
      </c>
      <c r="O315" s="114">
        <v>0</v>
      </c>
      <c r="P315" s="114">
        <v>0</v>
      </c>
      <c r="Q315" s="114">
        <v>32</v>
      </c>
      <c r="R315" s="114">
        <v>0</v>
      </c>
      <c r="S315" s="114">
        <v>2037.8</v>
      </c>
      <c r="T315" s="114">
        <v>2037.8</v>
      </c>
      <c r="U315" s="114">
        <v>3155</v>
      </c>
      <c r="V315" s="114">
        <v>0</v>
      </c>
      <c r="W315" s="114">
        <v>0</v>
      </c>
      <c r="X315" s="114">
        <v>2107.625</v>
      </c>
      <c r="Y315" s="114">
        <v>0</v>
      </c>
      <c r="Z315" s="114">
        <v>24</v>
      </c>
      <c r="AA315" s="114">
        <v>0</v>
      </c>
      <c r="AB315" s="657">
        <v>2</v>
      </c>
      <c r="AC315" s="657">
        <v>0</v>
      </c>
      <c r="AD315" s="768">
        <v>26</v>
      </c>
      <c r="AE315" s="769">
        <v>0</v>
      </c>
      <c r="AF315" s="769">
        <v>22</v>
      </c>
      <c r="AG315" s="770">
        <v>22</v>
      </c>
      <c r="AH315" s="769">
        <v>0</v>
      </c>
      <c r="AI315" s="769">
        <v>0</v>
      </c>
      <c r="AJ315" s="769">
        <v>21.818741883497719</v>
      </c>
      <c r="AK315" s="769">
        <v>21.818741883497719</v>
      </c>
      <c r="AL315" s="769">
        <v>0</v>
      </c>
      <c r="AM315" s="769">
        <v>0</v>
      </c>
      <c r="AN315" s="769">
        <v>20.073990428534003</v>
      </c>
      <c r="AO315" s="769">
        <v>20.073990428534003</v>
      </c>
      <c r="AP315" s="769">
        <v>0</v>
      </c>
      <c r="AQ315" s="769">
        <v>1.8596827016276773</v>
      </c>
      <c r="AR315" s="769">
        <v>0</v>
      </c>
      <c r="AS315" s="769">
        <v>19.835729057445729</v>
      </c>
      <c r="AT315" s="769">
        <v>20.803621136124448</v>
      </c>
      <c r="AU315" s="769">
        <v>21.818741883497719</v>
      </c>
      <c r="AV315" s="769">
        <v>22.883395840738874</v>
      </c>
      <c r="AW315" s="769">
        <v>24</v>
      </c>
      <c r="AX315" s="769">
        <v>18.316595078403399</v>
      </c>
      <c r="AY315" s="769">
        <v>19.175170254451533</v>
      </c>
      <c r="AZ315" s="769">
        <v>20.073990428534003</v>
      </c>
      <c r="BA315" s="769">
        <v>21.014942051496313</v>
      </c>
      <c r="BB315" s="769">
        <v>22</v>
      </c>
      <c r="BC315" s="769">
        <v>1.7292098753666085</v>
      </c>
      <c r="BD315" s="769">
        <v>1.7932600739165065</v>
      </c>
      <c r="BE315" s="769">
        <v>1.8596827016276773</v>
      </c>
      <c r="BF315" s="769">
        <v>1.9285656336395076</v>
      </c>
      <c r="BG315" s="769">
        <v>2</v>
      </c>
      <c r="BH315" s="771">
        <v>24.222213575641049</v>
      </c>
      <c r="BI315" s="771">
        <v>24.446484604332067</v>
      </c>
      <c r="BJ315" s="771">
        <v>24.672832135823008</v>
      </c>
      <c r="BK315" s="772">
        <v>25.05976265575028</v>
      </c>
      <c r="BL315" s="772">
        <v>25.446693175677559</v>
      </c>
      <c r="BM315" s="772">
        <v>25.833623695604835</v>
      </c>
      <c r="BN315" s="772">
        <v>26.220554215532108</v>
      </c>
      <c r="BO315" s="772">
        <v>26.67807417728568</v>
      </c>
      <c r="BP315" s="772">
        <v>27.135594139039242</v>
      </c>
      <c r="BQ315" s="772">
        <v>28.403970814746849</v>
      </c>
      <c r="BR315" s="772">
        <v>29.915154807092406</v>
      </c>
      <c r="BS315" s="772">
        <v>30.57868594590969</v>
      </c>
      <c r="BT315" s="772">
        <v>30.943068106611761</v>
      </c>
      <c r="BU315" s="772">
        <v>31.320420214789213</v>
      </c>
      <c r="BV315" s="772">
        <v>31.706851286199456</v>
      </c>
      <c r="BW315" s="771">
        <v>22.203695777670962</v>
      </c>
      <c r="BX315" s="771">
        <v>22.409277553971062</v>
      </c>
      <c r="BY315" s="771">
        <v>22.616762791171087</v>
      </c>
      <c r="BZ315" s="772">
        <v>22.971449101104419</v>
      </c>
      <c r="CA315" s="772">
        <v>23.326135411037757</v>
      </c>
      <c r="CB315" s="772">
        <v>23.680821720971096</v>
      </c>
      <c r="CC315" s="772">
        <v>24.035508030904431</v>
      </c>
      <c r="CD315" s="772">
        <v>24.454901329178536</v>
      </c>
      <c r="CE315" s="772">
        <v>24.874294627452638</v>
      </c>
      <c r="CF315" s="772">
        <v>26.036973246851272</v>
      </c>
      <c r="CG315" s="772">
        <v>27.422225239834702</v>
      </c>
      <c r="CH315" s="772">
        <v>28.030462117083879</v>
      </c>
      <c r="CI315" s="772">
        <v>28.364479097727443</v>
      </c>
      <c r="CJ315" s="772">
        <v>28.710385196890108</v>
      </c>
      <c r="CK315" s="772">
        <v>29.064613679016166</v>
      </c>
      <c r="CL315" s="771">
        <v>2.0185177979700875</v>
      </c>
      <c r="CM315" s="771">
        <v>2.0372070503610056</v>
      </c>
      <c r="CN315" s="771">
        <v>2.0560693446519172</v>
      </c>
      <c r="CO315" s="772">
        <v>2.0883135546458567</v>
      </c>
      <c r="CP315" s="772">
        <v>2.1205577646397962</v>
      </c>
      <c r="CQ315" s="772">
        <v>2.1528019746337361</v>
      </c>
      <c r="CR315" s="772">
        <v>2.1850461846276756</v>
      </c>
      <c r="CS315" s="772">
        <v>2.2231728481071396</v>
      </c>
      <c r="CT315" s="772">
        <v>2.2612995115866035</v>
      </c>
      <c r="CU315" s="772">
        <v>2.3669975678955706</v>
      </c>
      <c r="CV315" s="772">
        <v>2.4929295672577005</v>
      </c>
      <c r="CW315" s="772">
        <v>2.5482238288258072</v>
      </c>
      <c r="CX315" s="772">
        <v>2.5785890088843133</v>
      </c>
      <c r="CY315" s="772">
        <v>2.6100350178991008</v>
      </c>
      <c r="CZ315" s="772">
        <v>2.6422376071832878</v>
      </c>
      <c r="DA315" s="773">
        <v>0</v>
      </c>
      <c r="DB315" s="773">
        <v>0</v>
      </c>
      <c r="DC315" s="773">
        <v>0</v>
      </c>
      <c r="DD315" s="774">
        <v>0</v>
      </c>
      <c r="DE315" s="774">
        <v>0</v>
      </c>
      <c r="DF315" s="774">
        <v>0</v>
      </c>
      <c r="DG315" s="774">
        <v>0</v>
      </c>
      <c r="DH315" s="774">
        <v>0</v>
      </c>
      <c r="DI315" s="774">
        <v>0</v>
      </c>
      <c r="DJ315" s="774">
        <v>0</v>
      </c>
      <c r="DK315" s="774">
        <v>0</v>
      </c>
      <c r="DL315" s="774">
        <v>0</v>
      </c>
      <c r="DM315" s="774">
        <v>0</v>
      </c>
      <c r="DN315" s="774">
        <v>0</v>
      </c>
      <c r="DO315" s="774">
        <v>0</v>
      </c>
      <c r="DP315" s="773">
        <v>0</v>
      </c>
      <c r="DQ315" s="773">
        <v>0</v>
      </c>
      <c r="DR315" s="773">
        <v>0</v>
      </c>
      <c r="DS315" s="774">
        <v>0</v>
      </c>
      <c r="DT315" s="774">
        <v>0</v>
      </c>
      <c r="DU315" s="774">
        <v>0</v>
      </c>
      <c r="DV315" s="774">
        <v>0</v>
      </c>
      <c r="DW315" s="774">
        <v>0</v>
      </c>
      <c r="DX315" s="774">
        <v>0</v>
      </c>
      <c r="DY315" s="774">
        <v>0</v>
      </c>
      <c r="DZ315" s="774">
        <v>0</v>
      </c>
      <c r="EA315" s="774">
        <v>0</v>
      </c>
      <c r="EB315" s="774">
        <v>0</v>
      </c>
      <c r="EC315" s="774">
        <v>0</v>
      </c>
      <c r="ED315" s="774">
        <v>0</v>
      </c>
    </row>
    <row r="316" spans="1:134" ht="15" x14ac:dyDescent="0.25">
      <c r="A316" s="766">
        <v>125</v>
      </c>
      <c r="B316" s="766">
        <v>98</v>
      </c>
      <c r="C316" s="766" t="s">
        <v>3987</v>
      </c>
      <c r="D316" s="2">
        <v>99712</v>
      </c>
      <c r="E316" s="2">
        <v>99712</v>
      </c>
      <c r="F316" s="767" t="s">
        <v>3676</v>
      </c>
      <c r="G316" s="114">
        <v>35</v>
      </c>
      <c r="H316" s="114">
        <v>13</v>
      </c>
      <c r="I316" s="114">
        <v>12</v>
      </c>
      <c r="J316" s="114">
        <v>1</v>
      </c>
      <c r="K316" s="114">
        <v>0</v>
      </c>
      <c r="L316" s="114">
        <v>35</v>
      </c>
      <c r="M316" s="114">
        <v>35</v>
      </c>
      <c r="N316" s="114">
        <v>1</v>
      </c>
      <c r="O316" s="114">
        <v>0</v>
      </c>
      <c r="P316" s="114">
        <v>0</v>
      </c>
      <c r="Q316" s="114">
        <v>36</v>
      </c>
      <c r="R316" s="114">
        <v>0</v>
      </c>
      <c r="S316" s="114">
        <v>2181.2571428571428</v>
      </c>
      <c r="T316" s="114">
        <v>2181.2571428571428</v>
      </c>
      <c r="U316" s="114">
        <v>6870</v>
      </c>
      <c r="V316" s="114">
        <v>0</v>
      </c>
      <c r="W316" s="114">
        <v>0</v>
      </c>
      <c r="X316" s="114">
        <v>2311.5</v>
      </c>
      <c r="Y316" s="114">
        <v>0</v>
      </c>
      <c r="Z316" s="114">
        <v>13</v>
      </c>
      <c r="AA316" s="114">
        <v>0</v>
      </c>
      <c r="AB316" s="657">
        <v>1</v>
      </c>
      <c r="AC316" s="657">
        <v>0</v>
      </c>
      <c r="AD316" s="768">
        <v>14</v>
      </c>
      <c r="AE316" s="769">
        <v>0</v>
      </c>
      <c r="AF316" s="769">
        <v>12</v>
      </c>
      <c r="AG316" s="770">
        <v>12</v>
      </c>
      <c r="AH316" s="769">
        <v>0</v>
      </c>
      <c r="AI316" s="769">
        <v>0</v>
      </c>
      <c r="AJ316" s="769">
        <v>11.818485186894597</v>
      </c>
      <c r="AK316" s="769">
        <v>11.818485186894597</v>
      </c>
      <c r="AL316" s="769">
        <v>0</v>
      </c>
      <c r="AM316" s="769">
        <v>0</v>
      </c>
      <c r="AN316" s="769">
        <v>10.94944932465491</v>
      </c>
      <c r="AO316" s="769">
        <v>10.94944932465491</v>
      </c>
      <c r="AP316" s="769">
        <v>0</v>
      </c>
      <c r="AQ316" s="769">
        <v>0.92984135081383867</v>
      </c>
      <c r="AR316" s="769">
        <v>0</v>
      </c>
      <c r="AS316" s="769">
        <v>10.74435323944977</v>
      </c>
      <c r="AT316" s="769">
        <v>11.268628115400743</v>
      </c>
      <c r="AU316" s="769">
        <v>11.818485186894597</v>
      </c>
      <c r="AV316" s="769">
        <v>12.395172747066891</v>
      </c>
      <c r="AW316" s="769">
        <v>13</v>
      </c>
      <c r="AX316" s="769">
        <v>9.99087004276549</v>
      </c>
      <c r="AY316" s="769">
        <v>10.459183775155381</v>
      </c>
      <c r="AZ316" s="769">
        <v>10.94944932465491</v>
      </c>
      <c r="BA316" s="769">
        <v>11.462695664452534</v>
      </c>
      <c r="BB316" s="769">
        <v>12</v>
      </c>
      <c r="BC316" s="769">
        <v>0.86460493768330426</v>
      </c>
      <c r="BD316" s="769">
        <v>0.89663003695825327</v>
      </c>
      <c r="BE316" s="769">
        <v>0.92984135081383867</v>
      </c>
      <c r="BF316" s="769">
        <v>0.96428281681975381</v>
      </c>
      <c r="BG316" s="769">
        <v>1</v>
      </c>
      <c r="BH316" s="771">
        <v>13.120365686805568</v>
      </c>
      <c r="BI316" s="771">
        <v>13.241845827346536</v>
      </c>
      <c r="BJ316" s="771">
        <v>13.364450740237462</v>
      </c>
      <c r="BK316" s="772">
        <v>13.893664084450618</v>
      </c>
      <c r="BL316" s="772">
        <v>14.422877428663774</v>
      </c>
      <c r="BM316" s="772">
        <v>14.952090772876934</v>
      </c>
      <c r="BN316" s="772">
        <v>15.481304117090088</v>
      </c>
      <c r="BO316" s="772">
        <v>16.107064186493218</v>
      </c>
      <c r="BP316" s="772">
        <v>16.73282425589635</v>
      </c>
      <c r="BQ316" s="772">
        <v>18.467610807237278</v>
      </c>
      <c r="BR316" s="772">
        <v>20.534490241976346</v>
      </c>
      <c r="BS316" s="772">
        <v>21.442016309005286</v>
      </c>
      <c r="BT316" s="772">
        <v>21.940389768594358</v>
      </c>
      <c r="BU316" s="772">
        <v>22.456502509331404</v>
      </c>
      <c r="BV316" s="772">
        <v>22.985032746872054</v>
      </c>
      <c r="BW316" s="771">
        <v>12.111106787820525</v>
      </c>
      <c r="BX316" s="771">
        <v>12.223242302166033</v>
      </c>
      <c r="BY316" s="771">
        <v>12.336416067911504</v>
      </c>
      <c r="BZ316" s="772">
        <v>12.824920693339033</v>
      </c>
      <c r="CA316" s="772">
        <v>13.31342531876656</v>
      </c>
      <c r="CB316" s="772">
        <v>13.801929944194093</v>
      </c>
      <c r="CC316" s="772">
        <v>14.29043456962162</v>
      </c>
      <c r="CD316" s="772">
        <v>14.868059249070663</v>
      </c>
      <c r="CE316" s="772">
        <v>15.44568392851971</v>
      </c>
      <c r="CF316" s="772">
        <v>17.047025360526721</v>
      </c>
      <c r="CG316" s="772">
        <v>18.954914069516626</v>
      </c>
      <c r="CH316" s="772">
        <v>19.792630439081801</v>
      </c>
      <c r="CI316" s="772">
        <v>20.252667478702485</v>
      </c>
      <c r="CJ316" s="772">
        <v>20.729079239382834</v>
      </c>
      <c r="CK316" s="772">
        <v>21.216953304804971</v>
      </c>
      <c r="CL316" s="771">
        <v>1.0092588989850437</v>
      </c>
      <c r="CM316" s="771">
        <v>1.0186035251805028</v>
      </c>
      <c r="CN316" s="771">
        <v>1.0280346723259586</v>
      </c>
      <c r="CO316" s="772">
        <v>1.068743391111586</v>
      </c>
      <c r="CP316" s="772">
        <v>1.1094521098972134</v>
      </c>
      <c r="CQ316" s="772">
        <v>1.1501608286828409</v>
      </c>
      <c r="CR316" s="772">
        <v>1.1908695474684683</v>
      </c>
      <c r="CS316" s="772">
        <v>1.2390049374225551</v>
      </c>
      <c r="CT316" s="772">
        <v>1.2871403273766424</v>
      </c>
      <c r="CU316" s="772">
        <v>1.4205854467105599</v>
      </c>
      <c r="CV316" s="772">
        <v>1.5795761724597188</v>
      </c>
      <c r="CW316" s="772">
        <v>1.6493858699234833</v>
      </c>
      <c r="CX316" s="772">
        <v>1.6877222898918738</v>
      </c>
      <c r="CY316" s="772">
        <v>1.7274232699485694</v>
      </c>
      <c r="CZ316" s="772">
        <v>1.7680794420670809</v>
      </c>
      <c r="DA316" s="773">
        <v>0</v>
      </c>
      <c r="DB316" s="773">
        <v>0</v>
      </c>
      <c r="DC316" s="773">
        <v>0</v>
      </c>
      <c r="DD316" s="774">
        <v>0</v>
      </c>
      <c r="DE316" s="774">
        <v>0</v>
      </c>
      <c r="DF316" s="774">
        <v>0</v>
      </c>
      <c r="DG316" s="774">
        <v>0</v>
      </c>
      <c r="DH316" s="774">
        <v>0</v>
      </c>
      <c r="DI316" s="774">
        <v>0</v>
      </c>
      <c r="DJ316" s="774">
        <v>0</v>
      </c>
      <c r="DK316" s="774">
        <v>0</v>
      </c>
      <c r="DL316" s="774">
        <v>0</v>
      </c>
      <c r="DM316" s="774">
        <v>0</v>
      </c>
      <c r="DN316" s="774">
        <v>0</v>
      </c>
      <c r="DO316" s="774">
        <v>0</v>
      </c>
      <c r="DP316" s="773">
        <v>0</v>
      </c>
      <c r="DQ316" s="773">
        <v>0</v>
      </c>
      <c r="DR316" s="773">
        <v>0</v>
      </c>
      <c r="DS316" s="774">
        <v>0</v>
      </c>
      <c r="DT316" s="774">
        <v>0</v>
      </c>
      <c r="DU316" s="774">
        <v>0</v>
      </c>
      <c r="DV316" s="774">
        <v>0</v>
      </c>
      <c r="DW316" s="774">
        <v>0</v>
      </c>
      <c r="DX316" s="774">
        <v>0</v>
      </c>
      <c r="DY316" s="774">
        <v>0</v>
      </c>
      <c r="DZ316" s="774">
        <v>0</v>
      </c>
      <c r="EA316" s="774">
        <v>0</v>
      </c>
      <c r="EB316" s="774">
        <v>0</v>
      </c>
      <c r="EC316" s="774">
        <v>0</v>
      </c>
      <c r="ED316" s="774">
        <v>0</v>
      </c>
    </row>
    <row r="317" spans="1:134" ht="15" x14ac:dyDescent="0.25">
      <c r="A317" s="766">
        <v>128</v>
      </c>
      <c r="B317" s="766">
        <v>98</v>
      </c>
      <c r="C317" s="766" t="s">
        <v>3988</v>
      </c>
      <c r="D317" s="2">
        <v>99712</v>
      </c>
      <c r="E317" s="2">
        <v>99712</v>
      </c>
      <c r="F317" s="767" t="s">
        <v>3676</v>
      </c>
      <c r="G317" s="114">
        <v>24</v>
      </c>
      <c r="H317" s="114">
        <v>12</v>
      </c>
      <c r="I317" s="114">
        <v>10</v>
      </c>
      <c r="J317" s="114">
        <v>2</v>
      </c>
      <c r="K317" s="114">
        <v>0</v>
      </c>
      <c r="L317" s="114">
        <v>0</v>
      </c>
      <c r="M317" s="114">
        <v>0</v>
      </c>
      <c r="N317" s="114">
        <v>0</v>
      </c>
      <c r="O317" s="114">
        <v>0</v>
      </c>
      <c r="P317" s="114">
        <v>0</v>
      </c>
      <c r="Q317" s="114">
        <v>0</v>
      </c>
      <c r="R317" s="114">
        <v>0</v>
      </c>
      <c r="S317" s="114">
        <v>834.49503068156923</v>
      </c>
      <c r="T317" s="114">
        <v>834.49503068156923</v>
      </c>
      <c r="U317" s="114">
        <v>1408.3846153846155</v>
      </c>
      <c r="V317" s="114">
        <v>0</v>
      </c>
      <c r="W317" s="114">
        <v>0</v>
      </c>
      <c r="X317" s="114">
        <v>1365.173957061457</v>
      </c>
      <c r="Y317" s="114">
        <v>0.27494802494802495</v>
      </c>
      <c r="Z317" s="114">
        <v>11.70945945945946</v>
      </c>
      <c r="AA317" s="114">
        <v>1.5592515592515593E-2</v>
      </c>
      <c r="AB317" s="657">
        <v>0</v>
      </c>
      <c r="AC317" s="657">
        <v>0</v>
      </c>
      <c r="AD317" s="768">
        <v>12</v>
      </c>
      <c r="AE317" s="769">
        <v>0.22912335412335413</v>
      </c>
      <c r="AF317" s="769">
        <v>9.7578828828828836</v>
      </c>
      <c r="AG317" s="770">
        <v>9.9870062370062378</v>
      </c>
      <c r="AH317" s="769">
        <v>1.2993762993762994E-2</v>
      </c>
      <c r="AI317" s="769">
        <v>0.2499591661549353</v>
      </c>
      <c r="AJ317" s="769">
        <v>10.645236397551111</v>
      </c>
      <c r="AK317" s="769">
        <v>10.895195563706046</v>
      </c>
      <c r="AL317" s="769">
        <v>1.4175378042812967E-2</v>
      </c>
      <c r="AM317" s="769">
        <v>0.20906454625571899</v>
      </c>
      <c r="AN317" s="769">
        <v>8.9036203451703084</v>
      </c>
      <c r="AO317" s="769">
        <v>9.1126848914260279</v>
      </c>
      <c r="AP317" s="769">
        <v>1.1856212453065349E-2</v>
      </c>
      <c r="AQ317" s="769">
        <v>0</v>
      </c>
      <c r="AR317" s="769">
        <v>0</v>
      </c>
      <c r="AS317" s="769">
        <v>9.9049774906138168</v>
      </c>
      <c r="AT317" s="769">
        <v>10.388294701939483</v>
      </c>
      <c r="AU317" s="769">
        <v>10.895195563706045</v>
      </c>
      <c r="AV317" s="769">
        <v>11.426830849267086</v>
      </c>
      <c r="AW317" s="769">
        <v>11.984407484407484</v>
      </c>
      <c r="AX317" s="769">
        <v>8.3149067858514769</v>
      </c>
      <c r="AY317" s="769">
        <v>8.70466113303927</v>
      </c>
      <c r="AZ317" s="769">
        <v>9.1126848914260279</v>
      </c>
      <c r="BA317" s="769">
        <v>9.5398344244826525</v>
      </c>
      <c r="BB317" s="769">
        <v>9.9870062370062378</v>
      </c>
      <c r="BC317" s="769">
        <v>0</v>
      </c>
      <c r="BD317" s="769">
        <v>0</v>
      </c>
      <c r="BE317" s="769">
        <v>0</v>
      </c>
      <c r="BF317" s="769">
        <v>0</v>
      </c>
      <c r="BG317" s="769">
        <v>0</v>
      </c>
      <c r="BH317" s="771">
        <v>12.13610340927106</v>
      </c>
      <c r="BI317" s="771">
        <v>12.289719466911343</v>
      </c>
      <c r="BJ317" s="771">
        <v>12.445279961935615</v>
      </c>
      <c r="BK317" s="772">
        <v>12.3634577064925</v>
      </c>
      <c r="BL317" s="772">
        <v>12.282173396479802</v>
      </c>
      <c r="BM317" s="772">
        <v>12.370345467307303</v>
      </c>
      <c r="BN317" s="772">
        <v>12.459150513571888</v>
      </c>
      <c r="BO317" s="772">
        <v>12.548593079319089</v>
      </c>
      <c r="BP317" s="772">
        <v>12.638677741215519</v>
      </c>
      <c r="BQ317" s="772">
        <v>12.729409108783068</v>
      </c>
      <c r="BR317" s="772">
        <v>12.800867238265999</v>
      </c>
      <c r="BS317" s="772">
        <v>12.872726506892592</v>
      </c>
      <c r="BT317" s="772">
        <v>12.944989166507581</v>
      </c>
      <c r="BU317" s="772">
        <v>13.017657481596711</v>
      </c>
      <c r="BV317" s="772">
        <v>13.090733729357696</v>
      </c>
      <c r="BW317" s="771">
        <v>10.113419507725885</v>
      </c>
      <c r="BX317" s="771">
        <v>10.241432889092787</v>
      </c>
      <c r="BY317" s="771">
        <v>10.371066634946347</v>
      </c>
      <c r="BZ317" s="772">
        <v>10.302881422077085</v>
      </c>
      <c r="CA317" s="772">
        <v>10.235144497066504</v>
      </c>
      <c r="CB317" s="772">
        <v>10.308621222756088</v>
      </c>
      <c r="CC317" s="772">
        <v>10.382625427976576</v>
      </c>
      <c r="CD317" s="772">
        <v>10.457160899432575</v>
      </c>
      <c r="CE317" s="772">
        <v>10.532231451012933</v>
      </c>
      <c r="CF317" s="772">
        <v>10.607840923985892</v>
      </c>
      <c r="CG317" s="772">
        <v>10.667389365221668</v>
      </c>
      <c r="CH317" s="772">
        <v>10.727272089077161</v>
      </c>
      <c r="CI317" s="772">
        <v>10.787490972089651</v>
      </c>
      <c r="CJ317" s="772">
        <v>10.848047901330593</v>
      </c>
      <c r="CK317" s="772">
        <v>10.908944774464748</v>
      </c>
      <c r="CL317" s="771">
        <v>0</v>
      </c>
      <c r="CM317" s="771">
        <v>0</v>
      </c>
      <c r="CN317" s="771">
        <v>0</v>
      </c>
      <c r="CO317" s="772">
        <v>0</v>
      </c>
      <c r="CP317" s="772">
        <v>0</v>
      </c>
      <c r="CQ317" s="772">
        <v>0</v>
      </c>
      <c r="CR317" s="772">
        <v>0</v>
      </c>
      <c r="CS317" s="772">
        <v>0</v>
      </c>
      <c r="CT317" s="772">
        <v>0</v>
      </c>
      <c r="CU317" s="772">
        <v>0</v>
      </c>
      <c r="CV317" s="772">
        <v>0</v>
      </c>
      <c r="CW317" s="772">
        <v>0</v>
      </c>
      <c r="CX317" s="772">
        <v>0</v>
      </c>
      <c r="CY317" s="772">
        <v>0</v>
      </c>
      <c r="CZ317" s="772">
        <v>0</v>
      </c>
      <c r="DA317" s="773">
        <v>1.5789882135403412E-2</v>
      </c>
      <c r="DB317" s="773">
        <v>1.5989746899442291E-2</v>
      </c>
      <c r="DC317" s="773">
        <v>1.6192141506551672E-2</v>
      </c>
      <c r="DD317" s="774">
        <v>1.6085685280370153E-2</v>
      </c>
      <c r="DE317" s="774">
        <v>1.5979928957168623E-2</v>
      </c>
      <c r="DF317" s="774">
        <v>1.6094646717808098E-2</v>
      </c>
      <c r="DG317" s="774">
        <v>1.6210188021821351E-2</v>
      </c>
      <c r="DH317" s="774">
        <v>1.6326558781315496E-2</v>
      </c>
      <c r="DI317" s="774">
        <v>1.6443764950839861E-2</v>
      </c>
      <c r="DJ317" s="774">
        <v>1.6561812527690695E-2</v>
      </c>
      <c r="DK317" s="774">
        <v>1.6654784332898777E-2</v>
      </c>
      <c r="DL317" s="774">
        <v>1.6748278046958876E-2</v>
      </c>
      <c r="DM317" s="774">
        <v>1.6842296599671586E-2</v>
      </c>
      <c r="DN317" s="774">
        <v>1.6936842937284296E-2</v>
      </c>
      <c r="DO317" s="774">
        <v>1.7031920022583524E-2</v>
      </c>
      <c r="DP317" s="773">
        <v>0</v>
      </c>
      <c r="DQ317" s="773">
        <v>0</v>
      </c>
      <c r="DR317" s="773">
        <v>0</v>
      </c>
      <c r="DS317" s="774">
        <v>0</v>
      </c>
      <c r="DT317" s="774">
        <v>0</v>
      </c>
      <c r="DU317" s="774">
        <v>0</v>
      </c>
      <c r="DV317" s="774">
        <v>0</v>
      </c>
      <c r="DW317" s="774">
        <v>0</v>
      </c>
      <c r="DX317" s="774">
        <v>0</v>
      </c>
      <c r="DY317" s="774">
        <v>0</v>
      </c>
      <c r="DZ317" s="774">
        <v>0</v>
      </c>
      <c r="EA317" s="774">
        <v>0</v>
      </c>
      <c r="EB317" s="774">
        <v>0</v>
      </c>
      <c r="EC317" s="774">
        <v>0</v>
      </c>
      <c r="ED317" s="774">
        <v>0</v>
      </c>
    </row>
    <row r="318" spans="1:134" ht="15" x14ac:dyDescent="0.25">
      <c r="A318" s="766">
        <v>131</v>
      </c>
      <c r="B318" s="766">
        <v>98</v>
      </c>
      <c r="C318" s="766" t="s">
        <v>3989</v>
      </c>
      <c r="D318" s="2">
        <v>99712</v>
      </c>
      <c r="E318" s="2">
        <v>99712</v>
      </c>
      <c r="F318" s="767" t="s">
        <v>3676</v>
      </c>
      <c r="G318" s="114">
        <v>289</v>
      </c>
      <c r="H318" s="114">
        <v>138</v>
      </c>
      <c r="I318" s="114">
        <v>122</v>
      </c>
      <c r="J318" s="114">
        <v>16</v>
      </c>
      <c r="K318" s="114">
        <v>0</v>
      </c>
      <c r="L318" s="114">
        <v>5</v>
      </c>
      <c r="M318" s="114">
        <v>5</v>
      </c>
      <c r="N318" s="114">
        <v>0</v>
      </c>
      <c r="O318" s="114">
        <v>0</v>
      </c>
      <c r="P318" s="114">
        <v>0</v>
      </c>
      <c r="Q318" s="114">
        <v>5</v>
      </c>
      <c r="R318" s="114">
        <v>0</v>
      </c>
      <c r="S318" s="114">
        <v>2245.6</v>
      </c>
      <c r="T318" s="114">
        <v>2245.6</v>
      </c>
      <c r="U318" s="114">
        <v>0</v>
      </c>
      <c r="V318" s="114">
        <v>0</v>
      </c>
      <c r="W318" s="114">
        <v>0</v>
      </c>
      <c r="X318" s="114">
        <v>2245.6</v>
      </c>
      <c r="Y318" s="114">
        <v>0</v>
      </c>
      <c r="Z318" s="114">
        <v>138</v>
      </c>
      <c r="AA318" s="114">
        <v>0</v>
      </c>
      <c r="AB318" s="657">
        <v>0</v>
      </c>
      <c r="AC318" s="657">
        <v>0</v>
      </c>
      <c r="AD318" s="768">
        <v>138</v>
      </c>
      <c r="AE318" s="769">
        <v>0</v>
      </c>
      <c r="AF318" s="769">
        <v>122</v>
      </c>
      <c r="AG318" s="770">
        <v>122</v>
      </c>
      <c r="AH318" s="769">
        <v>0</v>
      </c>
      <c r="AI318" s="769">
        <v>0</v>
      </c>
      <c r="AJ318" s="769">
        <v>125.45776583011187</v>
      </c>
      <c r="AK318" s="769">
        <v>125.45776583011187</v>
      </c>
      <c r="AL318" s="769">
        <v>0</v>
      </c>
      <c r="AM318" s="769">
        <v>0</v>
      </c>
      <c r="AN318" s="769">
        <v>111.31940146732492</v>
      </c>
      <c r="AO318" s="769">
        <v>111.31940146732492</v>
      </c>
      <c r="AP318" s="769">
        <v>0</v>
      </c>
      <c r="AQ318" s="769">
        <v>0</v>
      </c>
      <c r="AR318" s="769">
        <v>0</v>
      </c>
      <c r="AS318" s="769">
        <v>114.05544208031294</v>
      </c>
      <c r="AT318" s="769">
        <v>119.62082153271558</v>
      </c>
      <c r="AU318" s="769">
        <v>125.45776583011187</v>
      </c>
      <c r="AV318" s="769">
        <v>131.57952608424853</v>
      </c>
      <c r="AW318" s="769">
        <v>138</v>
      </c>
      <c r="AX318" s="769">
        <v>101.57384543478248</v>
      </c>
      <c r="AY318" s="769">
        <v>106.33503504741304</v>
      </c>
      <c r="AZ318" s="769">
        <v>111.31940146732492</v>
      </c>
      <c r="BA318" s="769">
        <v>116.53740592193411</v>
      </c>
      <c r="BB318" s="769">
        <v>122</v>
      </c>
      <c r="BC318" s="769">
        <v>0</v>
      </c>
      <c r="BD318" s="769">
        <v>0</v>
      </c>
      <c r="BE318" s="769">
        <v>0</v>
      </c>
      <c r="BF318" s="769">
        <v>0</v>
      </c>
      <c r="BG318" s="769">
        <v>0</v>
      </c>
      <c r="BH318" s="771">
        <v>139.74677285117434</v>
      </c>
      <c r="BI318" s="771">
        <v>141.51565595882403</v>
      </c>
      <c r="BJ318" s="771">
        <v>143.30692918958493</v>
      </c>
      <c r="BK318" s="772">
        <v>142.36474900538803</v>
      </c>
      <c r="BL318" s="772">
        <v>141.42876324252518</v>
      </c>
      <c r="BM318" s="772">
        <v>142.44406131128881</v>
      </c>
      <c r="BN318" s="772">
        <v>143.46664806832769</v>
      </c>
      <c r="BO318" s="772">
        <v>144.49657583815468</v>
      </c>
      <c r="BP318" s="772">
        <v>145.53389732091313</v>
      </c>
      <c r="BQ318" s="772">
        <v>146.57866559507374</v>
      </c>
      <c r="BR318" s="772">
        <v>147.40150325988733</v>
      </c>
      <c r="BS318" s="772">
        <v>148.22896002680486</v>
      </c>
      <c r="BT318" s="772">
        <v>149.06106182573342</v>
      </c>
      <c r="BU318" s="772">
        <v>149.89783473214095</v>
      </c>
      <c r="BV318" s="772">
        <v>150.73930496787324</v>
      </c>
      <c r="BW318" s="771">
        <v>123.5442484626324</v>
      </c>
      <c r="BX318" s="771">
        <v>125.10804367374298</v>
      </c>
      <c r="BY318" s="771">
        <v>126.69163305166204</v>
      </c>
      <c r="BZ318" s="772">
        <v>125.85869114969086</v>
      </c>
      <c r="CA318" s="772">
        <v>125.03122547527589</v>
      </c>
      <c r="CB318" s="772">
        <v>125.92880782592198</v>
      </c>
      <c r="CC318" s="772">
        <v>126.83283379953606</v>
      </c>
      <c r="CD318" s="772">
        <v>127.74334965402079</v>
      </c>
      <c r="CE318" s="772">
        <v>128.66040197935797</v>
      </c>
      <c r="CF318" s="772">
        <v>129.58403769999273</v>
      </c>
      <c r="CG318" s="772">
        <v>130.31147389642214</v>
      </c>
      <c r="CH318" s="772">
        <v>131.04299364688544</v>
      </c>
      <c r="CI318" s="772">
        <v>131.77861987492375</v>
      </c>
      <c r="CJ318" s="772">
        <v>132.51837563276229</v>
      </c>
      <c r="CK318" s="772">
        <v>133.26228410203285</v>
      </c>
      <c r="CL318" s="771">
        <v>0</v>
      </c>
      <c r="CM318" s="771">
        <v>0</v>
      </c>
      <c r="CN318" s="771">
        <v>0</v>
      </c>
      <c r="CO318" s="772">
        <v>0</v>
      </c>
      <c r="CP318" s="772">
        <v>0</v>
      </c>
      <c r="CQ318" s="772">
        <v>0</v>
      </c>
      <c r="CR318" s="772">
        <v>0</v>
      </c>
      <c r="CS318" s="772">
        <v>0</v>
      </c>
      <c r="CT318" s="772">
        <v>0</v>
      </c>
      <c r="CU318" s="772">
        <v>0</v>
      </c>
      <c r="CV318" s="772">
        <v>0</v>
      </c>
      <c r="CW318" s="772">
        <v>0</v>
      </c>
      <c r="CX318" s="772">
        <v>0</v>
      </c>
      <c r="CY318" s="772">
        <v>0</v>
      </c>
      <c r="CZ318" s="772">
        <v>0</v>
      </c>
      <c r="DA318" s="773">
        <v>0</v>
      </c>
      <c r="DB318" s="773">
        <v>0</v>
      </c>
      <c r="DC318" s="773">
        <v>0</v>
      </c>
      <c r="DD318" s="774">
        <v>0</v>
      </c>
      <c r="DE318" s="774">
        <v>0</v>
      </c>
      <c r="DF318" s="774">
        <v>0</v>
      </c>
      <c r="DG318" s="774">
        <v>0</v>
      </c>
      <c r="DH318" s="774">
        <v>0</v>
      </c>
      <c r="DI318" s="774">
        <v>0</v>
      </c>
      <c r="DJ318" s="774">
        <v>0</v>
      </c>
      <c r="DK318" s="774">
        <v>0</v>
      </c>
      <c r="DL318" s="774">
        <v>0</v>
      </c>
      <c r="DM318" s="774">
        <v>0</v>
      </c>
      <c r="DN318" s="774">
        <v>0</v>
      </c>
      <c r="DO318" s="774">
        <v>0</v>
      </c>
      <c r="DP318" s="773">
        <v>0</v>
      </c>
      <c r="DQ318" s="773">
        <v>0</v>
      </c>
      <c r="DR318" s="773">
        <v>0</v>
      </c>
      <c r="DS318" s="774">
        <v>0</v>
      </c>
      <c r="DT318" s="774">
        <v>0</v>
      </c>
      <c r="DU318" s="774">
        <v>0</v>
      </c>
      <c r="DV318" s="774">
        <v>0</v>
      </c>
      <c r="DW318" s="774">
        <v>0</v>
      </c>
      <c r="DX318" s="774">
        <v>0</v>
      </c>
      <c r="DY318" s="774">
        <v>0</v>
      </c>
      <c r="DZ318" s="774">
        <v>0</v>
      </c>
      <c r="EA318" s="774">
        <v>0</v>
      </c>
      <c r="EB318" s="774">
        <v>0</v>
      </c>
      <c r="EC318" s="774">
        <v>0</v>
      </c>
      <c r="ED318" s="774">
        <v>0</v>
      </c>
    </row>
    <row r="319" spans="1:134" ht="15" x14ac:dyDescent="0.25">
      <c r="A319" s="766">
        <v>141</v>
      </c>
      <c r="B319" s="766">
        <v>98</v>
      </c>
      <c r="C319" s="766" t="s">
        <v>3990</v>
      </c>
      <c r="D319" s="2">
        <v>99712</v>
      </c>
      <c r="E319" s="2">
        <v>99712</v>
      </c>
      <c r="F319" s="767" t="s">
        <v>3676</v>
      </c>
      <c r="G319" s="114">
        <v>10</v>
      </c>
      <c r="H319" s="114">
        <v>6</v>
      </c>
      <c r="I319" s="114">
        <v>4</v>
      </c>
      <c r="J319" s="114">
        <v>2</v>
      </c>
      <c r="K319" s="114">
        <v>0</v>
      </c>
      <c r="L319" s="114">
        <v>3</v>
      </c>
      <c r="M319" s="114">
        <v>3</v>
      </c>
      <c r="N319" s="114">
        <v>0</v>
      </c>
      <c r="O319" s="114">
        <v>0</v>
      </c>
      <c r="P319" s="114">
        <v>0</v>
      </c>
      <c r="Q319" s="114">
        <v>3</v>
      </c>
      <c r="R319" s="114">
        <v>0</v>
      </c>
      <c r="S319" s="114">
        <v>1969.3333333333333</v>
      </c>
      <c r="T319" s="114">
        <v>1969.3333333333333</v>
      </c>
      <c r="U319" s="114">
        <v>0</v>
      </c>
      <c r="V319" s="114">
        <v>0</v>
      </c>
      <c r="W319" s="114">
        <v>0</v>
      </c>
      <c r="X319" s="114">
        <v>1969.3333333333333</v>
      </c>
      <c r="Y319" s="114">
        <v>0</v>
      </c>
      <c r="Z319" s="114">
        <v>6</v>
      </c>
      <c r="AA319" s="114">
        <v>0</v>
      </c>
      <c r="AB319" s="657">
        <v>0</v>
      </c>
      <c r="AC319" s="657">
        <v>0</v>
      </c>
      <c r="AD319" s="768">
        <v>6</v>
      </c>
      <c r="AE319" s="769">
        <v>0</v>
      </c>
      <c r="AF319" s="769">
        <v>4</v>
      </c>
      <c r="AG319" s="770">
        <v>4</v>
      </c>
      <c r="AH319" s="769">
        <v>0</v>
      </c>
      <c r="AI319" s="769">
        <v>0</v>
      </c>
      <c r="AJ319" s="769">
        <v>5.4546854708744297</v>
      </c>
      <c r="AK319" s="769">
        <v>5.4546854708744297</v>
      </c>
      <c r="AL319" s="769">
        <v>0</v>
      </c>
      <c r="AM319" s="769">
        <v>0</v>
      </c>
      <c r="AN319" s="769">
        <v>3.649816441551637</v>
      </c>
      <c r="AO319" s="769">
        <v>3.649816441551637</v>
      </c>
      <c r="AP319" s="769">
        <v>0</v>
      </c>
      <c r="AQ319" s="769">
        <v>0</v>
      </c>
      <c r="AR319" s="769">
        <v>0</v>
      </c>
      <c r="AS319" s="769">
        <v>4.9589322643614322</v>
      </c>
      <c r="AT319" s="769">
        <v>5.2009052840311121</v>
      </c>
      <c r="AU319" s="769">
        <v>5.4546854708744297</v>
      </c>
      <c r="AV319" s="769">
        <v>5.7208489601847186</v>
      </c>
      <c r="AW319" s="769">
        <v>6</v>
      </c>
      <c r="AX319" s="769">
        <v>3.3302900142551635</v>
      </c>
      <c r="AY319" s="769">
        <v>3.4863945917184607</v>
      </c>
      <c r="AZ319" s="769">
        <v>3.649816441551637</v>
      </c>
      <c r="BA319" s="769">
        <v>3.8208985548175116</v>
      </c>
      <c r="BB319" s="769">
        <v>4</v>
      </c>
      <c r="BC319" s="769">
        <v>0</v>
      </c>
      <c r="BD319" s="769">
        <v>0</v>
      </c>
      <c r="BE319" s="769">
        <v>0</v>
      </c>
      <c r="BF319" s="769">
        <v>0</v>
      </c>
      <c r="BG319" s="769">
        <v>0</v>
      </c>
      <c r="BH319" s="771">
        <v>6.0759466457032323</v>
      </c>
      <c r="BI319" s="771">
        <v>6.1528546069053931</v>
      </c>
      <c r="BJ319" s="771">
        <v>6.2307360517210837</v>
      </c>
      <c r="BK319" s="772">
        <v>6.1897716958864359</v>
      </c>
      <c r="BL319" s="772">
        <v>6.1490766627184863</v>
      </c>
      <c r="BM319" s="772">
        <v>6.1932200570125557</v>
      </c>
      <c r="BN319" s="772">
        <v>6.2376803507968557</v>
      </c>
      <c r="BO319" s="772">
        <v>6.282459819050203</v>
      </c>
      <c r="BP319" s="772">
        <v>6.3275607530831799</v>
      </c>
      <c r="BQ319" s="772">
        <v>6.3729854606553795</v>
      </c>
      <c r="BR319" s="772">
        <v>6.4087610112994495</v>
      </c>
      <c r="BS319" s="772">
        <v>6.4447373924697757</v>
      </c>
      <c r="BT319" s="772">
        <v>6.4809157315536261</v>
      </c>
      <c r="BU319" s="772">
        <v>6.5172971622669973</v>
      </c>
      <c r="BV319" s="772">
        <v>6.5538828246901399</v>
      </c>
      <c r="BW319" s="771">
        <v>4.0506310971354882</v>
      </c>
      <c r="BX319" s="771">
        <v>4.1019030712702618</v>
      </c>
      <c r="BY319" s="771">
        <v>4.1538240344807225</v>
      </c>
      <c r="BZ319" s="772">
        <v>4.1265144639242903</v>
      </c>
      <c r="CA319" s="772">
        <v>4.0993844418123242</v>
      </c>
      <c r="CB319" s="772">
        <v>4.1288133713417041</v>
      </c>
      <c r="CC319" s="772">
        <v>4.1584535671979035</v>
      </c>
      <c r="CD319" s="772">
        <v>4.1883065460334681</v>
      </c>
      <c r="CE319" s="772">
        <v>4.2183738353887863</v>
      </c>
      <c r="CF319" s="772">
        <v>4.2486569737702533</v>
      </c>
      <c r="CG319" s="772">
        <v>4.2725073408662997</v>
      </c>
      <c r="CH319" s="772">
        <v>4.2964915949798508</v>
      </c>
      <c r="CI319" s="772">
        <v>4.3206104877024174</v>
      </c>
      <c r="CJ319" s="772">
        <v>4.3448647748446652</v>
      </c>
      <c r="CK319" s="772">
        <v>4.3692552164600933</v>
      </c>
      <c r="CL319" s="771">
        <v>0</v>
      </c>
      <c r="CM319" s="771">
        <v>0</v>
      </c>
      <c r="CN319" s="771">
        <v>0</v>
      </c>
      <c r="CO319" s="772">
        <v>0</v>
      </c>
      <c r="CP319" s="772">
        <v>0</v>
      </c>
      <c r="CQ319" s="772">
        <v>0</v>
      </c>
      <c r="CR319" s="772">
        <v>0</v>
      </c>
      <c r="CS319" s="772">
        <v>0</v>
      </c>
      <c r="CT319" s="772">
        <v>0</v>
      </c>
      <c r="CU319" s="772">
        <v>0</v>
      </c>
      <c r="CV319" s="772">
        <v>0</v>
      </c>
      <c r="CW319" s="772">
        <v>0</v>
      </c>
      <c r="CX319" s="772">
        <v>0</v>
      </c>
      <c r="CY319" s="772">
        <v>0</v>
      </c>
      <c r="CZ319" s="772">
        <v>0</v>
      </c>
      <c r="DA319" s="773">
        <v>0</v>
      </c>
      <c r="DB319" s="773">
        <v>0</v>
      </c>
      <c r="DC319" s="773">
        <v>0</v>
      </c>
      <c r="DD319" s="774">
        <v>0</v>
      </c>
      <c r="DE319" s="774">
        <v>0</v>
      </c>
      <c r="DF319" s="774">
        <v>0</v>
      </c>
      <c r="DG319" s="774">
        <v>0</v>
      </c>
      <c r="DH319" s="774">
        <v>0</v>
      </c>
      <c r="DI319" s="774">
        <v>0</v>
      </c>
      <c r="DJ319" s="774">
        <v>0</v>
      </c>
      <c r="DK319" s="774">
        <v>0</v>
      </c>
      <c r="DL319" s="774">
        <v>0</v>
      </c>
      <c r="DM319" s="774">
        <v>0</v>
      </c>
      <c r="DN319" s="774">
        <v>0</v>
      </c>
      <c r="DO319" s="774">
        <v>0</v>
      </c>
      <c r="DP319" s="773">
        <v>0</v>
      </c>
      <c r="DQ319" s="773">
        <v>0</v>
      </c>
      <c r="DR319" s="773">
        <v>0</v>
      </c>
      <c r="DS319" s="774">
        <v>0</v>
      </c>
      <c r="DT319" s="774">
        <v>0</v>
      </c>
      <c r="DU319" s="774">
        <v>0</v>
      </c>
      <c r="DV319" s="774">
        <v>0</v>
      </c>
      <c r="DW319" s="774">
        <v>0</v>
      </c>
      <c r="DX319" s="774">
        <v>0</v>
      </c>
      <c r="DY319" s="774">
        <v>0</v>
      </c>
      <c r="DZ319" s="774">
        <v>0</v>
      </c>
      <c r="EA319" s="774">
        <v>0</v>
      </c>
      <c r="EB319" s="774">
        <v>0</v>
      </c>
      <c r="EC319" s="774">
        <v>0</v>
      </c>
      <c r="ED319" s="774">
        <v>0</v>
      </c>
    </row>
    <row r="320" spans="1:134" ht="15" x14ac:dyDescent="0.25">
      <c r="A320" s="766">
        <v>90</v>
      </c>
      <c r="B320" s="766">
        <v>99</v>
      </c>
      <c r="C320" s="766" t="s">
        <v>3991</v>
      </c>
      <c r="D320" s="2">
        <v>99709</v>
      </c>
      <c r="E320" s="2">
        <v>99709</v>
      </c>
      <c r="F320" s="767" t="s">
        <v>3676</v>
      </c>
      <c r="G320" s="114">
        <v>8</v>
      </c>
      <c r="H320" s="114">
        <v>5</v>
      </c>
      <c r="I320" s="114">
        <v>3</v>
      </c>
      <c r="J320" s="114">
        <v>2</v>
      </c>
      <c r="K320" s="114">
        <v>0</v>
      </c>
      <c r="L320" s="114">
        <v>8</v>
      </c>
      <c r="M320" s="114">
        <v>8</v>
      </c>
      <c r="N320" s="114">
        <v>0</v>
      </c>
      <c r="O320" s="114">
        <v>0</v>
      </c>
      <c r="P320" s="114">
        <v>0</v>
      </c>
      <c r="Q320" s="114">
        <v>8</v>
      </c>
      <c r="R320" s="114">
        <v>0</v>
      </c>
      <c r="S320" s="114">
        <v>1087.375</v>
      </c>
      <c r="T320" s="114">
        <v>1087.375</v>
      </c>
      <c r="U320" s="114">
        <v>0</v>
      </c>
      <c r="V320" s="114">
        <v>0</v>
      </c>
      <c r="W320" s="114">
        <v>0</v>
      </c>
      <c r="X320" s="114">
        <v>1087.375</v>
      </c>
      <c r="Y320" s="114">
        <v>0</v>
      </c>
      <c r="Z320" s="114">
        <v>5</v>
      </c>
      <c r="AA320" s="114">
        <v>0</v>
      </c>
      <c r="AB320" s="657">
        <v>0</v>
      </c>
      <c r="AC320" s="657">
        <v>0</v>
      </c>
      <c r="AD320" s="768">
        <v>5</v>
      </c>
      <c r="AE320" s="769">
        <v>0</v>
      </c>
      <c r="AF320" s="769">
        <v>3</v>
      </c>
      <c r="AG320" s="770">
        <v>3</v>
      </c>
      <c r="AH320" s="769">
        <v>0</v>
      </c>
      <c r="AI320" s="769">
        <v>0</v>
      </c>
      <c r="AJ320" s="769">
        <v>4.7607919750386971</v>
      </c>
      <c r="AK320" s="769">
        <v>4.7607919750386971</v>
      </c>
      <c r="AL320" s="769">
        <v>0</v>
      </c>
      <c r="AM320" s="769">
        <v>0</v>
      </c>
      <c r="AN320" s="769">
        <v>2.861863886693929</v>
      </c>
      <c r="AO320" s="769">
        <v>2.861863886693929</v>
      </c>
      <c r="AP320" s="769">
        <v>0</v>
      </c>
      <c r="AQ320" s="769">
        <v>0</v>
      </c>
      <c r="AR320" s="769">
        <v>0</v>
      </c>
      <c r="AS320" s="769">
        <v>4.533028045918571</v>
      </c>
      <c r="AT320" s="769">
        <v>4.6455143465104571</v>
      </c>
      <c r="AU320" s="769">
        <v>4.7607919750386971</v>
      </c>
      <c r="AV320" s="769">
        <v>4.8789301978193418</v>
      </c>
      <c r="AW320" s="769">
        <v>5</v>
      </c>
      <c r="AX320" s="769">
        <v>2.7300883019876268</v>
      </c>
      <c r="AY320" s="769">
        <v>2.7951996563651655</v>
      </c>
      <c r="AZ320" s="769">
        <v>2.861863886693929</v>
      </c>
      <c r="BA320" s="769">
        <v>2.9301180283534292</v>
      </c>
      <c r="BB320" s="769">
        <v>3</v>
      </c>
      <c r="BC320" s="769">
        <v>0</v>
      </c>
      <c r="BD320" s="769">
        <v>0</v>
      </c>
      <c r="BE320" s="769">
        <v>0</v>
      </c>
      <c r="BF320" s="769">
        <v>0</v>
      </c>
      <c r="BG320" s="769">
        <v>0</v>
      </c>
      <c r="BH320" s="771">
        <v>5.025613145055865</v>
      </c>
      <c r="BI320" s="771">
        <v>5.0513574967516606</v>
      </c>
      <c r="BJ320" s="771">
        <v>5.0772337272103263</v>
      </c>
      <c r="BK320" s="772">
        <v>5.1416708306679455</v>
      </c>
      <c r="BL320" s="772">
        <v>5.2061079341255638</v>
      </c>
      <c r="BM320" s="772">
        <v>5.2705450375831813</v>
      </c>
      <c r="BN320" s="772">
        <v>5.3349821410408005</v>
      </c>
      <c r="BO320" s="772">
        <v>5.4111747895684523</v>
      </c>
      <c r="BP320" s="772">
        <v>5.4873674380961033</v>
      </c>
      <c r="BQ320" s="772">
        <v>5.6985953326833885</v>
      </c>
      <c r="BR320" s="772">
        <v>5.9502589111381718</v>
      </c>
      <c r="BS320" s="772">
        <v>6.0607594336799373</v>
      </c>
      <c r="BT320" s="772">
        <v>6.1214414677352567</v>
      </c>
      <c r="BU320" s="772">
        <v>6.1842834395682154</v>
      </c>
      <c r="BV320" s="772">
        <v>6.2486373678455189</v>
      </c>
      <c r="BW320" s="771">
        <v>3.015367887033519</v>
      </c>
      <c r="BX320" s="771">
        <v>3.0308144980509963</v>
      </c>
      <c r="BY320" s="771">
        <v>3.0463402363261958</v>
      </c>
      <c r="BZ320" s="772">
        <v>3.0850024984007671</v>
      </c>
      <c r="CA320" s="772">
        <v>3.1236647604753385</v>
      </c>
      <c r="CB320" s="772">
        <v>3.1623270225499089</v>
      </c>
      <c r="CC320" s="772">
        <v>3.2009892846244803</v>
      </c>
      <c r="CD320" s="772">
        <v>3.2467048737410713</v>
      </c>
      <c r="CE320" s="772">
        <v>3.2924204628576619</v>
      </c>
      <c r="CF320" s="772">
        <v>3.4191571996100332</v>
      </c>
      <c r="CG320" s="772">
        <v>3.570155346682903</v>
      </c>
      <c r="CH320" s="772">
        <v>3.6364556602079623</v>
      </c>
      <c r="CI320" s="772">
        <v>3.6728648806411539</v>
      </c>
      <c r="CJ320" s="772">
        <v>3.7105700637409291</v>
      </c>
      <c r="CK320" s="772">
        <v>3.7491824207073114</v>
      </c>
      <c r="CL320" s="771">
        <v>0</v>
      </c>
      <c r="CM320" s="771">
        <v>0</v>
      </c>
      <c r="CN320" s="771">
        <v>0</v>
      </c>
      <c r="CO320" s="772">
        <v>0</v>
      </c>
      <c r="CP320" s="772">
        <v>0</v>
      </c>
      <c r="CQ320" s="772">
        <v>0</v>
      </c>
      <c r="CR320" s="772">
        <v>0</v>
      </c>
      <c r="CS320" s="772">
        <v>0</v>
      </c>
      <c r="CT320" s="772">
        <v>0</v>
      </c>
      <c r="CU320" s="772">
        <v>0</v>
      </c>
      <c r="CV320" s="772">
        <v>0</v>
      </c>
      <c r="CW320" s="772">
        <v>0</v>
      </c>
      <c r="CX320" s="772">
        <v>0</v>
      </c>
      <c r="CY320" s="772">
        <v>0</v>
      </c>
      <c r="CZ320" s="772">
        <v>0</v>
      </c>
      <c r="DA320" s="773">
        <v>0</v>
      </c>
      <c r="DB320" s="773">
        <v>0</v>
      </c>
      <c r="DC320" s="773">
        <v>0</v>
      </c>
      <c r="DD320" s="774">
        <v>0</v>
      </c>
      <c r="DE320" s="774">
        <v>0</v>
      </c>
      <c r="DF320" s="774">
        <v>0</v>
      </c>
      <c r="DG320" s="774">
        <v>0</v>
      </c>
      <c r="DH320" s="774">
        <v>0</v>
      </c>
      <c r="DI320" s="774">
        <v>0</v>
      </c>
      <c r="DJ320" s="774">
        <v>0</v>
      </c>
      <c r="DK320" s="774">
        <v>0</v>
      </c>
      <c r="DL320" s="774">
        <v>0</v>
      </c>
      <c r="DM320" s="774">
        <v>0</v>
      </c>
      <c r="DN320" s="774">
        <v>0</v>
      </c>
      <c r="DO320" s="774">
        <v>0</v>
      </c>
      <c r="DP320" s="773">
        <v>0</v>
      </c>
      <c r="DQ320" s="773">
        <v>0</v>
      </c>
      <c r="DR320" s="773">
        <v>0</v>
      </c>
      <c r="DS320" s="774">
        <v>0</v>
      </c>
      <c r="DT320" s="774">
        <v>0</v>
      </c>
      <c r="DU320" s="774">
        <v>0</v>
      </c>
      <c r="DV320" s="774">
        <v>0</v>
      </c>
      <c r="DW320" s="774">
        <v>0</v>
      </c>
      <c r="DX320" s="774">
        <v>0</v>
      </c>
      <c r="DY320" s="774">
        <v>0</v>
      </c>
      <c r="DZ320" s="774">
        <v>0</v>
      </c>
      <c r="EA320" s="774">
        <v>0</v>
      </c>
      <c r="EB320" s="774">
        <v>0</v>
      </c>
      <c r="EC320" s="774">
        <v>0</v>
      </c>
      <c r="ED320" s="774">
        <v>0</v>
      </c>
    </row>
    <row r="321" spans="1:134" ht="15" x14ac:dyDescent="0.25">
      <c r="A321" s="766">
        <v>92</v>
      </c>
      <c r="B321" s="766">
        <v>99</v>
      </c>
      <c r="C321" s="766" t="s">
        <v>3992</v>
      </c>
      <c r="D321" s="2">
        <v>99709</v>
      </c>
      <c r="E321" s="2">
        <v>99709</v>
      </c>
      <c r="F321" s="767" t="s">
        <v>3676</v>
      </c>
      <c r="G321" s="114">
        <v>5</v>
      </c>
      <c r="H321" s="114">
        <v>3</v>
      </c>
      <c r="I321" s="114">
        <v>3</v>
      </c>
      <c r="J321" s="114">
        <v>0</v>
      </c>
      <c r="K321" s="114">
        <v>0</v>
      </c>
      <c r="L321" s="114">
        <v>2</v>
      </c>
      <c r="M321" s="114">
        <v>2</v>
      </c>
      <c r="N321" s="114">
        <v>0</v>
      </c>
      <c r="O321" s="114">
        <v>0</v>
      </c>
      <c r="P321" s="114">
        <v>0</v>
      </c>
      <c r="Q321" s="114">
        <v>2</v>
      </c>
      <c r="R321" s="114">
        <v>0</v>
      </c>
      <c r="S321" s="114">
        <v>400</v>
      </c>
      <c r="T321" s="114">
        <v>400</v>
      </c>
      <c r="U321" s="114">
        <v>0</v>
      </c>
      <c r="V321" s="114">
        <v>0</v>
      </c>
      <c r="W321" s="114">
        <v>0</v>
      </c>
      <c r="X321" s="114">
        <v>400</v>
      </c>
      <c r="Y321" s="114">
        <v>0</v>
      </c>
      <c r="Z321" s="114">
        <v>3</v>
      </c>
      <c r="AA321" s="114">
        <v>0</v>
      </c>
      <c r="AB321" s="657">
        <v>0</v>
      </c>
      <c r="AC321" s="657">
        <v>0</v>
      </c>
      <c r="AD321" s="768">
        <v>3</v>
      </c>
      <c r="AE321" s="769">
        <v>0</v>
      </c>
      <c r="AF321" s="769">
        <v>3</v>
      </c>
      <c r="AG321" s="770">
        <v>3</v>
      </c>
      <c r="AH321" s="769">
        <v>0</v>
      </c>
      <c r="AI321" s="769">
        <v>0</v>
      </c>
      <c r="AJ321" s="769">
        <v>2.8564751850232182</v>
      </c>
      <c r="AK321" s="769">
        <v>2.8564751850232182</v>
      </c>
      <c r="AL321" s="769">
        <v>0</v>
      </c>
      <c r="AM321" s="769">
        <v>0</v>
      </c>
      <c r="AN321" s="769">
        <v>2.861863886693929</v>
      </c>
      <c r="AO321" s="769">
        <v>2.861863886693929</v>
      </c>
      <c r="AP321" s="769">
        <v>0</v>
      </c>
      <c r="AQ321" s="769">
        <v>0</v>
      </c>
      <c r="AR321" s="769">
        <v>0</v>
      </c>
      <c r="AS321" s="769">
        <v>2.7198168275511425</v>
      </c>
      <c r="AT321" s="769">
        <v>2.7873086079062741</v>
      </c>
      <c r="AU321" s="769">
        <v>2.8564751850232182</v>
      </c>
      <c r="AV321" s="769">
        <v>2.9273581186916053</v>
      </c>
      <c r="AW321" s="769">
        <v>3</v>
      </c>
      <c r="AX321" s="769">
        <v>2.7300883019876268</v>
      </c>
      <c r="AY321" s="769">
        <v>2.7951996563651655</v>
      </c>
      <c r="AZ321" s="769">
        <v>2.861863886693929</v>
      </c>
      <c r="BA321" s="769">
        <v>2.9301180283534292</v>
      </c>
      <c r="BB321" s="769">
        <v>3</v>
      </c>
      <c r="BC321" s="769">
        <v>0</v>
      </c>
      <c r="BD321" s="769">
        <v>0</v>
      </c>
      <c r="BE321" s="769">
        <v>0</v>
      </c>
      <c r="BF321" s="769">
        <v>0</v>
      </c>
      <c r="BG321" s="769">
        <v>0</v>
      </c>
      <c r="BH321" s="771">
        <v>3.015367887033519</v>
      </c>
      <c r="BI321" s="771">
        <v>3.0308144980509963</v>
      </c>
      <c r="BJ321" s="771">
        <v>3.0463402363261958</v>
      </c>
      <c r="BK321" s="772">
        <v>3.0850024984007671</v>
      </c>
      <c r="BL321" s="772">
        <v>3.1236647604753385</v>
      </c>
      <c r="BM321" s="772">
        <v>3.1623270225499089</v>
      </c>
      <c r="BN321" s="772">
        <v>3.2009892846244803</v>
      </c>
      <c r="BO321" s="772">
        <v>3.2467048737410713</v>
      </c>
      <c r="BP321" s="772">
        <v>3.2924204628576619</v>
      </c>
      <c r="BQ321" s="772">
        <v>3.4191571996100332</v>
      </c>
      <c r="BR321" s="772">
        <v>3.570155346682903</v>
      </c>
      <c r="BS321" s="772">
        <v>3.6364556602079623</v>
      </c>
      <c r="BT321" s="772">
        <v>3.6728648806411539</v>
      </c>
      <c r="BU321" s="772">
        <v>3.7105700637409291</v>
      </c>
      <c r="BV321" s="772">
        <v>3.7491824207073114</v>
      </c>
      <c r="BW321" s="771">
        <v>3.015367887033519</v>
      </c>
      <c r="BX321" s="771">
        <v>3.0308144980509963</v>
      </c>
      <c r="BY321" s="771">
        <v>3.0463402363261958</v>
      </c>
      <c r="BZ321" s="772">
        <v>3.0850024984007671</v>
      </c>
      <c r="CA321" s="772">
        <v>3.1236647604753385</v>
      </c>
      <c r="CB321" s="772">
        <v>3.1623270225499089</v>
      </c>
      <c r="CC321" s="772">
        <v>3.2009892846244803</v>
      </c>
      <c r="CD321" s="772">
        <v>3.2467048737410713</v>
      </c>
      <c r="CE321" s="772">
        <v>3.2924204628576619</v>
      </c>
      <c r="CF321" s="772">
        <v>3.4191571996100332</v>
      </c>
      <c r="CG321" s="772">
        <v>3.570155346682903</v>
      </c>
      <c r="CH321" s="772">
        <v>3.6364556602079623</v>
      </c>
      <c r="CI321" s="772">
        <v>3.6728648806411539</v>
      </c>
      <c r="CJ321" s="772">
        <v>3.7105700637409291</v>
      </c>
      <c r="CK321" s="772">
        <v>3.7491824207073114</v>
      </c>
      <c r="CL321" s="771">
        <v>0</v>
      </c>
      <c r="CM321" s="771">
        <v>0</v>
      </c>
      <c r="CN321" s="771">
        <v>0</v>
      </c>
      <c r="CO321" s="772">
        <v>0</v>
      </c>
      <c r="CP321" s="772">
        <v>0</v>
      </c>
      <c r="CQ321" s="772">
        <v>0</v>
      </c>
      <c r="CR321" s="772">
        <v>0</v>
      </c>
      <c r="CS321" s="772">
        <v>0</v>
      </c>
      <c r="CT321" s="772">
        <v>0</v>
      </c>
      <c r="CU321" s="772">
        <v>0</v>
      </c>
      <c r="CV321" s="772">
        <v>0</v>
      </c>
      <c r="CW321" s="772">
        <v>0</v>
      </c>
      <c r="CX321" s="772">
        <v>0</v>
      </c>
      <c r="CY321" s="772">
        <v>0</v>
      </c>
      <c r="CZ321" s="772">
        <v>0</v>
      </c>
      <c r="DA321" s="773">
        <v>0</v>
      </c>
      <c r="DB321" s="773">
        <v>0</v>
      </c>
      <c r="DC321" s="773">
        <v>0</v>
      </c>
      <c r="DD321" s="774">
        <v>0</v>
      </c>
      <c r="DE321" s="774">
        <v>0</v>
      </c>
      <c r="DF321" s="774">
        <v>0</v>
      </c>
      <c r="DG321" s="774">
        <v>0</v>
      </c>
      <c r="DH321" s="774">
        <v>0</v>
      </c>
      <c r="DI321" s="774">
        <v>0</v>
      </c>
      <c r="DJ321" s="774">
        <v>0</v>
      </c>
      <c r="DK321" s="774">
        <v>0</v>
      </c>
      <c r="DL321" s="774">
        <v>0</v>
      </c>
      <c r="DM321" s="774">
        <v>0</v>
      </c>
      <c r="DN321" s="774">
        <v>0</v>
      </c>
      <c r="DO321" s="774">
        <v>0</v>
      </c>
      <c r="DP321" s="773">
        <v>0</v>
      </c>
      <c r="DQ321" s="773">
        <v>0</v>
      </c>
      <c r="DR321" s="773">
        <v>0</v>
      </c>
      <c r="DS321" s="774">
        <v>0</v>
      </c>
      <c r="DT321" s="774">
        <v>0</v>
      </c>
      <c r="DU321" s="774">
        <v>0</v>
      </c>
      <c r="DV321" s="774">
        <v>0</v>
      </c>
      <c r="DW321" s="774">
        <v>0</v>
      </c>
      <c r="DX321" s="774">
        <v>0</v>
      </c>
      <c r="DY321" s="774">
        <v>0</v>
      </c>
      <c r="DZ321" s="774">
        <v>0</v>
      </c>
      <c r="EA321" s="774">
        <v>0</v>
      </c>
      <c r="EB321" s="774">
        <v>0</v>
      </c>
      <c r="EC321" s="774">
        <v>0</v>
      </c>
      <c r="ED321" s="774">
        <v>0</v>
      </c>
    </row>
    <row r="322" spans="1:134" ht="15" x14ac:dyDescent="0.25">
      <c r="A322" s="766">
        <v>101</v>
      </c>
      <c r="B322" s="766">
        <v>99</v>
      </c>
      <c r="C322" s="766" t="s">
        <v>3993</v>
      </c>
      <c r="D322" s="2">
        <v>99709</v>
      </c>
      <c r="E322" s="2">
        <v>99709</v>
      </c>
      <c r="F322" s="767" t="s">
        <v>3746</v>
      </c>
      <c r="G322" s="114">
        <v>123</v>
      </c>
      <c r="H322" s="114">
        <v>64</v>
      </c>
      <c r="I322" s="114">
        <v>52</v>
      </c>
      <c r="J322" s="114">
        <v>12</v>
      </c>
      <c r="K322" s="114">
        <v>1</v>
      </c>
      <c r="L322" s="114">
        <v>41</v>
      </c>
      <c r="M322" s="114">
        <v>42</v>
      </c>
      <c r="N322" s="114">
        <v>1</v>
      </c>
      <c r="O322" s="114">
        <v>0</v>
      </c>
      <c r="P322" s="114">
        <v>0</v>
      </c>
      <c r="Q322" s="114">
        <v>43</v>
      </c>
      <c r="R322" s="114">
        <v>3096</v>
      </c>
      <c r="S322" s="114">
        <v>1164.2439024390244</v>
      </c>
      <c r="T322" s="114">
        <v>1210.2380952380952</v>
      </c>
      <c r="U322" s="114">
        <v>960</v>
      </c>
      <c r="V322" s="114">
        <v>0</v>
      </c>
      <c r="W322" s="114">
        <v>0</v>
      </c>
      <c r="X322" s="114">
        <v>1204.4186046511627</v>
      </c>
      <c r="Y322" s="114">
        <v>1.5238095238095237</v>
      </c>
      <c r="Z322" s="114">
        <v>62.476190476190474</v>
      </c>
      <c r="AA322" s="114">
        <v>0</v>
      </c>
      <c r="AB322" s="657">
        <v>1</v>
      </c>
      <c r="AC322" s="657">
        <v>0</v>
      </c>
      <c r="AD322" s="768">
        <v>65</v>
      </c>
      <c r="AE322" s="769">
        <v>1.2380952380952381</v>
      </c>
      <c r="AF322" s="769">
        <v>50.761904761904759</v>
      </c>
      <c r="AG322" s="770">
        <v>52</v>
      </c>
      <c r="AH322" s="769">
        <v>0</v>
      </c>
      <c r="AI322" s="769">
        <v>1.4509080304879838</v>
      </c>
      <c r="AJ322" s="769">
        <v>59.487229250007331</v>
      </c>
      <c r="AK322" s="769">
        <v>60.938137280495312</v>
      </c>
      <c r="AL322" s="769">
        <v>0</v>
      </c>
      <c r="AM322" s="769">
        <v>1.1810866833974945</v>
      </c>
      <c r="AN322" s="769">
        <v>48.424554019297268</v>
      </c>
      <c r="AO322" s="769">
        <v>49.605640702694764</v>
      </c>
      <c r="AP322" s="769">
        <v>0</v>
      </c>
      <c r="AQ322" s="769">
        <v>0.95966573850124082</v>
      </c>
      <c r="AR322" s="769">
        <v>0</v>
      </c>
      <c r="AS322" s="769">
        <v>58.022758987757712</v>
      </c>
      <c r="AT322" s="769">
        <v>59.46258363533385</v>
      </c>
      <c r="AU322" s="769">
        <v>60.938137280495319</v>
      </c>
      <c r="AV322" s="769">
        <v>62.450306532087573</v>
      </c>
      <c r="AW322" s="769">
        <v>64</v>
      </c>
      <c r="AX322" s="769">
        <v>47.321530567785537</v>
      </c>
      <c r="AY322" s="769">
        <v>48.450127376996207</v>
      </c>
      <c r="AZ322" s="769">
        <v>49.605640702694771</v>
      </c>
      <c r="BA322" s="769">
        <v>50.788712491459435</v>
      </c>
      <c r="BB322" s="769">
        <v>52</v>
      </c>
      <c r="BC322" s="769">
        <v>0.92095832965313207</v>
      </c>
      <c r="BD322" s="769">
        <v>0.94011284192667122</v>
      </c>
      <c r="BE322" s="769">
        <v>0.95966573850124082</v>
      </c>
      <c r="BF322" s="769">
        <v>0.97962530515561963</v>
      </c>
      <c r="BG322" s="769">
        <v>1</v>
      </c>
      <c r="BH322" s="771">
        <v>64.327848256715072</v>
      </c>
      <c r="BI322" s="771">
        <v>64.657375958421255</v>
      </c>
      <c r="BJ322" s="771">
        <v>64.988591708292176</v>
      </c>
      <c r="BK322" s="772">
        <v>65.20498697997256</v>
      </c>
      <c r="BL322" s="772">
        <v>65.421382251652929</v>
      </c>
      <c r="BM322" s="772">
        <v>65.637777523333327</v>
      </c>
      <c r="BN322" s="772">
        <v>65.85417279501371</v>
      </c>
      <c r="BO322" s="772">
        <v>66.11004601080829</v>
      </c>
      <c r="BP322" s="772">
        <v>66.36591922660287</v>
      </c>
      <c r="BQ322" s="772">
        <v>67.075273235132357</v>
      </c>
      <c r="BR322" s="772">
        <v>67.920419983039793</v>
      </c>
      <c r="BS322" s="772">
        <v>68.291507280779314</v>
      </c>
      <c r="BT322" s="772">
        <v>68.49529212741129</v>
      </c>
      <c r="BU322" s="772">
        <v>68.706330563933619</v>
      </c>
      <c r="BV322" s="772">
        <v>68.922446513379214</v>
      </c>
      <c r="BW322" s="771">
        <v>52.266376708580992</v>
      </c>
      <c r="BX322" s="771">
        <v>52.534117966217266</v>
      </c>
      <c r="BY322" s="771">
        <v>52.803230762987397</v>
      </c>
      <c r="BZ322" s="772">
        <v>52.979051921227708</v>
      </c>
      <c r="CA322" s="772">
        <v>53.154873079468011</v>
      </c>
      <c r="CB322" s="772">
        <v>53.330694237708336</v>
      </c>
      <c r="CC322" s="772">
        <v>53.506515395948639</v>
      </c>
      <c r="CD322" s="772">
        <v>53.714412383781735</v>
      </c>
      <c r="CE322" s="772">
        <v>53.922309371614837</v>
      </c>
      <c r="CF322" s="772">
        <v>54.498659503545049</v>
      </c>
      <c r="CG322" s="772">
        <v>55.185341236219834</v>
      </c>
      <c r="CH322" s="772">
        <v>55.486849665633194</v>
      </c>
      <c r="CI322" s="772">
        <v>55.65242485352168</v>
      </c>
      <c r="CJ322" s="772">
        <v>55.823893583196067</v>
      </c>
      <c r="CK322" s="772">
        <v>55.999487792120618</v>
      </c>
      <c r="CL322" s="771">
        <v>1.005122629011173</v>
      </c>
      <c r="CM322" s="771">
        <v>1.0102714993503321</v>
      </c>
      <c r="CN322" s="771">
        <v>1.0154467454420653</v>
      </c>
      <c r="CO322" s="772">
        <v>1.0188279215620712</v>
      </c>
      <c r="CP322" s="772">
        <v>1.022209097682077</v>
      </c>
      <c r="CQ322" s="772">
        <v>1.0255902738020832</v>
      </c>
      <c r="CR322" s="772">
        <v>1.0289714499220892</v>
      </c>
      <c r="CS322" s="772">
        <v>1.0329694689188795</v>
      </c>
      <c r="CT322" s="772">
        <v>1.0369674879156698</v>
      </c>
      <c r="CU322" s="772">
        <v>1.0480511442989431</v>
      </c>
      <c r="CV322" s="772">
        <v>1.0612565622349968</v>
      </c>
      <c r="CW322" s="772">
        <v>1.0670548012621768</v>
      </c>
      <c r="CX322" s="772">
        <v>1.0702389394908014</v>
      </c>
      <c r="CY322" s="772">
        <v>1.0735364150614628</v>
      </c>
      <c r="CZ322" s="772">
        <v>1.0769132267715502</v>
      </c>
      <c r="DA322" s="773">
        <v>0</v>
      </c>
      <c r="DB322" s="773">
        <v>0</v>
      </c>
      <c r="DC322" s="773">
        <v>0</v>
      </c>
      <c r="DD322" s="774">
        <v>0</v>
      </c>
      <c r="DE322" s="774">
        <v>0</v>
      </c>
      <c r="DF322" s="774">
        <v>0</v>
      </c>
      <c r="DG322" s="774">
        <v>0</v>
      </c>
      <c r="DH322" s="774">
        <v>0</v>
      </c>
      <c r="DI322" s="774">
        <v>0</v>
      </c>
      <c r="DJ322" s="774">
        <v>0</v>
      </c>
      <c r="DK322" s="774">
        <v>0</v>
      </c>
      <c r="DL322" s="774">
        <v>0</v>
      </c>
      <c r="DM322" s="774">
        <v>0</v>
      </c>
      <c r="DN322" s="774">
        <v>0</v>
      </c>
      <c r="DO322" s="774">
        <v>0</v>
      </c>
      <c r="DP322" s="773">
        <v>0</v>
      </c>
      <c r="DQ322" s="773">
        <v>0</v>
      </c>
      <c r="DR322" s="773">
        <v>0</v>
      </c>
      <c r="DS322" s="774">
        <v>0</v>
      </c>
      <c r="DT322" s="774">
        <v>0</v>
      </c>
      <c r="DU322" s="774">
        <v>0</v>
      </c>
      <c r="DV322" s="774">
        <v>0</v>
      </c>
      <c r="DW322" s="774">
        <v>0</v>
      </c>
      <c r="DX322" s="774">
        <v>0</v>
      </c>
      <c r="DY322" s="774">
        <v>0</v>
      </c>
      <c r="DZ322" s="774">
        <v>0</v>
      </c>
      <c r="EA322" s="774">
        <v>0</v>
      </c>
      <c r="EB322" s="774">
        <v>0</v>
      </c>
      <c r="EC322" s="774">
        <v>0</v>
      </c>
      <c r="ED322" s="774">
        <v>0</v>
      </c>
    </row>
    <row r="323" spans="1:134" ht="15" x14ac:dyDescent="0.25">
      <c r="A323" s="766">
        <v>102</v>
      </c>
      <c r="B323" s="766">
        <v>99</v>
      </c>
      <c r="C323" s="766" t="s">
        <v>3994</v>
      </c>
      <c r="D323" s="2">
        <v>99709</v>
      </c>
      <c r="E323" s="2">
        <v>99709</v>
      </c>
      <c r="F323" s="767" t="s">
        <v>3746</v>
      </c>
      <c r="G323" s="114">
        <v>87</v>
      </c>
      <c r="H323" s="114">
        <v>59</v>
      </c>
      <c r="I323" s="114">
        <v>46</v>
      </c>
      <c r="J323" s="114">
        <v>13</v>
      </c>
      <c r="K323" s="114">
        <v>1</v>
      </c>
      <c r="L323" s="114">
        <v>6</v>
      </c>
      <c r="M323" s="114">
        <v>7</v>
      </c>
      <c r="N323" s="114">
        <v>0</v>
      </c>
      <c r="O323" s="114">
        <v>0</v>
      </c>
      <c r="P323" s="114">
        <v>0</v>
      </c>
      <c r="Q323" s="114">
        <v>7</v>
      </c>
      <c r="R323" s="114">
        <v>5438</v>
      </c>
      <c r="S323" s="114">
        <v>914.16666666666663</v>
      </c>
      <c r="T323" s="114">
        <v>1560.4285714285713</v>
      </c>
      <c r="U323" s="114">
        <v>0</v>
      </c>
      <c r="V323" s="114">
        <v>0</v>
      </c>
      <c r="W323" s="114">
        <v>0</v>
      </c>
      <c r="X323" s="114">
        <v>1560.4285714285713</v>
      </c>
      <c r="Y323" s="114">
        <v>8.4285714285714288</v>
      </c>
      <c r="Z323" s="114">
        <v>50.571428571428569</v>
      </c>
      <c r="AA323" s="114">
        <v>0</v>
      </c>
      <c r="AB323" s="657">
        <v>0</v>
      </c>
      <c r="AC323" s="657">
        <v>0</v>
      </c>
      <c r="AD323" s="768">
        <v>59</v>
      </c>
      <c r="AE323" s="769">
        <v>6.5714285714285712</v>
      </c>
      <c r="AF323" s="769">
        <v>39.428571428571431</v>
      </c>
      <c r="AG323" s="770">
        <v>46</v>
      </c>
      <c r="AH323" s="769">
        <v>0</v>
      </c>
      <c r="AI323" s="769">
        <v>8.0253350436366606</v>
      </c>
      <c r="AJ323" s="769">
        <v>48.15201026181996</v>
      </c>
      <c r="AK323" s="769">
        <v>56.177345305456619</v>
      </c>
      <c r="AL323" s="769">
        <v>0</v>
      </c>
      <c r="AM323" s="769">
        <v>6.2688447041867015</v>
      </c>
      <c r="AN323" s="769">
        <v>37.613068225120209</v>
      </c>
      <c r="AO323" s="769">
        <v>43.881912929306907</v>
      </c>
      <c r="AP323" s="769">
        <v>0</v>
      </c>
      <c r="AQ323" s="769">
        <v>0</v>
      </c>
      <c r="AR323" s="769">
        <v>0</v>
      </c>
      <c r="AS323" s="769">
        <v>53.489730941839134</v>
      </c>
      <c r="AT323" s="769">
        <v>54.81706928882339</v>
      </c>
      <c r="AU323" s="769">
        <v>56.177345305456619</v>
      </c>
      <c r="AV323" s="769">
        <v>57.571376334268237</v>
      </c>
      <c r="AW323" s="769">
        <v>59</v>
      </c>
      <c r="AX323" s="769">
        <v>41.861353963810281</v>
      </c>
      <c r="AY323" s="769">
        <v>42.859728064265873</v>
      </c>
      <c r="AZ323" s="769">
        <v>43.881912929306914</v>
      </c>
      <c r="BA323" s="769">
        <v>44.928476434752575</v>
      </c>
      <c r="BB323" s="769">
        <v>46</v>
      </c>
      <c r="BC323" s="769">
        <v>0</v>
      </c>
      <c r="BD323" s="769">
        <v>0</v>
      </c>
      <c r="BE323" s="769">
        <v>0</v>
      </c>
      <c r="BF323" s="769">
        <v>0</v>
      </c>
      <c r="BG323" s="769">
        <v>0</v>
      </c>
      <c r="BH323" s="771">
        <v>59.302235111659208</v>
      </c>
      <c r="BI323" s="771">
        <v>59.606018461669592</v>
      </c>
      <c r="BJ323" s="771">
        <v>59.911357981081849</v>
      </c>
      <c r="BK323" s="772">
        <v>60.751977510461543</v>
      </c>
      <c r="BL323" s="772">
        <v>61.59259703984123</v>
      </c>
      <c r="BM323" s="772">
        <v>62.433216569220924</v>
      </c>
      <c r="BN323" s="772">
        <v>63.273836098600619</v>
      </c>
      <c r="BO323" s="772">
        <v>64.267813557404807</v>
      </c>
      <c r="BP323" s="772">
        <v>65.261791016209003</v>
      </c>
      <c r="BQ323" s="772">
        <v>68.017381876319774</v>
      </c>
      <c r="BR323" s="772">
        <v>71.300479773819319</v>
      </c>
      <c r="BS323" s="772">
        <v>72.742023422912169</v>
      </c>
      <c r="BT323" s="772">
        <v>73.53365588576699</v>
      </c>
      <c r="BU323" s="772">
        <v>74.353465994429882</v>
      </c>
      <c r="BV323" s="772">
        <v>75.19300045515844</v>
      </c>
      <c r="BW323" s="771">
        <v>46.23564093451396</v>
      </c>
      <c r="BX323" s="771">
        <v>46.472488970115279</v>
      </c>
      <c r="BY323" s="771">
        <v>46.710550290335</v>
      </c>
      <c r="BZ323" s="772">
        <v>47.36594856747849</v>
      </c>
      <c r="CA323" s="772">
        <v>48.021346844621981</v>
      </c>
      <c r="CB323" s="772">
        <v>48.676745121765464</v>
      </c>
      <c r="CC323" s="772">
        <v>49.332143398908954</v>
      </c>
      <c r="CD323" s="772">
        <v>50.107108875264757</v>
      </c>
      <c r="CE323" s="772">
        <v>50.882074351620574</v>
      </c>
      <c r="CF323" s="772">
        <v>53.030501123910327</v>
      </c>
      <c r="CG323" s="772">
        <v>55.590204569418447</v>
      </c>
      <c r="CH323" s="772">
        <v>56.714119956846773</v>
      </c>
      <c r="CI323" s="772">
        <v>57.331324927886122</v>
      </c>
      <c r="CJ323" s="772">
        <v>57.970498910911431</v>
      </c>
      <c r="CK323" s="772">
        <v>58.625051202326922</v>
      </c>
      <c r="CL323" s="771">
        <v>0</v>
      </c>
      <c r="CM323" s="771">
        <v>0</v>
      </c>
      <c r="CN323" s="771">
        <v>0</v>
      </c>
      <c r="CO323" s="772">
        <v>0</v>
      </c>
      <c r="CP323" s="772">
        <v>0</v>
      </c>
      <c r="CQ323" s="772">
        <v>0</v>
      </c>
      <c r="CR323" s="772">
        <v>0</v>
      </c>
      <c r="CS323" s="772">
        <v>0</v>
      </c>
      <c r="CT323" s="772">
        <v>0</v>
      </c>
      <c r="CU323" s="772">
        <v>0</v>
      </c>
      <c r="CV323" s="772">
        <v>0</v>
      </c>
      <c r="CW323" s="772">
        <v>0</v>
      </c>
      <c r="CX323" s="772">
        <v>0</v>
      </c>
      <c r="CY323" s="772">
        <v>0</v>
      </c>
      <c r="CZ323" s="772">
        <v>0</v>
      </c>
      <c r="DA323" s="773">
        <v>0</v>
      </c>
      <c r="DB323" s="773">
        <v>0</v>
      </c>
      <c r="DC323" s="773">
        <v>0</v>
      </c>
      <c r="DD323" s="774">
        <v>0</v>
      </c>
      <c r="DE323" s="774">
        <v>0</v>
      </c>
      <c r="DF323" s="774">
        <v>0</v>
      </c>
      <c r="DG323" s="774">
        <v>0</v>
      </c>
      <c r="DH323" s="774">
        <v>0</v>
      </c>
      <c r="DI323" s="774">
        <v>0</v>
      </c>
      <c r="DJ323" s="774">
        <v>0</v>
      </c>
      <c r="DK323" s="774">
        <v>0</v>
      </c>
      <c r="DL323" s="774">
        <v>0</v>
      </c>
      <c r="DM323" s="774">
        <v>0</v>
      </c>
      <c r="DN323" s="774">
        <v>0</v>
      </c>
      <c r="DO323" s="774">
        <v>0</v>
      </c>
      <c r="DP323" s="773">
        <v>0</v>
      </c>
      <c r="DQ323" s="773">
        <v>0</v>
      </c>
      <c r="DR323" s="773">
        <v>0</v>
      </c>
      <c r="DS323" s="774">
        <v>0</v>
      </c>
      <c r="DT323" s="774">
        <v>0</v>
      </c>
      <c r="DU323" s="774">
        <v>0</v>
      </c>
      <c r="DV323" s="774">
        <v>0</v>
      </c>
      <c r="DW323" s="774">
        <v>0</v>
      </c>
      <c r="DX323" s="774">
        <v>0</v>
      </c>
      <c r="DY323" s="774">
        <v>0</v>
      </c>
      <c r="DZ323" s="774">
        <v>0</v>
      </c>
      <c r="EA323" s="774">
        <v>0</v>
      </c>
      <c r="EB323" s="774">
        <v>0</v>
      </c>
      <c r="EC323" s="774">
        <v>0</v>
      </c>
      <c r="ED323" s="774">
        <v>0</v>
      </c>
    </row>
    <row r="324" spans="1:134" ht="15" x14ac:dyDescent="0.25">
      <c r="A324" s="766">
        <v>103</v>
      </c>
      <c r="B324" s="766">
        <v>99</v>
      </c>
      <c r="C324" s="766" t="s">
        <v>3995</v>
      </c>
      <c r="D324" s="2">
        <v>99709</v>
      </c>
      <c r="E324" s="2">
        <v>99709</v>
      </c>
      <c r="F324" s="767" t="s">
        <v>3746</v>
      </c>
      <c r="G324" s="114">
        <v>66</v>
      </c>
      <c r="H324" s="114">
        <v>36</v>
      </c>
      <c r="I324" s="114">
        <v>25</v>
      </c>
      <c r="J324" s="114">
        <v>11</v>
      </c>
      <c r="K324" s="114">
        <v>0</v>
      </c>
      <c r="L324" s="114">
        <v>38</v>
      </c>
      <c r="M324" s="114">
        <v>38</v>
      </c>
      <c r="N324" s="114">
        <v>1</v>
      </c>
      <c r="O324" s="114">
        <v>0</v>
      </c>
      <c r="P324" s="114">
        <v>0</v>
      </c>
      <c r="Q324" s="114">
        <v>39</v>
      </c>
      <c r="R324" s="114">
        <v>0</v>
      </c>
      <c r="S324" s="114">
        <v>1025.4736842105262</v>
      </c>
      <c r="T324" s="114">
        <v>1025.4736842105262</v>
      </c>
      <c r="U324" s="114">
        <v>640</v>
      </c>
      <c r="V324" s="114">
        <v>0</v>
      </c>
      <c r="W324" s="114">
        <v>0</v>
      </c>
      <c r="X324" s="114">
        <v>1015.5897435897435</v>
      </c>
      <c r="Y324" s="114">
        <v>0</v>
      </c>
      <c r="Z324" s="114">
        <v>36</v>
      </c>
      <c r="AA324" s="114">
        <v>0</v>
      </c>
      <c r="AB324" s="657">
        <v>1</v>
      </c>
      <c r="AC324" s="657">
        <v>0</v>
      </c>
      <c r="AD324" s="768">
        <v>37</v>
      </c>
      <c r="AE324" s="769">
        <v>0</v>
      </c>
      <c r="AF324" s="769">
        <v>25</v>
      </c>
      <c r="AG324" s="770">
        <v>25</v>
      </c>
      <c r="AH324" s="769">
        <v>0</v>
      </c>
      <c r="AI324" s="769">
        <v>0</v>
      </c>
      <c r="AJ324" s="769">
        <v>34.27770222027862</v>
      </c>
      <c r="AK324" s="769">
        <v>34.27770222027862</v>
      </c>
      <c r="AL324" s="769">
        <v>0</v>
      </c>
      <c r="AM324" s="769">
        <v>0</v>
      </c>
      <c r="AN324" s="769">
        <v>23.848865722449407</v>
      </c>
      <c r="AO324" s="769">
        <v>23.848865722449407</v>
      </c>
      <c r="AP324" s="769">
        <v>0</v>
      </c>
      <c r="AQ324" s="769">
        <v>0.95966573850124082</v>
      </c>
      <c r="AR324" s="769">
        <v>0</v>
      </c>
      <c r="AS324" s="769">
        <v>32.637801930613712</v>
      </c>
      <c r="AT324" s="769">
        <v>33.447703294875289</v>
      </c>
      <c r="AU324" s="769">
        <v>34.27770222027862</v>
      </c>
      <c r="AV324" s="769">
        <v>35.128297424299262</v>
      </c>
      <c r="AW324" s="769">
        <v>36</v>
      </c>
      <c r="AX324" s="769">
        <v>22.750735849896891</v>
      </c>
      <c r="AY324" s="769">
        <v>23.293330469709716</v>
      </c>
      <c r="AZ324" s="769">
        <v>23.848865722449407</v>
      </c>
      <c r="BA324" s="769">
        <v>24.417650236278575</v>
      </c>
      <c r="BB324" s="769">
        <v>25</v>
      </c>
      <c r="BC324" s="769">
        <v>0.92095832965313207</v>
      </c>
      <c r="BD324" s="769">
        <v>0.94011284192667122</v>
      </c>
      <c r="BE324" s="769">
        <v>0.95966573850124082</v>
      </c>
      <c r="BF324" s="769">
        <v>0.97962530515561963</v>
      </c>
      <c r="BG324" s="769">
        <v>1</v>
      </c>
      <c r="BH324" s="771">
        <v>36.184414644402224</v>
      </c>
      <c r="BI324" s="771">
        <v>36.369773976611953</v>
      </c>
      <c r="BJ324" s="771">
        <v>36.556082835914353</v>
      </c>
      <c r="BK324" s="772">
        <v>37.069003226722302</v>
      </c>
      <c r="BL324" s="772">
        <v>37.581923617530251</v>
      </c>
      <c r="BM324" s="772">
        <v>38.0948440083382</v>
      </c>
      <c r="BN324" s="772">
        <v>38.607764399146141</v>
      </c>
      <c r="BO324" s="772">
        <v>39.214259119772429</v>
      </c>
      <c r="BP324" s="772">
        <v>39.820753840398716</v>
      </c>
      <c r="BQ324" s="772">
        <v>41.502131314364611</v>
      </c>
      <c r="BR324" s="772">
        <v>43.505377489110096</v>
      </c>
      <c r="BS324" s="772">
        <v>44.384963444488783</v>
      </c>
      <c r="BT324" s="772">
        <v>44.867993421823932</v>
      </c>
      <c r="BU324" s="772">
        <v>45.368216538974167</v>
      </c>
      <c r="BV324" s="772">
        <v>45.88047485399499</v>
      </c>
      <c r="BW324" s="771">
        <v>25.128065725279324</v>
      </c>
      <c r="BX324" s="771">
        <v>25.256787483758302</v>
      </c>
      <c r="BY324" s="771">
        <v>25.386168636051632</v>
      </c>
      <c r="BZ324" s="772">
        <v>25.742363351890486</v>
      </c>
      <c r="CA324" s="772">
        <v>26.098558067729339</v>
      </c>
      <c r="CB324" s="772">
        <v>26.454752783568189</v>
      </c>
      <c r="CC324" s="772">
        <v>26.810947499407042</v>
      </c>
      <c r="CD324" s="772">
        <v>27.232124388730849</v>
      </c>
      <c r="CE324" s="772">
        <v>27.653301278054663</v>
      </c>
      <c r="CF324" s="772">
        <v>28.82092452386431</v>
      </c>
      <c r="CG324" s="772">
        <v>30.212067700770898</v>
      </c>
      <c r="CH324" s="772">
        <v>30.822891280894986</v>
      </c>
      <c r="CI324" s="772">
        <v>31.158328765155506</v>
      </c>
      <c r="CJ324" s="772">
        <v>31.50570592984317</v>
      </c>
      <c r="CK324" s="772">
        <v>31.861440870829849</v>
      </c>
      <c r="CL324" s="771">
        <v>1.005122629011173</v>
      </c>
      <c r="CM324" s="771">
        <v>1.0102714993503321</v>
      </c>
      <c r="CN324" s="771">
        <v>1.0154467454420653</v>
      </c>
      <c r="CO324" s="772">
        <v>1.0296945340756194</v>
      </c>
      <c r="CP324" s="772">
        <v>1.0439423227091735</v>
      </c>
      <c r="CQ324" s="772">
        <v>1.0581901113427277</v>
      </c>
      <c r="CR324" s="772">
        <v>1.0724378999762816</v>
      </c>
      <c r="CS324" s="772">
        <v>1.089284975549234</v>
      </c>
      <c r="CT324" s="772">
        <v>1.1061320511221864</v>
      </c>
      <c r="CU324" s="772">
        <v>1.1528369809545724</v>
      </c>
      <c r="CV324" s="772">
        <v>1.2084827080308358</v>
      </c>
      <c r="CW324" s="772">
        <v>1.2329156512357995</v>
      </c>
      <c r="CX324" s="772">
        <v>1.2463331506062201</v>
      </c>
      <c r="CY324" s="772">
        <v>1.2602282371937268</v>
      </c>
      <c r="CZ324" s="772">
        <v>1.274457634833194</v>
      </c>
      <c r="DA324" s="773">
        <v>0</v>
      </c>
      <c r="DB324" s="773">
        <v>0</v>
      </c>
      <c r="DC324" s="773">
        <v>0</v>
      </c>
      <c r="DD324" s="774">
        <v>0</v>
      </c>
      <c r="DE324" s="774">
        <v>0</v>
      </c>
      <c r="DF324" s="774">
        <v>0</v>
      </c>
      <c r="DG324" s="774">
        <v>0</v>
      </c>
      <c r="DH324" s="774">
        <v>0</v>
      </c>
      <c r="DI324" s="774">
        <v>0</v>
      </c>
      <c r="DJ324" s="774">
        <v>0</v>
      </c>
      <c r="DK324" s="774">
        <v>0</v>
      </c>
      <c r="DL324" s="774">
        <v>0</v>
      </c>
      <c r="DM324" s="774">
        <v>0</v>
      </c>
      <c r="DN324" s="774">
        <v>0</v>
      </c>
      <c r="DO324" s="774">
        <v>0</v>
      </c>
      <c r="DP324" s="773">
        <v>0</v>
      </c>
      <c r="DQ324" s="773">
        <v>0</v>
      </c>
      <c r="DR324" s="773">
        <v>0</v>
      </c>
      <c r="DS324" s="774">
        <v>0</v>
      </c>
      <c r="DT324" s="774">
        <v>0</v>
      </c>
      <c r="DU324" s="774">
        <v>0</v>
      </c>
      <c r="DV324" s="774">
        <v>0</v>
      </c>
      <c r="DW324" s="774">
        <v>0</v>
      </c>
      <c r="DX324" s="774">
        <v>0</v>
      </c>
      <c r="DY324" s="774">
        <v>0</v>
      </c>
      <c r="DZ324" s="774">
        <v>0</v>
      </c>
      <c r="EA324" s="774">
        <v>0</v>
      </c>
      <c r="EB324" s="774">
        <v>0</v>
      </c>
      <c r="EC324" s="774">
        <v>0</v>
      </c>
      <c r="ED324" s="774">
        <v>0</v>
      </c>
    </row>
    <row r="325" spans="1:134" ht="15" x14ac:dyDescent="0.25">
      <c r="A325" s="766">
        <v>104</v>
      </c>
      <c r="B325" s="766">
        <v>99</v>
      </c>
      <c r="C325" s="766" t="s">
        <v>3996</v>
      </c>
      <c r="D325" s="2">
        <v>99709</v>
      </c>
      <c r="E325" s="2">
        <v>99709</v>
      </c>
      <c r="F325" s="767" t="s">
        <v>3746</v>
      </c>
      <c r="G325" s="114">
        <v>191</v>
      </c>
      <c r="H325" s="114">
        <v>109</v>
      </c>
      <c r="I325" s="114">
        <v>103</v>
      </c>
      <c r="J325" s="114">
        <v>6</v>
      </c>
      <c r="K325" s="114">
        <v>0</v>
      </c>
      <c r="L325" s="114">
        <v>30</v>
      </c>
      <c r="M325" s="114">
        <v>30</v>
      </c>
      <c r="N325" s="114">
        <v>0</v>
      </c>
      <c r="O325" s="114">
        <v>0</v>
      </c>
      <c r="P325" s="114">
        <v>0</v>
      </c>
      <c r="Q325" s="114">
        <v>30</v>
      </c>
      <c r="R325" s="114">
        <v>0</v>
      </c>
      <c r="S325" s="114">
        <v>1000.6</v>
      </c>
      <c r="T325" s="114">
        <v>1000.6</v>
      </c>
      <c r="U325" s="114">
        <v>0</v>
      </c>
      <c r="V325" s="114">
        <v>0</v>
      </c>
      <c r="W325" s="114">
        <v>0</v>
      </c>
      <c r="X325" s="114">
        <v>1000.6</v>
      </c>
      <c r="Y325" s="114">
        <v>0</v>
      </c>
      <c r="Z325" s="114">
        <v>109</v>
      </c>
      <c r="AA325" s="114">
        <v>0</v>
      </c>
      <c r="AB325" s="657">
        <v>0</v>
      </c>
      <c r="AC325" s="657">
        <v>0</v>
      </c>
      <c r="AD325" s="768">
        <v>109</v>
      </c>
      <c r="AE325" s="769">
        <v>0</v>
      </c>
      <c r="AF325" s="769">
        <v>103</v>
      </c>
      <c r="AG325" s="770">
        <v>103</v>
      </c>
      <c r="AH325" s="769">
        <v>0</v>
      </c>
      <c r="AI325" s="769">
        <v>0</v>
      </c>
      <c r="AJ325" s="769">
        <v>103.7852650558436</v>
      </c>
      <c r="AK325" s="769">
        <v>103.7852650558436</v>
      </c>
      <c r="AL325" s="769">
        <v>0</v>
      </c>
      <c r="AM325" s="769">
        <v>0</v>
      </c>
      <c r="AN325" s="769">
        <v>98.257326776491567</v>
      </c>
      <c r="AO325" s="769">
        <v>98.257326776491567</v>
      </c>
      <c r="AP325" s="769">
        <v>0</v>
      </c>
      <c r="AQ325" s="769">
        <v>0</v>
      </c>
      <c r="AR325" s="769">
        <v>0</v>
      </c>
      <c r="AS325" s="769">
        <v>98.820011401024843</v>
      </c>
      <c r="AT325" s="769">
        <v>101.27221275392796</v>
      </c>
      <c r="AU325" s="769">
        <v>103.7852650558436</v>
      </c>
      <c r="AV325" s="769">
        <v>106.36067831246166</v>
      </c>
      <c r="AW325" s="769">
        <v>109</v>
      </c>
      <c r="AX325" s="769">
        <v>93.733031701575186</v>
      </c>
      <c r="AY325" s="769">
        <v>95.968521535204019</v>
      </c>
      <c r="AZ325" s="769">
        <v>98.257326776491567</v>
      </c>
      <c r="BA325" s="769">
        <v>100.60071897346774</v>
      </c>
      <c r="BB325" s="769">
        <v>103</v>
      </c>
      <c r="BC325" s="769">
        <v>0</v>
      </c>
      <c r="BD325" s="769">
        <v>0</v>
      </c>
      <c r="BE325" s="769">
        <v>0</v>
      </c>
      <c r="BF325" s="769">
        <v>0</v>
      </c>
      <c r="BG325" s="769">
        <v>0</v>
      </c>
      <c r="BH325" s="771">
        <v>109.55836656221786</v>
      </c>
      <c r="BI325" s="771">
        <v>110.1195934291862</v>
      </c>
      <c r="BJ325" s="771">
        <v>110.68369525318511</v>
      </c>
      <c r="BK325" s="772">
        <v>112.23670421424251</v>
      </c>
      <c r="BL325" s="772">
        <v>113.78971317529989</v>
      </c>
      <c r="BM325" s="772">
        <v>115.3427221363573</v>
      </c>
      <c r="BN325" s="772">
        <v>116.8957310974147</v>
      </c>
      <c r="BO325" s="772">
        <v>118.7320623348665</v>
      </c>
      <c r="BP325" s="772">
        <v>120.56839357231831</v>
      </c>
      <c r="BQ325" s="772">
        <v>125.65923092404837</v>
      </c>
      <c r="BR325" s="772">
        <v>131.72461517536109</v>
      </c>
      <c r="BS325" s="772">
        <v>134.38780598470214</v>
      </c>
      <c r="BT325" s="772">
        <v>135.850313416078</v>
      </c>
      <c r="BU325" s="772">
        <v>137.3648778541162</v>
      </c>
      <c r="BV325" s="772">
        <v>138.91588219681813</v>
      </c>
      <c r="BW325" s="771">
        <v>103.52763078815082</v>
      </c>
      <c r="BX325" s="771">
        <v>104.05796443308421</v>
      </c>
      <c r="BY325" s="771">
        <v>104.59101478053272</v>
      </c>
      <c r="BZ325" s="772">
        <v>106.05853700978879</v>
      </c>
      <c r="CA325" s="772">
        <v>107.52605923904487</v>
      </c>
      <c r="CB325" s="772">
        <v>108.99358146830093</v>
      </c>
      <c r="CC325" s="772">
        <v>110.46110369755701</v>
      </c>
      <c r="CD325" s="772">
        <v>112.1963524815711</v>
      </c>
      <c r="CE325" s="772">
        <v>113.9316012655852</v>
      </c>
      <c r="CF325" s="772">
        <v>118.74220903832095</v>
      </c>
      <c r="CG325" s="772">
        <v>124.47371892717609</v>
      </c>
      <c r="CH325" s="772">
        <v>126.99031207728734</v>
      </c>
      <c r="CI325" s="772">
        <v>128.37231451244068</v>
      </c>
      <c r="CJ325" s="772">
        <v>129.80350843095385</v>
      </c>
      <c r="CK325" s="772">
        <v>131.26913638781897</v>
      </c>
      <c r="CL325" s="771">
        <v>0</v>
      </c>
      <c r="CM325" s="771">
        <v>0</v>
      </c>
      <c r="CN325" s="771">
        <v>0</v>
      </c>
      <c r="CO325" s="772">
        <v>0</v>
      </c>
      <c r="CP325" s="772">
        <v>0</v>
      </c>
      <c r="CQ325" s="772">
        <v>0</v>
      </c>
      <c r="CR325" s="772">
        <v>0</v>
      </c>
      <c r="CS325" s="772">
        <v>0</v>
      </c>
      <c r="CT325" s="772">
        <v>0</v>
      </c>
      <c r="CU325" s="772">
        <v>0</v>
      </c>
      <c r="CV325" s="772">
        <v>0</v>
      </c>
      <c r="CW325" s="772">
        <v>0</v>
      </c>
      <c r="CX325" s="772">
        <v>0</v>
      </c>
      <c r="CY325" s="772">
        <v>0</v>
      </c>
      <c r="CZ325" s="772">
        <v>0</v>
      </c>
      <c r="DA325" s="773">
        <v>0</v>
      </c>
      <c r="DB325" s="773">
        <v>0</v>
      </c>
      <c r="DC325" s="773">
        <v>0</v>
      </c>
      <c r="DD325" s="774">
        <v>0</v>
      </c>
      <c r="DE325" s="774">
        <v>0</v>
      </c>
      <c r="DF325" s="774">
        <v>0</v>
      </c>
      <c r="DG325" s="774">
        <v>0</v>
      </c>
      <c r="DH325" s="774">
        <v>0</v>
      </c>
      <c r="DI325" s="774">
        <v>0</v>
      </c>
      <c r="DJ325" s="774">
        <v>0</v>
      </c>
      <c r="DK325" s="774">
        <v>0</v>
      </c>
      <c r="DL325" s="774">
        <v>0</v>
      </c>
      <c r="DM325" s="774">
        <v>0</v>
      </c>
      <c r="DN325" s="774">
        <v>0</v>
      </c>
      <c r="DO325" s="774">
        <v>0</v>
      </c>
      <c r="DP325" s="773">
        <v>0</v>
      </c>
      <c r="DQ325" s="773">
        <v>0</v>
      </c>
      <c r="DR325" s="773">
        <v>0</v>
      </c>
      <c r="DS325" s="774">
        <v>0</v>
      </c>
      <c r="DT325" s="774">
        <v>0</v>
      </c>
      <c r="DU325" s="774">
        <v>0</v>
      </c>
      <c r="DV325" s="774">
        <v>0</v>
      </c>
      <c r="DW325" s="774">
        <v>0</v>
      </c>
      <c r="DX325" s="774">
        <v>0</v>
      </c>
      <c r="DY325" s="774">
        <v>0</v>
      </c>
      <c r="DZ325" s="774">
        <v>0</v>
      </c>
      <c r="EA325" s="774">
        <v>0</v>
      </c>
      <c r="EB325" s="774">
        <v>0</v>
      </c>
      <c r="EC325" s="774">
        <v>0</v>
      </c>
      <c r="ED325" s="774">
        <v>0</v>
      </c>
    </row>
    <row r="326" spans="1:134" ht="15" x14ac:dyDescent="0.25">
      <c r="A326" s="766">
        <v>105</v>
      </c>
      <c r="B326" s="766">
        <v>99</v>
      </c>
      <c r="C326" s="766" t="s">
        <v>3997</v>
      </c>
      <c r="D326" s="2">
        <v>99709</v>
      </c>
      <c r="E326" s="2">
        <v>99709</v>
      </c>
      <c r="F326" s="767" t="s">
        <v>3746</v>
      </c>
      <c r="G326" s="114">
        <v>6</v>
      </c>
      <c r="H326" s="114">
        <v>4</v>
      </c>
      <c r="I326" s="114">
        <v>4</v>
      </c>
      <c r="J326" s="114">
        <v>0</v>
      </c>
      <c r="K326" s="114">
        <v>0</v>
      </c>
      <c r="L326" s="114">
        <v>32</v>
      </c>
      <c r="M326" s="114">
        <v>32</v>
      </c>
      <c r="N326" s="114">
        <v>0</v>
      </c>
      <c r="O326" s="114">
        <v>0</v>
      </c>
      <c r="P326" s="114">
        <v>0</v>
      </c>
      <c r="Q326" s="114">
        <v>32</v>
      </c>
      <c r="R326" s="114">
        <v>0</v>
      </c>
      <c r="S326" s="114">
        <v>2286.09375</v>
      </c>
      <c r="T326" s="114">
        <v>2286.09375</v>
      </c>
      <c r="U326" s="114">
        <v>0</v>
      </c>
      <c r="V326" s="114">
        <v>0</v>
      </c>
      <c r="W326" s="114">
        <v>0</v>
      </c>
      <c r="X326" s="114">
        <v>2286.09375</v>
      </c>
      <c r="Y326" s="114">
        <v>0</v>
      </c>
      <c r="Z326" s="114">
        <v>4</v>
      </c>
      <c r="AA326" s="114">
        <v>0</v>
      </c>
      <c r="AB326" s="657">
        <v>0</v>
      </c>
      <c r="AC326" s="657">
        <v>0</v>
      </c>
      <c r="AD326" s="768">
        <v>4</v>
      </c>
      <c r="AE326" s="769">
        <v>0</v>
      </c>
      <c r="AF326" s="769">
        <v>4</v>
      </c>
      <c r="AG326" s="770">
        <v>4</v>
      </c>
      <c r="AH326" s="769">
        <v>0</v>
      </c>
      <c r="AI326" s="769">
        <v>0</v>
      </c>
      <c r="AJ326" s="769">
        <v>3.8086335800309574</v>
      </c>
      <c r="AK326" s="769">
        <v>3.8086335800309574</v>
      </c>
      <c r="AL326" s="769">
        <v>0</v>
      </c>
      <c r="AM326" s="769">
        <v>0</v>
      </c>
      <c r="AN326" s="769">
        <v>3.8158185155919053</v>
      </c>
      <c r="AO326" s="769">
        <v>3.8158185155919053</v>
      </c>
      <c r="AP326" s="769">
        <v>0</v>
      </c>
      <c r="AQ326" s="769">
        <v>0</v>
      </c>
      <c r="AR326" s="769">
        <v>0</v>
      </c>
      <c r="AS326" s="769">
        <v>3.626422436734857</v>
      </c>
      <c r="AT326" s="769">
        <v>3.7164114772083656</v>
      </c>
      <c r="AU326" s="769">
        <v>3.8086335800309574</v>
      </c>
      <c r="AV326" s="769">
        <v>3.9031441582554733</v>
      </c>
      <c r="AW326" s="769">
        <v>4</v>
      </c>
      <c r="AX326" s="769">
        <v>3.6401177359835026</v>
      </c>
      <c r="AY326" s="769">
        <v>3.7269328751535542</v>
      </c>
      <c r="AZ326" s="769">
        <v>3.8158185155919053</v>
      </c>
      <c r="BA326" s="769">
        <v>3.9068240378045722</v>
      </c>
      <c r="BB326" s="769">
        <v>4</v>
      </c>
      <c r="BC326" s="769">
        <v>0</v>
      </c>
      <c r="BD326" s="769">
        <v>0</v>
      </c>
      <c r="BE326" s="769">
        <v>0</v>
      </c>
      <c r="BF326" s="769">
        <v>0</v>
      </c>
      <c r="BG326" s="769">
        <v>0</v>
      </c>
      <c r="BH326" s="771">
        <v>4.0869392935883955</v>
      </c>
      <c r="BI326" s="771">
        <v>4.1757681973692033</v>
      </c>
      <c r="BJ326" s="771">
        <v>4.2665277816862446</v>
      </c>
      <c r="BK326" s="772">
        <v>4.2961864392014961</v>
      </c>
      <c r="BL326" s="772">
        <v>4.3258450967167459</v>
      </c>
      <c r="BM326" s="772">
        <v>4.3555037542319965</v>
      </c>
      <c r="BN326" s="772">
        <v>4.3851624117472481</v>
      </c>
      <c r="BO326" s="772">
        <v>4.4202318290022884</v>
      </c>
      <c r="BP326" s="772">
        <v>4.4553012462573296</v>
      </c>
      <c r="BQ326" s="772">
        <v>4.5525237383786914</v>
      </c>
      <c r="BR326" s="772">
        <v>4.6683576831394475</v>
      </c>
      <c r="BS326" s="772">
        <v>4.7192180877427985</v>
      </c>
      <c r="BT326" s="772">
        <v>4.7471483882808911</v>
      </c>
      <c r="BU326" s="772">
        <v>4.7760728498126337</v>
      </c>
      <c r="BV326" s="772">
        <v>4.8056932240399295</v>
      </c>
      <c r="BW326" s="771">
        <v>4.0869392935883955</v>
      </c>
      <c r="BX326" s="771">
        <v>4.1757681973692033</v>
      </c>
      <c r="BY326" s="771">
        <v>4.2665277816862446</v>
      </c>
      <c r="BZ326" s="772">
        <v>4.2961864392014961</v>
      </c>
      <c r="CA326" s="772">
        <v>4.3258450967167459</v>
      </c>
      <c r="CB326" s="772">
        <v>4.3555037542319965</v>
      </c>
      <c r="CC326" s="772">
        <v>4.3851624117472481</v>
      </c>
      <c r="CD326" s="772">
        <v>4.4202318290022884</v>
      </c>
      <c r="CE326" s="772">
        <v>4.4553012462573296</v>
      </c>
      <c r="CF326" s="772">
        <v>4.5525237383786914</v>
      </c>
      <c r="CG326" s="772">
        <v>4.6683576831394475</v>
      </c>
      <c r="CH326" s="772">
        <v>4.7192180877427985</v>
      </c>
      <c r="CI326" s="772">
        <v>4.7471483882808911</v>
      </c>
      <c r="CJ326" s="772">
        <v>4.7760728498126337</v>
      </c>
      <c r="CK326" s="772">
        <v>4.8056932240399295</v>
      </c>
      <c r="CL326" s="771">
        <v>0</v>
      </c>
      <c r="CM326" s="771">
        <v>0</v>
      </c>
      <c r="CN326" s="771">
        <v>0</v>
      </c>
      <c r="CO326" s="772">
        <v>0</v>
      </c>
      <c r="CP326" s="772">
        <v>0</v>
      </c>
      <c r="CQ326" s="772">
        <v>0</v>
      </c>
      <c r="CR326" s="772">
        <v>0</v>
      </c>
      <c r="CS326" s="772">
        <v>0</v>
      </c>
      <c r="CT326" s="772">
        <v>0</v>
      </c>
      <c r="CU326" s="772">
        <v>0</v>
      </c>
      <c r="CV326" s="772">
        <v>0</v>
      </c>
      <c r="CW326" s="772">
        <v>0</v>
      </c>
      <c r="CX326" s="772">
        <v>0</v>
      </c>
      <c r="CY326" s="772">
        <v>0</v>
      </c>
      <c r="CZ326" s="772">
        <v>0</v>
      </c>
      <c r="DA326" s="773">
        <v>0</v>
      </c>
      <c r="DB326" s="773">
        <v>0</v>
      </c>
      <c r="DC326" s="773">
        <v>0</v>
      </c>
      <c r="DD326" s="774">
        <v>0</v>
      </c>
      <c r="DE326" s="774">
        <v>0</v>
      </c>
      <c r="DF326" s="774">
        <v>0</v>
      </c>
      <c r="DG326" s="774">
        <v>0</v>
      </c>
      <c r="DH326" s="774">
        <v>0</v>
      </c>
      <c r="DI326" s="774">
        <v>0</v>
      </c>
      <c r="DJ326" s="774">
        <v>0</v>
      </c>
      <c r="DK326" s="774">
        <v>0</v>
      </c>
      <c r="DL326" s="774">
        <v>0</v>
      </c>
      <c r="DM326" s="774">
        <v>0</v>
      </c>
      <c r="DN326" s="774">
        <v>0</v>
      </c>
      <c r="DO326" s="774">
        <v>0</v>
      </c>
      <c r="DP326" s="773">
        <v>0</v>
      </c>
      <c r="DQ326" s="773">
        <v>0</v>
      </c>
      <c r="DR326" s="773">
        <v>0</v>
      </c>
      <c r="DS326" s="774">
        <v>0</v>
      </c>
      <c r="DT326" s="774">
        <v>0</v>
      </c>
      <c r="DU326" s="774">
        <v>0</v>
      </c>
      <c r="DV326" s="774">
        <v>0</v>
      </c>
      <c r="DW326" s="774">
        <v>0</v>
      </c>
      <c r="DX326" s="774">
        <v>0</v>
      </c>
      <c r="DY326" s="774">
        <v>0</v>
      </c>
      <c r="DZ326" s="774">
        <v>0</v>
      </c>
      <c r="EA326" s="774">
        <v>0</v>
      </c>
      <c r="EB326" s="774">
        <v>0</v>
      </c>
      <c r="EC326" s="774">
        <v>0</v>
      </c>
      <c r="ED326" s="774">
        <v>0</v>
      </c>
    </row>
    <row r="327" spans="1:134" ht="15" x14ac:dyDescent="0.25">
      <c r="A327" s="766">
        <v>106</v>
      </c>
      <c r="B327" s="766">
        <v>99</v>
      </c>
      <c r="C327" s="766" t="s">
        <v>3998</v>
      </c>
      <c r="D327" s="2">
        <v>99709</v>
      </c>
      <c r="E327" s="2">
        <v>99709</v>
      </c>
      <c r="F327" s="767" t="s">
        <v>3746</v>
      </c>
      <c r="G327" s="114">
        <v>31</v>
      </c>
      <c r="H327" s="114">
        <v>15</v>
      </c>
      <c r="I327" s="114">
        <v>15</v>
      </c>
      <c r="J327" s="114">
        <v>0</v>
      </c>
      <c r="K327" s="114">
        <v>1</v>
      </c>
      <c r="L327" s="114">
        <v>74</v>
      </c>
      <c r="M327" s="114">
        <v>75</v>
      </c>
      <c r="N327" s="114">
        <v>0</v>
      </c>
      <c r="O327" s="114">
        <v>0</v>
      </c>
      <c r="P327" s="114">
        <v>0</v>
      </c>
      <c r="Q327" s="114">
        <v>75</v>
      </c>
      <c r="R327" s="114">
        <v>3378</v>
      </c>
      <c r="S327" s="114">
        <v>2221.8783783783783</v>
      </c>
      <c r="T327" s="114">
        <v>2237.2933333333335</v>
      </c>
      <c r="U327" s="114">
        <v>0</v>
      </c>
      <c r="V327" s="114">
        <v>0</v>
      </c>
      <c r="W327" s="114">
        <v>0</v>
      </c>
      <c r="X327" s="114">
        <v>2237.2933333333335</v>
      </c>
      <c r="Y327" s="114">
        <v>0.2</v>
      </c>
      <c r="Z327" s="114">
        <v>14.8</v>
      </c>
      <c r="AA327" s="114">
        <v>0</v>
      </c>
      <c r="AB327" s="657">
        <v>0</v>
      </c>
      <c r="AC327" s="657">
        <v>0</v>
      </c>
      <c r="AD327" s="768">
        <v>15</v>
      </c>
      <c r="AE327" s="769">
        <v>0.2</v>
      </c>
      <c r="AF327" s="769">
        <v>14.8</v>
      </c>
      <c r="AG327" s="770">
        <v>15</v>
      </c>
      <c r="AH327" s="769">
        <v>0</v>
      </c>
      <c r="AI327" s="769">
        <v>0.19043167900154789</v>
      </c>
      <c r="AJ327" s="769">
        <v>14.091944246114544</v>
      </c>
      <c r="AK327" s="769">
        <v>14.282375925116092</v>
      </c>
      <c r="AL327" s="769">
        <v>0</v>
      </c>
      <c r="AM327" s="769">
        <v>0.19079092577959528</v>
      </c>
      <c r="AN327" s="769">
        <v>14.11852850769005</v>
      </c>
      <c r="AO327" s="769">
        <v>14.309319433469645</v>
      </c>
      <c r="AP327" s="769">
        <v>0</v>
      </c>
      <c r="AQ327" s="769">
        <v>0</v>
      </c>
      <c r="AR327" s="769">
        <v>0</v>
      </c>
      <c r="AS327" s="769">
        <v>13.599084137755712</v>
      </c>
      <c r="AT327" s="769">
        <v>13.936543039531371</v>
      </c>
      <c r="AU327" s="769">
        <v>14.28237592511609</v>
      </c>
      <c r="AV327" s="769">
        <v>14.636790593458025</v>
      </c>
      <c r="AW327" s="769">
        <v>15</v>
      </c>
      <c r="AX327" s="769">
        <v>13.650441509938135</v>
      </c>
      <c r="AY327" s="769">
        <v>13.975998281825829</v>
      </c>
      <c r="AZ327" s="769">
        <v>14.309319433469645</v>
      </c>
      <c r="BA327" s="769">
        <v>14.650590141767145</v>
      </c>
      <c r="BB327" s="769">
        <v>15</v>
      </c>
      <c r="BC327" s="769">
        <v>0</v>
      </c>
      <c r="BD327" s="769">
        <v>0</v>
      </c>
      <c r="BE327" s="769">
        <v>0</v>
      </c>
      <c r="BF327" s="769">
        <v>0</v>
      </c>
      <c r="BG327" s="769">
        <v>0</v>
      </c>
      <c r="BH327" s="771">
        <v>15.158475978811119</v>
      </c>
      <c r="BI327" s="771">
        <v>15.318626266679576</v>
      </c>
      <c r="BJ327" s="771">
        <v>15.480468552789828</v>
      </c>
      <c r="BK327" s="772">
        <v>15.584110516551572</v>
      </c>
      <c r="BL327" s="772">
        <v>15.687752480313316</v>
      </c>
      <c r="BM327" s="772">
        <v>15.791394444075063</v>
      </c>
      <c r="BN327" s="772">
        <v>15.895036407836807</v>
      </c>
      <c r="BO327" s="772">
        <v>16.017586232299479</v>
      </c>
      <c r="BP327" s="772">
        <v>16.140136056762152</v>
      </c>
      <c r="BQ327" s="772">
        <v>16.479879350944888</v>
      </c>
      <c r="BR327" s="772">
        <v>16.884660231505677</v>
      </c>
      <c r="BS327" s="772">
        <v>17.062391546825584</v>
      </c>
      <c r="BT327" s="772">
        <v>17.159993779655416</v>
      </c>
      <c r="BU327" s="772">
        <v>17.261070100873237</v>
      </c>
      <c r="BV327" s="772">
        <v>17.364578283962643</v>
      </c>
      <c r="BW327" s="771">
        <v>15.158475978811119</v>
      </c>
      <c r="BX327" s="771">
        <v>15.318626266679576</v>
      </c>
      <c r="BY327" s="771">
        <v>15.480468552789828</v>
      </c>
      <c r="BZ327" s="772">
        <v>15.584110516551572</v>
      </c>
      <c r="CA327" s="772">
        <v>15.687752480313316</v>
      </c>
      <c r="CB327" s="772">
        <v>15.791394444075063</v>
      </c>
      <c r="CC327" s="772">
        <v>15.895036407836807</v>
      </c>
      <c r="CD327" s="772">
        <v>16.017586232299479</v>
      </c>
      <c r="CE327" s="772">
        <v>16.140136056762152</v>
      </c>
      <c r="CF327" s="772">
        <v>16.479879350944888</v>
      </c>
      <c r="CG327" s="772">
        <v>16.884660231505677</v>
      </c>
      <c r="CH327" s="772">
        <v>17.062391546825584</v>
      </c>
      <c r="CI327" s="772">
        <v>17.159993779655416</v>
      </c>
      <c r="CJ327" s="772">
        <v>17.261070100873237</v>
      </c>
      <c r="CK327" s="772">
        <v>17.364578283962643</v>
      </c>
      <c r="CL327" s="771">
        <v>0</v>
      </c>
      <c r="CM327" s="771">
        <v>0</v>
      </c>
      <c r="CN327" s="771">
        <v>0</v>
      </c>
      <c r="CO327" s="772">
        <v>0</v>
      </c>
      <c r="CP327" s="772">
        <v>0</v>
      </c>
      <c r="CQ327" s="772">
        <v>0</v>
      </c>
      <c r="CR327" s="772">
        <v>0</v>
      </c>
      <c r="CS327" s="772">
        <v>0</v>
      </c>
      <c r="CT327" s="772">
        <v>0</v>
      </c>
      <c r="CU327" s="772">
        <v>0</v>
      </c>
      <c r="CV327" s="772">
        <v>0</v>
      </c>
      <c r="CW327" s="772">
        <v>0</v>
      </c>
      <c r="CX327" s="772">
        <v>0</v>
      </c>
      <c r="CY327" s="772">
        <v>0</v>
      </c>
      <c r="CZ327" s="772">
        <v>0</v>
      </c>
      <c r="DA327" s="773">
        <v>0</v>
      </c>
      <c r="DB327" s="773">
        <v>0</v>
      </c>
      <c r="DC327" s="773">
        <v>0</v>
      </c>
      <c r="DD327" s="774">
        <v>0</v>
      </c>
      <c r="DE327" s="774">
        <v>0</v>
      </c>
      <c r="DF327" s="774">
        <v>0</v>
      </c>
      <c r="DG327" s="774">
        <v>0</v>
      </c>
      <c r="DH327" s="774">
        <v>0</v>
      </c>
      <c r="DI327" s="774">
        <v>0</v>
      </c>
      <c r="DJ327" s="774">
        <v>0</v>
      </c>
      <c r="DK327" s="774">
        <v>0</v>
      </c>
      <c r="DL327" s="774">
        <v>0</v>
      </c>
      <c r="DM327" s="774">
        <v>0</v>
      </c>
      <c r="DN327" s="774">
        <v>0</v>
      </c>
      <c r="DO327" s="774">
        <v>0</v>
      </c>
      <c r="DP327" s="773">
        <v>0</v>
      </c>
      <c r="DQ327" s="773">
        <v>0</v>
      </c>
      <c r="DR327" s="773">
        <v>0</v>
      </c>
      <c r="DS327" s="774">
        <v>0</v>
      </c>
      <c r="DT327" s="774">
        <v>0</v>
      </c>
      <c r="DU327" s="774">
        <v>0</v>
      </c>
      <c r="DV327" s="774">
        <v>0</v>
      </c>
      <c r="DW327" s="774">
        <v>0</v>
      </c>
      <c r="DX327" s="774">
        <v>0</v>
      </c>
      <c r="DY327" s="774">
        <v>0</v>
      </c>
      <c r="DZ327" s="774">
        <v>0</v>
      </c>
      <c r="EA327" s="774">
        <v>0</v>
      </c>
      <c r="EB327" s="774">
        <v>0</v>
      </c>
      <c r="EC327" s="774">
        <v>0</v>
      </c>
      <c r="ED327" s="774">
        <v>0</v>
      </c>
    </row>
    <row r="328" spans="1:134" ht="15" x14ac:dyDescent="0.25">
      <c r="A328" s="766">
        <v>107</v>
      </c>
      <c r="B328" s="766">
        <v>99</v>
      </c>
      <c r="C328" s="766" t="s">
        <v>3999</v>
      </c>
      <c r="D328" s="2">
        <v>99709</v>
      </c>
      <c r="E328" s="2">
        <v>99709</v>
      </c>
      <c r="F328" s="767" t="s">
        <v>3746</v>
      </c>
      <c r="G328" s="114">
        <v>1144</v>
      </c>
      <c r="H328" s="114">
        <v>473</v>
      </c>
      <c r="I328" s="114">
        <v>445</v>
      </c>
      <c r="J328" s="114">
        <v>28</v>
      </c>
      <c r="K328" s="114">
        <v>0</v>
      </c>
      <c r="L328" s="114">
        <v>57</v>
      </c>
      <c r="M328" s="114">
        <v>57</v>
      </c>
      <c r="N328" s="114">
        <v>0</v>
      </c>
      <c r="O328" s="114">
        <v>0</v>
      </c>
      <c r="P328" s="114">
        <v>0</v>
      </c>
      <c r="Q328" s="114">
        <v>57</v>
      </c>
      <c r="R328" s="114">
        <v>0</v>
      </c>
      <c r="S328" s="114">
        <v>2519.5438596491226</v>
      </c>
      <c r="T328" s="114">
        <v>2519.5438596491226</v>
      </c>
      <c r="U328" s="114">
        <v>0</v>
      </c>
      <c r="V328" s="114">
        <v>0</v>
      </c>
      <c r="W328" s="114">
        <v>0</v>
      </c>
      <c r="X328" s="114">
        <v>2519.5438596491226</v>
      </c>
      <c r="Y328" s="114">
        <v>0</v>
      </c>
      <c r="Z328" s="114">
        <v>473</v>
      </c>
      <c r="AA328" s="114">
        <v>0</v>
      </c>
      <c r="AB328" s="657">
        <v>0</v>
      </c>
      <c r="AC328" s="657">
        <v>0</v>
      </c>
      <c r="AD328" s="768">
        <v>473</v>
      </c>
      <c r="AE328" s="769">
        <v>0</v>
      </c>
      <c r="AF328" s="769">
        <v>445</v>
      </c>
      <c r="AG328" s="770">
        <v>445</v>
      </c>
      <c r="AH328" s="769">
        <v>0</v>
      </c>
      <c r="AI328" s="769">
        <v>0</v>
      </c>
      <c r="AJ328" s="769">
        <v>450.37092083866071</v>
      </c>
      <c r="AK328" s="769">
        <v>450.37092083866071</v>
      </c>
      <c r="AL328" s="769">
        <v>0</v>
      </c>
      <c r="AM328" s="769">
        <v>0</v>
      </c>
      <c r="AN328" s="769">
        <v>424.50980985959944</v>
      </c>
      <c r="AO328" s="769">
        <v>424.50980985959944</v>
      </c>
      <c r="AP328" s="769">
        <v>0</v>
      </c>
      <c r="AQ328" s="769">
        <v>0</v>
      </c>
      <c r="AR328" s="769">
        <v>0</v>
      </c>
      <c r="AS328" s="769">
        <v>428.82445314389679</v>
      </c>
      <c r="AT328" s="769">
        <v>439.46565717988921</v>
      </c>
      <c r="AU328" s="769">
        <v>450.37092083866071</v>
      </c>
      <c r="AV328" s="769">
        <v>461.54679671370974</v>
      </c>
      <c r="AW328" s="769">
        <v>473</v>
      </c>
      <c r="AX328" s="769">
        <v>404.96309812816469</v>
      </c>
      <c r="AY328" s="769">
        <v>414.62128236083288</v>
      </c>
      <c r="AZ328" s="769">
        <v>424.50980985959944</v>
      </c>
      <c r="BA328" s="769">
        <v>434.63417420575865</v>
      </c>
      <c r="BB328" s="769">
        <v>445</v>
      </c>
      <c r="BC328" s="769">
        <v>0</v>
      </c>
      <c r="BD328" s="769">
        <v>0</v>
      </c>
      <c r="BE328" s="769">
        <v>0</v>
      </c>
      <c r="BF328" s="769">
        <v>0</v>
      </c>
      <c r="BG328" s="769">
        <v>0</v>
      </c>
      <c r="BH328" s="771">
        <v>477.99727586517724</v>
      </c>
      <c r="BI328" s="771">
        <v>483.04734827596263</v>
      </c>
      <c r="BJ328" s="771">
        <v>488.1507750313059</v>
      </c>
      <c r="BK328" s="772">
        <v>491.41895162192623</v>
      </c>
      <c r="BL328" s="772">
        <v>494.68712821254655</v>
      </c>
      <c r="BM328" s="772">
        <v>497.955304803167</v>
      </c>
      <c r="BN328" s="772">
        <v>501.22348139378727</v>
      </c>
      <c r="BO328" s="772">
        <v>505.08788585851022</v>
      </c>
      <c r="BP328" s="772">
        <v>508.95229032323317</v>
      </c>
      <c r="BQ328" s="772">
        <v>519.66552886646207</v>
      </c>
      <c r="BR328" s="772">
        <v>532.42961930014565</v>
      </c>
      <c r="BS328" s="772">
        <v>538.03408010990006</v>
      </c>
      <c r="BT328" s="772">
        <v>541.1118038518008</v>
      </c>
      <c r="BU328" s="772">
        <v>544.2990771808694</v>
      </c>
      <c r="BV328" s="772">
        <v>547.56303522095527</v>
      </c>
      <c r="BW328" s="771">
        <v>449.70145403806316</v>
      </c>
      <c r="BX328" s="771">
        <v>454.45257924482746</v>
      </c>
      <c r="BY328" s="771">
        <v>459.25390039943159</v>
      </c>
      <c r="BZ328" s="772">
        <v>462.32861199102996</v>
      </c>
      <c r="CA328" s="772">
        <v>465.40332358262839</v>
      </c>
      <c r="CB328" s="772">
        <v>468.47803517422687</v>
      </c>
      <c r="CC328" s="772">
        <v>471.5527467658253</v>
      </c>
      <c r="CD328" s="772">
        <v>475.18839155821792</v>
      </c>
      <c r="CE328" s="772">
        <v>478.82403635061053</v>
      </c>
      <c r="CF328" s="772">
        <v>488.90308741136505</v>
      </c>
      <c r="CG328" s="772">
        <v>500.91158686800173</v>
      </c>
      <c r="CH328" s="772">
        <v>506.18428255582569</v>
      </c>
      <c r="CI328" s="772">
        <v>509.07981546311072</v>
      </c>
      <c r="CJ328" s="772">
        <v>512.07841299257268</v>
      </c>
      <c r="CK328" s="772">
        <v>515.14915575755845</v>
      </c>
      <c r="CL328" s="771">
        <v>0</v>
      </c>
      <c r="CM328" s="771">
        <v>0</v>
      </c>
      <c r="CN328" s="771">
        <v>0</v>
      </c>
      <c r="CO328" s="772">
        <v>0</v>
      </c>
      <c r="CP328" s="772">
        <v>0</v>
      </c>
      <c r="CQ328" s="772">
        <v>0</v>
      </c>
      <c r="CR328" s="772">
        <v>0</v>
      </c>
      <c r="CS328" s="772">
        <v>0</v>
      </c>
      <c r="CT328" s="772">
        <v>0</v>
      </c>
      <c r="CU328" s="772">
        <v>0</v>
      </c>
      <c r="CV328" s="772">
        <v>0</v>
      </c>
      <c r="CW328" s="772">
        <v>0</v>
      </c>
      <c r="CX328" s="772">
        <v>0</v>
      </c>
      <c r="CY328" s="772">
        <v>0</v>
      </c>
      <c r="CZ328" s="772">
        <v>0</v>
      </c>
      <c r="DA328" s="773">
        <v>0</v>
      </c>
      <c r="DB328" s="773">
        <v>0</v>
      </c>
      <c r="DC328" s="773">
        <v>0</v>
      </c>
      <c r="DD328" s="774">
        <v>0</v>
      </c>
      <c r="DE328" s="774">
        <v>0</v>
      </c>
      <c r="DF328" s="774">
        <v>0</v>
      </c>
      <c r="DG328" s="774">
        <v>0</v>
      </c>
      <c r="DH328" s="774">
        <v>0</v>
      </c>
      <c r="DI328" s="774">
        <v>0</v>
      </c>
      <c r="DJ328" s="774">
        <v>0</v>
      </c>
      <c r="DK328" s="774">
        <v>0</v>
      </c>
      <c r="DL328" s="774">
        <v>0</v>
      </c>
      <c r="DM328" s="774">
        <v>0</v>
      </c>
      <c r="DN328" s="774">
        <v>0</v>
      </c>
      <c r="DO328" s="774">
        <v>0</v>
      </c>
      <c r="DP328" s="773">
        <v>0</v>
      </c>
      <c r="DQ328" s="773">
        <v>0</v>
      </c>
      <c r="DR328" s="773">
        <v>0</v>
      </c>
      <c r="DS328" s="774">
        <v>0</v>
      </c>
      <c r="DT328" s="774">
        <v>0</v>
      </c>
      <c r="DU328" s="774">
        <v>0</v>
      </c>
      <c r="DV328" s="774">
        <v>0</v>
      </c>
      <c r="DW328" s="774">
        <v>0</v>
      </c>
      <c r="DX328" s="774">
        <v>0</v>
      </c>
      <c r="DY328" s="774">
        <v>0</v>
      </c>
      <c r="DZ328" s="774">
        <v>0</v>
      </c>
      <c r="EA328" s="774">
        <v>0</v>
      </c>
      <c r="EB328" s="774">
        <v>0</v>
      </c>
      <c r="EC328" s="774">
        <v>0</v>
      </c>
      <c r="ED328" s="774">
        <v>0</v>
      </c>
    </row>
    <row r="329" spans="1:134" ht="15" x14ac:dyDescent="0.25">
      <c r="A329" s="766">
        <v>108</v>
      </c>
      <c r="B329" s="766">
        <v>99</v>
      </c>
      <c r="C329" s="766" t="s">
        <v>4000</v>
      </c>
      <c r="D329" s="2">
        <v>99709</v>
      </c>
      <c r="E329" s="2">
        <v>99709</v>
      </c>
      <c r="F329" s="767" t="s">
        <v>3746</v>
      </c>
      <c r="G329" s="114">
        <v>262</v>
      </c>
      <c r="H329" s="114">
        <v>130</v>
      </c>
      <c r="I329" s="114">
        <v>121</v>
      </c>
      <c r="J329" s="114">
        <v>9</v>
      </c>
      <c r="K329" s="114">
        <v>0</v>
      </c>
      <c r="L329" s="114">
        <v>121</v>
      </c>
      <c r="M329" s="114">
        <v>121</v>
      </c>
      <c r="N329" s="114">
        <v>0</v>
      </c>
      <c r="O329" s="114">
        <v>0</v>
      </c>
      <c r="P329" s="114">
        <v>0</v>
      </c>
      <c r="Q329" s="114">
        <v>121</v>
      </c>
      <c r="R329" s="114">
        <v>0</v>
      </c>
      <c r="S329" s="114">
        <v>1808.7603305785124</v>
      </c>
      <c r="T329" s="114">
        <v>1808.7603305785124</v>
      </c>
      <c r="U329" s="114">
        <v>0</v>
      </c>
      <c r="V329" s="114">
        <v>0</v>
      </c>
      <c r="W329" s="114">
        <v>0</v>
      </c>
      <c r="X329" s="114">
        <v>1808.7603305785124</v>
      </c>
      <c r="Y329" s="114">
        <v>0</v>
      </c>
      <c r="Z329" s="114">
        <v>130</v>
      </c>
      <c r="AA329" s="114">
        <v>0</v>
      </c>
      <c r="AB329" s="657">
        <v>0</v>
      </c>
      <c r="AC329" s="657">
        <v>0</v>
      </c>
      <c r="AD329" s="768">
        <v>130</v>
      </c>
      <c r="AE329" s="769">
        <v>0</v>
      </c>
      <c r="AF329" s="769">
        <v>121</v>
      </c>
      <c r="AG329" s="770">
        <v>121</v>
      </c>
      <c r="AH329" s="769">
        <v>0</v>
      </c>
      <c r="AI329" s="769">
        <v>0</v>
      </c>
      <c r="AJ329" s="769">
        <v>123.78059135100611</v>
      </c>
      <c r="AK329" s="769">
        <v>123.78059135100611</v>
      </c>
      <c r="AL329" s="769">
        <v>0</v>
      </c>
      <c r="AM329" s="769">
        <v>0</v>
      </c>
      <c r="AN329" s="769">
        <v>115.42851009665513</v>
      </c>
      <c r="AO329" s="769">
        <v>115.42851009665513</v>
      </c>
      <c r="AP329" s="769">
        <v>0</v>
      </c>
      <c r="AQ329" s="769">
        <v>0</v>
      </c>
      <c r="AR329" s="769">
        <v>0</v>
      </c>
      <c r="AS329" s="769">
        <v>117.85872919388285</v>
      </c>
      <c r="AT329" s="769">
        <v>120.78337300927187</v>
      </c>
      <c r="AU329" s="769">
        <v>123.78059135100611</v>
      </c>
      <c r="AV329" s="769">
        <v>126.85218514330289</v>
      </c>
      <c r="AW329" s="769">
        <v>130</v>
      </c>
      <c r="AX329" s="769">
        <v>110.11356151350095</v>
      </c>
      <c r="AY329" s="769">
        <v>112.73971947339501</v>
      </c>
      <c r="AZ329" s="769">
        <v>115.42851009665513</v>
      </c>
      <c r="BA329" s="769">
        <v>118.18142714358831</v>
      </c>
      <c r="BB329" s="769">
        <v>121</v>
      </c>
      <c r="BC329" s="769">
        <v>0</v>
      </c>
      <c r="BD329" s="769">
        <v>0</v>
      </c>
      <c r="BE329" s="769">
        <v>0</v>
      </c>
      <c r="BF329" s="769">
        <v>0</v>
      </c>
      <c r="BG329" s="769">
        <v>0</v>
      </c>
      <c r="BH329" s="771">
        <v>131.37345848302968</v>
      </c>
      <c r="BI329" s="771">
        <v>132.76142764455633</v>
      </c>
      <c r="BJ329" s="771">
        <v>134.16406079084518</v>
      </c>
      <c r="BK329" s="772">
        <v>135.70910540451001</v>
      </c>
      <c r="BL329" s="772">
        <v>137.25415001817487</v>
      </c>
      <c r="BM329" s="772">
        <v>138.7991946318397</v>
      </c>
      <c r="BN329" s="772">
        <v>140.34423924550455</v>
      </c>
      <c r="BO329" s="772">
        <v>142.17115316453155</v>
      </c>
      <c r="BP329" s="772">
        <v>143.99806708355854</v>
      </c>
      <c r="BQ329" s="772">
        <v>149.06279692515511</v>
      </c>
      <c r="BR329" s="772">
        <v>155.09707586512832</v>
      </c>
      <c r="BS329" s="772">
        <v>157.74660894466217</v>
      </c>
      <c r="BT329" s="772">
        <v>159.20161615064347</v>
      </c>
      <c r="BU329" s="772">
        <v>160.70841339761233</v>
      </c>
      <c r="BV329" s="772">
        <v>162.25146367327255</v>
      </c>
      <c r="BW329" s="771">
        <v>122.27837289574302</v>
      </c>
      <c r="BX329" s="771">
        <v>123.57025188454858</v>
      </c>
      <c r="BY329" s="771">
        <v>124.87577965917127</v>
      </c>
      <c r="BZ329" s="772">
        <v>126.31385964573624</v>
      </c>
      <c r="CA329" s="772">
        <v>127.7519396323012</v>
      </c>
      <c r="CB329" s="772">
        <v>129.19001961886616</v>
      </c>
      <c r="CC329" s="772">
        <v>130.62809960543115</v>
      </c>
      <c r="CD329" s="772">
        <v>132.32853486852551</v>
      </c>
      <c r="CE329" s="772">
        <v>134.02897013161984</v>
      </c>
      <c r="CF329" s="772">
        <v>138.74306483033666</v>
      </c>
      <c r="CG329" s="772">
        <v>144.3595859975425</v>
      </c>
      <c r="CH329" s="772">
        <v>146.82568986387784</v>
      </c>
      <c r="CI329" s="772">
        <v>148.17996580175276</v>
      </c>
      <c r="CJ329" s="772">
        <v>149.58244631623916</v>
      </c>
      <c r="CK329" s="772">
        <v>151.01867003435368</v>
      </c>
      <c r="CL329" s="771">
        <v>0</v>
      </c>
      <c r="CM329" s="771">
        <v>0</v>
      </c>
      <c r="CN329" s="771">
        <v>0</v>
      </c>
      <c r="CO329" s="772">
        <v>0</v>
      </c>
      <c r="CP329" s="772">
        <v>0</v>
      </c>
      <c r="CQ329" s="772">
        <v>0</v>
      </c>
      <c r="CR329" s="772">
        <v>0</v>
      </c>
      <c r="CS329" s="772">
        <v>0</v>
      </c>
      <c r="CT329" s="772">
        <v>0</v>
      </c>
      <c r="CU329" s="772">
        <v>0</v>
      </c>
      <c r="CV329" s="772">
        <v>0</v>
      </c>
      <c r="CW329" s="772">
        <v>0</v>
      </c>
      <c r="CX329" s="772">
        <v>0</v>
      </c>
      <c r="CY329" s="772">
        <v>0</v>
      </c>
      <c r="CZ329" s="772">
        <v>0</v>
      </c>
      <c r="DA329" s="773">
        <v>0</v>
      </c>
      <c r="DB329" s="773">
        <v>0</v>
      </c>
      <c r="DC329" s="773">
        <v>0</v>
      </c>
      <c r="DD329" s="774">
        <v>0</v>
      </c>
      <c r="DE329" s="774">
        <v>0</v>
      </c>
      <c r="DF329" s="774">
        <v>0</v>
      </c>
      <c r="DG329" s="774">
        <v>0</v>
      </c>
      <c r="DH329" s="774">
        <v>0</v>
      </c>
      <c r="DI329" s="774">
        <v>0</v>
      </c>
      <c r="DJ329" s="774">
        <v>0</v>
      </c>
      <c r="DK329" s="774">
        <v>0</v>
      </c>
      <c r="DL329" s="774">
        <v>0</v>
      </c>
      <c r="DM329" s="774">
        <v>0</v>
      </c>
      <c r="DN329" s="774">
        <v>0</v>
      </c>
      <c r="DO329" s="774">
        <v>0</v>
      </c>
      <c r="DP329" s="773">
        <v>0</v>
      </c>
      <c r="DQ329" s="773">
        <v>0</v>
      </c>
      <c r="DR329" s="773">
        <v>0</v>
      </c>
      <c r="DS329" s="774">
        <v>0</v>
      </c>
      <c r="DT329" s="774">
        <v>0</v>
      </c>
      <c r="DU329" s="774">
        <v>0</v>
      </c>
      <c r="DV329" s="774">
        <v>0</v>
      </c>
      <c r="DW329" s="774">
        <v>0</v>
      </c>
      <c r="DX329" s="774">
        <v>0</v>
      </c>
      <c r="DY329" s="774">
        <v>0</v>
      </c>
      <c r="DZ329" s="774">
        <v>0</v>
      </c>
      <c r="EA329" s="774">
        <v>0</v>
      </c>
      <c r="EB329" s="774">
        <v>0</v>
      </c>
      <c r="EC329" s="774">
        <v>0</v>
      </c>
      <c r="ED329" s="774">
        <v>0</v>
      </c>
    </row>
    <row r="330" spans="1:134" ht="15" x14ac:dyDescent="0.25">
      <c r="A330" s="766">
        <v>109</v>
      </c>
      <c r="B330" s="766">
        <v>99</v>
      </c>
      <c r="C330" s="766" t="s">
        <v>4001</v>
      </c>
      <c r="D330" s="2">
        <v>99712</v>
      </c>
      <c r="E330" s="2">
        <v>99712</v>
      </c>
      <c r="F330" s="767" t="s">
        <v>3746</v>
      </c>
      <c r="G330" s="114">
        <v>178</v>
      </c>
      <c r="H330" s="114">
        <v>89</v>
      </c>
      <c r="I330" s="114">
        <v>77</v>
      </c>
      <c r="J330" s="114">
        <v>12</v>
      </c>
      <c r="K330" s="114">
        <v>0</v>
      </c>
      <c r="L330" s="114">
        <v>134</v>
      </c>
      <c r="M330" s="114">
        <v>134</v>
      </c>
      <c r="N330" s="114">
        <v>3</v>
      </c>
      <c r="O330" s="114">
        <v>0</v>
      </c>
      <c r="P330" s="114">
        <v>0</v>
      </c>
      <c r="Q330" s="114">
        <v>137</v>
      </c>
      <c r="R330" s="114">
        <v>0</v>
      </c>
      <c r="S330" s="114">
        <v>2028.2388059701493</v>
      </c>
      <c r="T330" s="114">
        <v>2028.2388059701493</v>
      </c>
      <c r="U330" s="114">
        <v>4921.666666666667</v>
      </c>
      <c r="V330" s="114">
        <v>0</v>
      </c>
      <c r="W330" s="114">
        <v>0</v>
      </c>
      <c r="X330" s="114">
        <v>2091.5985401459852</v>
      </c>
      <c r="Y330" s="114">
        <v>0</v>
      </c>
      <c r="Z330" s="114">
        <v>89</v>
      </c>
      <c r="AA330" s="114">
        <v>0</v>
      </c>
      <c r="AB330" s="657">
        <v>3</v>
      </c>
      <c r="AC330" s="657">
        <v>0</v>
      </c>
      <c r="AD330" s="768">
        <v>92</v>
      </c>
      <c r="AE330" s="769">
        <v>0</v>
      </c>
      <c r="AF330" s="769">
        <v>77</v>
      </c>
      <c r="AG330" s="770">
        <v>77</v>
      </c>
      <c r="AH330" s="769">
        <v>0</v>
      </c>
      <c r="AI330" s="769">
        <v>0</v>
      </c>
      <c r="AJ330" s="769">
        <v>80.911167817970707</v>
      </c>
      <c r="AK330" s="769">
        <v>80.911167817970707</v>
      </c>
      <c r="AL330" s="769">
        <v>0</v>
      </c>
      <c r="AM330" s="769">
        <v>0</v>
      </c>
      <c r="AN330" s="769">
        <v>70.258966499869018</v>
      </c>
      <c r="AO330" s="769">
        <v>70.258966499869018</v>
      </c>
      <c r="AP330" s="769">
        <v>0</v>
      </c>
      <c r="AQ330" s="769">
        <v>2.7895240524415161</v>
      </c>
      <c r="AR330" s="769">
        <v>0</v>
      </c>
      <c r="AS330" s="769">
        <v>73.557495254694587</v>
      </c>
      <c r="AT330" s="769">
        <v>77.146761713128171</v>
      </c>
      <c r="AU330" s="769">
        <v>80.911167817970707</v>
      </c>
      <c r="AV330" s="769">
        <v>84.859259576073327</v>
      </c>
      <c r="AW330" s="769">
        <v>89</v>
      </c>
      <c r="AX330" s="769">
        <v>64.108082774411898</v>
      </c>
      <c r="AY330" s="769">
        <v>67.113095890580368</v>
      </c>
      <c r="AZ330" s="769">
        <v>70.258966499869018</v>
      </c>
      <c r="BA330" s="769">
        <v>73.552297180237105</v>
      </c>
      <c r="BB330" s="769">
        <v>77</v>
      </c>
      <c r="BC330" s="769">
        <v>2.5938148130499128</v>
      </c>
      <c r="BD330" s="769">
        <v>2.6898901108747597</v>
      </c>
      <c r="BE330" s="769">
        <v>2.7895240524415161</v>
      </c>
      <c r="BF330" s="769">
        <v>2.8928484504592613</v>
      </c>
      <c r="BG330" s="769">
        <v>3</v>
      </c>
      <c r="BH330" s="771">
        <v>91.182071322655347</v>
      </c>
      <c r="BI330" s="771">
        <v>93.417641917863008</v>
      </c>
      <c r="BJ330" s="771">
        <v>95.708023462346759</v>
      </c>
      <c r="BK330" s="772">
        <v>97.094102164325164</v>
      </c>
      <c r="BL330" s="772">
        <v>98.48018086630357</v>
      </c>
      <c r="BM330" s="772">
        <v>99.866259568282004</v>
      </c>
      <c r="BN330" s="772">
        <v>101.25233827026041</v>
      </c>
      <c r="BO330" s="772">
        <v>102.89128542499969</v>
      </c>
      <c r="BP330" s="772">
        <v>104.53023257973895</v>
      </c>
      <c r="BQ330" s="772">
        <v>109.07386459050649</v>
      </c>
      <c r="BR330" s="772">
        <v>114.48729113270475</v>
      </c>
      <c r="BS330" s="772">
        <v>116.86422014773046</v>
      </c>
      <c r="BT330" s="772">
        <v>118.16952517361712</v>
      </c>
      <c r="BU330" s="772">
        <v>119.52129168815759</v>
      </c>
      <c r="BV330" s="772">
        <v>120.90558124475581</v>
      </c>
      <c r="BW330" s="771">
        <v>78.887859458926542</v>
      </c>
      <c r="BX330" s="771">
        <v>80.822004805342146</v>
      </c>
      <c r="BY330" s="771">
        <v>82.803570860682029</v>
      </c>
      <c r="BZ330" s="772">
        <v>84.002762546663348</v>
      </c>
      <c r="CA330" s="772">
        <v>85.201954232644667</v>
      </c>
      <c r="CB330" s="772">
        <v>86.401145918626</v>
      </c>
      <c r="CC330" s="772">
        <v>87.600337604607319</v>
      </c>
      <c r="CD330" s="772">
        <v>89.018303120505351</v>
      </c>
      <c r="CE330" s="772">
        <v>90.436268636403369</v>
      </c>
      <c r="CF330" s="772">
        <v>94.367276106393263</v>
      </c>
      <c r="CG330" s="772">
        <v>99.050802440654678</v>
      </c>
      <c r="CH330" s="772">
        <v>101.10724664466569</v>
      </c>
      <c r="CI330" s="772">
        <v>102.23655548728672</v>
      </c>
      <c r="CJ330" s="772">
        <v>103.4060613481813</v>
      </c>
      <c r="CK330" s="772">
        <v>104.60370512186738</v>
      </c>
      <c r="CL330" s="771">
        <v>3.073552965932203</v>
      </c>
      <c r="CM330" s="771">
        <v>3.1489092781302137</v>
      </c>
      <c r="CN330" s="771">
        <v>3.2261131504161833</v>
      </c>
      <c r="CO330" s="772">
        <v>3.2728349044154554</v>
      </c>
      <c r="CP330" s="772">
        <v>3.3195566584147276</v>
      </c>
      <c r="CQ330" s="772">
        <v>3.3662784124140006</v>
      </c>
      <c r="CR330" s="772">
        <v>3.4130001664132728</v>
      </c>
      <c r="CS330" s="772">
        <v>3.4682455761235857</v>
      </c>
      <c r="CT330" s="772">
        <v>3.5234909858338979</v>
      </c>
      <c r="CU330" s="772">
        <v>3.6766471210283092</v>
      </c>
      <c r="CV330" s="772">
        <v>3.8591221730125205</v>
      </c>
      <c r="CW330" s="772">
        <v>3.9392433757661962</v>
      </c>
      <c r="CX330" s="772">
        <v>3.9832424215826001</v>
      </c>
      <c r="CY330" s="772">
        <v>4.0288075849940768</v>
      </c>
      <c r="CZ330" s="772">
        <v>4.0754690307221058</v>
      </c>
      <c r="DA330" s="773">
        <v>0</v>
      </c>
      <c r="DB330" s="773">
        <v>0</v>
      </c>
      <c r="DC330" s="773">
        <v>0</v>
      </c>
      <c r="DD330" s="774">
        <v>0</v>
      </c>
      <c r="DE330" s="774">
        <v>0</v>
      </c>
      <c r="DF330" s="774">
        <v>0</v>
      </c>
      <c r="DG330" s="774">
        <v>0</v>
      </c>
      <c r="DH330" s="774">
        <v>0</v>
      </c>
      <c r="DI330" s="774">
        <v>0</v>
      </c>
      <c r="DJ330" s="774">
        <v>0</v>
      </c>
      <c r="DK330" s="774">
        <v>0</v>
      </c>
      <c r="DL330" s="774">
        <v>0</v>
      </c>
      <c r="DM330" s="774">
        <v>0</v>
      </c>
      <c r="DN330" s="774">
        <v>0</v>
      </c>
      <c r="DO330" s="774">
        <v>0</v>
      </c>
      <c r="DP330" s="773">
        <v>0</v>
      </c>
      <c r="DQ330" s="773">
        <v>0</v>
      </c>
      <c r="DR330" s="773">
        <v>0</v>
      </c>
      <c r="DS330" s="774">
        <v>0</v>
      </c>
      <c r="DT330" s="774">
        <v>0</v>
      </c>
      <c r="DU330" s="774">
        <v>0</v>
      </c>
      <c r="DV330" s="774">
        <v>0</v>
      </c>
      <c r="DW330" s="774">
        <v>0</v>
      </c>
      <c r="DX330" s="774">
        <v>0</v>
      </c>
      <c r="DY330" s="774">
        <v>0</v>
      </c>
      <c r="DZ330" s="774">
        <v>0</v>
      </c>
      <c r="EA330" s="774">
        <v>0</v>
      </c>
      <c r="EB330" s="774">
        <v>0</v>
      </c>
      <c r="EC330" s="774">
        <v>0</v>
      </c>
      <c r="ED330" s="774">
        <v>0</v>
      </c>
    </row>
    <row r="331" spans="1:134" ht="15" x14ac:dyDescent="0.25">
      <c r="A331" s="766">
        <v>110</v>
      </c>
      <c r="B331" s="766">
        <v>99</v>
      </c>
      <c r="C331" s="766" t="s">
        <v>4002</v>
      </c>
      <c r="D331" s="2">
        <v>99712</v>
      </c>
      <c r="E331" s="2">
        <v>99712</v>
      </c>
      <c r="F331" s="767" t="s">
        <v>3746</v>
      </c>
      <c r="G331" s="114">
        <v>394</v>
      </c>
      <c r="H331" s="114">
        <v>168</v>
      </c>
      <c r="I331" s="114">
        <v>160</v>
      </c>
      <c r="J331" s="114">
        <v>8</v>
      </c>
      <c r="K331" s="114">
        <v>0</v>
      </c>
      <c r="L331" s="114">
        <v>62</v>
      </c>
      <c r="M331" s="114">
        <v>62</v>
      </c>
      <c r="N331" s="114">
        <v>0</v>
      </c>
      <c r="O331" s="114">
        <v>0</v>
      </c>
      <c r="P331" s="114">
        <v>0</v>
      </c>
      <c r="Q331" s="114">
        <v>62</v>
      </c>
      <c r="R331" s="114">
        <v>0</v>
      </c>
      <c r="S331" s="114">
        <v>2454.983870967742</v>
      </c>
      <c r="T331" s="114">
        <v>2454.983870967742</v>
      </c>
      <c r="U331" s="114">
        <v>0</v>
      </c>
      <c r="V331" s="114">
        <v>0</v>
      </c>
      <c r="W331" s="114">
        <v>0</v>
      </c>
      <c r="X331" s="114">
        <v>2454.983870967742</v>
      </c>
      <c r="Y331" s="114">
        <v>0</v>
      </c>
      <c r="Z331" s="114">
        <v>168</v>
      </c>
      <c r="AA331" s="114">
        <v>0</v>
      </c>
      <c r="AB331" s="657">
        <v>0</v>
      </c>
      <c r="AC331" s="657">
        <v>0</v>
      </c>
      <c r="AD331" s="768">
        <v>168</v>
      </c>
      <c r="AE331" s="769">
        <v>0</v>
      </c>
      <c r="AF331" s="769">
        <v>160</v>
      </c>
      <c r="AG331" s="770">
        <v>160</v>
      </c>
      <c r="AH331" s="769">
        <v>0</v>
      </c>
      <c r="AI331" s="769">
        <v>0</v>
      </c>
      <c r="AJ331" s="769">
        <v>152.73119318448403</v>
      </c>
      <c r="AK331" s="769">
        <v>152.73119318448403</v>
      </c>
      <c r="AL331" s="769">
        <v>0</v>
      </c>
      <c r="AM331" s="769">
        <v>0</v>
      </c>
      <c r="AN331" s="769">
        <v>145.99265766206548</v>
      </c>
      <c r="AO331" s="769">
        <v>145.99265766206548</v>
      </c>
      <c r="AP331" s="769">
        <v>0</v>
      </c>
      <c r="AQ331" s="769">
        <v>0</v>
      </c>
      <c r="AR331" s="769">
        <v>0</v>
      </c>
      <c r="AS331" s="769">
        <v>138.85010340212011</v>
      </c>
      <c r="AT331" s="769">
        <v>145.62534795287115</v>
      </c>
      <c r="AU331" s="769">
        <v>152.73119318448403</v>
      </c>
      <c r="AV331" s="769">
        <v>160.18377088517212</v>
      </c>
      <c r="AW331" s="769">
        <v>168</v>
      </c>
      <c r="AX331" s="769">
        <v>133.21160057020654</v>
      </c>
      <c r="AY331" s="769">
        <v>139.45578366873843</v>
      </c>
      <c r="AZ331" s="769">
        <v>145.99265766206548</v>
      </c>
      <c r="BA331" s="769">
        <v>152.83594219270046</v>
      </c>
      <c r="BB331" s="769">
        <v>160</v>
      </c>
      <c r="BC331" s="769">
        <v>0</v>
      </c>
      <c r="BD331" s="769">
        <v>0</v>
      </c>
      <c r="BE331" s="769">
        <v>0</v>
      </c>
      <c r="BF331" s="769">
        <v>0</v>
      </c>
      <c r="BG331" s="769">
        <v>0</v>
      </c>
      <c r="BH331" s="771">
        <v>172.11896609220335</v>
      </c>
      <c r="BI331" s="771">
        <v>176.33891957529198</v>
      </c>
      <c r="BJ331" s="771">
        <v>180.66233642330624</v>
      </c>
      <c r="BK331" s="772">
        <v>183.27875464726549</v>
      </c>
      <c r="BL331" s="772">
        <v>185.89517287122473</v>
      </c>
      <c r="BM331" s="772">
        <v>188.511591095184</v>
      </c>
      <c r="BN331" s="772">
        <v>191.12800931914325</v>
      </c>
      <c r="BO331" s="772">
        <v>194.22175226292077</v>
      </c>
      <c r="BP331" s="772">
        <v>197.31549520669824</v>
      </c>
      <c r="BQ331" s="772">
        <v>205.89223877758531</v>
      </c>
      <c r="BR331" s="772">
        <v>216.1108416887011</v>
      </c>
      <c r="BS331" s="772">
        <v>220.59762904290696</v>
      </c>
      <c r="BT331" s="772">
        <v>223.06157560862559</v>
      </c>
      <c r="BU331" s="772">
        <v>225.61322475966827</v>
      </c>
      <c r="BV331" s="772">
        <v>228.22626572043791</v>
      </c>
      <c r="BW331" s="771">
        <v>163.92282484971747</v>
      </c>
      <c r="BX331" s="771">
        <v>167.94182816694473</v>
      </c>
      <c r="BY331" s="771">
        <v>172.05936802219642</v>
      </c>
      <c r="BZ331" s="772">
        <v>174.55119490215762</v>
      </c>
      <c r="CA331" s="772">
        <v>177.04302178211879</v>
      </c>
      <c r="CB331" s="772">
        <v>179.53484866208001</v>
      </c>
      <c r="CC331" s="772">
        <v>182.0266755420412</v>
      </c>
      <c r="CD331" s="772">
        <v>184.97309739325789</v>
      </c>
      <c r="CE331" s="772">
        <v>187.91951924447451</v>
      </c>
      <c r="CF331" s="772">
        <v>196.08784645484315</v>
      </c>
      <c r="CG331" s="772">
        <v>205.8198492273344</v>
      </c>
      <c r="CH331" s="772">
        <v>210.09298004086378</v>
      </c>
      <c r="CI331" s="772">
        <v>212.43959581773865</v>
      </c>
      <c r="CJ331" s="772">
        <v>214.86973786635073</v>
      </c>
      <c r="CK331" s="772">
        <v>217.35834830517896</v>
      </c>
      <c r="CL331" s="771">
        <v>0</v>
      </c>
      <c r="CM331" s="771">
        <v>0</v>
      </c>
      <c r="CN331" s="771">
        <v>0</v>
      </c>
      <c r="CO331" s="772">
        <v>0</v>
      </c>
      <c r="CP331" s="772">
        <v>0</v>
      </c>
      <c r="CQ331" s="772">
        <v>0</v>
      </c>
      <c r="CR331" s="772">
        <v>0</v>
      </c>
      <c r="CS331" s="772">
        <v>0</v>
      </c>
      <c r="CT331" s="772">
        <v>0</v>
      </c>
      <c r="CU331" s="772">
        <v>0</v>
      </c>
      <c r="CV331" s="772">
        <v>0</v>
      </c>
      <c r="CW331" s="772">
        <v>0</v>
      </c>
      <c r="CX331" s="772">
        <v>0</v>
      </c>
      <c r="CY331" s="772">
        <v>0</v>
      </c>
      <c r="CZ331" s="772">
        <v>0</v>
      </c>
      <c r="DA331" s="773">
        <v>0</v>
      </c>
      <c r="DB331" s="773">
        <v>0</v>
      </c>
      <c r="DC331" s="773">
        <v>0</v>
      </c>
      <c r="DD331" s="774">
        <v>0</v>
      </c>
      <c r="DE331" s="774">
        <v>0</v>
      </c>
      <c r="DF331" s="774">
        <v>0</v>
      </c>
      <c r="DG331" s="774">
        <v>0</v>
      </c>
      <c r="DH331" s="774">
        <v>0</v>
      </c>
      <c r="DI331" s="774">
        <v>0</v>
      </c>
      <c r="DJ331" s="774">
        <v>0</v>
      </c>
      <c r="DK331" s="774">
        <v>0</v>
      </c>
      <c r="DL331" s="774">
        <v>0</v>
      </c>
      <c r="DM331" s="774">
        <v>0</v>
      </c>
      <c r="DN331" s="774">
        <v>0</v>
      </c>
      <c r="DO331" s="774">
        <v>0</v>
      </c>
      <c r="DP331" s="773">
        <v>0</v>
      </c>
      <c r="DQ331" s="773">
        <v>0</v>
      </c>
      <c r="DR331" s="773">
        <v>0</v>
      </c>
      <c r="DS331" s="774">
        <v>0</v>
      </c>
      <c r="DT331" s="774">
        <v>0</v>
      </c>
      <c r="DU331" s="774">
        <v>0</v>
      </c>
      <c r="DV331" s="774">
        <v>0</v>
      </c>
      <c r="DW331" s="774">
        <v>0</v>
      </c>
      <c r="DX331" s="774">
        <v>0</v>
      </c>
      <c r="DY331" s="774">
        <v>0</v>
      </c>
      <c r="DZ331" s="774">
        <v>0</v>
      </c>
      <c r="EA331" s="774">
        <v>0</v>
      </c>
      <c r="EB331" s="774">
        <v>0</v>
      </c>
      <c r="EC331" s="774">
        <v>0</v>
      </c>
      <c r="ED331" s="774">
        <v>0</v>
      </c>
    </row>
    <row r="332" spans="1:134" ht="15" x14ac:dyDescent="0.25">
      <c r="A332" s="766">
        <v>111</v>
      </c>
      <c r="B332" s="766">
        <v>99</v>
      </c>
      <c r="C332" s="766" t="s">
        <v>4003</v>
      </c>
      <c r="D332" s="2">
        <v>99712</v>
      </c>
      <c r="E332" s="2">
        <v>99712</v>
      </c>
      <c r="F332" s="767" t="s">
        <v>3746</v>
      </c>
      <c r="G332" s="114">
        <v>757</v>
      </c>
      <c r="H332" s="114">
        <v>291</v>
      </c>
      <c r="I332" s="114">
        <v>270</v>
      </c>
      <c r="J332" s="114">
        <v>21</v>
      </c>
      <c r="K332" s="114">
        <v>0</v>
      </c>
      <c r="L332" s="114">
        <v>264</v>
      </c>
      <c r="M332" s="114">
        <v>264</v>
      </c>
      <c r="N332" s="114">
        <v>0</v>
      </c>
      <c r="O332" s="114">
        <v>0</v>
      </c>
      <c r="P332" s="114">
        <v>0</v>
      </c>
      <c r="Q332" s="114">
        <v>264</v>
      </c>
      <c r="R332" s="114">
        <v>0</v>
      </c>
      <c r="S332" s="114">
        <v>2424.9507575757575</v>
      </c>
      <c r="T332" s="114">
        <v>2424.9507575757575</v>
      </c>
      <c r="U332" s="114">
        <v>0</v>
      </c>
      <c r="V332" s="114">
        <v>0</v>
      </c>
      <c r="W332" s="114">
        <v>0</v>
      </c>
      <c r="X332" s="114">
        <v>2424.9507575757575</v>
      </c>
      <c r="Y332" s="114">
        <v>0</v>
      </c>
      <c r="Z332" s="114">
        <v>291</v>
      </c>
      <c r="AA332" s="114">
        <v>0</v>
      </c>
      <c r="AB332" s="657">
        <v>0</v>
      </c>
      <c r="AC332" s="657">
        <v>0</v>
      </c>
      <c r="AD332" s="768">
        <v>291</v>
      </c>
      <c r="AE332" s="769">
        <v>0</v>
      </c>
      <c r="AF332" s="769">
        <v>270</v>
      </c>
      <c r="AG332" s="770">
        <v>270</v>
      </c>
      <c r="AH332" s="769">
        <v>0</v>
      </c>
      <c r="AI332" s="769">
        <v>0</v>
      </c>
      <c r="AJ332" s="769">
        <v>264.55224533740983</v>
      </c>
      <c r="AK332" s="769">
        <v>264.55224533740983</v>
      </c>
      <c r="AL332" s="769">
        <v>0</v>
      </c>
      <c r="AM332" s="769">
        <v>0</v>
      </c>
      <c r="AN332" s="769">
        <v>246.36260980473548</v>
      </c>
      <c r="AO332" s="769">
        <v>246.36260980473548</v>
      </c>
      <c r="AP332" s="769">
        <v>0</v>
      </c>
      <c r="AQ332" s="769">
        <v>0</v>
      </c>
      <c r="AR332" s="769">
        <v>0</v>
      </c>
      <c r="AS332" s="769">
        <v>240.50821482152949</v>
      </c>
      <c r="AT332" s="769">
        <v>252.24390627550895</v>
      </c>
      <c r="AU332" s="769">
        <v>264.55224533740983</v>
      </c>
      <c r="AV332" s="769">
        <v>277.46117456895888</v>
      </c>
      <c r="AW332" s="769">
        <v>291</v>
      </c>
      <c r="AX332" s="769">
        <v>224.79457596222352</v>
      </c>
      <c r="AY332" s="769">
        <v>235.33163494099608</v>
      </c>
      <c r="AZ332" s="769">
        <v>246.36260980473548</v>
      </c>
      <c r="BA332" s="769">
        <v>257.91065245018206</v>
      </c>
      <c r="BB332" s="769">
        <v>270</v>
      </c>
      <c r="BC332" s="769">
        <v>0</v>
      </c>
      <c r="BD332" s="769">
        <v>0</v>
      </c>
      <c r="BE332" s="769">
        <v>0</v>
      </c>
      <c r="BF332" s="769">
        <v>0</v>
      </c>
      <c r="BG332" s="769">
        <v>0</v>
      </c>
      <c r="BH332" s="771">
        <v>294.97744456158489</v>
      </c>
      <c r="BI332" s="771">
        <v>299.00925360853222</v>
      </c>
      <c r="BJ332" s="771">
        <v>303.09617020519477</v>
      </c>
      <c r="BK332" s="772">
        <v>304.07777604103256</v>
      </c>
      <c r="BL332" s="772">
        <v>305.05938187687036</v>
      </c>
      <c r="BM332" s="772">
        <v>306.0409877127081</v>
      </c>
      <c r="BN332" s="772">
        <v>307.0225935485459</v>
      </c>
      <c r="BO332" s="772">
        <v>308.18327806770452</v>
      </c>
      <c r="BP332" s="772">
        <v>309.34396258686314</v>
      </c>
      <c r="BQ332" s="772">
        <v>312.56171327540829</v>
      </c>
      <c r="BR332" s="772">
        <v>316.39544297496741</v>
      </c>
      <c r="BS332" s="772">
        <v>318.07875820749433</v>
      </c>
      <c r="BT332" s="772">
        <v>319.0031610059284</v>
      </c>
      <c r="BU332" s="772">
        <v>319.96046732444347</v>
      </c>
      <c r="BV332" s="772">
        <v>320.94080610701513</v>
      </c>
      <c r="BW332" s="771">
        <v>273.69041247982102</v>
      </c>
      <c r="BX332" s="771">
        <v>277.43126623472057</v>
      </c>
      <c r="BY332" s="771">
        <v>281.22325070585083</v>
      </c>
      <c r="BZ332" s="772">
        <v>282.13401900714365</v>
      </c>
      <c r="CA332" s="772">
        <v>283.04478730843641</v>
      </c>
      <c r="CB332" s="772">
        <v>283.95555560972917</v>
      </c>
      <c r="CC332" s="772">
        <v>284.86632391102199</v>
      </c>
      <c r="CD332" s="772">
        <v>285.94324769168463</v>
      </c>
      <c r="CE332" s="772">
        <v>287.02017147234722</v>
      </c>
      <c r="CF332" s="772">
        <v>290.00571334831699</v>
      </c>
      <c r="CG332" s="772">
        <v>293.56278214172238</v>
      </c>
      <c r="CH332" s="772">
        <v>295.12462101726283</v>
      </c>
      <c r="CI332" s="772">
        <v>295.98231433539752</v>
      </c>
      <c r="CJ332" s="772">
        <v>296.87053669278259</v>
      </c>
      <c r="CK332" s="772">
        <v>297.78012937764294</v>
      </c>
      <c r="CL332" s="771">
        <v>0</v>
      </c>
      <c r="CM332" s="771">
        <v>0</v>
      </c>
      <c r="CN332" s="771">
        <v>0</v>
      </c>
      <c r="CO332" s="772">
        <v>0</v>
      </c>
      <c r="CP332" s="772">
        <v>0</v>
      </c>
      <c r="CQ332" s="772">
        <v>0</v>
      </c>
      <c r="CR332" s="772">
        <v>0</v>
      </c>
      <c r="CS332" s="772">
        <v>0</v>
      </c>
      <c r="CT332" s="772">
        <v>0</v>
      </c>
      <c r="CU332" s="772">
        <v>0</v>
      </c>
      <c r="CV332" s="772">
        <v>0</v>
      </c>
      <c r="CW332" s="772">
        <v>0</v>
      </c>
      <c r="CX332" s="772">
        <v>0</v>
      </c>
      <c r="CY332" s="772">
        <v>0</v>
      </c>
      <c r="CZ332" s="772">
        <v>0</v>
      </c>
      <c r="DA332" s="773">
        <v>0</v>
      </c>
      <c r="DB332" s="773">
        <v>0</v>
      </c>
      <c r="DC332" s="773">
        <v>0</v>
      </c>
      <c r="DD332" s="774">
        <v>0</v>
      </c>
      <c r="DE332" s="774">
        <v>0</v>
      </c>
      <c r="DF332" s="774">
        <v>0</v>
      </c>
      <c r="DG332" s="774">
        <v>0</v>
      </c>
      <c r="DH332" s="774">
        <v>0</v>
      </c>
      <c r="DI332" s="774">
        <v>0</v>
      </c>
      <c r="DJ332" s="774">
        <v>0</v>
      </c>
      <c r="DK332" s="774">
        <v>0</v>
      </c>
      <c r="DL332" s="774">
        <v>0</v>
      </c>
      <c r="DM332" s="774">
        <v>0</v>
      </c>
      <c r="DN332" s="774">
        <v>0</v>
      </c>
      <c r="DO332" s="774">
        <v>0</v>
      </c>
      <c r="DP332" s="773">
        <v>0</v>
      </c>
      <c r="DQ332" s="773">
        <v>0</v>
      </c>
      <c r="DR332" s="773">
        <v>0</v>
      </c>
      <c r="DS332" s="774">
        <v>0</v>
      </c>
      <c r="DT332" s="774">
        <v>0</v>
      </c>
      <c r="DU332" s="774">
        <v>0</v>
      </c>
      <c r="DV332" s="774">
        <v>0</v>
      </c>
      <c r="DW332" s="774">
        <v>0</v>
      </c>
      <c r="DX332" s="774">
        <v>0</v>
      </c>
      <c r="DY332" s="774">
        <v>0</v>
      </c>
      <c r="DZ332" s="774">
        <v>0</v>
      </c>
      <c r="EA332" s="774">
        <v>0</v>
      </c>
      <c r="EB332" s="774">
        <v>0</v>
      </c>
      <c r="EC332" s="774">
        <v>0</v>
      </c>
      <c r="ED332" s="774">
        <v>0</v>
      </c>
    </row>
    <row r="333" spans="1:134" ht="15" x14ac:dyDescent="0.25">
      <c r="A333" s="766">
        <v>112</v>
      </c>
      <c r="B333" s="766">
        <v>99</v>
      </c>
      <c r="C333" s="766" t="s">
        <v>4004</v>
      </c>
      <c r="D333" s="2">
        <v>99712</v>
      </c>
      <c r="E333" s="2">
        <v>99712</v>
      </c>
      <c r="F333" s="767" t="s">
        <v>3746</v>
      </c>
      <c r="G333" s="114">
        <v>265</v>
      </c>
      <c r="H333" s="114">
        <v>97</v>
      </c>
      <c r="I333" s="114">
        <v>91</v>
      </c>
      <c r="J333" s="114">
        <v>6</v>
      </c>
      <c r="K333" s="114">
        <v>0</v>
      </c>
      <c r="L333" s="114">
        <v>69</v>
      </c>
      <c r="M333" s="114">
        <v>69</v>
      </c>
      <c r="N333" s="114">
        <v>1</v>
      </c>
      <c r="O333" s="114">
        <v>0</v>
      </c>
      <c r="P333" s="114">
        <v>0</v>
      </c>
      <c r="Q333" s="114">
        <v>70</v>
      </c>
      <c r="R333" s="114">
        <v>0</v>
      </c>
      <c r="S333" s="114">
        <v>2654.942028985507</v>
      </c>
      <c r="T333" s="114">
        <v>2654.942028985507</v>
      </c>
      <c r="U333" s="114">
        <v>3150</v>
      </c>
      <c r="V333" s="114">
        <v>0</v>
      </c>
      <c r="W333" s="114">
        <v>0</v>
      </c>
      <c r="X333" s="114">
        <v>2662.0142857142855</v>
      </c>
      <c r="Y333" s="114">
        <v>0</v>
      </c>
      <c r="Z333" s="114">
        <v>97</v>
      </c>
      <c r="AA333" s="114">
        <v>0</v>
      </c>
      <c r="AB333" s="657">
        <v>1</v>
      </c>
      <c r="AC333" s="657">
        <v>0</v>
      </c>
      <c r="AD333" s="768">
        <v>98</v>
      </c>
      <c r="AE333" s="769">
        <v>0</v>
      </c>
      <c r="AF333" s="769">
        <v>91</v>
      </c>
      <c r="AG333" s="770">
        <v>91</v>
      </c>
      <c r="AH333" s="769">
        <v>0</v>
      </c>
      <c r="AI333" s="769">
        <v>0</v>
      </c>
      <c r="AJ333" s="769">
        <v>88.184081779136605</v>
      </c>
      <c r="AK333" s="769">
        <v>88.184081779136605</v>
      </c>
      <c r="AL333" s="769">
        <v>0</v>
      </c>
      <c r="AM333" s="769">
        <v>0</v>
      </c>
      <c r="AN333" s="769">
        <v>83.033324045299736</v>
      </c>
      <c r="AO333" s="769">
        <v>83.033324045299736</v>
      </c>
      <c r="AP333" s="769">
        <v>0</v>
      </c>
      <c r="AQ333" s="769">
        <v>0.92984135081383867</v>
      </c>
      <c r="AR333" s="769">
        <v>0</v>
      </c>
      <c r="AS333" s="769">
        <v>80.169404940509821</v>
      </c>
      <c r="AT333" s="769">
        <v>84.081302091836321</v>
      </c>
      <c r="AU333" s="769">
        <v>88.184081779136605</v>
      </c>
      <c r="AV333" s="769">
        <v>92.487058189652956</v>
      </c>
      <c r="AW333" s="769">
        <v>97</v>
      </c>
      <c r="AX333" s="769">
        <v>75.764097824304969</v>
      </c>
      <c r="AY333" s="769">
        <v>79.315476961594982</v>
      </c>
      <c r="AZ333" s="769">
        <v>83.033324045299736</v>
      </c>
      <c r="BA333" s="769">
        <v>86.925442122098389</v>
      </c>
      <c r="BB333" s="769">
        <v>91</v>
      </c>
      <c r="BC333" s="769">
        <v>0.86460493768330426</v>
      </c>
      <c r="BD333" s="769">
        <v>0.89663003695825327</v>
      </c>
      <c r="BE333" s="769">
        <v>0.92984135081383867</v>
      </c>
      <c r="BF333" s="769">
        <v>0.96428281681975381</v>
      </c>
      <c r="BG333" s="769">
        <v>1</v>
      </c>
      <c r="BH333" s="771">
        <v>98.938558382861785</v>
      </c>
      <c r="BI333" s="771">
        <v>100.9158591224634</v>
      </c>
      <c r="BJ333" s="771">
        <v>102.93267649014949</v>
      </c>
      <c r="BK333" s="772">
        <v>104.00375608447722</v>
      </c>
      <c r="BL333" s="772">
        <v>105.07483567880496</v>
      </c>
      <c r="BM333" s="772">
        <v>106.14591527313266</v>
      </c>
      <c r="BN333" s="772">
        <v>107.2169948674604</v>
      </c>
      <c r="BO333" s="772">
        <v>108.48347623761427</v>
      </c>
      <c r="BP333" s="772">
        <v>109.74995760776814</v>
      </c>
      <c r="BQ333" s="772">
        <v>113.26100753871442</v>
      </c>
      <c r="BR333" s="772">
        <v>117.44418321009918</v>
      </c>
      <c r="BS333" s="772">
        <v>119.28093328895524</v>
      </c>
      <c r="BT333" s="772">
        <v>120.28959576649356</v>
      </c>
      <c r="BU333" s="772">
        <v>121.33416093292547</v>
      </c>
      <c r="BV333" s="772">
        <v>122.40385798158297</v>
      </c>
      <c r="BW333" s="771">
        <v>92.818647555055904</v>
      </c>
      <c r="BX333" s="771">
        <v>94.673641032414125</v>
      </c>
      <c r="BY333" s="771">
        <v>96.565706810346427</v>
      </c>
      <c r="BZ333" s="772">
        <v>97.570534058633271</v>
      </c>
      <c r="CA333" s="772">
        <v>98.575361306920115</v>
      </c>
      <c r="CB333" s="772">
        <v>99.580188555206931</v>
      </c>
      <c r="CC333" s="772">
        <v>100.58501580349377</v>
      </c>
      <c r="CD333" s="772">
        <v>101.77315811982369</v>
      </c>
      <c r="CE333" s="772">
        <v>102.96130043615362</v>
      </c>
      <c r="CF333" s="772">
        <v>106.2551720208558</v>
      </c>
      <c r="CG333" s="772">
        <v>110.1795945579281</v>
      </c>
      <c r="CH333" s="772">
        <v>111.9027312298446</v>
      </c>
      <c r="CI333" s="772">
        <v>112.84900221392695</v>
      </c>
      <c r="CJ333" s="772">
        <v>113.82895510202286</v>
      </c>
      <c r="CK333" s="772">
        <v>114.83248532292835</v>
      </c>
      <c r="CL333" s="771">
        <v>1.0199851379676472</v>
      </c>
      <c r="CM333" s="771">
        <v>1.0403696816748804</v>
      </c>
      <c r="CN333" s="771">
        <v>1.0611616133005102</v>
      </c>
      <c r="CO333" s="772">
        <v>1.0722036709739919</v>
      </c>
      <c r="CP333" s="772">
        <v>1.0832457286474737</v>
      </c>
      <c r="CQ333" s="772">
        <v>1.0942877863209552</v>
      </c>
      <c r="CR333" s="772">
        <v>1.105329843994437</v>
      </c>
      <c r="CS333" s="772">
        <v>1.1183863529650955</v>
      </c>
      <c r="CT333" s="772">
        <v>1.1314428619357539</v>
      </c>
      <c r="CU333" s="772">
        <v>1.1676392529764374</v>
      </c>
      <c r="CV333" s="772">
        <v>1.2107647753618471</v>
      </c>
      <c r="CW333" s="772">
        <v>1.2297003431851055</v>
      </c>
      <c r="CX333" s="772">
        <v>1.2400989254277686</v>
      </c>
      <c r="CY333" s="772">
        <v>1.2508676384837676</v>
      </c>
      <c r="CZ333" s="772">
        <v>1.2618954431091027</v>
      </c>
      <c r="DA333" s="773">
        <v>0</v>
      </c>
      <c r="DB333" s="773">
        <v>0</v>
      </c>
      <c r="DC333" s="773">
        <v>0</v>
      </c>
      <c r="DD333" s="774">
        <v>0</v>
      </c>
      <c r="DE333" s="774">
        <v>0</v>
      </c>
      <c r="DF333" s="774">
        <v>0</v>
      </c>
      <c r="DG333" s="774">
        <v>0</v>
      </c>
      <c r="DH333" s="774">
        <v>0</v>
      </c>
      <c r="DI333" s="774">
        <v>0</v>
      </c>
      <c r="DJ333" s="774">
        <v>0</v>
      </c>
      <c r="DK333" s="774">
        <v>0</v>
      </c>
      <c r="DL333" s="774">
        <v>0</v>
      </c>
      <c r="DM333" s="774">
        <v>0</v>
      </c>
      <c r="DN333" s="774">
        <v>0</v>
      </c>
      <c r="DO333" s="774">
        <v>0</v>
      </c>
      <c r="DP333" s="773">
        <v>0</v>
      </c>
      <c r="DQ333" s="773">
        <v>0</v>
      </c>
      <c r="DR333" s="773">
        <v>0</v>
      </c>
      <c r="DS333" s="774">
        <v>0</v>
      </c>
      <c r="DT333" s="774">
        <v>0</v>
      </c>
      <c r="DU333" s="774">
        <v>0</v>
      </c>
      <c r="DV333" s="774">
        <v>0</v>
      </c>
      <c r="DW333" s="774">
        <v>0</v>
      </c>
      <c r="DX333" s="774">
        <v>0</v>
      </c>
      <c r="DY333" s="774">
        <v>0</v>
      </c>
      <c r="DZ333" s="774">
        <v>0</v>
      </c>
      <c r="EA333" s="774">
        <v>0</v>
      </c>
      <c r="EB333" s="774">
        <v>0</v>
      </c>
      <c r="EC333" s="774">
        <v>0</v>
      </c>
      <c r="ED333" s="774">
        <v>0</v>
      </c>
    </row>
    <row r="334" spans="1:134" ht="15" x14ac:dyDescent="0.25">
      <c r="A334" s="766">
        <v>113</v>
      </c>
      <c r="B334" s="766">
        <v>99</v>
      </c>
      <c r="C334" s="766" t="s">
        <v>4005</v>
      </c>
      <c r="D334" s="2">
        <v>99712</v>
      </c>
      <c r="E334" s="2">
        <v>99712</v>
      </c>
      <c r="F334" s="767" t="s">
        <v>3746</v>
      </c>
      <c r="G334" s="114">
        <v>465</v>
      </c>
      <c r="H334" s="114">
        <v>166</v>
      </c>
      <c r="I334" s="114">
        <v>158</v>
      </c>
      <c r="J334" s="114">
        <v>8</v>
      </c>
      <c r="K334" s="114">
        <v>0</v>
      </c>
      <c r="L334" s="114">
        <v>154</v>
      </c>
      <c r="M334" s="114">
        <v>154</v>
      </c>
      <c r="N334" s="114">
        <v>1</v>
      </c>
      <c r="O334" s="114">
        <v>0</v>
      </c>
      <c r="P334" s="114">
        <v>0</v>
      </c>
      <c r="Q334" s="114">
        <v>155</v>
      </c>
      <c r="R334" s="114">
        <v>0</v>
      </c>
      <c r="S334" s="114">
        <v>2728.1623376623379</v>
      </c>
      <c r="T334" s="114">
        <v>2728.1623376623379</v>
      </c>
      <c r="U334" s="114">
        <v>1416</v>
      </c>
      <c r="V334" s="114">
        <v>0</v>
      </c>
      <c r="W334" s="114">
        <v>0</v>
      </c>
      <c r="X334" s="114">
        <v>2719.6967741935482</v>
      </c>
      <c r="Y334" s="114">
        <v>0</v>
      </c>
      <c r="Z334" s="114">
        <v>166</v>
      </c>
      <c r="AA334" s="114">
        <v>0</v>
      </c>
      <c r="AB334" s="657">
        <v>1</v>
      </c>
      <c r="AC334" s="657">
        <v>0</v>
      </c>
      <c r="AD334" s="768">
        <v>167</v>
      </c>
      <c r="AE334" s="769">
        <v>0</v>
      </c>
      <c r="AF334" s="769">
        <v>158</v>
      </c>
      <c r="AG334" s="770">
        <v>158</v>
      </c>
      <c r="AH334" s="769">
        <v>0</v>
      </c>
      <c r="AI334" s="769">
        <v>0</v>
      </c>
      <c r="AJ334" s="769">
        <v>150.91296469419254</v>
      </c>
      <c r="AK334" s="769">
        <v>150.91296469419254</v>
      </c>
      <c r="AL334" s="769">
        <v>0</v>
      </c>
      <c r="AM334" s="769">
        <v>0</v>
      </c>
      <c r="AN334" s="769">
        <v>144.16774944128966</v>
      </c>
      <c r="AO334" s="769">
        <v>144.16774944128966</v>
      </c>
      <c r="AP334" s="769">
        <v>0</v>
      </c>
      <c r="AQ334" s="769">
        <v>0.92984135081383867</v>
      </c>
      <c r="AR334" s="769">
        <v>0</v>
      </c>
      <c r="AS334" s="769">
        <v>137.1971259806663</v>
      </c>
      <c r="AT334" s="769">
        <v>143.89171285819413</v>
      </c>
      <c r="AU334" s="769">
        <v>150.91296469419254</v>
      </c>
      <c r="AV334" s="769">
        <v>158.27682123177721</v>
      </c>
      <c r="AW334" s="769">
        <v>166</v>
      </c>
      <c r="AX334" s="769">
        <v>131.54645556307895</v>
      </c>
      <c r="AY334" s="769">
        <v>137.7125863728792</v>
      </c>
      <c r="AZ334" s="769">
        <v>144.16774944128966</v>
      </c>
      <c r="BA334" s="769">
        <v>150.9254929152917</v>
      </c>
      <c r="BB334" s="769">
        <v>158</v>
      </c>
      <c r="BC334" s="769">
        <v>0.86460493768330426</v>
      </c>
      <c r="BD334" s="769">
        <v>0.89663003695825327</v>
      </c>
      <c r="BE334" s="769">
        <v>0.92984135081383867</v>
      </c>
      <c r="BF334" s="769">
        <v>0.96428281681975381</v>
      </c>
      <c r="BG334" s="769">
        <v>1</v>
      </c>
      <c r="BH334" s="771">
        <v>169.31753290262944</v>
      </c>
      <c r="BI334" s="771">
        <v>172.70136715803014</v>
      </c>
      <c r="BJ334" s="771">
        <v>176.15282780788468</v>
      </c>
      <c r="BK334" s="772">
        <v>177.31811435985077</v>
      </c>
      <c r="BL334" s="772">
        <v>178.48340091181689</v>
      </c>
      <c r="BM334" s="772">
        <v>179.64868746378295</v>
      </c>
      <c r="BN334" s="772">
        <v>180.81397401574907</v>
      </c>
      <c r="BO334" s="772">
        <v>182.19184893444941</v>
      </c>
      <c r="BP334" s="772">
        <v>183.56972385314972</v>
      </c>
      <c r="BQ334" s="772">
        <v>187.38958867877099</v>
      </c>
      <c r="BR334" s="772">
        <v>191.94069615966362</v>
      </c>
      <c r="BS334" s="772">
        <v>193.9389978522255</v>
      </c>
      <c r="BT334" s="772">
        <v>195.03637738104186</v>
      </c>
      <c r="BU334" s="772">
        <v>196.17281742484585</v>
      </c>
      <c r="BV334" s="772">
        <v>197.33659982914116</v>
      </c>
      <c r="BW334" s="771">
        <v>161.15765179888825</v>
      </c>
      <c r="BX334" s="771">
        <v>164.37840970463111</v>
      </c>
      <c r="BY334" s="771">
        <v>167.6635349014806</v>
      </c>
      <c r="BZ334" s="772">
        <v>168.77266306540014</v>
      </c>
      <c r="CA334" s="772">
        <v>169.8817912293197</v>
      </c>
      <c r="CB334" s="772">
        <v>170.99091939323921</v>
      </c>
      <c r="CC334" s="772">
        <v>172.10004755715875</v>
      </c>
      <c r="CD334" s="772">
        <v>173.41151886531932</v>
      </c>
      <c r="CE334" s="772">
        <v>174.72299017347987</v>
      </c>
      <c r="CF334" s="772">
        <v>178.35876512798686</v>
      </c>
      <c r="CG334" s="772">
        <v>182.69054212787259</v>
      </c>
      <c r="CH334" s="772">
        <v>184.59254012440741</v>
      </c>
      <c r="CI334" s="772">
        <v>185.63703389279888</v>
      </c>
      <c r="CJ334" s="772">
        <v>186.71870574172075</v>
      </c>
      <c r="CK334" s="772">
        <v>187.82640224701387</v>
      </c>
      <c r="CL334" s="771">
        <v>1.0199851379676472</v>
      </c>
      <c r="CM334" s="771">
        <v>1.0403696816748804</v>
      </c>
      <c r="CN334" s="771">
        <v>1.0611616133005102</v>
      </c>
      <c r="CO334" s="772">
        <v>1.06818141180633</v>
      </c>
      <c r="CP334" s="772">
        <v>1.07520121031215</v>
      </c>
      <c r="CQ334" s="772">
        <v>1.0822210088179696</v>
      </c>
      <c r="CR334" s="772">
        <v>1.0892408073237896</v>
      </c>
      <c r="CS334" s="772">
        <v>1.0975412586412614</v>
      </c>
      <c r="CT334" s="772">
        <v>1.1058417099587334</v>
      </c>
      <c r="CU334" s="772">
        <v>1.1288529438480179</v>
      </c>
      <c r="CV334" s="772">
        <v>1.1562692539738773</v>
      </c>
      <c r="CW334" s="772">
        <v>1.1683072159772621</v>
      </c>
      <c r="CX334" s="772">
        <v>1.1749179360303728</v>
      </c>
      <c r="CY334" s="772">
        <v>1.1817639603906378</v>
      </c>
      <c r="CZ334" s="772">
        <v>1.1887746977659106</v>
      </c>
      <c r="DA334" s="773">
        <v>0</v>
      </c>
      <c r="DB334" s="773">
        <v>0</v>
      </c>
      <c r="DC334" s="773">
        <v>0</v>
      </c>
      <c r="DD334" s="774">
        <v>0</v>
      </c>
      <c r="DE334" s="774">
        <v>0</v>
      </c>
      <c r="DF334" s="774">
        <v>0</v>
      </c>
      <c r="DG334" s="774">
        <v>0</v>
      </c>
      <c r="DH334" s="774">
        <v>0</v>
      </c>
      <c r="DI334" s="774">
        <v>0</v>
      </c>
      <c r="DJ334" s="774">
        <v>0</v>
      </c>
      <c r="DK334" s="774">
        <v>0</v>
      </c>
      <c r="DL334" s="774">
        <v>0</v>
      </c>
      <c r="DM334" s="774">
        <v>0</v>
      </c>
      <c r="DN334" s="774">
        <v>0</v>
      </c>
      <c r="DO334" s="774">
        <v>0</v>
      </c>
      <c r="DP334" s="773">
        <v>0</v>
      </c>
      <c r="DQ334" s="773">
        <v>0</v>
      </c>
      <c r="DR334" s="773">
        <v>0</v>
      </c>
      <c r="DS334" s="774">
        <v>0</v>
      </c>
      <c r="DT334" s="774">
        <v>0</v>
      </c>
      <c r="DU334" s="774">
        <v>0</v>
      </c>
      <c r="DV334" s="774">
        <v>0</v>
      </c>
      <c r="DW334" s="774">
        <v>0</v>
      </c>
      <c r="DX334" s="774">
        <v>0</v>
      </c>
      <c r="DY334" s="774">
        <v>0</v>
      </c>
      <c r="DZ334" s="774">
        <v>0</v>
      </c>
      <c r="EA334" s="774">
        <v>0</v>
      </c>
      <c r="EB334" s="774">
        <v>0</v>
      </c>
      <c r="EC334" s="774">
        <v>0</v>
      </c>
      <c r="ED334" s="774">
        <v>0</v>
      </c>
    </row>
    <row r="335" spans="1:134" ht="15" x14ac:dyDescent="0.25">
      <c r="A335" s="766">
        <v>114</v>
      </c>
      <c r="B335" s="766">
        <v>99</v>
      </c>
      <c r="C335" s="766" t="s">
        <v>4006</v>
      </c>
      <c r="D335" s="2">
        <v>99712</v>
      </c>
      <c r="E335" s="2">
        <v>99712</v>
      </c>
      <c r="F335" s="767" t="s">
        <v>3746</v>
      </c>
      <c r="G335" s="114">
        <v>46</v>
      </c>
      <c r="H335" s="114">
        <v>19</v>
      </c>
      <c r="I335" s="114">
        <v>17</v>
      </c>
      <c r="J335" s="114">
        <v>2</v>
      </c>
      <c r="K335" s="114">
        <v>0</v>
      </c>
      <c r="L335" s="114">
        <v>112</v>
      </c>
      <c r="M335" s="114">
        <v>112</v>
      </c>
      <c r="N335" s="114">
        <v>0</v>
      </c>
      <c r="O335" s="114">
        <v>0</v>
      </c>
      <c r="P335" s="114">
        <v>0</v>
      </c>
      <c r="Q335" s="114">
        <v>112</v>
      </c>
      <c r="R335" s="114">
        <v>0</v>
      </c>
      <c r="S335" s="114">
        <v>2620.9553571428573</v>
      </c>
      <c r="T335" s="114">
        <v>2620.9553571428573</v>
      </c>
      <c r="U335" s="114">
        <v>0</v>
      </c>
      <c r="V335" s="114">
        <v>0</v>
      </c>
      <c r="W335" s="114">
        <v>0</v>
      </c>
      <c r="X335" s="114">
        <v>2620.9553571428573</v>
      </c>
      <c r="Y335" s="114">
        <v>0</v>
      </c>
      <c r="Z335" s="114">
        <v>19</v>
      </c>
      <c r="AA335" s="114">
        <v>0</v>
      </c>
      <c r="AB335" s="657">
        <v>0</v>
      </c>
      <c r="AC335" s="657">
        <v>0</v>
      </c>
      <c r="AD335" s="768">
        <v>19</v>
      </c>
      <c r="AE335" s="769">
        <v>0</v>
      </c>
      <c r="AF335" s="769">
        <v>17</v>
      </c>
      <c r="AG335" s="770">
        <v>17</v>
      </c>
      <c r="AH335" s="769">
        <v>0</v>
      </c>
      <c r="AI335" s="769">
        <v>0</v>
      </c>
      <c r="AJ335" s="769">
        <v>17.273170657769025</v>
      </c>
      <c r="AK335" s="769">
        <v>17.273170657769025</v>
      </c>
      <c r="AL335" s="769">
        <v>0</v>
      </c>
      <c r="AM335" s="769">
        <v>0</v>
      </c>
      <c r="AN335" s="769">
        <v>15.511719876594457</v>
      </c>
      <c r="AO335" s="769">
        <v>15.511719876594457</v>
      </c>
      <c r="AP335" s="769">
        <v>0</v>
      </c>
      <c r="AQ335" s="769">
        <v>0</v>
      </c>
      <c r="AR335" s="769">
        <v>0</v>
      </c>
      <c r="AS335" s="769">
        <v>15.703285503811204</v>
      </c>
      <c r="AT335" s="769">
        <v>16.469533399431857</v>
      </c>
      <c r="AU335" s="769">
        <v>17.273170657769025</v>
      </c>
      <c r="AV335" s="769">
        <v>18.116021707251608</v>
      </c>
      <c r="AW335" s="769">
        <v>19</v>
      </c>
      <c r="AX335" s="769">
        <v>14.153732560584444</v>
      </c>
      <c r="AY335" s="769">
        <v>14.817177014803457</v>
      </c>
      <c r="AZ335" s="769">
        <v>15.511719876594457</v>
      </c>
      <c r="BA335" s="769">
        <v>16.238818857974426</v>
      </c>
      <c r="BB335" s="769">
        <v>17</v>
      </c>
      <c r="BC335" s="769">
        <v>0</v>
      </c>
      <c r="BD335" s="769">
        <v>0</v>
      </c>
      <c r="BE335" s="769">
        <v>0</v>
      </c>
      <c r="BF335" s="769">
        <v>0</v>
      </c>
      <c r="BG335" s="769">
        <v>0</v>
      </c>
      <c r="BH335" s="771">
        <v>19.179916649465419</v>
      </c>
      <c r="BI335" s="771">
        <v>19.361536983181093</v>
      </c>
      <c r="BJ335" s="771">
        <v>19.544877133839766</v>
      </c>
      <c r="BK335" s="772">
        <v>19.631723350736479</v>
      </c>
      <c r="BL335" s="772">
        <v>19.718569567633192</v>
      </c>
      <c r="BM335" s="772">
        <v>19.805415784529899</v>
      </c>
      <c r="BN335" s="772">
        <v>19.892262001426612</v>
      </c>
      <c r="BO335" s="772">
        <v>19.994951956823499</v>
      </c>
      <c r="BP335" s="772">
        <v>20.097641912220382</v>
      </c>
      <c r="BQ335" s="772">
        <v>20.382327948116274</v>
      </c>
      <c r="BR335" s="772">
        <v>20.721511873940344</v>
      </c>
      <c r="BS335" s="772">
        <v>20.870440857909557</v>
      </c>
      <c r="BT335" s="772">
        <v>20.952226115292643</v>
      </c>
      <c r="BU335" s="772">
        <v>21.0369224660467</v>
      </c>
      <c r="BV335" s="772">
        <v>21.123656582160443</v>
      </c>
      <c r="BW335" s="771">
        <v>17.160978054784849</v>
      </c>
      <c r="BX335" s="771">
        <v>17.323480458635714</v>
      </c>
      <c r="BY335" s="771">
        <v>17.487521646067158</v>
      </c>
      <c r="BZ335" s="772">
        <v>17.565226155922112</v>
      </c>
      <c r="CA335" s="772">
        <v>17.642930665777065</v>
      </c>
      <c r="CB335" s="772">
        <v>17.720635175632015</v>
      </c>
      <c r="CC335" s="772">
        <v>17.798339685486969</v>
      </c>
      <c r="CD335" s="772">
        <v>17.890220171894711</v>
      </c>
      <c r="CE335" s="772">
        <v>17.982100658302446</v>
      </c>
      <c r="CF335" s="772">
        <v>18.236819743051402</v>
      </c>
      <c r="CG335" s="772">
        <v>18.540300097736097</v>
      </c>
      <c r="CH335" s="772">
        <v>18.673552346550654</v>
      </c>
      <c r="CI335" s="772">
        <v>18.746728629472365</v>
      </c>
      <c r="CJ335" s="772">
        <v>18.822509574883892</v>
      </c>
      <c r="CK335" s="772">
        <v>18.90011378403829</v>
      </c>
      <c r="CL335" s="771">
        <v>0</v>
      </c>
      <c r="CM335" s="771">
        <v>0</v>
      </c>
      <c r="CN335" s="771">
        <v>0</v>
      </c>
      <c r="CO335" s="772">
        <v>0</v>
      </c>
      <c r="CP335" s="772">
        <v>0</v>
      </c>
      <c r="CQ335" s="772">
        <v>0</v>
      </c>
      <c r="CR335" s="772">
        <v>0</v>
      </c>
      <c r="CS335" s="772">
        <v>0</v>
      </c>
      <c r="CT335" s="772">
        <v>0</v>
      </c>
      <c r="CU335" s="772">
        <v>0</v>
      </c>
      <c r="CV335" s="772">
        <v>0</v>
      </c>
      <c r="CW335" s="772">
        <v>0</v>
      </c>
      <c r="CX335" s="772">
        <v>0</v>
      </c>
      <c r="CY335" s="772">
        <v>0</v>
      </c>
      <c r="CZ335" s="772">
        <v>0</v>
      </c>
      <c r="DA335" s="773">
        <v>0</v>
      </c>
      <c r="DB335" s="773">
        <v>0</v>
      </c>
      <c r="DC335" s="773">
        <v>0</v>
      </c>
      <c r="DD335" s="774">
        <v>0</v>
      </c>
      <c r="DE335" s="774">
        <v>0</v>
      </c>
      <c r="DF335" s="774">
        <v>0</v>
      </c>
      <c r="DG335" s="774">
        <v>0</v>
      </c>
      <c r="DH335" s="774">
        <v>0</v>
      </c>
      <c r="DI335" s="774">
        <v>0</v>
      </c>
      <c r="DJ335" s="774">
        <v>0</v>
      </c>
      <c r="DK335" s="774">
        <v>0</v>
      </c>
      <c r="DL335" s="774">
        <v>0</v>
      </c>
      <c r="DM335" s="774">
        <v>0</v>
      </c>
      <c r="DN335" s="774">
        <v>0</v>
      </c>
      <c r="DO335" s="774">
        <v>0</v>
      </c>
      <c r="DP335" s="773">
        <v>0</v>
      </c>
      <c r="DQ335" s="773">
        <v>0</v>
      </c>
      <c r="DR335" s="773">
        <v>0</v>
      </c>
      <c r="DS335" s="774">
        <v>0</v>
      </c>
      <c r="DT335" s="774">
        <v>0</v>
      </c>
      <c r="DU335" s="774">
        <v>0</v>
      </c>
      <c r="DV335" s="774">
        <v>0</v>
      </c>
      <c r="DW335" s="774">
        <v>0</v>
      </c>
      <c r="DX335" s="774">
        <v>0</v>
      </c>
      <c r="DY335" s="774">
        <v>0</v>
      </c>
      <c r="DZ335" s="774">
        <v>0</v>
      </c>
      <c r="EA335" s="774">
        <v>0</v>
      </c>
      <c r="EB335" s="774">
        <v>0</v>
      </c>
      <c r="EC335" s="774">
        <v>0</v>
      </c>
      <c r="ED335" s="774">
        <v>0</v>
      </c>
    </row>
    <row r="336" spans="1:134" ht="15" x14ac:dyDescent="0.25">
      <c r="A336" s="766">
        <v>115</v>
      </c>
      <c r="B336" s="766">
        <v>99</v>
      </c>
      <c r="C336" s="766" t="s">
        <v>4007</v>
      </c>
      <c r="D336" s="2">
        <v>99712</v>
      </c>
      <c r="E336" s="2">
        <v>99712</v>
      </c>
      <c r="F336" s="767" t="s">
        <v>3746</v>
      </c>
      <c r="G336" s="114">
        <v>246</v>
      </c>
      <c r="H336" s="114">
        <v>91</v>
      </c>
      <c r="I336" s="114">
        <v>86</v>
      </c>
      <c r="J336" s="114">
        <v>5</v>
      </c>
      <c r="K336" s="114">
        <v>0</v>
      </c>
      <c r="L336" s="114">
        <v>62</v>
      </c>
      <c r="M336" s="114">
        <v>62</v>
      </c>
      <c r="N336" s="114">
        <v>0</v>
      </c>
      <c r="O336" s="114">
        <v>0</v>
      </c>
      <c r="P336" s="114">
        <v>0</v>
      </c>
      <c r="Q336" s="114">
        <v>62</v>
      </c>
      <c r="R336" s="114">
        <v>0</v>
      </c>
      <c r="S336" s="114">
        <v>2216.8225806451615</v>
      </c>
      <c r="T336" s="114">
        <v>2216.8225806451615</v>
      </c>
      <c r="U336" s="114">
        <v>0</v>
      </c>
      <c r="V336" s="114">
        <v>0</v>
      </c>
      <c r="W336" s="114">
        <v>0</v>
      </c>
      <c r="X336" s="114">
        <v>2216.8225806451615</v>
      </c>
      <c r="Y336" s="114">
        <v>0</v>
      </c>
      <c r="Z336" s="114">
        <v>91</v>
      </c>
      <c r="AA336" s="114">
        <v>0</v>
      </c>
      <c r="AB336" s="657">
        <v>0</v>
      </c>
      <c r="AC336" s="657">
        <v>0</v>
      </c>
      <c r="AD336" s="768">
        <v>91</v>
      </c>
      <c r="AE336" s="769">
        <v>0</v>
      </c>
      <c r="AF336" s="769">
        <v>86</v>
      </c>
      <c r="AG336" s="770">
        <v>86</v>
      </c>
      <c r="AH336" s="769">
        <v>0</v>
      </c>
      <c r="AI336" s="769">
        <v>0</v>
      </c>
      <c r="AJ336" s="769">
        <v>82.729396308262181</v>
      </c>
      <c r="AK336" s="769">
        <v>82.729396308262181</v>
      </c>
      <c r="AL336" s="769">
        <v>0</v>
      </c>
      <c r="AM336" s="769">
        <v>0</v>
      </c>
      <c r="AN336" s="769">
        <v>78.471053493360202</v>
      </c>
      <c r="AO336" s="769">
        <v>78.471053493360202</v>
      </c>
      <c r="AP336" s="769">
        <v>0</v>
      </c>
      <c r="AQ336" s="769">
        <v>0</v>
      </c>
      <c r="AR336" s="769">
        <v>0</v>
      </c>
      <c r="AS336" s="769">
        <v>75.210472676148399</v>
      </c>
      <c r="AT336" s="769">
        <v>78.880396807805212</v>
      </c>
      <c r="AU336" s="769">
        <v>82.729396308262181</v>
      </c>
      <c r="AV336" s="769">
        <v>86.766209229468231</v>
      </c>
      <c r="AW336" s="769">
        <v>91</v>
      </c>
      <c r="AX336" s="769">
        <v>71.601235306486018</v>
      </c>
      <c r="AY336" s="769">
        <v>74.9574837219469</v>
      </c>
      <c r="AZ336" s="769">
        <v>78.471053493360202</v>
      </c>
      <c r="BA336" s="769">
        <v>82.149318928576506</v>
      </c>
      <c r="BB336" s="769">
        <v>86</v>
      </c>
      <c r="BC336" s="769">
        <v>0</v>
      </c>
      <c r="BD336" s="769">
        <v>0</v>
      </c>
      <c r="BE336" s="769">
        <v>0</v>
      </c>
      <c r="BF336" s="769">
        <v>0</v>
      </c>
      <c r="BG336" s="769">
        <v>0</v>
      </c>
      <c r="BH336" s="771">
        <v>91.861706057965961</v>
      </c>
      <c r="BI336" s="771">
        <v>92.731571866814718</v>
      </c>
      <c r="BJ336" s="771">
        <v>93.609674693653616</v>
      </c>
      <c r="BK336" s="772">
        <v>94.167613979598926</v>
      </c>
      <c r="BL336" s="772">
        <v>94.725553265544249</v>
      </c>
      <c r="BM336" s="772">
        <v>95.283492551489573</v>
      </c>
      <c r="BN336" s="772">
        <v>95.841431837434882</v>
      </c>
      <c r="BO336" s="772">
        <v>96.501158448854667</v>
      </c>
      <c r="BP336" s="772">
        <v>97.160885060274452</v>
      </c>
      <c r="BQ336" s="772">
        <v>98.989836616969981</v>
      </c>
      <c r="BR336" s="772">
        <v>101.16890721026343</v>
      </c>
      <c r="BS336" s="772">
        <v>102.12569420619175</v>
      </c>
      <c r="BT336" s="772">
        <v>102.65111960450754</v>
      </c>
      <c r="BU336" s="772">
        <v>103.19524718024405</v>
      </c>
      <c r="BV336" s="772">
        <v>103.75246628017504</v>
      </c>
      <c r="BW336" s="771">
        <v>86.814359571264532</v>
      </c>
      <c r="BX336" s="771">
        <v>87.63643055545127</v>
      </c>
      <c r="BY336" s="771">
        <v>88.466285974222103</v>
      </c>
      <c r="BZ336" s="772">
        <v>88.993569255445138</v>
      </c>
      <c r="CA336" s="772">
        <v>89.520852536668187</v>
      </c>
      <c r="CB336" s="772">
        <v>90.04813581789125</v>
      </c>
      <c r="CC336" s="772">
        <v>90.575419099114285</v>
      </c>
      <c r="CD336" s="772">
        <v>91.198896995620899</v>
      </c>
      <c r="CE336" s="772">
        <v>91.822374892127499</v>
      </c>
      <c r="CF336" s="772">
        <v>93.550834605048564</v>
      </c>
      <c r="CG336" s="772">
        <v>95.610176044864346</v>
      </c>
      <c r="CH336" s="772">
        <v>96.514392326730672</v>
      </c>
      <c r="CI336" s="772">
        <v>97.010948197666465</v>
      </c>
      <c r="CJ336" s="772">
        <v>97.525178653857026</v>
      </c>
      <c r="CK336" s="772">
        <v>98.051781319725876</v>
      </c>
      <c r="CL336" s="771">
        <v>0</v>
      </c>
      <c r="CM336" s="771">
        <v>0</v>
      </c>
      <c r="CN336" s="771">
        <v>0</v>
      </c>
      <c r="CO336" s="772">
        <v>0</v>
      </c>
      <c r="CP336" s="772">
        <v>0</v>
      </c>
      <c r="CQ336" s="772">
        <v>0</v>
      </c>
      <c r="CR336" s="772">
        <v>0</v>
      </c>
      <c r="CS336" s="772">
        <v>0</v>
      </c>
      <c r="CT336" s="772">
        <v>0</v>
      </c>
      <c r="CU336" s="772">
        <v>0</v>
      </c>
      <c r="CV336" s="772">
        <v>0</v>
      </c>
      <c r="CW336" s="772">
        <v>0</v>
      </c>
      <c r="CX336" s="772">
        <v>0</v>
      </c>
      <c r="CY336" s="772">
        <v>0</v>
      </c>
      <c r="CZ336" s="772">
        <v>0</v>
      </c>
      <c r="DA336" s="773">
        <v>0</v>
      </c>
      <c r="DB336" s="773">
        <v>0</v>
      </c>
      <c r="DC336" s="773">
        <v>0</v>
      </c>
      <c r="DD336" s="774">
        <v>0</v>
      </c>
      <c r="DE336" s="774">
        <v>0</v>
      </c>
      <c r="DF336" s="774">
        <v>0</v>
      </c>
      <c r="DG336" s="774">
        <v>0</v>
      </c>
      <c r="DH336" s="774">
        <v>0</v>
      </c>
      <c r="DI336" s="774">
        <v>0</v>
      </c>
      <c r="DJ336" s="774">
        <v>0</v>
      </c>
      <c r="DK336" s="774">
        <v>0</v>
      </c>
      <c r="DL336" s="774">
        <v>0</v>
      </c>
      <c r="DM336" s="774">
        <v>0</v>
      </c>
      <c r="DN336" s="774">
        <v>0</v>
      </c>
      <c r="DO336" s="774">
        <v>0</v>
      </c>
      <c r="DP336" s="773">
        <v>0</v>
      </c>
      <c r="DQ336" s="773">
        <v>0</v>
      </c>
      <c r="DR336" s="773">
        <v>0</v>
      </c>
      <c r="DS336" s="774">
        <v>0</v>
      </c>
      <c r="DT336" s="774">
        <v>0</v>
      </c>
      <c r="DU336" s="774">
        <v>0</v>
      </c>
      <c r="DV336" s="774">
        <v>0</v>
      </c>
      <c r="DW336" s="774">
        <v>0</v>
      </c>
      <c r="DX336" s="774">
        <v>0</v>
      </c>
      <c r="DY336" s="774">
        <v>0</v>
      </c>
      <c r="DZ336" s="774">
        <v>0</v>
      </c>
      <c r="EA336" s="774">
        <v>0</v>
      </c>
      <c r="EB336" s="774">
        <v>0</v>
      </c>
      <c r="EC336" s="774">
        <v>0</v>
      </c>
      <c r="ED336" s="774">
        <v>0</v>
      </c>
    </row>
    <row r="337" spans="1:134" ht="15" x14ac:dyDescent="0.25">
      <c r="A337" s="766">
        <v>116</v>
      </c>
      <c r="B337" s="766">
        <v>99</v>
      </c>
      <c r="C337" s="766" t="s">
        <v>4008</v>
      </c>
      <c r="D337" s="2">
        <v>99712</v>
      </c>
      <c r="E337" s="2">
        <v>99712</v>
      </c>
      <c r="F337" s="767" t="s">
        <v>3746</v>
      </c>
      <c r="G337" s="114">
        <v>359</v>
      </c>
      <c r="H337" s="114">
        <v>151</v>
      </c>
      <c r="I337" s="114">
        <v>140</v>
      </c>
      <c r="J337" s="114">
        <v>11</v>
      </c>
      <c r="K337" s="114">
        <v>0</v>
      </c>
      <c r="L337" s="114">
        <v>103</v>
      </c>
      <c r="M337" s="114">
        <v>103</v>
      </c>
      <c r="N337" s="114">
        <v>0</v>
      </c>
      <c r="O337" s="114">
        <v>0</v>
      </c>
      <c r="P337" s="114">
        <v>0</v>
      </c>
      <c r="Q337" s="114">
        <v>103</v>
      </c>
      <c r="R337" s="114">
        <v>0</v>
      </c>
      <c r="S337" s="114">
        <v>2502.2524271844659</v>
      </c>
      <c r="T337" s="114">
        <v>2502.2524271844659</v>
      </c>
      <c r="U337" s="114">
        <v>0</v>
      </c>
      <c r="V337" s="114">
        <v>0</v>
      </c>
      <c r="W337" s="114">
        <v>0</v>
      </c>
      <c r="X337" s="114">
        <v>2502.2524271844659</v>
      </c>
      <c r="Y337" s="114">
        <v>0</v>
      </c>
      <c r="Z337" s="114">
        <v>151</v>
      </c>
      <c r="AA337" s="114">
        <v>0</v>
      </c>
      <c r="AB337" s="657">
        <v>0</v>
      </c>
      <c r="AC337" s="657">
        <v>0</v>
      </c>
      <c r="AD337" s="768">
        <v>151</v>
      </c>
      <c r="AE337" s="769">
        <v>0</v>
      </c>
      <c r="AF337" s="769">
        <v>140</v>
      </c>
      <c r="AG337" s="770">
        <v>140</v>
      </c>
      <c r="AH337" s="769">
        <v>0</v>
      </c>
      <c r="AI337" s="769">
        <v>0</v>
      </c>
      <c r="AJ337" s="769">
        <v>137.27625101700647</v>
      </c>
      <c r="AK337" s="769">
        <v>137.27625101700647</v>
      </c>
      <c r="AL337" s="769">
        <v>0</v>
      </c>
      <c r="AM337" s="769">
        <v>0</v>
      </c>
      <c r="AN337" s="769">
        <v>127.74357545430729</v>
      </c>
      <c r="AO337" s="769">
        <v>127.74357545430729</v>
      </c>
      <c r="AP337" s="769">
        <v>0</v>
      </c>
      <c r="AQ337" s="769">
        <v>0</v>
      </c>
      <c r="AR337" s="769">
        <v>0</v>
      </c>
      <c r="AS337" s="769">
        <v>124.79979531976272</v>
      </c>
      <c r="AT337" s="769">
        <v>130.88944964811634</v>
      </c>
      <c r="AU337" s="769">
        <v>137.27625101700647</v>
      </c>
      <c r="AV337" s="769">
        <v>143.97469883131544</v>
      </c>
      <c r="AW337" s="769">
        <v>151</v>
      </c>
      <c r="AX337" s="769">
        <v>116.56015049893072</v>
      </c>
      <c r="AY337" s="769">
        <v>122.02381071014612</v>
      </c>
      <c r="AZ337" s="769">
        <v>127.74357545430729</v>
      </c>
      <c r="BA337" s="769">
        <v>133.7314494186129</v>
      </c>
      <c r="BB337" s="769">
        <v>140</v>
      </c>
      <c r="BC337" s="769">
        <v>0</v>
      </c>
      <c r="BD337" s="769">
        <v>0</v>
      </c>
      <c r="BE337" s="769">
        <v>0</v>
      </c>
      <c r="BF337" s="769">
        <v>0</v>
      </c>
      <c r="BG337" s="769">
        <v>0</v>
      </c>
      <c r="BH337" s="771">
        <v>152.42986389838308</v>
      </c>
      <c r="BI337" s="771">
        <v>153.87326760317606</v>
      </c>
      <c r="BJ337" s="771">
        <v>155.33033932683182</v>
      </c>
      <c r="BK337" s="772">
        <v>156.24636819426101</v>
      </c>
      <c r="BL337" s="772">
        <v>157.16239706169026</v>
      </c>
      <c r="BM337" s="772">
        <v>158.0784259291195</v>
      </c>
      <c r="BN337" s="772">
        <v>158.99445479654869</v>
      </c>
      <c r="BO337" s="772">
        <v>160.07759885163679</v>
      </c>
      <c r="BP337" s="772">
        <v>161.16074290672489</v>
      </c>
      <c r="BQ337" s="772">
        <v>164.16352916907627</v>
      </c>
      <c r="BR337" s="772">
        <v>167.7411434685263</v>
      </c>
      <c r="BS337" s="772">
        <v>169.31200347127063</v>
      </c>
      <c r="BT337" s="772">
        <v>170.17465079627888</v>
      </c>
      <c r="BU337" s="772">
        <v>171.06800349520992</v>
      </c>
      <c r="BV337" s="772">
        <v>171.98284995588693</v>
      </c>
      <c r="BW337" s="771">
        <v>141.32570162763994</v>
      </c>
      <c r="BX337" s="771">
        <v>142.66395671817648</v>
      </c>
      <c r="BY337" s="771">
        <v>144.01488414408249</v>
      </c>
      <c r="BZ337" s="772">
        <v>144.86418243176519</v>
      </c>
      <c r="CA337" s="772">
        <v>145.71348071944792</v>
      </c>
      <c r="CB337" s="772">
        <v>146.56277900713067</v>
      </c>
      <c r="CC337" s="772">
        <v>147.41207729481337</v>
      </c>
      <c r="CD337" s="772">
        <v>148.41631681608712</v>
      </c>
      <c r="CE337" s="772">
        <v>149.42055633736084</v>
      </c>
      <c r="CF337" s="772">
        <v>152.20459658060051</v>
      </c>
      <c r="CG337" s="772">
        <v>155.52158997081909</v>
      </c>
      <c r="CH337" s="772">
        <v>156.97801646342973</v>
      </c>
      <c r="CI337" s="772">
        <v>157.77782193032479</v>
      </c>
      <c r="CJ337" s="772">
        <v>158.60609595582378</v>
      </c>
      <c r="CK337" s="772">
        <v>159.45429797234553</v>
      </c>
      <c r="CL337" s="771">
        <v>0</v>
      </c>
      <c r="CM337" s="771">
        <v>0</v>
      </c>
      <c r="CN337" s="771">
        <v>0</v>
      </c>
      <c r="CO337" s="772">
        <v>0</v>
      </c>
      <c r="CP337" s="772">
        <v>0</v>
      </c>
      <c r="CQ337" s="772">
        <v>0</v>
      </c>
      <c r="CR337" s="772">
        <v>0</v>
      </c>
      <c r="CS337" s="772">
        <v>0</v>
      </c>
      <c r="CT337" s="772">
        <v>0</v>
      </c>
      <c r="CU337" s="772">
        <v>0</v>
      </c>
      <c r="CV337" s="772">
        <v>0</v>
      </c>
      <c r="CW337" s="772">
        <v>0</v>
      </c>
      <c r="CX337" s="772">
        <v>0</v>
      </c>
      <c r="CY337" s="772">
        <v>0</v>
      </c>
      <c r="CZ337" s="772">
        <v>0</v>
      </c>
      <c r="DA337" s="773">
        <v>0</v>
      </c>
      <c r="DB337" s="773">
        <v>0</v>
      </c>
      <c r="DC337" s="773">
        <v>0</v>
      </c>
      <c r="DD337" s="774">
        <v>0</v>
      </c>
      <c r="DE337" s="774">
        <v>0</v>
      </c>
      <c r="DF337" s="774">
        <v>0</v>
      </c>
      <c r="DG337" s="774">
        <v>0</v>
      </c>
      <c r="DH337" s="774">
        <v>0</v>
      </c>
      <c r="DI337" s="774">
        <v>0</v>
      </c>
      <c r="DJ337" s="774">
        <v>0</v>
      </c>
      <c r="DK337" s="774">
        <v>0</v>
      </c>
      <c r="DL337" s="774">
        <v>0</v>
      </c>
      <c r="DM337" s="774">
        <v>0</v>
      </c>
      <c r="DN337" s="774">
        <v>0</v>
      </c>
      <c r="DO337" s="774">
        <v>0</v>
      </c>
      <c r="DP337" s="773">
        <v>0</v>
      </c>
      <c r="DQ337" s="773">
        <v>0</v>
      </c>
      <c r="DR337" s="773">
        <v>0</v>
      </c>
      <c r="DS337" s="774">
        <v>0</v>
      </c>
      <c r="DT337" s="774">
        <v>0</v>
      </c>
      <c r="DU337" s="774">
        <v>0</v>
      </c>
      <c r="DV337" s="774">
        <v>0</v>
      </c>
      <c r="DW337" s="774">
        <v>0</v>
      </c>
      <c r="DX337" s="774">
        <v>0</v>
      </c>
      <c r="DY337" s="774">
        <v>0</v>
      </c>
      <c r="DZ337" s="774">
        <v>0</v>
      </c>
      <c r="EA337" s="774">
        <v>0</v>
      </c>
      <c r="EB337" s="774">
        <v>0</v>
      </c>
      <c r="EC337" s="774">
        <v>0</v>
      </c>
      <c r="ED337" s="774">
        <v>0</v>
      </c>
    </row>
    <row r="338" spans="1:134" ht="15" x14ac:dyDescent="0.25">
      <c r="A338" s="766">
        <v>117</v>
      </c>
      <c r="B338" s="766">
        <v>99</v>
      </c>
      <c r="C338" s="766" t="s">
        <v>4009</v>
      </c>
      <c r="D338" s="2">
        <v>99712</v>
      </c>
      <c r="E338" s="2">
        <v>99712</v>
      </c>
      <c r="F338" s="767" t="s">
        <v>3746</v>
      </c>
      <c r="G338" s="114">
        <v>125</v>
      </c>
      <c r="H338" s="114">
        <v>51</v>
      </c>
      <c r="I338" s="114">
        <v>48</v>
      </c>
      <c r="J338" s="114">
        <v>3</v>
      </c>
      <c r="K338" s="114">
        <v>0</v>
      </c>
      <c r="L338" s="114">
        <v>42</v>
      </c>
      <c r="M338" s="114">
        <v>42</v>
      </c>
      <c r="N338" s="114">
        <v>0</v>
      </c>
      <c r="O338" s="114">
        <v>0</v>
      </c>
      <c r="P338" s="114">
        <v>0</v>
      </c>
      <c r="Q338" s="114">
        <v>42</v>
      </c>
      <c r="R338" s="114">
        <v>0</v>
      </c>
      <c r="S338" s="114">
        <v>2520.2380952380954</v>
      </c>
      <c r="T338" s="114">
        <v>2520.2380952380954</v>
      </c>
      <c r="U338" s="114">
        <v>0</v>
      </c>
      <c r="V338" s="114">
        <v>0</v>
      </c>
      <c r="W338" s="114">
        <v>0</v>
      </c>
      <c r="X338" s="114">
        <v>2520.2380952380954</v>
      </c>
      <c r="Y338" s="114">
        <v>0</v>
      </c>
      <c r="Z338" s="114">
        <v>51</v>
      </c>
      <c r="AA338" s="114">
        <v>0</v>
      </c>
      <c r="AB338" s="657">
        <v>0</v>
      </c>
      <c r="AC338" s="657">
        <v>0</v>
      </c>
      <c r="AD338" s="768">
        <v>51</v>
      </c>
      <c r="AE338" s="769">
        <v>0</v>
      </c>
      <c r="AF338" s="769">
        <v>48</v>
      </c>
      <c r="AG338" s="770">
        <v>48</v>
      </c>
      <c r="AH338" s="769">
        <v>0</v>
      </c>
      <c r="AI338" s="769">
        <v>0</v>
      </c>
      <c r="AJ338" s="769">
        <v>46.364826502432649</v>
      </c>
      <c r="AK338" s="769">
        <v>46.364826502432649</v>
      </c>
      <c r="AL338" s="769">
        <v>0</v>
      </c>
      <c r="AM338" s="769">
        <v>0</v>
      </c>
      <c r="AN338" s="769">
        <v>43.797797298619642</v>
      </c>
      <c r="AO338" s="769">
        <v>43.797797298619642</v>
      </c>
      <c r="AP338" s="769">
        <v>0</v>
      </c>
      <c r="AQ338" s="769">
        <v>0</v>
      </c>
      <c r="AR338" s="769">
        <v>0</v>
      </c>
      <c r="AS338" s="769">
        <v>42.150924247072176</v>
      </c>
      <c r="AT338" s="769">
        <v>44.207694914264458</v>
      </c>
      <c r="AU338" s="769">
        <v>46.364826502432649</v>
      </c>
      <c r="AV338" s="769">
        <v>48.627216161570111</v>
      </c>
      <c r="AW338" s="769">
        <v>51</v>
      </c>
      <c r="AX338" s="769">
        <v>39.96348017106196</v>
      </c>
      <c r="AY338" s="769">
        <v>41.836735100621524</v>
      </c>
      <c r="AZ338" s="769">
        <v>43.797797298619642</v>
      </c>
      <c r="BA338" s="769">
        <v>45.850782657810136</v>
      </c>
      <c r="BB338" s="769">
        <v>48</v>
      </c>
      <c r="BC338" s="769">
        <v>0</v>
      </c>
      <c r="BD338" s="769">
        <v>0</v>
      </c>
      <c r="BE338" s="769">
        <v>0</v>
      </c>
      <c r="BF338" s="769">
        <v>0</v>
      </c>
      <c r="BG338" s="769">
        <v>0</v>
      </c>
      <c r="BH338" s="771">
        <v>51.472203848237228</v>
      </c>
      <c r="BI338" s="771">
        <v>51.948779784205641</v>
      </c>
      <c r="BJ338" s="771">
        <v>52.42976828862389</v>
      </c>
      <c r="BK338" s="772">
        <v>53.855967299935095</v>
      </c>
      <c r="BL338" s="772">
        <v>55.2821663112463</v>
      </c>
      <c r="BM338" s="772">
        <v>56.708365322557498</v>
      </c>
      <c r="BN338" s="772">
        <v>58.134564333868703</v>
      </c>
      <c r="BO338" s="772">
        <v>59.820951122976794</v>
      </c>
      <c r="BP338" s="772">
        <v>61.507337912084878</v>
      </c>
      <c r="BQ338" s="772">
        <v>66.182486207971124</v>
      </c>
      <c r="BR338" s="772">
        <v>71.752605401974307</v>
      </c>
      <c r="BS338" s="772">
        <v>74.198335075439417</v>
      </c>
      <c r="BT338" s="772">
        <v>75.541422401376892</v>
      </c>
      <c r="BU338" s="772">
        <v>76.932316052516228</v>
      </c>
      <c r="BV338" s="772">
        <v>78.356674131296884</v>
      </c>
      <c r="BW338" s="771">
        <v>48.444427151282099</v>
      </c>
      <c r="BX338" s="771">
        <v>48.892969208664134</v>
      </c>
      <c r="BY338" s="771">
        <v>49.345664271646015</v>
      </c>
      <c r="BZ338" s="772">
        <v>50.687969223468329</v>
      </c>
      <c r="CA338" s="772">
        <v>52.030274175290636</v>
      </c>
      <c r="CB338" s="772">
        <v>53.372579127112935</v>
      </c>
      <c r="CC338" s="772">
        <v>54.714884078935249</v>
      </c>
      <c r="CD338" s="772">
        <v>56.302071645154633</v>
      </c>
      <c r="CE338" s="772">
        <v>57.889259211374004</v>
      </c>
      <c r="CF338" s="772">
        <v>62.289398783972821</v>
      </c>
      <c r="CG338" s="772">
        <v>67.531863907740529</v>
      </c>
      <c r="CH338" s="772">
        <v>69.833727129825334</v>
      </c>
      <c r="CI338" s="772">
        <v>71.09780931894295</v>
      </c>
      <c r="CJ338" s="772">
        <v>72.406885696485858</v>
      </c>
      <c r="CK338" s="772">
        <v>73.747458005926489</v>
      </c>
      <c r="CL338" s="771">
        <v>0</v>
      </c>
      <c r="CM338" s="771">
        <v>0</v>
      </c>
      <c r="CN338" s="771">
        <v>0</v>
      </c>
      <c r="CO338" s="772">
        <v>0</v>
      </c>
      <c r="CP338" s="772">
        <v>0</v>
      </c>
      <c r="CQ338" s="772">
        <v>0</v>
      </c>
      <c r="CR338" s="772">
        <v>0</v>
      </c>
      <c r="CS338" s="772">
        <v>0</v>
      </c>
      <c r="CT338" s="772">
        <v>0</v>
      </c>
      <c r="CU338" s="772">
        <v>0</v>
      </c>
      <c r="CV338" s="772">
        <v>0</v>
      </c>
      <c r="CW338" s="772">
        <v>0</v>
      </c>
      <c r="CX338" s="772">
        <v>0</v>
      </c>
      <c r="CY338" s="772">
        <v>0</v>
      </c>
      <c r="CZ338" s="772">
        <v>0</v>
      </c>
      <c r="DA338" s="773">
        <v>0</v>
      </c>
      <c r="DB338" s="773">
        <v>0</v>
      </c>
      <c r="DC338" s="773">
        <v>0</v>
      </c>
      <c r="DD338" s="774">
        <v>0</v>
      </c>
      <c r="DE338" s="774">
        <v>0</v>
      </c>
      <c r="DF338" s="774">
        <v>0</v>
      </c>
      <c r="DG338" s="774">
        <v>0</v>
      </c>
      <c r="DH338" s="774">
        <v>0</v>
      </c>
      <c r="DI338" s="774">
        <v>0</v>
      </c>
      <c r="DJ338" s="774">
        <v>0</v>
      </c>
      <c r="DK338" s="774">
        <v>0</v>
      </c>
      <c r="DL338" s="774">
        <v>0</v>
      </c>
      <c r="DM338" s="774">
        <v>0</v>
      </c>
      <c r="DN338" s="774">
        <v>0</v>
      </c>
      <c r="DO338" s="774">
        <v>0</v>
      </c>
      <c r="DP338" s="773">
        <v>0</v>
      </c>
      <c r="DQ338" s="773">
        <v>0</v>
      </c>
      <c r="DR338" s="773">
        <v>0</v>
      </c>
      <c r="DS338" s="774">
        <v>0</v>
      </c>
      <c r="DT338" s="774">
        <v>0</v>
      </c>
      <c r="DU338" s="774">
        <v>0</v>
      </c>
      <c r="DV338" s="774">
        <v>0</v>
      </c>
      <c r="DW338" s="774">
        <v>0</v>
      </c>
      <c r="DX338" s="774">
        <v>0</v>
      </c>
      <c r="DY338" s="774">
        <v>0</v>
      </c>
      <c r="DZ338" s="774">
        <v>0</v>
      </c>
      <c r="EA338" s="774">
        <v>0</v>
      </c>
      <c r="EB338" s="774">
        <v>0</v>
      </c>
      <c r="EC338" s="774">
        <v>0</v>
      </c>
      <c r="ED338" s="774">
        <v>0</v>
      </c>
    </row>
    <row r="339" spans="1:134" ht="15" x14ac:dyDescent="0.25">
      <c r="A339" s="766">
        <v>121</v>
      </c>
      <c r="B339" s="766">
        <v>99</v>
      </c>
      <c r="C339" s="766" t="s">
        <v>4010</v>
      </c>
      <c r="D339" s="2">
        <v>99712</v>
      </c>
      <c r="E339" s="2">
        <v>99712</v>
      </c>
      <c r="F339" s="767" t="s">
        <v>3676</v>
      </c>
      <c r="G339" s="114">
        <v>74</v>
      </c>
      <c r="H339" s="114">
        <v>34</v>
      </c>
      <c r="I339" s="114">
        <v>28</v>
      </c>
      <c r="J339" s="114">
        <v>6</v>
      </c>
      <c r="K339" s="114">
        <v>0</v>
      </c>
      <c r="L339" s="114">
        <v>35</v>
      </c>
      <c r="M339" s="114">
        <v>35</v>
      </c>
      <c r="N339" s="114">
        <v>0</v>
      </c>
      <c r="O339" s="114">
        <v>0</v>
      </c>
      <c r="P339" s="114">
        <v>0</v>
      </c>
      <c r="Q339" s="114">
        <v>35</v>
      </c>
      <c r="R339" s="114">
        <v>0</v>
      </c>
      <c r="S339" s="114">
        <v>2755.7142857142858</v>
      </c>
      <c r="T339" s="114">
        <v>2755.7142857142858</v>
      </c>
      <c r="U339" s="114">
        <v>0</v>
      </c>
      <c r="V339" s="114">
        <v>0</v>
      </c>
      <c r="W339" s="114">
        <v>0</v>
      </c>
      <c r="X339" s="114">
        <v>2755.7142857142858</v>
      </c>
      <c r="Y339" s="114">
        <v>0</v>
      </c>
      <c r="Z339" s="114">
        <v>34</v>
      </c>
      <c r="AA339" s="114">
        <v>0</v>
      </c>
      <c r="AB339" s="657">
        <v>0</v>
      </c>
      <c r="AC339" s="657">
        <v>0</v>
      </c>
      <c r="AD339" s="768">
        <v>34</v>
      </c>
      <c r="AE339" s="769">
        <v>0</v>
      </c>
      <c r="AF339" s="769">
        <v>28</v>
      </c>
      <c r="AG339" s="770">
        <v>28</v>
      </c>
      <c r="AH339" s="769">
        <v>0</v>
      </c>
      <c r="AI339" s="769">
        <v>0</v>
      </c>
      <c r="AJ339" s="769">
        <v>30.909884334955098</v>
      </c>
      <c r="AK339" s="769">
        <v>30.909884334955098</v>
      </c>
      <c r="AL339" s="769">
        <v>0</v>
      </c>
      <c r="AM339" s="769">
        <v>0</v>
      </c>
      <c r="AN339" s="769">
        <v>25.54871509086146</v>
      </c>
      <c r="AO339" s="769">
        <v>25.54871509086146</v>
      </c>
      <c r="AP339" s="769">
        <v>0</v>
      </c>
      <c r="AQ339" s="769">
        <v>0</v>
      </c>
      <c r="AR339" s="769">
        <v>0</v>
      </c>
      <c r="AS339" s="769">
        <v>28.100616164714783</v>
      </c>
      <c r="AT339" s="769">
        <v>29.471796609509639</v>
      </c>
      <c r="AU339" s="769">
        <v>30.909884334955098</v>
      </c>
      <c r="AV339" s="769">
        <v>32.41814410771341</v>
      </c>
      <c r="AW339" s="769">
        <v>34</v>
      </c>
      <c r="AX339" s="769">
        <v>23.312030099786146</v>
      </c>
      <c r="AY339" s="769">
        <v>24.404762142029224</v>
      </c>
      <c r="AZ339" s="769">
        <v>25.54871509086146</v>
      </c>
      <c r="BA339" s="769">
        <v>26.746289883722582</v>
      </c>
      <c r="BB339" s="769">
        <v>28</v>
      </c>
      <c r="BC339" s="769">
        <v>0</v>
      </c>
      <c r="BD339" s="769">
        <v>0</v>
      </c>
      <c r="BE339" s="769">
        <v>0</v>
      </c>
      <c r="BF339" s="769">
        <v>0</v>
      </c>
      <c r="BG339" s="769">
        <v>0</v>
      </c>
      <c r="BH339" s="771">
        <v>34.31480256549149</v>
      </c>
      <c r="BI339" s="771">
        <v>34.632519856137094</v>
      </c>
      <c r="BJ339" s="771">
        <v>34.953178859082591</v>
      </c>
      <c r="BK339" s="772">
        <v>35.831109753607407</v>
      </c>
      <c r="BL339" s="772">
        <v>36.70904064813223</v>
      </c>
      <c r="BM339" s="772">
        <v>37.586971542657039</v>
      </c>
      <c r="BN339" s="772">
        <v>38.464902437181856</v>
      </c>
      <c r="BO339" s="772">
        <v>39.502998138086404</v>
      </c>
      <c r="BP339" s="772">
        <v>40.541093838990967</v>
      </c>
      <c r="BQ339" s="772">
        <v>43.418993131369568</v>
      </c>
      <c r="BR339" s="772">
        <v>46.847813154253458</v>
      </c>
      <c r="BS339" s="772">
        <v>48.353340519622378</v>
      </c>
      <c r="BT339" s="772">
        <v>49.180110029440755</v>
      </c>
      <c r="BU339" s="772">
        <v>50.036307865541481</v>
      </c>
      <c r="BV339" s="772">
        <v>50.913105530039857</v>
      </c>
      <c r="BW339" s="771">
        <v>28.259249171581224</v>
      </c>
      <c r="BX339" s="771">
        <v>28.52089870505408</v>
      </c>
      <c r="BY339" s="771">
        <v>28.784970825126841</v>
      </c>
      <c r="BZ339" s="772">
        <v>29.507972738264925</v>
      </c>
      <c r="CA339" s="772">
        <v>30.230974651403013</v>
      </c>
      <c r="CB339" s="772">
        <v>30.95397656454109</v>
      </c>
      <c r="CC339" s="772">
        <v>31.676978477679178</v>
      </c>
      <c r="CD339" s="772">
        <v>32.531880819600573</v>
      </c>
      <c r="CE339" s="772">
        <v>33.386783161521976</v>
      </c>
      <c r="CF339" s="772">
        <v>35.75681787289259</v>
      </c>
      <c r="CG339" s="772">
        <v>38.580552009385201</v>
      </c>
      <c r="CH339" s="772">
        <v>39.820398074983139</v>
      </c>
      <c r="CI339" s="772">
        <v>40.501267083068861</v>
      </c>
      <c r="CJ339" s="772">
        <v>41.206371183387105</v>
      </c>
      <c r="CK339" s="772">
        <v>41.92843984826812</v>
      </c>
      <c r="CL339" s="771">
        <v>0</v>
      </c>
      <c r="CM339" s="771">
        <v>0</v>
      </c>
      <c r="CN339" s="771">
        <v>0</v>
      </c>
      <c r="CO339" s="772">
        <v>0</v>
      </c>
      <c r="CP339" s="772">
        <v>0</v>
      </c>
      <c r="CQ339" s="772">
        <v>0</v>
      </c>
      <c r="CR339" s="772">
        <v>0</v>
      </c>
      <c r="CS339" s="772">
        <v>0</v>
      </c>
      <c r="CT339" s="772">
        <v>0</v>
      </c>
      <c r="CU339" s="772">
        <v>0</v>
      </c>
      <c r="CV339" s="772">
        <v>0</v>
      </c>
      <c r="CW339" s="772">
        <v>0</v>
      </c>
      <c r="CX339" s="772">
        <v>0</v>
      </c>
      <c r="CY339" s="772">
        <v>0</v>
      </c>
      <c r="CZ339" s="772">
        <v>0</v>
      </c>
      <c r="DA339" s="773">
        <v>0</v>
      </c>
      <c r="DB339" s="773">
        <v>0</v>
      </c>
      <c r="DC339" s="773">
        <v>0</v>
      </c>
      <c r="DD339" s="774">
        <v>0</v>
      </c>
      <c r="DE339" s="774">
        <v>0</v>
      </c>
      <c r="DF339" s="774">
        <v>0</v>
      </c>
      <c r="DG339" s="774">
        <v>0</v>
      </c>
      <c r="DH339" s="774">
        <v>0</v>
      </c>
      <c r="DI339" s="774">
        <v>0</v>
      </c>
      <c r="DJ339" s="774">
        <v>0</v>
      </c>
      <c r="DK339" s="774">
        <v>0</v>
      </c>
      <c r="DL339" s="774">
        <v>0</v>
      </c>
      <c r="DM339" s="774">
        <v>0</v>
      </c>
      <c r="DN339" s="774">
        <v>0</v>
      </c>
      <c r="DO339" s="774">
        <v>0</v>
      </c>
      <c r="DP339" s="773">
        <v>0</v>
      </c>
      <c r="DQ339" s="773">
        <v>0</v>
      </c>
      <c r="DR339" s="773">
        <v>0</v>
      </c>
      <c r="DS339" s="774">
        <v>0</v>
      </c>
      <c r="DT339" s="774">
        <v>0</v>
      </c>
      <c r="DU339" s="774">
        <v>0</v>
      </c>
      <c r="DV339" s="774">
        <v>0</v>
      </c>
      <c r="DW339" s="774">
        <v>0</v>
      </c>
      <c r="DX339" s="774">
        <v>0</v>
      </c>
      <c r="DY339" s="774">
        <v>0</v>
      </c>
      <c r="DZ339" s="774">
        <v>0</v>
      </c>
      <c r="EA339" s="774">
        <v>0</v>
      </c>
      <c r="EB339" s="774">
        <v>0</v>
      </c>
      <c r="EC339" s="774">
        <v>0</v>
      </c>
      <c r="ED339" s="774">
        <v>0</v>
      </c>
    </row>
    <row r="340" spans="1:134" ht="15" x14ac:dyDescent="0.25">
      <c r="A340" s="766">
        <v>134</v>
      </c>
      <c r="B340" s="766">
        <v>99</v>
      </c>
      <c r="C340" s="766" t="s">
        <v>4011</v>
      </c>
      <c r="D340" s="2">
        <v>99712</v>
      </c>
      <c r="E340" s="2">
        <v>99712</v>
      </c>
      <c r="F340" s="767" t="s">
        <v>3676</v>
      </c>
      <c r="G340" s="114">
        <v>60</v>
      </c>
      <c r="H340" s="114">
        <v>31</v>
      </c>
      <c r="I340" s="114">
        <v>26</v>
      </c>
      <c r="J340" s="114">
        <v>5</v>
      </c>
      <c r="K340" s="114">
        <v>0</v>
      </c>
      <c r="L340" s="114">
        <v>0</v>
      </c>
      <c r="M340" s="114">
        <v>0</v>
      </c>
      <c r="N340" s="114">
        <v>0</v>
      </c>
      <c r="O340" s="114">
        <v>0</v>
      </c>
      <c r="P340" s="114">
        <v>0</v>
      </c>
      <c r="Q340" s="114">
        <v>0</v>
      </c>
      <c r="R340" s="114">
        <v>0</v>
      </c>
      <c r="S340" s="114">
        <v>834.49503068156923</v>
      </c>
      <c r="T340" s="114">
        <v>834.49503068156923</v>
      </c>
      <c r="U340" s="114">
        <v>1408.3846153846155</v>
      </c>
      <c r="V340" s="114">
        <v>0</v>
      </c>
      <c r="W340" s="114">
        <v>0</v>
      </c>
      <c r="X340" s="114">
        <v>1365.173957061457</v>
      </c>
      <c r="Y340" s="114">
        <v>0.71028239778239777</v>
      </c>
      <c r="Z340" s="114">
        <v>30.249436936936938</v>
      </c>
      <c r="AA340" s="114">
        <v>4.0280665280665283E-2</v>
      </c>
      <c r="AB340" s="657">
        <v>0</v>
      </c>
      <c r="AC340" s="657">
        <v>0</v>
      </c>
      <c r="AD340" s="768">
        <v>31</v>
      </c>
      <c r="AE340" s="769">
        <v>0.59572072072072069</v>
      </c>
      <c r="AF340" s="769">
        <v>25.370495495495494</v>
      </c>
      <c r="AG340" s="770">
        <v>25.966216216216214</v>
      </c>
      <c r="AH340" s="769">
        <v>3.3783783783783786E-2</v>
      </c>
      <c r="AI340" s="769">
        <v>0.64572784590024956</v>
      </c>
      <c r="AJ340" s="769">
        <v>27.500194027007037</v>
      </c>
      <c r="AK340" s="769">
        <v>28.145921872907287</v>
      </c>
      <c r="AL340" s="769">
        <v>3.6619726610600166E-2</v>
      </c>
      <c r="AM340" s="769">
        <v>0.54356782026486938</v>
      </c>
      <c r="AN340" s="769">
        <v>23.149412897442801</v>
      </c>
      <c r="AO340" s="769">
        <v>23.69298071770767</v>
      </c>
      <c r="AP340" s="769">
        <v>3.0826152377969908E-2</v>
      </c>
      <c r="AQ340" s="769">
        <v>0</v>
      </c>
      <c r="AR340" s="769">
        <v>0</v>
      </c>
      <c r="AS340" s="769">
        <v>25.587858517419029</v>
      </c>
      <c r="AT340" s="769">
        <v>26.836427980010331</v>
      </c>
      <c r="AU340" s="769">
        <v>28.145921872907284</v>
      </c>
      <c r="AV340" s="769">
        <v>29.519313027273306</v>
      </c>
      <c r="AW340" s="769">
        <v>30.959719334719335</v>
      </c>
      <c r="AX340" s="769">
        <v>21.618757643213836</v>
      </c>
      <c r="AY340" s="769">
        <v>22.6321189459021</v>
      </c>
      <c r="AZ340" s="769">
        <v>23.69298071770767</v>
      </c>
      <c r="BA340" s="769">
        <v>24.803569503654892</v>
      </c>
      <c r="BB340" s="769">
        <v>25.966216216216214</v>
      </c>
      <c r="BC340" s="769">
        <v>0</v>
      </c>
      <c r="BD340" s="769">
        <v>0</v>
      </c>
      <c r="BE340" s="769">
        <v>0</v>
      </c>
      <c r="BF340" s="769">
        <v>0</v>
      </c>
      <c r="BG340" s="769">
        <v>0</v>
      </c>
      <c r="BH340" s="771">
        <v>31.351600473950242</v>
      </c>
      <c r="BI340" s="771">
        <v>31.748441956187637</v>
      </c>
      <c r="BJ340" s="771">
        <v>32.150306568333676</v>
      </c>
      <c r="BK340" s="772">
        <v>31.938932408438962</v>
      </c>
      <c r="BL340" s="772">
        <v>31.72894794090616</v>
      </c>
      <c r="BM340" s="772">
        <v>31.956725790543871</v>
      </c>
      <c r="BN340" s="772">
        <v>32.186138826727387</v>
      </c>
      <c r="BO340" s="772">
        <v>32.417198788240981</v>
      </c>
      <c r="BP340" s="772">
        <v>32.649917498140091</v>
      </c>
      <c r="BQ340" s="772">
        <v>32.884306864356262</v>
      </c>
      <c r="BR340" s="772">
        <v>33.06890703218717</v>
      </c>
      <c r="BS340" s="772">
        <v>33.254543476139197</v>
      </c>
      <c r="BT340" s="772">
        <v>33.441222013477919</v>
      </c>
      <c r="BU340" s="772">
        <v>33.628948494124835</v>
      </c>
      <c r="BV340" s="772">
        <v>33.817728800840719</v>
      </c>
      <c r="BW340" s="771">
        <v>26.294890720087295</v>
      </c>
      <c r="BX340" s="771">
        <v>26.627725511641241</v>
      </c>
      <c r="BY340" s="771">
        <v>26.9647732508605</v>
      </c>
      <c r="BZ340" s="772">
        <v>26.787491697400416</v>
      </c>
      <c r="CA340" s="772">
        <v>26.611375692372906</v>
      </c>
      <c r="CB340" s="772">
        <v>26.802415179165823</v>
      </c>
      <c r="CC340" s="772">
        <v>26.994826112739094</v>
      </c>
      <c r="CD340" s="772">
        <v>27.188618338524694</v>
      </c>
      <c r="CE340" s="772">
        <v>27.383801772633625</v>
      </c>
      <c r="CF340" s="772">
        <v>27.580386402363317</v>
      </c>
      <c r="CG340" s="772">
        <v>27.735212349576333</v>
      </c>
      <c r="CH340" s="772">
        <v>27.890907431600617</v>
      </c>
      <c r="CI340" s="772">
        <v>28.047476527433091</v>
      </c>
      <c r="CJ340" s="772">
        <v>28.204924543459541</v>
      </c>
      <c r="CK340" s="772">
        <v>28.36325641360834</v>
      </c>
      <c r="CL340" s="771">
        <v>0</v>
      </c>
      <c r="CM340" s="771">
        <v>0</v>
      </c>
      <c r="CN340" s="771">
        <v>0</v>
      </c>
      <c r="CO340" s="772">
        <v>0</v>
      </c>
      <c r="CP340" s="772">
        <v>0</v>
      </c>
      <c r="CQ340" s="772">
        <v>0</v>
      </c>
      <c r="CR340" s="772">
        <v>0</v>
      </c>
      <c r="CS340" s="772">
        <v>0</v>
      </c>
      <c r="CT340" s="772">
        <v>0</v>
      </c>
      <c r="CU340" s="772">
        <v>0</v>
      </c>
      <c r="CV340" s="772">
        <v>0</v>
      </c>
      <c r="CW340" s="772">
        <v>0</v>
      </c>
      <c r="CX340" s="772">
        <v>0</v>
      </c>
      <c r="CY340" s="772">
        <v>0</v>
      </c>
      <c r="CZ340" s="772">
        <v>0</v>
      </c>
      <c r="DA340" s="773">
        <v>4.0790528849792146E-2</v>
      </c>
      <c r="DB340" s="773">
        <v>4.1306846156892583E-2</v>
      </c>
      <c r="DC340" s="773">
        <v>4.1829698891925157E-2</v>
      </c>
      <c r="DD340" s="774">
        <v>4.1554686974289566E-2</v>
      </c>
      <c r="DE340" s="774">
        <v>4.128148313935228E-2</v>
      </c>
      <c r="DF340" s="774">
        <v>4.1577837354337586E-2</v>
      </c>
      <c r="DG340" s="774">
        <v>4.1876319056371826E-2</v>
      </c>
      <c r="DH340" s="774">
        <v>4.2176943518398367E-2</v>
      </c>
      <c r="DI340" s="774">
        <v>4.2479726123002985E-2</v>
      </c>
      <c r="DJ340" s="774">
        <v>4.2784682363200967E-2</v>
      </c>
      <c r="DK340" s="774">
        <v>4.3024859526655176E-2</v>
      </c>
      <c r="DL340" s="774">
        <v>4.3266384954643765E-2</v>
      </c>
      <c r="DM340" s="774">
        <v>4.3509266215818264E-2</v>
      </c>
      <c r="DN340" s="774">
        <v>4.3753510921317768E-2</v>
      </c>
      <c r="DO340" s="774">
        <v>4.3999126725007442E-2</v>
      </c>
      <c r="DP340" s="773">
        <v>0</v>
      </c>
      <c r="DQ340" s="773">
        <v>0</v>
      </c>
      <c r="DR340" s="773">
        <v>0</v>
      </c>
      <c r="DS340" s="774">
        <v>0</v>
      </c>
      <c r="DT340" s="774">
        <v>0</v>
      </c>
      <c r="DU340" s="774">
        <v>0</v>
      </c>
      <c r="DV340" s="774">
        <v>0</v>
      </c>
      <c r="DW340" s="774">
        <v>0</v>
      </c>
      <c r="DX340" s="774">
        <v>0</v>
      </c>
      <c r="DY340" s="774">
        <v>0</v>
      </c>
      <c r="DZ340" s="774">
        <v>0</v>
      </c>
      <c r="EA340" s="774">
        <v>0</v>
      </c>
      <c r="EB340" s="774">
        <v>0</v>
      </c>
      <c r="EC340" s="774">
        <v>0</v>
      </c>
      <c r="ED340" s="774">
        <v>0</v>
      </c>
    </row>
    <row r="341" spans="1:134" ht="15" x14ac:dyDescent="0.25">
      <c r="A341" s="766">
        <v>138</v>
      </c>
      <c r="B341" s="766">
        <v>99</v>
      </c>
      <c r="C341" s="766" t="s">
        <v>4012</v>
      </c>
      <c r="D341" s="2">
        <v>99712</v>
      </c>
      <c r="E341" s="2">
        <v>99712</v>
      </c>
      <c r="F341" s="767" t="s">
        <v>3676</v>
      </c>
      <c r="G341" s="114">
        <v>115</v>
      </c>
      <c r="H341" s="114">
        <v>58</v>
      </c>
      <c r="I341" s="114">
        <v>52</v>
      </c>
      <c r="J341" s="114">
        <v>6</v>
      </c>
      <c r="K341" s="114">
        <v>0</v>
      </c>
      <c r="L341" s="114">
        <v>0</v>
      </c>
      <c r="M341" s="114">
        <v>0</v>
      </c>
      <c r="N341" s="114">
        <v>0</v>
      </c>
      <c r="O341" s="114">
        <v>0</v>
      </c>
      <c r="P341" s="114">
        <v>0</v>
      </c>
      <c r="Q341" s="114">
        <v>0</v>
      </c>
      <c r="R341" s="114">
        <v>0</v>
      </c>
      <c r="S341" s="114">
        <v>834.49503068156923</v>
      </c>
      <c r="T341" s="114">
        <v>834.49503068156923</v>
      </c>
      <c r="U341" s="114">
        <v>1408.3846153846155</v>
      </c>
      <c r="V341" s="114">
        <v>0</v>
      </c>
      <c r="W341" s="114">
        <v>0</v>
      </c>
      <c r="X341" s="114">
        <v>1365.173957061457</v>
      </c>
      <c r="Y341" s="114">
        <v>1.328915453915454</v>
      </c>
      <c r="Z341" s="114">
        <v>56.59572072072072</v>
      </c>
      <c r="AA341" s="114">
        <v>7.5363825363825368E-2</v>
      </c>
      <c r="AB341" s="657">
        <v>0</v>
      </c>
      <c r="AC341" s="657">
        <v>0</v>
      </c>
      <c r="AD341" s="768">
        <v>58</v>
      </c>
      <c r="AE341" s="769">
        <v>1.1914414414414414</v>
      </c>
      <c r="AF341" s="769">
        <v>50.740990990990987</v>
      </c>
      <c r="AG341" s="770">
        <v>51.932432432432428</v>
      </c>
      <c r="AH341" s="769">
        <v>6.7567567567567571E-2</v>
      </c>
      <c r="AI341" s="769">
        <v>1.2081359697488541</v>
      </c>
      <c r="AJ341" s="769">
        <v>51.451975921497031</v>
      </c>
      <c r="AK341" s="769">
        <v>52.660111891245883</v>
      </c>
      <c r="AL341" s="769">
        <v>6.8514327206929335E-2</v>
      </c>
      <c r="AM341" s="769">
        <v>1.0871356405297388</v>
      </c>
      <c r="AN341" s="769">
        <v>46.298825794885602</v>
      </c>
      <c r="AO341" s="769">
        <v>47.385961435415339</v>
      </c>
      <c r="AP341" s="769">
        <v>6.1652304755939816E-2</v>
      </c>
      <c r="AQ341" s="769">
        <v>0</v>
      </c>
      <c r="AR341" s="769">
        <v>0</v>
      </c>
      <c r="AS341" s="769">
        <v>47.874057871300124</v>
      </c>
      <c r="AT341" s="769">
        <v>50.210091059374172</v>
      </c>
      <c r="AU341" s="769">
        <v>52.66011189124589</v>
      </c>
      <c r="AV341" s="769">
        <v>55.22968243812425</v>
      </c>
      <c r="AW341" s="769">
        <v>57.924636174636177</v>
      </c>
      <c r="AX341" s="769">
        <v>43.237515286427673</v>
      </c>
      <c r="AY341" s="769">
        <v>45.2642378918042</v>
      </c>
      <c r="AZ341" s="769">
        <v>47.385961435415339</v>
      </c>
      <c r="BA341" s="769">
        <v>49.607139007309783</v>
      </c>
      <c r="BB341" s="769">
        <v>51.932432432432428</v>
      </c>
      <c r="BC341" s="769">
        <v>0</v>
      </c>
      <c r="BD341" s="769">
        <v>0</v>
      </c>
      <c r="BE341" s="769">
        <v>0</v>
      </c>
      <c r="BF341" s="769">
        <v>0</v>
      </c>
      <c r="BG341" s="769">
        <v>0</v>
      </c>
      <c r="BH341" s="771">
        <v>58.657833144810134</v>
      </c>
      <c r="BI341" s="771">
        <v>59.400310756738158</v>
      </c>
      <c r="BJ341" s="771">
        <v>60.152186482688812</v>
      </c>
      <c r="BK341" s="772">
        <v>59.756712248047087</v>
      </c>
      <c r="BL341" s="772">
        <v>59.363838082985723</v>
      </c>
      <c r="BM341" s="772">
        <v>59.790003091985305</v>
      </c>
      <c r="BN341" s="772">
        <v>60.219227482264138</v>
      </c>
      <c r="BO341" s="772">
        <v>60.651533216708941</v>
      </c>
      <c r="BP341" s="772">
        <v>61.086942415875015</v>
      </c>
      <c r="BQ341" s="772">
        <v>61.52547735911817</v>
      </c>
      <c r="BR341" s="772">
        <v>61.87085831828567</v>
      </c>
      <c r="BS341" s="772">
        <v>62.218178116647536</v>
      </c>
      <c r="BT341" s="772">
        <v>62.56744763811998</v>
      </c>
      <c r="BU341" s="772">
        <v>62.918677827717438</v>
      </c>
      <c r="BV341" s="772">
        <v>63.271879691895535</v>
      </c>
      <c r="BW341" s="771">
        <v>52.58978144017459</v>
      </c>
      <c r="BX341" s="771">
        <v>53.255451023282482</v>
      </c>
      <c r="BY341" s="771">
        <v>53.929546501720999</v>
      </c>
      <c r="BZ341" s="772">
        <v>53.574983394800832</v>
      </c>
      <c r="CA341" s="772">
        <v>53.222751384745813</v>
      </c>
      <c r="CB341" s="772">
        <v>53.604830358331647</v>
      </c>
      <c r="CC341" s="772">
        <v>53.989652225478189</v>
      </c>
      <c r="CD341" s="772">
        <v>54.377236677049389</v>
      </c>
      <c r="CE341" s="772">
        <v>54.767603545267249</v>
      </c>
      <c r="CF341" s="772">
        <v>55.160772804726633</v>
      </c>
      <c r="CG341" s="772">
        <v>55.470424699152666</v>
      </c>
      <c r="CH341" s="772">
        <v>55.781814863201234</v>
      </c>
      <c r="CI341" s="772">
        <v>56.094953054866181</v>
      </c>
      <c r="CJ341" s="772">
        <v>56.409849086919081</v>
      </c>
      <c r="CK341" s="772">
        <v>56.726512827216681</v>
      </c>
      <c r="CL341" s="771">
        <v>0</v>
      </c>
      <c r="CM341" s="771">
        <v>0</v>
      </c>
      <c r="CN341" s="771">
        <v>0</v>
      </c>
      <c r="CO341" s="772">
        <v>0</v>
      </c>
      <c r="CP341" s="772">
        <v>0</v>
      </c>
      <c r="CQ341" s="772">
        <v>0</v>
      </c>
      <c r="CR341" s="772">
        <v>0</v>
      </c>
      <c r="CS341" s="772">
        <v>0</v>
      </c>
      <c r="CT341" s="772">
        <v>0</v>
      </c>
      <c r="CU341" s="772">
        <v>0</v>
      </c>
      <c r="CV341" s="772">
        <v>0</v>
      </c>
      <c r="CW341" s="772">
        <v>0</v>
      </c>
      <c r="CX341" s="772">
        <v>0</v>
      </c>
      <c r="CY341" s="772">
        <v>0</v>
      </c>
      <c r="CZ341" s="772">
        <v>0</v>
      </c>
      <c r="DA341" s="773">
        <v>7.6317763654449824E-2</v>
      </c>
      <c r="DB341" s="773">
        <v>7.7283776680637739E-2</v>
      </c>
      <c r="DC341" s="773">
        <v>7.8262017281666429E-2</v>
      </c>
      <c r="DD341" s="774">
        <v>7.7747478855122426E-2</v>
      </c>
      <c r="DE341" s="774">
        <v>7.723632329298169E-2</v>
      </c>
      <c r="DF341" s="774">
        <v>7.7790792469405817E-2</v>
      </c>
      <c r="DG341" s="774">
        <v>7.8349242105469868E-2</v>
      </c>
      <c r="DH341" s="774">
        <v>7.8911700776358243E-2</v>
      </c>
      <c r="DI341" s="774">
        <v>7.9478197262392691E-2</v>
      </c>
      <c r="DJ341" s="774">
        <v>8.0048760550505041E-2</v>
      </c>
      <c r="DK341" s="774">
        <v>8.049812427567743E-2</v>
      </c>
      <c r="DL341" s="774">
        <v>8.0950010560301253E-2</v>
      </c>
      <c r="DM341" s="774">
        <v>8.1404433565079343E-2</v>
      </c>
      <c r="DN341" s="774">
        <v>8.1861407530207445E-2</v>
      </c>
      <c r="DO341" s="774">
        <v>8.2320946775820372E-2</v>
      </c>
      <c r="DP341" s="773">
        <v>0</v>
      </c>
      <c r="DQ341" s="773">
        <v>0</v>
      </c>
      <c r="DR341" s="773">
        <v>0</v>
      </c>
      <c r="DS341" s="774">
        <v>0</v>
      </c>
      <c r="DT341" s="774">
        <v>0</v>
      </c>
      <c r="DU341" s="774">
        <v>0</v>
      </c>
      <c r="DV341" s="774">
        <v>0</v>
      </c>
      <c r="DW341" s="774">
        <v>0</v>
      </c>
      <c r="DX341" s="774">
        <v>0</v>
      </c>
      <c r="DY341" s="774">
        <v>0</v>
      </c>
      <c r="DZ341" s="774">
        <v>0</v>
      </c>
      <c r="EA341" s="774">
        <v>0</v>
      </c>
      <c r="EB341" s="774">
        <v>0</v>
      </c>
      <c r="EC341" s="774">
        <v>0</v>
      </c>
      <c r="ED341" s="774">
        <v>0</v>
      </c>
    </row>
    <row r="342" spans="1:134" ht="15" x14ac:dyDescent="0.25">
      <c r="A342" s="766">
        <v>194</v>
      </c>
      <c r="B342" s="766">
        <v>99</v>
      </c>
      <c r="C342" s="766" t="s">
        <v>4013</v>
      </c>
      <c r="D342" s="2">
        <v>99712</v>
      </c>
      <c r="E342" s="2">
        <v>99712</v>
      </c>
      <c r="F342" s="767" t="s">
        <v>3676</v>
      </c>
      <c r="G342" s="114">
        <v>19</v>
      </c>
      <c r="H342" s="114">
        <v>30</v>
      </c>
      <c r="I342" s="114">
        <v>9</v>
      </c>
      <c r="J342" s="114">
        <v>21</v>
      </c>
      <c r="K342" s="114">
        <v>0</v>
      </c>
      <c r="L342" s="114">
        <v>0</v>
      </c>
      <c r="M342" s="114">
        <v>0</v>
      </c>
      <c r="N342" s="114">
        <v>0</v>
      </c>
      <c r="O342" s="114">
        <v>0</v>
      </c>
      <c r="P342" s="114">
        <v>0</v>
      </c>
      <c r="Q342" s="114">
        <v>0</v>
      </c>
      <c r="R342" s="114">
        <v>0</v>
      </c>
      <c r="S342" s="114">
        <v>834.49503068156923</v>
      </c>
      <c r="T342" s="114">
        <v>834.49503068156923</v>
      </c>
      <c r="U342" s="114">
        <v>1408.3846153846155</v>
      </c>
      <c r="V342" s="114">
        <v>0</v>
      </c>
      <c r="W342" s="114">
        <v>0</v>
      </c>
      <c r="X342" s="114">
        <v>1365.173957061457</v>
      </c>
      <c r="Y342" s="114">
        <v>0.68737006237006237</v>
      </c>
      <c r="Z342" s="114">
        <v>29.273648648648649</v>
      </c>
      <c r="AA342" s="114">
        <v>3.8981288981288983E-2</v>
      </c>
      <c r="AB342" s="657">
        <v>0</v>
      </c>
      <c r="AC342" s="657">
        <v>0</v>
      </c>
      <c r="AD342" s="768">
        <v>30</v>
      </c>
      <c r="AE342" s="769">
        <v>0.20621101871101871</v>
      </c>
      <c r="AF342" s="769">
        <v>8.7820945945945947</v>
      </c>
      <c r="AG342" s="770">
        <v>8.988305613305613</v>
      </c>
      <c r="AH342" s="769">
        <v>1.1694386694386695E-2</v>
      </c>
      <c r="AI342" s="769">
        <v>0.6248979153873383</v>
      </c>
      <c r="AJ342" s="769">
        <v>26.613090993877776</v>
      </c>
      <c r="AK342" s="769">
        <v>27.237988909265116</v>
      </c>
      <c r="AL342" s="769">
        <v>3.5438445107032417E-2</v>
      </c>
      <c r="AM342" s="769">
        <v>0.1881580916301471</v>
      </c>
      <c r="AN342" s="769">
        <v>8.0132583106532778</v>
      </c>
      <c r="AO342" s="769">
        <v>8.2014164022834244</v>
      </c>
      <c r="AP342" s="769">
        <v>1.0670591207758814E-2</v>
      </c>
      <c r="AQ342" s="769">
        <v>0</v>
      </c>
      <c r="AR342" s="769">
        <v>0</v>
      </c>
      <c r="AS342" s="769">
        <v>24.762443726534542</v>
      </c>
      <c r="AT342" s="769">
        <v>25.970736754848705</v>
      </c>
      <c r="AU342" s="769">
        <v>27.237988909265113</v>
      </c>
      <c r="AV342" s="769">
        <v>28.567077123167714</v>
      </c>
      <c r="AW342" s="769">
        <v>29.96101871101871</v>
      </c>
      <c r="AX342" s="769">
        <v>7.4834161072663283</v>
      </c>
      <c r="AY342" s="769">
        <v>7.8341950197353425</v>
      </c>
      <c r="AZ342" s="769">
        <v>8.2014164022834244</v>
      </c>
      <c r="BA342" s="769">
        <v>8.5858509820343851</v>
      </c>
      <c r="BB342" s="769">
        <v>8.988305613305613</v>
      </c>
      <c r="BC342" s="769">
        <v>0</v>
      </c>
      <c r="BD342" s="769">
        <v>0</v>
      </c>
      <c r="BE342" s="769">
        <v>0</v>
      </c>
      <c r="BF342" s="769">
        <v>0</v>
      </c>
      <c r="BG342" s="769">
        <v>0</v>
      </c>
      <c r="BH342" s="771">
        <v>30.340258523177653</v>
      </c>
      <c r="BI342" s="771">
        <v>30.724298667278358</v>
      </c>
      <c r="BJ342" s="771">
        <v>31.113199904839039</v>
      </c>
      <c r="BK342" s="772">
        <v>30.908644266231253</v>
      </c>
      <c r="BL342" s="772">
        <v>30.705433491199507</v>
      </c>
      <c r="BM342" s="772">
        <v>30.92586366826826</v>
      </c>
      <c r="BN342" s="772">
        <v>31.147876283929726</v>
      </c>
      <c r="BO342" s="772">
        <v>31.371482698297726</v>
      </c>
      <c r="BP342" s="772">
        <v>31.596694353038796</v>
      </c>
      <c r="BQ342" s="772">
        <v>31.823522771957673</v>
      </c>
      <c r="BR342" s="772">
        <v>32.002168095664999</v>
      </c>
      <c r="BS342" s="772">
        <v>32.181816267231483</v>
      </c>
      <c r="BT342" s="772">
        <v>32.362472916268949</v>
      </c>
      <c r="BU342" s="772">
        <v>32.544143703991779</v>
      </c>
      <c r="BV342" s="772">
        <v>32.726834323394243</v>
      </c>
      <c r="BW342" s="771">
        <v>9.1020775569532955</v>
      </c>
      <c r="BX342" s="771">
        <v>9.2172896001835074</v>
      </c>
      <c r="BY342" s="771">
        <v>9.3339599714517121</v>
      </c>
      <c r="BZ342" s="772">
        <v>9.2725932798693762</v>
      </c>
      <c r="CA342" s="772">
        <v>9.2116300473598525</v>
      </c>
      <c r="CB342" s="772">
        <v>9.2777591004804787</v>
      </c>
      <c r="CC342" s="772">
        <v>9.3443628851789171</v>
      </c>
      <c r="CD342" s="772">
        <v>9.4114448094893177</v>
      </c>
      <c r="CE342" s="772">
        <v>9.4790083059116395</v>
      </c>
      <c r="CF342" s="772">
        <v>9.5470568315873017</v>
      </c>
      <c r="CG342" s="772">
        <v>9.6006504286995007</v>
      </c>
      <c r="CH342" s="772">
        <v>9.6545448801694445</v>
      </c>
      <c r="CI342" s="772">
        <v>9.7087418748806869</v>
      </c>
      <c r="CJ342" s="772">
        <v>9.763243111197534</v>
      </c>
      <c r="CK342" s="772">
        <v>9.8180502970182726</v>
      </c>
      <c r="CL342" s="771">
        <v>0</v>
      </c>
      <c r="CM342" s="771">
        <v>0</v>
      </c>
      <c r="CN342" s="771">
        <v>0</v>
      </c>
      <c r="CO342" s="772">
        <v>0</v>
      </c>
      <c r="CP342" s="772">
        <v>0</v>
      </c>
      <c r="CQ342" s="772">
        <v>0</v>
      </c>
      <c r="CR342" s="772">
        <v>0</v>
      </c>
      <c r="CS342" s="772">
        <v>0</v>
      </c>
      <c r="CT342" s="772">
        <v>0</v>
      </c>
      <c r="CU342" s="772">
        <v>0</v>
      </c>
      <c r="CV342" s="772">
        <v>0</v>
      </c>
      <c r="CW342" s="772">
        <v>0</v>
      </c>
      <c r="CX342" s="772">
        <v>0</v>
      </c>
      <c r="CY342" s="772">
        <v>0</v>
      </c>
      <c r="CZ342" s="772">
        <v>0</v>
      </c>
      <c r="DA342" s="773">
        <v>3.9474705338508526E-2</v>
      </c>
      <c r="DB342" s="773">
        <v>3.9974367248605723E-2</v>
      </c>
      <c r="DC342" s="773">
        <v>4.0480353766379186E-2</v>
      </c>
      <c r="DD342" s="774">
        <v>4.0214213200925393E-2</v>
      </c>
      <c r="DE342" s="774">
        <v>3.9949822392921559E-2</v>
      </c>
      <c r="DF342" s="774">
        <v>4.0236616794520251E-2</v>
      </c>
      <c r="DG342" s="774">
        <v>4.0525470054553384E-2</v>
      </c>
      <c r="DH342" s="774">
        <v>4.0816396953288744E-2</v>
      </c>
      <c r="DI342" s="774">
        <v>4.1109412377099662E-2</v>
      </c>
      <c r="DJ342" s="774">
        <v>4.1404531319226744E-2</v>
      </c>
      <c r="DK342" s="774">
        <v>4.1636960832246946E-2</v>
      </c>
      <c r="DL342" s="774">
        <v>4.1870695117397196E-2</v>
      </c>
      <c r="DM342" s="774">
        <v>4.2105741499178971E-2</v>
      </c>
      <c r="DN342" s="774">
        <v>4.2342107343210748E-2</v>
      </c>
      <c r="DO342" s="774">
        <v>4.2579800056458818E-2</v>
      </c>
      <c r="DP342" s="773">
        <v>0</v>
      </c>
      <c r="DQ342" s="773">
        <v>0</v>
      </c>
      <c r="DR342" s="773">
        <v>0</v>
      </c>
      <c r="DS342" s="774">
        <v>0</v>
      </c>
      <c r="DT342" s="774">
        <v>0</v>
      </c>
      <c r="DU342" s="774">
        <v>0</v>
      </c>
      <c r="DV342" s="774">
        <v>0</v>
      </c>
      <c r="DW342" s="774">
        <v>0</v>
      </c>
      <c r="DX342" s="774">
        <v>0</v>
      </c>
      <c r="DY342" s="774">
        <v>0</v>
      </c>
      <c r="DZ342" s="774">
        <v>0</v>
      </c>
      <c r="EA342" s="774">
        <v>0</v>
      </c>
      <c r="EB342" s="774">
        <v>0</v>
      </c>
      <c r="EC342" s="774">
        <v>0</v>
      </c>
      <c r="ED342" s="774">
        <v>0</v>
      </c>
    </row>
    <row r="343" spans="1:134" ht="15" x14ac:dyDescent="0.25">
      <c r="A343" s="766">
        <v>90</v>
      </c>
      <c r="B343" s="766">
        <v>100</v>
      </c>
      <c r="C343" s="766" t="s">
        <v>4014</v>
      </c>
      <c r="D343" s="2">
        <v>99709</v>
      </c>
      <c r="E343" s="2">
        <v>99709</v>
      </c>
      <c r="F343" s="767" t="s">
        <v>3676</v>
      </c>
      <c r="G343" s="114">
        <v>2</v>
      </c>
      <c r="H343" s="114">
        <v>1</v>
      </c>
      <c r="I343" s="114">
        <v>1</v>
      </c>
      <c r="J343" s="114">
        <v>0</v>
      </c>
      <c r="K343" s="114">
        <v>0</v>
      </c>
      <c r="L343" s="114">
        <v>18</v>
      </c>
      <c r="M343" s="114">
        <v>18</v>
      </c>
      <c r="N343" s="114">
        <v>0</v>
      </c>
      <c r="O343" s="114">
        <v>0</v>
      </c>
      <c r="P343" s="114">
        <v>0</v>
      </c>
      <c r="Q343" s="114">
        <v>18</v>
      </c>
      <c r="R343" s="114">
        <v>0</v>
      </c>
      <c r="S343" s="114">
        <v>1213.7222222222222</v>
      </c>
      <c r="T343" s="114">
        <v>1213.7222222222222</v>
      </c>
      <c r="U343" s="114">
        <v>0</v>
      </c>
      <c r="V343" s="114">
        <v>0</v>
      </c>
      <c r="W343" s="114">
        <v>0</v>
      </c>
      <c r="X343" s="114">
        <v>1213.7222222222222</v>
      </c>
      <c r="Y343" s="114">
        <v>0</v>
      </c>
      <c r="Z343" s="114">
        <v>1</v>
      </c>
      <c r="AA343" s="114">
        <v>0</v>
      </c>
      <c r="AB343" s="657">
        <v>0</v>
      </c>
      <c r="AC343" s="657">
        <v>0</v>
      </c>
      <c r="AD343" s="768">
        <v>1</v>
      </c>
      <c r="AE343" s="769">
        <v>0</v>
      </c>
      <c r="AF343" s="769">
        <v>1</v>
      </c>
      <c r="AG343" s="770">
        <v>1</v>
      </c>
      <c r="AH343" s="769">
        <v>0</v>
      </c>
      <c r="AI343" s="769">
        <v>0</v>
      </c>
      <c r="AJ343" s="769">
        <v>0.95215839500773936</v>
      </c>
      <c r="AK343" s="769">
        <v>0.95215839500773936</v>
      </c>
      <c r="AL343" s="769">
        <v>0</v>
      </c>
      <c r="AM343" s="769">
        <v>0</v>
      </c>
      <c r="AN343" s="769">
        <v>0.95395462889797633</v>
      </c>
      <c r="AO343" s="769">
        <v>0.95395462889797633</v>
      </c>
      <c r="AP343" s="769">
        <v>0</v>
      </c>
      <c r="AQ343" s="769">
        <v>0</v>
      </c>
      <c r="AR343" s="769">
        <v>0</v>
      </c>
      <c r="AS343" s="769">
        <v>0.90660560918371424</v>
      </c>
      <c r="AT343" s="769">
        <v>0.92910286930209141</v>
      </c>
      <c r="AU343" s="769">
        <v>0.95215839500773936</v>
      </c>
      <c r="AV343" s="769">
        <v>0.97578603956386833</v>
      </c>
      <c r="AW343" s="769">
        <v>1</v>
      </c>
      <c r="AX343" s="769">
        <v>0.91002943399587566</v>
      </c>
      <c r="AY343" s="769">
        <v>0.93173321878838855</v>
      </c>
      <c r="AZ343" s="769">
        <v>0.95395462889797633</v>
      </c>
      <c r="BA343" s="769">
        <v>0.97670600945114305</v>
      </c>
      <c r="BB343" s="769">
        <v>1</v>
      </c>
      <c r="BC343" s="769">
        <v>0</v>
      </c>
      <c r="BD343" s="769">
        <v>0</v>
      </c>
      <c r="BE343" s="769">
        <v>0</v>
      </c>
      <c r="BF343" s="769">
        <v>0</v>
      </c>
      <c r="BG343" s="769">
        <v>0</v>
      </c>
      <c r="BH343" s="771">
        <v>1.005122629011173</v>
      </c>
      <c r="BI343" s="771">
        <v>1.0102714993503321</v>
      </c>
      <c r="BJ343" s="771">
        <v>1.0154467454420653</v>
      </c>
      <c r="BK343" s="772">
        <v>1.0087706286131499</v>
      </c>
      <c r="BL343" s="772">
        <v>1.0021384043232706</v>
      </c>
      <c r="BM343" s="772">
        <v>1.0093326211375582</v>
      </c>
      <c r="BN343" s="772">
        <v>1.0165784842667136</v>
      </c>
      <c r="BO343" s="772">
        <v>1.0238763644726849</v>
      </c>
      <c r="BP343" s="772">
        <v>1.0312266351790702</v>
      </c>
      <c r="BQ343" s="772">
        <v>1.0386296724902249</v>
      </c>
      <c r="BR343" s="772">
        <v>1.0444601500078665</v>
      </c>
      <c r="BS343" s="772">
        <v>1.0503233576399889</v>
      </c>
      <c r="BT343" s="772">
        <v>1.0562194791211816</v>
      </c>
      <c r="BU343" s="772">
        <v>1.0621486992174518</v>
      </c>
      <c r="BV343" s="772">
        <v>1.0681112037320122</v>
      </c>
      <c r="BW343" s="771">
        <v>1.005122629011173</v>
      </c>
      <c r="BX343" s="771">
        <v>1.0102714993503321</v>
      </c>
      <c r="BY343" s="771">
        <v>1.0154467454420653</v>
      </c>
      <c r="BZ343" s="772">
        <v>1.0087706286131499</v>
      </c>
      <c r="CA343" s="772">
        <v>1.0021384043232706</v>
      </c>
      <c r="CB343" s="772">
        <v>1.0093326211375582</v>
      </c>
      <c r="CC343" s="772">
        <v>1.0165784842667136</v>
      </c>
      <c r="CD343" s="772">
        <v>1.0238763644726849</v>
      </c>
      <c r="CE343" s="772">
        <v>1.0312266351790702</v>
      </c>
      <c r="CF343" s="772">
        <v>1.0386296724902249</v>
      </c>
      <c r="CG343" s="772">
        <v>1.0444601500078665</v>
      </c>
      <c r="CH343" s="772">
        <v>1.0503233576399889</v>
      </c>
      <c r="CI343" s="772">
        <v>1.0562194791211816</v>
      </c>
      <c r="CJ343" s="772">
        <v>1.0621486992174518</v>
      </c>
      <c r="CK343" s="772">
        <v>1.0681112037320122</v>
      </c>
      <c r="CL343" s="771">
        <v>0</v>
      </c>
      <c r="CM343" s="771">
        <v>0</v>
      </c>
      <c r="CN343" s="771">
        <v>0</v>
      </c>
      <c r="CO343" s="772">
        <v>0</v>
      </c>
      <c r="CP343" s="772">
        <v>0</v>
      </c>
      <c r="CQ343" s="772">
        <v>0</v>
      </c>
      <c r="CR343" s="772">
        <v>0</v>
      </c>
      <c r="CS343" s="772">
        <v>0</v>
      </c>
      <c r="CT343" s="772">
        <v>0</v>
      </c>
      <c r="CU343" s="772">
        <v>0</v>
      </c>
      <c r="CV343" s="772">
        <v>0</v>
      </c>
      <c r="CW343" s="772">
        <v>0</v>
      </c>
      <c r="CX343" s="772">
        <v>0</v>
      </c>
      <c r="CY343" s="772">
        <v>0</v>
      </c>
      <c r="CZ343" s="772">
        <v>0</v>
      </c>
      <c r="DA343" s="773">
        <v>0</v>
      </c>
      <c r="DB343" s="773">
        <v>0</v>
      </c>
      <c r="DC343" s="773">
        <v>0</v>
      </c>
      <c r="DD343" s="774">
        <v>0</v>
      </c>
      <c r="DE343" s="774">
        <v>0</v>
      </c>
      <c r="DF343" s="774">
        <v>0</v>
      </c>
      <c r="DG343" s="774">
        <v>0</v>
      </c>
      <c r="DH343" s="774">
        <v>0</v>
      </c>
      <c r="DI343" s="774">
        <v>0</v>
      </c>
      <c r="DJ343" s="774">
        <v>0</v>
      </c>
      <c r="DK343" s="774">
        <v>0</v>
      </c>
      <c r="DL343" s="774">
        <v>0</v>
      </c>
      <c r="DM343" s="774">
        <v>0</v>
      </c>
      <c r="DN343" s="774">
        <v>0</v>
      </c>
      <c r="DO343" s="774">
        <v>0</v>
      </c>
      <c r="DP343" s="773">
        <v>0</v>
      </c>
      <c r="DQ343" s="773">
        <v>0</v>
      </c>
      <c r="DR343" s="773">
        <v>0</v>
      </c>
      <c r="DS343" s="774">
        <v>0</v>
      </c>
      <c r="DT343" s="774">
        <v>0</v>
      </c>
      <c r="DU343" s="774">
        <v>0</v>
      </c>
      <c r="DV343" s="774">
        <v>0</v>
      </c>
      <c r="DW343" s="774">
        <v>0</v>
      </c>
      <c r="DX343" s="774">
        <v>0</v>
      </c>
      <c r="DY343" s="774">
        <v>0</v>
      </c>
      <c r="DZ343" s="774">
        <v>0</v>
      </c>
      <c r="EA343" s="774">
        <v>0</v>
      </c>
      <c r="EB343" s="774">
        <v>0</v>
      </c>
      <c r="EC343" s="774">
        <v>0</v>
      </c>
      <c r="ED343" s="774">
        <v>0</v>
      </c>
    </row>
    <row r="344" spans="1:134" ht="15" x14ac:dyDescent="0.25">
      <c r="A344" s="766">
        <v>91</v>
      </c>
      <c r="B344" s="766">
        <v>100</v>
      </c>
      <c r="C344" s="766" t="s">
        <v>4015</v>
      </c>
      <c r="D344" s="2">
        <v>99709</v>
      </c>
      <c r="E344" s="2">
        <v>99709</v>
      </c>
      <c r="F344" s="767" t="s">
        <v>3676</v>
      </c>
      <c r="G344" s="114">
        <v>43</v>
      </c>
      <c r="H344" s="114">
        <v>35</v>
      </c>
      <c r="I344" s="114">
        <v>21</v>
      </c>
      <c r="J344" s="114">
        <v>14</v>
      </c>
      <c r="K344" s="114">
        <v>0</v>
      </c>
      <c r="L344" s="114">
        <v>4</v>
      </c>
      <c r="M344" s="114">
        <v>4</v>
      </c>
      <c r="N344" s="114">
        <v>0</v>
      </c>
      <c r="O344" s="114">
        <v>0</v>
      </c>
      <c r="P344" s="114">
        <v>0</v>
      </c>
      <c r="Q344" s="114">
        <v>4</v>
      </c>
      <c r="R344" s="114">
        <v>0</v>
      </c>
      <c r="S344" s="114">
        <v>629.25</v>
      </c>
      <c r="T344" s="114">
        <v>629.25</v>
      </c>
      <c r="U344" s="114">
        <v>0</v>
      </c>
      <c r="V344" s="114">
        <v>0</v>
      </c>
      <c r="W344" s="114">
        <v>0</v>
      </c>
      <c r="X344" s="114">
        <v>629.25</v>
      </c>
      <c r="Y344" s="114">
        <v>0</v>
      </c>
      <c r="Z344" s="114">
        <v>35</v>
      </c>
      <c r="AA344" s="114">
        <v>0</v>
      </c>
      <c r="AB344" s="657">
        <v>0</v>
      </c>
      <c r="AC344" s="657">
        <v>0</v>
      </c>
      <c r="AD344" s="768">
        <v>35</v>
      </c>
      <c r="AE344" s="769">
        <v>0</v>
      </c>
      <c r="AF344" s="769">
        <v>21</v>
      </c>
      <c r="AG344" s="770">
        <v>21</v>
      </c>
      <c r="AH344" s="769">
        <v>0</v>
      </c>
      <c r="AI344" s="769">
        <v>0</v>
      </c>
      <c r="AJ344" s="769">
        <v>33.325543825270877</v>
      </c>
      <c r="AK344" s="769">
        <v>33.325543825270877</v>
      </c>
      <c r="AL344" s="769">
        <v>0</v>
      </c>
      <c r="AM344" s="769">
        <v>0</v>
      </c>
      <c r="AN344" s="769">
        <v>20.033047206857503</v>
      </c>
      <c r="AO344" s="769">
        <v>20.033047206857503</v>
      </c>
      <c r="AP344" s="769">
        <v>0</v>
      </c>
      <c r="AQ344" s="769">
        <v>0</v>
      </c>
      <c r="AR344" s="769">
        <v>0</v>
      </c>
      <c r="AS344" s="769">
        <v>31.731196321429998</v>
      </c>
      <c r="AT344" s="769">
        <v>32.518600425573197</v>
      </c>
      <c r="AU344" s="769">
        <v>33.325543825270877</v>
      </c>
      <c r="AV344" s="769">
        <v>34.152511384735391</v>
      </c>
      <c r="AW344" s="769">
        <v>35</v>
      </c>
      <c r="AX344" s="769">
        <v>19.110618113913389</v>
      </c>
      <c r="AY344" s="769">
        <v>19.566397594556161</v>
      </c>
      <c r="AZ344" s="769">
        <v>20.033047206857503</v>
      </c>
      <c r="BA344" s="769">
        <v>20.510826198474003</v>
      </c>
      <c r="BB344" s="769">
        <v>21</v>
      </c>
      <c r="BC344" s="769">
        <v>0</v>
      </c>
      <c r="BD344" s="769">
        <v>0</v>
      </c>
      <c r="BE344" s="769">
        <v>0</v>
      </c>
      <c r="BF344" s="769">
        <v>0</v>
      </c>
      <c r="BG344" s="769">
        <v>0</v>
      </c>
      <c r="BH344" s="771">
        <v>35.179292015391056</v>
      </c>
      <c r="BI344" s="771">
        <v>35.359502477261621</v>
      </c>
      <c r="BJ344" s="771">
        <v>35.540636090472283</v>
      </c>
      <c r="BK344" s="772">
        <v>35.306972001460252</v>
      </c>
      <c r="BL344" s="772">
        <v>35.074844151314473</v>
      </c>
      <c r="BM344" s="772">
        <v>35.326641739814534</v>
      </c>
      <c r="BN344" s="772">
        <v>35.580246949334978</v>
      </c>
      <c r="BO344" s="772">
        <v>35.835672756543971</v>
      </c>
      <c r="BP344" s="772">
        <v>36.092932231267454</v>
      </c>
      <c r="BQ344" s="772">
        <v>36.352038537157874</v>
      </c>
      <c r="BR344" s="772">
        <v>36.556105250275323</v>
      </c>
      <c r="BS344" s="772">
        <v>36.761317517399611</v>
      </c>
      <c r="BT344" s="772">
        <v>36.967681769241359</v>
      </c>
      <c r="BU344" s="772">
        <v>37.175204472610808</v>
      </c>
      <c r="BV344" s="772">
        <v>37.383892130620431</v>
      </c>
      <c r="BW344" s="771">
        <v>21.107575209234632</v>
      </c>
      <c r="BX344" s="771">
        <v>21.215701486356974</v>
      </c>
      <c r="BY344" s="771">
        <v>21.324381654283371</v>
      </c>
      <c r="BZ344" s="772">
        <v>21.184183200876152</v>
      </c>
      <c r="CA344" s="772">
        <v>21.044906490788687</v>
      </c>
      <c r="CB344" s="772">
        <v>21.195985043888722</v>
      </c>
      <c r="CC344" s="772">
        <v>21.348148169600986</v>
      </c>
      <c r="CD344" s="772">
        <v>21.501403653926385</v>
      </c>
      <c r="CE344" s="772">
        <v>21.655759338760475</v>
      </c>
      <c r="CF344" s="772">
        <v>21.811223122294724</v>
      </c>
      <c r="CG344" s="772">
        <v>21.933663150165199</v>
      </c>
      <c r="CH344" s="772">
        <v>22.056790510439768</v>
      </c>
      <c r="CI344" s="772">
        <v>22.180609061544818</v>
      </c>
      <c r="CJ344" s="772">
        <v>22.305122683566488</v>
      </c>
      <c r="CK344" s="772">
        <v>22.430335278372258</v>
      </c>
      <c r="CL344" s="771">
        <v>0</v>
      </c>
      <c r="CM344" s="771">
        <v>0</v>
      </c>
      <c r="CN344" s="771">
        <v>0</v>
      </c>
      <c r="CO344" s="772">
        <v>0</v>
      </c>
      <c r="CP344" s="772">
        <v>0</v>
      </c>
      <c r="CQ344" s="772">
        <v>0</v>
      </c>
      <c r="CR344" s="772">
        <v>0</v>
      </c>
      <c r="CS344" s="772">
        <v>0</v>
      </c>
      <c r="CT344" s="772">
        <v>0</v>
      </c>
      <c r="CU344" s="772">
        <v>0</v>
      </c>
      <c r="CV344" s="772">
        <v>0</v>
      </c>
      <c r="CW344" s="772">
        <v>0</v>
      </c>
      <c r="CX344" s="772">
        <v>0</v>
      </c>
      <c r="CY344" s="772">
        <v>0</v>
      </c>
      <c r="CZ344" s="772">
        <v>0</v>
      </c>
      <c r="DA344" s="773">
        <v>0</v>
      </c>
      <c r="DB344" s="773">
        <v>0</v>
      </c>
      <c r="DC344" s="773">
        <v>0</v>
      </c>
      <c r="DD344" s="774">
        <v>0</v>
      </c>
      <c r="DE344" s="774">
        <v>0</v>
      </c>
      <c r="DF344" s="774">
        <v>0</v>
      </c>
      <c r="DG344" s="774">
        <v>0</v>
      </c>
      <c r="DH344" s="774">
        <v>0</v>
      </c>
      <c r="DI344" s="774">
        <v>0</v>
      </c>
      <c r="DJ344" s="774">
        <v>0</v>
      </c>
      <c r="DK344" s="774">
        <v>0</v>
      </c>
      <c r="DL344" s="774">
        <v>0</v>
      </c>
      <c r="DM344" s="774">
        <v>0</v>
      </c>
      <c r="DN344" s="774">
        <v>0</v>
      </c>
      <c r="DO344" s="774">
        <v>0</v>
      </c>
      <c r="DP344" s="773">
        <v>0</v>
      </c>
      <c r="DQ344" s="773">
        <v>0</v>
      </c>
      <c r="DR344" s="773">
        <v>0</v>
      </c>
      <c r="DS344" s="774">
        <v>0</v>
      </c>
      <c r="DT344" s="774">
        <v>0</v>
      </c>
      <c r="DU344" s="774">
        <v>0</v>
      </c>
      <c r="DV344" s="774">
        <v>0</v>
      </c>
      <c r="DW344" s="774">
        <v>0</v>
      </c>
      <c r="DX344" s="774">
        <v>0</v>
      </c>
      <c r="DY344" s="774">
        <v>0</v>
      </c>
      <c r="DZ344" s="774">
        <v>0</v>
      </c>
      <c r="EA344" s="774">
        <v>0</v>
      </c>
      <c r="EB344" s="774">
        <v>0</v>
      </c>
      <c r="EC344" s="774">
        <v>0</v>
      </c>
      <c r="ED344" s="774">
        <v>0</v>
      </c>
    </row>
    <row r="345" spans="1:134" ht="15" x14ac:dyDescent="0.25">
      <c r="A345" s="766">
        <v>93</v>
      </c>
      <c r="B345" s="766">
        <v>100</v>
      </c>
      <c r="C345" s="766" t="s">
        <v>4016</v>
      </c>
      <c r="D345" s="2">
        <v>99709</v>
      </c>
      <c r="E345" s="2">
        <v>99709</v>
      </c>
      <c r="F345" s="767" t="s">
        <v>3676</v>
      </c>
      <c r="G345" s="114">
        <v>5</v>
      </c>
      <c r="H345" s="114">
        <v>7</v>
      </c>
      <c r="I345" s="114">
        <v>4</v>
      </c>
      <c r="J345" s="114">
        <v>3</v>
      </c>
      <c r="K345" s="114">
        <v>0</v>
      </c>
      <c r="L345" s="114">
        <v>11</v>
      </c>
      <c r="M345" s="114">
        <v>11</v>
      </c>
      <c r="N345" s="114">
        <v>0</v>
      </c>
      <c r="O345" s="114">
        <v>0</v>
      </c>
      <c r="P345" s="114">
        <v>0</v>
      </c>
      <c r="Q345" s="114">
        <v>11</v>
      </c>
      <c r="R345" s="114">
        <v>0</v>
      </c>
      <c r="S345" s="114">
        <v>2034.1818181818182</v>
      </c>
      <c r="T345" s="114">
        <v>2034.1818181818182</v>
      </c>
      <c r="U345" s="114">
        <v>0</v>
      </c>
      <c r="V345" s="114">
        <v>0</v>
      </c>
      <c r="W345" s="114">
        <v>0</v>
      </c>
      <c r="X345" s="114">
        <v>2034.1818181818182</v>
      </c>
      <c r="Y345" s="114">
        <v>0</v>
      </c>
      <c r="Z345" s="114">
        <v>7</v>
      </c>
      <c r="AA345" s="114">
        <v>0</v>
      </c>
      <c r="AB345" s="657">
        <v>0</v>
      </c>
      <c r="AC345" s="657">
        <v>0</v>
      </c>
      <c r="AD345" s="768">
        <v>7</v>
      </c>
      <c r="AE345" s="769">
        <v>0</v>
      </c>
      <c r="AF345" s="769">
        <v>4</v>
      </c>
      <c r="AG345" s="770">
        <v>4</v>
      </c>
      <c r="AH345" s="769">
        <v>0</v>
      </c>
      <c r="AI345" s="769">
        <v>0</v>
      </c>
      <c r="AJ345" s="769">
        <v>6.6651087650541756</v>
      </c>
      <c r="AK345" s="769">
        <v>6.6651087650541756</v>
      </c>
      <c r="AL345" s="769">
        <v>0</v>
      </c>
      <c r="AM345" s="769">
        <v>0</v>
      </c>
      <c r="AN345" s="769">
        <v>3.8158185155919053</v>
      </c>
      <c r="AO345" s="769">
        <v>3.8158185155919053</v>
      </c>
      <c r="AP345" s="769">
        <v>0</v>
      </c>
      <c r="AQ345" s="769">
        <v>0</v>
      </c>
      <c r="AR345" s="769">
        <v>0</v>
      </c>
      <c r="AS345" s="769">
        <v>6.346239264285999</v>
      </c>
      <c r="AT345" s="769">
        <v>6.5037200851146393</v>
      </c>
      <c r="AU345" s="769">
        <v>6.6651087650541756</v>
      </c>
      <c r="AV345" s="769">
        <v>6.8305022769470787</v>
      </c>
      <c r="AW345" s="769">
        <v>7</v>
      </c>
      <c r="AX345" s="769">
        <v>3.6401177359835026</v>
      </c>
      <c r="AY345" s="769">
        <v>3.7269328751535542</v>
      </c>
      <c r="AZ345" s="769">
        <v>3.8158185155919053</v>
      </c>
      <c r="BA345" s="769">
        <v>3.9068240378045722</v>
      </c>
      <c r="BB345" s="769">
        <v>4</v>
      </c>
      <c r="BC345" s="769">
        <v>0</v>
      </c>
      <c r="BD345" s="769">
        <v>0</v>
      </c>
      <c r="BE345" s="769">
        <v>0</v>
      </c>
      <c r="BF345" s="769">
        <v>0</v>
      </c>
      <c r="BG345" s="769">
        <v>0</v>
      </c>
      <c r="BH345" s="771">
        <v>7.035858403078211</v>
      </c>
      <c r="BI345" s="771">
        <v>7.0719004954523248</v>
      </c>
      <c r="BJ345" s="771">
        <v>7.1081272180944568</v>
      </c>
      <c r="BK345" s="772">
        <v>7.0613944002920501</v>
      </c>
      <c r="BL345" s="772">
        <v>7.0149688302628945</v>
      </c>
      <c r="BM345" s="772">
        <v>7.0653283479629074</v>
      </c>
      <c r="BN345" s="772">
        <v>7.116049389866995</v>
      </c>
      <c r="BO345" s="772">
        <v>7.167134551308795</v>
      </c>
      <c r="BP345" s="772">
        <v>7.2185864462534912</v>
      </c>
      <c r="BQ345" s="772">
        <v>7.2704077074315743</v>
      </c>
      <c r="BR345" s="772">
        <v>7.3112210500550656</v>
      </c>
      <c r="BS345" s="772">
        <v>7.3522635034799215</v>
      </c>
      <c r="BT345" s="772">
        <v>7.3935363538482717</v>
      </c>
      <c r="BU345" s="772">
        <v>7.435040894522162</v>
      </c>
      <c r="BV345" s="772">
        <v>7.4767784261240857</v>
      </c>
      <c r="BW345" s="771">
        <v>4.020490516044692</v>
      </c>
      <c r="BX345" s="771">
        <v>4.0410859974013285</v>
      </c>
      <c r="BY345" s="771">
        <v>4.061786981768261</v>
      </c>
      <c r="BZ345" s="772">
        <v>4.0350825144525997</v>
      </c>
      <c r="CA345" s="772">
        <v>4.0085536172930825</v>
      </c>
      <c r="CB345" s="772">
        <v>4.0373304845502327</v>
      </c>
      <c r="CC345" s="772">
        <v>4.0663139370668544</v>
      </c>
      <c r="CD345" s="772">
        <v>4.0955054578907397</v>
      </c>
      <c r="CE345" s="772">
        <v>4.1249065407162808</v>
      </c>
      <c r="CF345" s="772">
        <v>4.1545186899608995</v>
      </c>
      <c r="CG345" s="772">
        <v>4.1778406000314661</v>
      </c>
      <c r="CH345" s="772">
        <v>4.2012934305599554</v>
      </c>
      <c r="CI345" s="772">
        <v>4.2248779164847265</v>
      </c>
      <c r="CJ345" s="772">
        <v>4.2485947968698072</v>
      </c>
      <c r="CK345" s="772">
        <v>4.2724448149280487</v>
      </c>
      <c r="CL345" s="771">
        <v>0</v>
      </c>
      <c r="CM345" s="771">
        <v>0</v>
      </c>
      <c r="CN345" s="771">
        <v>0</v>
      </c>
      <c r="CO345" s="772">
        <v>0</v>
      </c>
      <c r="CP345" s="772">
        <v>0</v>
      </c>
      <c r="CQ345" s="772">
        <v>0</v>
      </c>
      <c r="CR345" s="772">
        <v>0</v>
      </c>
      <c r="CS345" s="772">
        <v>0</v>
      </c>
      <c r="CT345" s="772">
        <v>0</v>
      </c>
      <c r="CU345" s="772">
        <v>0</v>
      </c>
      <c r="CV345" s="772">
        <v>0</v>
      </c>
      <c r="CW345" s="772">
        <v>0</v>
      </c>
      <c r="CX345" s="772">
        <v>0</v>
      </c>
      <c r="CY345" s="772">
        <v>0</v>
      </c>
      <c r="CZ345" s="772">
        <v>0</v>
      </c>
      <c r="DA345" s="773">
        <v>0</v>
      </c>
      <c r="DB345" s="773">
        <v>0</v>
      </c>
      <c r="DC345" s="773">
        <v>0</v>
      </c>
      <c r="DD345" s="774">
        <v>0</v>
      </c>
      <c r="DE345" s="774">
        <v>0</v>
      </c>
      <c r="DF345" s="774">
        <v>0</v>
      </c>
      <c r="DG345" s="774">
        <v>0</v>
      </c>
      <c r="DH345" s="774">
        <v>0</v>
      </c>
      <c r="DI345" s="774">
        <v>0</v>
      </c>
      <c r="DJ345" s="774">
        <v>0</v>
      </c>
      <c r="DK345" s="774">
        <v>0</v>
      </c>
      <c r="DL345" s="774">
        <v>0</v>
      </c>
      <c r="DM345" s="774">
        <v>0</v>
      </c>
      <c r="DN345" s="774">
        <v>0</v>
      </c>
      <c r="DO345" s="774">
        <v>0</v>
      </c>
      <c r="DP345" s="773">
        <v>0</v>
      </c>
      <c r="DQ345" s="773">
        <v>0</v>
      </c>
      <c r="DR345" s="773">
        <v>0</v>
      </c>
      <c r="DS345" s="774">
        <v>0</v>
      </c>
      <c r="DT345" s="774">
        <v>0</v>
      </c>
      <c r="DU345" s="774">
        <v>0</v>
      </c>
      <c r="DV345" s="774">
        <v>0</v>
      </c>
      <c r="DW345" s="774">
        <v>0</v>
      </c>
      <c r="DX345" s="774">
        <v>0</v>
      </c>
      <c r="DY345" s="774">
        <v>0</v>
      </c>
      <c r="DZ345" s="774">
        <v>0</v>
      </c>
      <c r="EA345" s="774">
        <v>0</v>
      </c>
      <c r="EB345" s="774">
        <v>0</v>
      </c>
      <c r="EC345" s="774">
        <v>0</v>
      </c>
      <c r="ED345" s="774">
        <v>0</v>
      </c>
    </row>
    <row r="346" spans="1:134" ht="15" x14ac:dyDescent="0.25">
      <c r="A346" s="766">
        <v>94</v>
      </c>
      <c r="B346" s="766">
        <v>100</v>
      </c>
      <c r="C346" s="766" t="s">
        <v>4017</v>
      </c>
      <c r="D346" s="2">
        <v>99709</v>
      </c>
      <c r="E346" s="2">
        <v>99709</v>
      </c>
      <c r="F346" s="767" t="s">
        <v>3676</v>
      </c>
      <c r="G346" s="114">
        <v>61</v>
      </c>
      <c r="H346" s="114">
        <v>28</v>
      </c>
      <c r="I346" s="114">
        <v>25</v>
      </c>
      <c r="J346" s="114">
        <v>3</v>
      </c>
      <c r="K346" s="114">
        <v>0</v>
      </c>
      <c r="L346" s="114">
        <v>28</v>
      </c>
      <c r="M346" s="114">
        <v>28</v>
      </c>
      <c r="N346" s="114">
        <v>0</v>
      </c>
      <c r="O346" s="114">
        <v>0</v>
      </c>
      <c r="P346" s="114">
        <v>0</v>
      </c>
      <c r="Q346" s="114">
        <v>28</v>
      </c>
      <c r="R346" s="114">
        <v>0</v>
      </c>
      <c r="S346" s="114">
        <v>1820.8928571428571</v>
      </c>
      <c r="T346" s="114">
        <v>1820.8928571428571</v>
      </c>
      <c r="U346" s="114">
        <v>0</v>
      </c>
      <c r="V346" s="114">
        <v>0</v>
      </c>
      <c r="W346" s="114">
        <v>0</v>
      </c>
      <c r="X346" s="114">
        <v>1820.8928571428571</v>
      </c>
      <c r="Y346" s="114">
        <v>0</v>
      </c>
      <c r="Z346" s="114">
        <v>28</v>
      </c>
      <c r="AA346" s="114">
        <v>0</v>
      </c>
      <c r="AB346" s="657">
        <v>0</v>
      </c>
      <c r="AC346" s="657">
        <v>0</v>
      </c>
      <c r="AD346" s="768">
        <v>28</v>
      </c>
      <c r="AE346" s="769">
        <v>0</v>
      </c>
      <c r="AF346" s="769">
        <v>25</v>
      </c>
      <c r="AG346" s="770">
        <v>25</v>
      </c>
      <c r="AH346" s="769">
        <v>0</v>
      </c>
      <c r="AI346" s="769">
        <v>0</v>
      </c>
      <c r="AJ346" s="769">
        <v>26.660435060216702</v>
      </c>
      <c r="AK346" s="769">
        <v>26.660435060216702</v>
      </c>
      <c r="AL346" s="769">
        <v>0</v>
      </c>
      <c r="AM346" s="769">
        <v>0</v>
      </c>
      <c r="AN346" s="769">
        <v>23.848865722449407</v>
      </c>
      <c r="AO346" s="769">
        <v>23.848865722449407</v>
      </c>
      <c r="AP346" s="769">
        <v>0</v>
      </c>
      <c r="AQ346" s="769">
        <v>0</v>
      </c>
      <c r="AR346" s="769">
        <v>0</v>
      </c>
      <c r="AS346" s="769">
        <v>25.384957057143996</v>
      </c>
      <c r="AT346" s="769">
        <v>26.014880340458557</v>
      </c>
      <c r="AU346" s="769">
        <v>26.660435060216702</v>
      </c>
      <c r="AV346" s="769">
        <v>27.322009107788315</v>
      </c>
      <c r="AW346" s="769">
        <v>28</v>
      </c>
      <c r="AX346" s="769">
        <v>22.750735849896891</v>
      </c>
      <c r="AY346" s="769">
        <v>23.293330469709716</v>
      </c>
      <c r="AZ346" s="769">
        <v>23.848865722449407</v>
      </c>
      <c r="BA346" s="769">
        <v>24.417650236278575</v>
      </c>
      <c r="BB346" s="769">
        <v>25</v>
      </c>
      <c r="BC346" s="769">
        <v>0</v>
      </c>
      <c r="BD346" s="769">
        <v>0</v>
      </c>
      <c r="BE346" s="769">
        <v>0</v>
      </c>
      <c r="BF346" s="769">
        <v>0</v>
      </c>
      <c r="BG346" s="769">
        <v>0</v>
      </c>
      <c r="BH346" s="771">
        <v>28.143433612312844</v>
      </c>
      <c r="BI346" s="771">
        <v>28.287601981809299</v>
      </c>
      <c r="BJ346" s="771">
        <v>28.432508872377827</v>
      </c>
      <c r="BK346" s="772">
        <v>28.2455776011682</v>
      </c>
      <c r="BL346" s="772">
        <v>28.059875321051578</v>
      </c>
      <c r="BM346" s="772">
        <v>28.26131339185163</v>
      </c>
      <c r="BN346" s="772">
        <v>28.46419755946798</v>
      </c>
      <c r="BO346" s="772">
        <v>28.66853820523518</v>
      </c>
      <c r="BP346" s="772">
        <v>28.874345785013965</v>
      </c>
      <c r="BQ346" s="772">
        <v>29.081630829726297</v>
      </c>
      <c r="BR346" s="772">
        <v>29.244884200220262</v>
      </c>
      <c r="BS346" s="772">
        <v>29.409054013919686</v>
      </c>
      <c r="BT346" s="772">
        <v>29.574145415393087</v>
      </c>
      <c r="BU346" s="772">
        <v>29.740163578088648</v>
      </c>
      <c r="BV346" s="772">
        <v>29.907113704496343</v>
      </c>
      <c r="BW346" s="771">
        <v>25.128065725279324</v>
      </c>
      <c r="BX346" s="771">
        <v>25.256787483758302</v>
      </c>
      <c r="BY346" s="771">
        <v>25.386168636051632</v>
      </c>
      <c r="BZ346" s="772">
        <v>25.219265715328749</v>
      </c>
      <c r="CA346" s="772">
        <v>25.053460108081769</v>
      </c>
      <c r="CB346" s="772">
        <v>25.233315528438954</v>
      </c>
      <c r="CC346" s="772">
        <v>25.414462106667841</v>
      </c>
      <c r="CD346" s="772">
        <v>25.596909111817126</v>
      </c>
      <c r="CE346" s="772">
        <v>25.780665879476754</v>
      </c>
      <c r="CF346" s="772">
        <v>25.965741812255626</v>
      </c>
      <c r="CG346" s="772">
        <v>26.111503750196665</v>
      </c>
      <c r="CH346" s="772">
        <v>26.258083940999722</v>
      </c>
      <c r="CI346" s="772">
        <v>26.405486978029543</v>
      </c>
      <c r="CJ346" s="772">
        <v>26.553717480436294</v>
      </c>
      <c r="CK346" s="772">
        <v>26.702780093300309</v>
      </c>
      <c r="CL346" s="771">
        <v>0</v>
      </c>
      <c r="CM346" s="771">
        <v>0</v>
      </c>
      <c r="CN346" s="771">
        <v>0</v>
      </c>
      <c r="CO346" s="772">
        <v>0</v>
      </c>
      <c r="CP346" s="772">
        <v>0</v>
      </c>
      <c r="CQ346" s="772">
        <v>0</v>
      </c>
      <c r="CR346" s="772">
        <v>0</v>
      </c>
      <c r="CS346" s="772">
        <v>0</v>
      </c>
      <c r="CT346" s="772">
        <v>0</v>
      </c>
      <c r="CU346" s="772">
        <v>0</v>
      </c>
      <c r="CV346" s="772">
        <v>0</v>
      </c>
      <c r="CW346" s="772">
        <v>0</v>
      </c>
      <c r="CX346" s="772">
        <v>0</v>
      </c>
      <c r="CY346" s="772">
        <v>0</v>
      </c>
      <c r="CZ346" s="772">
        <v>0</v>
      </c>
      <c r="DA346" s="773">
        <v>0</v>
      </c>
      <c r="DB346" s="773">
        <v>0</v>
      </c>
      <c r="DC346" s="773">
        <v>0</v>
      </c>
      <c r="DD346" s="774">
        <v>0</v>
      </c>
      <c r="DE346" s="774">
        <v>0</v>
      </c>
      <c r="DF346" s="774">
        <v>0</v>
      </c>
      <c r="DG346" s="774">
        <v>0</v>
      </c>
      <c r="DH346" s="774">
        <v>0</v>
      </c>
      <c r="DI346" s="774">
        <v>0</v>
      </c>
      <c r="DJ346" s="774">
        <v>0</v>
      </c>
      <c r="DK346" s="774">
        <v>0</v>
      </c>
      <c r="DL346" s="774">
        <v>0</v>
      </c>
      <c r="DM346" s="774">
        <v>0</v>
      </c>
      <c r="DN346" s="774">
        <v>0</v>
      </c>
      <c r="DO346" s="774">
        <v>0</v>
      </c>
      <c r="DP346" s="773">
        <v>0</v>
      </c>
      <c r="DQ346" s="773">
        <v>0</v>
      </c>
      <c r="DR346" s="773">
        <v>0</v>
      </c>
      <c r="DS346" s="774">
        <v>0</v>
      </c>
      <c r="DT346" s="774">
        <v>0</v>
      </c>
      <c r="DU346" s="774">
        <v>0</v>
      </c>
      <c r="DV346" s="774">
        <v>0</v>
      </c>
      <c r="DW346" s="774">
        <v>0</v>
      </c>
      <c r="DX346" s="774">
        <v>0</v>
      </c>
      <c r="DY346" s="774">
        <v>0</v>
      </c>
      <c r="DZ346" s="774">
        <v>0</v>
      </c>
      <c r="EA346" s="774">
        <v>0</v>
      </c>
      <c r="EB346" s="774">
        <v>0</v>
      </c>
      <c r="EC346" s="774">
        <v>0</v>
      </c>
      <c r="ED346" s="774">
        <v>0</v>
      </c>
    </row>
    <row r="347" spans="1:134" ht="15" x14ac:dyDescent="0.25">
      <c r="A347" s="766">
        <v>101</v>
      </c>
      <c r="B347" s="766">
        <v>100</v>
      </c>
      <c r="C347" s="766" t="s">
        <v>4018</v>
      </c>
      <c r="D347" s="2">
        <v>99709</v>
      </c>
      <c r="E347" s="2">
        <v>99709</v>
      </c>
      <c r="F347" s="767" t="s">
        <v>3746</v>
      </c>
      <c r="G347" s="114">
        <v>7</v>
      </c>
      <c r="H347" s="114">
        <v>8</v>
      </c>
      <c r="I347" s="114">
        <v>6</v>
      </c>
      <c r="J347" s="114">
        <v>2</v>
      </c>
      <c r="K347" s="114">
        <v>0</v>
      </c>
      <c r="L347" s="114">
        <v>14</v>
      </c>
      <c r="M347" s="114">
        <v>14</v>
      </c>
      <c r="N347" s="114">
        <v>0</v>
      </c>
      <c r="O347" s="114">
        <v>0</v>
      </c>
      <c r="P347" s="114">
        <v>0</v>
      </c>
      <c r="Q347" s="114">
        <v>14</v>
      </c>
      <c r="R347" s="114">
        <v>0</v>
      </c>
      <c r="S347" s="114">
        <v>1230.2857142857142</v>
      </c>
      <c r="T347" s="114">
        <v>1230.2857142857142</v>
      </c>
      <c r="U347" s="114">
        <v>0</v>
      </c>
      <c r="V347" s="114">
        <v>0</v>
      </c>
      <c r="W347" s="114">
        <v>0</v>
      </c>
      <c r="X347" s="114">
        <v>1230.2857142857142</v>
      </c>
      <c r="Y347" s="114">
        <v>0</v>
      </c>
      <c r="Z347" s="114">
        <v>8</v>
      </c>
      <c r="AA347" s="114">
        <v>0</v>
      </c>
      <c r="AB347" s="657">
        <v>0</v>
      </c>
      <c r="AC347" s="657">
        <v>0</v>
      </c>
      <c r="AD347" s="768">
        <v>8</v>
      </c>
      <c r="AE347" s="769">
        <v>0</v>
      </c>
      <c r="AF347" s="769">
        <v>6</v>
      </c>
      <c r="AG347" s="770">
        <v>6</v>
      </c>
      <c r="AH347" s="769">
        <v>0</v>
      </c>
      <c r="AI347" s="769">
        <v>0</v>
      </c>
      <c r="AJ347" s="769">
        <v>7.6172671600619148</v>
      </c>
      <c r="AK347" s="769">
        <v>7.6172671600619148</v>
      </c>
      <c r="AL347" s="769">
        <v>0</v>
      </c>
      <c r="AM347" s="769">
        <v>0</v>
      </c>
      <c r="AN347" s="769">
        <v>5.723727773387858</v>
      </c>
      <c r="AO347" s="769">
        <v>5.723727773387858</v>
      </c>
      <c r="AP347" s="769">
        <v>0</v>
      </c>
      <c r="AQ347" s="769">
        <v>0</v>
      </c>
      <c r="AR347" s="769">
        <v>0</v>
      </c>
      <c r="AS347" s="769">
        <v>7.252844873469714</v>
      </c>
      <c r="AT347" s="769">
        <v>7.4328229544167312</v>
      </c>
      <c r="AU347" s="769">
        <v>7.6172671600619148</v>
      </c>
      <c r="AV347" s="769">
        <v>7.8062883165109467</v>
      </c>
      <c r="AW347" s="769">
        <v>8</v>
      </c>
      <c r="AX347" s="769">
        <v>5.4601766039752535</v>
      </c>
      <c r="AY347" s="769">
        <v>5.5903993127303311</v>
      </c>
      <c r="AZ347" s="769">
        <v>5.723727773387858</v>
      </c>
      <c r="BA347" s="769">
        <v>5.8602360567068583</v>
      </c>
      <c r="BB347" s="769">
        <v>6</v>
      </c>
      <c r="BC347" s="769">
        <v>0</v>
      </c>
      <c r="BD347" s="769">
        <v>0</v>
      </c>
      <c r="BE347" s="769">
        <v>0</v>
      </c>
      <c r="BF347" s="769">
        <v>0</v>
      </c>
      <c r="BG347" s="769">
        <v>0</v>
      </c>
      <c r="BH347" s="771">
        <v>8.040981032089384</v>
      </c>
      <c r="BI347" s="771">
        <v>8.0821719948026569</v>
      </c>
      <c r="BJ347" s="771">
        <v>8.1235739635365221</v>
      </c>
      <c r="BK347" s="772">
        <v>8.0701650289051994</v>
      </c>
      <c r="BL347" s="772">
        <v>8.0171072345861649</v>
      </c>
      <c r="BM347" s="772">
        <v>8.0746609691004654</v>
      </c>
      <c r="BN347" s="772">
        <v>8.1326278741337088</v>
      </c>
      <c r="BO347" s="772">
        <v>8.1910109157814794</v>
      </c>
      <c r="BP347" s="772">
        <v>8.2498130814325616</v>
      </c>
      <c r="BQ347" s="772">
        <v>8.3090373799217989</v>
      </c>
      <c r="BR347" s="772">
        <v>8.3556812000629321</v>
      </c>
      <c r="BS347" s="772">
        <v>8.4025868611199108</v>
      </c>
      <c r="BT347" s="772">
        <v>8.4497558329694531</v>
      </c>
      <c r="BU347" s="772">
        <v>8.4971895937396145</v>
      </c>
      <c r="BV347" s="772">
        <v>8.5448896298560975</v>
      </c>
      <c r="BW347" s="771">
        <v>6.030735774067038</v>
      </c>
      <c r="BX347" s="771">
        <v>6.0616289961019927</v>
      </c>
      <c r="BY347" s="771">
        <v>6.0926804726523915</v>
      </c>
      <c r="BZ347" s="772">
        <v>6.0526237716789</v>
      </c>
      <c r="CA347" s="772">
        <v>6.0128304259396241</v>
      </c>
      <c r="CB347" s="772">
        <v>6.0559957268253495</v>
      </c>
      <c r="CC347" s="772">
        <v>6.099470905600282</v>
      </c>
      <c r="CD347" s="772">
        <v>6.1432581868361096</v>
      </c>
      <c r="CE347" s="772">
        <v>6.1873598110744208</v>
      </c>
      <c r="CF347" s="772">
        <v>6.2317780349413496</v>
      </c>
      <c r="CG347" s="772">
        <v>6.2667609000471991</v>
      </c>
      <c r="CH347" s="772">
        <v>6.3019401458399331</v>
      </c>
      <c r="CI347" s="772">
        <v>6.3373168747270903</v>
      </c>
      <c r="CJ347" s="772">
        <v>6.3728921953047104</v>
      </c>
      <c r="CK347" s="772">
        <v>6.408667222392074</v>
      </c>
      <c r="CL347" s="771">
        <v>0</v>
      </c>
      <c r="CM347" s="771">
        <v>0</v>
      </c>
      <c r="CN347" s="771">
        <v>0</v>
      </c>
      <c r="CO347" s="772">
        <v>0</v>
      </c>
      <c r="CP347" s="772">
        <v>0</v>
      </c>
      <c r="CQ347" s="772">
        <v>0</v>
      </c>
      <c r="CR347" s="772">
        <v>0</v>
      </c>
      <c r="CS347" s="772">
        <v>0</v>
      </c>
      <c r="CT347" s="772">
        <v>0</v>
      </c>
      <c r="CU347" s="772">
        <v>0</v>
      </c>
      <c r="CV347" s="772">
        <v>0</v>
      </c>
      <c r="CW347" s="772">
        <v>0</v>
      </c>
      <c r="CX347" s="772">
        <v>0</v>
      </c>
      <c r="CY347" s="772">
        <v>0</v>
      </c>
      <c r="CZ347" s="772">
        <v>0</v>
      </c>
      <c r="DA347" s="773">
        <v>0</v>
      </c>
      <c r="DB347" s="773">
        <v>0</v>
      </c>
      <c r="DC347" s="773">
        <v>0</v>
      </c>
      <c r="DD347" s="774">
        <v>0</v>
      </c>
      <c r="DE347" s="774">
        <v>0</v>
      </c>
      <c r="DF347" s="774">
        <v>0</v>
      </c>
      <c r="DG347" s="774">
        <v>0</v>
      </c>
      <c r="DH347" s="774">
        <v>0</v>
      </c>
      <c r="DI347" s="774">
        <v>0</v>
      </c>
      <c r="DJ347" s="774">
        <v>0</v>
      </c>
      <c r="DK347" s="774">
        <v>0</v>
      </c>
      <c r="DL347" s="774">
        <v>0</v>
      </c>
      <c r="DM347" s="774">
        <v>0</v>
      </c>
      <c r="DN347" s="774">
        <v>0</v>
      </c>
      <c r="DO347" s="774">
        <v>0</v>
      </c>
      <c r="DP347" s="773">
        <v>0</v>
      </c>
      <c r="DQ347" s="773">
        <v>0</v>
      </c>
      <c r="DR347" s="773">
        <v>0</v>
      </c>
      <c r="DS347" s="774">
        <v>0</v>
      </c>
      <c r="DT347" s="774">
        <v>0</v>
      </c>
      <c r="DU347" s="774">
        <v>0</v>
      </c>
      <c r="DV347" s="774">
        <v>0</v>
      </c>
      <c r="DW347" s="774">
        <v>0</v>
      </c>
      <c r="DX347" s="774">
        <v>0</v>
      </c>
      <c r="DY347" s="774">
        <v>0</v>
      </c>
      <c r="DZ347" s="774">
        <v>0</v>
      </c>
      <c r="EA347" s="774">
        <v>0</v>
      </c>
      <c r="EB347" s="774">
        <v>0</v>
      </c>
      <c r="EC347" s="774">
        <v>0</v>
      </c>
      <c r="ED347" s="774">
        <v>0</v>
      </c>
    </row>
    <row r="348" spans="1:134" ht="15" x14ac:dyDescent="0.25">
      <c r="A348" s="766">
        <v>102</v>
      </c>
      <c r="B348" s="766">
        <v>100</v>
      </c>
      <c r="C348" s="766" t="s">
        <v>4019</v>
      </c>
      <c r="D348" s="2">
        <v>99709</v>
      </c>
      <c r="E348" s="2">
        <v>99709</v>
      </c>
      <c r="F348" s="767" t="s">
        <v>3746</v>
      </c>
      <c r="G348" s="114">
        <v>277</v>
      </c>
      <c r="H348" s="114">
        <v>123</v>
      </c>
      <c r="I348" s="114">
        <v>112</v>
      </c>
      <c r="J348" s="114">
        <v>11</v>
      </c>
      <c r="K348" s="114">
        <v>0</v>
      </c>
      <c r="L348" s="114">
        <v>87</v>
      </c>
      <c r="M348" s="114">
        <v>87</v>
      </c>
      <c r="N348" s="114">
        <v>0</v>
      </c>
      <c r="O348" s="114">
        <v>0</v>
      </c>
      <c r="P348" s="114">
        <v>0</v>
      </c>
      <c r="Q348" s="114">
        <v>87</v>
      </c>
      <c r="R348" s="114">
        <v>0</v>
      </c>
      <c r="S348" s="114">
        <v>1911.6206896551723</v>
      </c>
      <c r="T348" s="114">
        <v>1911.6206896551723</v>
      </c>
      <c r="U348" s="114">
        <v>0</v>
      </c>
      <c r="V348" s="114">
        <v>0</v>
      </c>
      <c r="W348" s="114">
        <v>0</v>
      </c>
      <c r="X348" s="114">
        <v>1911.6206896551723</v>
      </c>
      <c r="Y348" s="114">
        <v>0</v>
      </c>
      <c r="Z348" s="114">
        <v>123</v>
      </c>
      <c r="AA348" s="114">
        <v>0</v>
      </c>
      <c r="AB348" s="657">
        <v>0</v>
      </c>
      <c r="AC348" s="657">
        <v>0</v>
      </c>
      <c r="AD348" s="768">
        <v>123</v>
      </c>
      <c r="AE348" s="769">
        <v>0</v>
      </c>
      <c r="AF348" s="769">
        <v>112</v>
      </c>
      <c r="AG348" s="770">
        <v>112</v>
      </c>
      <c r="AH348" s="769">
        <v>0</v>
      </c>
      <c r="AI348" s="769">
        <v>0</v>
      </c>
      <c r="AJ348" s="769">
        <v>117.11548258595194</v>
      </c>
      <c r="AK348" s="769">
        <v>117.11548258595194</v>
      </c>
      <c r="AL348" s="769">
        <v>0</v>
      </c>
      <c r="AM348" s="769">
        <v>0</v>
      </c>
      <c r="AN348" s="769">
        <v>106.84291843657334</v>
      </c>
      <c r="AO348" s="769">
        <v>106.84291843657334</v>
      </c>
      <c r="AP348" s="769">
        <v>0</v>
      </c>
      <c r="AQ348" s="769">
        <v>0</v>
      </c>
      <c r="AR348" s="769">
        <v>0</v>
      </c>
      <c r="AS348" s="769">
        <v>111.51248992959684</v>
      </c>
      <c r="AT348" s="769">
        <v>114.27965292415723</v>
      </c>
      <c r="AU348" s="769">
        <v>117.11548258595194</v>
      </c>
      <c r="AV348" s="769">
        <v>120.02168286635582</v>
      </c>
      <c r="AW348" s="769">
        <v>123</v>
      </c>
      <c r="AX348" s="769">
        <v>101.92329660753808</v>
      </c>
      <c r="AY348" s="769">
        <v>104.35412050429952</v>
      </c>
      <c r="AZ348" s="769">
        <v>106.84291843657334</v>
      </c>
      <c r="BA348" s="769">
        <v>109.39107305852802</v>
      </c>
      <c r="BB348" s="769">
        <v>112</v>
      </c>
      <c r="BC348" s="769">
        <v>0</v>
      </c>
      <c r="BD348" s="769">
        <v>0</v>
      </c>
      <c r="BE348" s="769">
        <v>0</v>
      </c>
      <c r="BF348" s="769">
        <v>0</v>
      </c>
      <c r="BG348" s="769">
        <v>0</v>
      </c>
      <c r="BH348" s="771">
        <v>123.63008336837427</v>
      </c>
      <c r="BI348" s="771">
        <v>124.26339442009085</v>
      </c>
      <c r="BJ348" s="771">
        <v>124.89994968937403</v>
      </c>
      <c r="BK348" s="772">
        <v>124.07878731941744</v>
      </c>
      <c r="BL348" s="772">
        <v>123.26302373176229</v>
      </c>
      <c r="BM348" s="772">
        <v>124.14791239991966</v>
      </c>
      <c r="BN348" s="772">
        <v>125.03915356480577</v>
      </c>
      <c r="BO348" s="772">
        <v>125.93679283014025</v>
      </c>
      <c r="BP348" s="772">
        <v>126.84087612702562</v>
      </c>
      <c r="BQ348" s="772">
        <v>127.75144971629767</v>
      </c>
      <c r="BR348" s="772">
        <v>128.46859845096759</v>
      </c>
      <c r="BS348" s="772">
        <v>129.18977298971862</v>
      </c>
      <c r="BT348" s="772">
        <v>129.91499593190534</v>
      </c>
      <c r="BU348" s="772">
        <v>130.64429000374656</v>
      </c>
      <c r="BV348" s="772">
        <v>131.37767805903752</v>
      </c>
      <c r="BW348" s="771">
        <v>112.57373444925138</v>
      </c>
      <c r="BX348" s="771">
        <v>113.1504079272372</v>
      </c>
      <c r="BY348" s="771">
        <v>113.73003548951131</v>
      </c>
      <c r="BZ348" s="772">
        <v>112.9823104046728</v>
      </c>
      <c r="CA348" s="772">
        <v>112.23950128420631</v>
      </c>
      <c r="CB348" s="772">
        <v>113.04525356740652</v>
      </c>
      <c r="CC348" s="772">
        <v>113.85679023787192</v>
      </c>
      <c r="CD348" s="772">
        <v>114.67415282094072</v>
      </c>
      <c r="CE348" s="772">
        <v>115.49738314005586</v>
      </c>
      <c r="CF348" s="772">
        <v>116.32652331890519</v>
      </c>
      <c r="CG348" s="772">
        <v>116.97953680088105</v>
      </c>
      <c r="CH348" s="772">
        <v>117.63621605567874</v>
      </c>
      <c r="CI348" s="772">
        <v>118.29658166157235</v>
      </c>
      <c r="CJ348" s="772">
        <v>118.96065431235459</v>
      </c>
      <c r="CK348" s="772">
        <v>119.62845481798537</v>
      </c>
      <c r="CL348" s="771">
        <v>0</v>
      </c>
      <c r="CM348" s="771">
        <v>0</v>
      </c>
      <c r="CN348" s="771">
        <v>0</v>
      </c>
      <c r="CO348" s="772">
        <v>0</v>
      </c>
      <c r="CP348" s="772">
        <v>0</v>
      </c>
      <c r="CQ348" s="772">
        <v>0</v>
      </c>
      <c r="CR348" s="772">
        <v>0</v>
      </c>
      <c r="CS348" s="772">
        <v>0</v>
      </c>
      <c r="CT348" s="772">
        <v>0</v>
      </c>
      <c r="CU348" s="772">
        <v>0</v>
      </c>
      <c r="CV348" s="772">
        <v>0</v>
      </c>
      <c r="CW348" s="772">
        <v>0</v>
      </c>
      <c r="CX348" s="772">
        <v>0</v>
      </c>
      <c r="CY348" s="772">
        <v>0</v>
      </c>
      <c r="CZ348" s="772">
        <v>0</v>
      </c>
      <c r="DA348" s="773">
        <v>0</v>
      </c>
      <c r="DB348" s="773">
        <v>0</v>
      </c>
      <c r="DC348" s="773">
        <v>0</v>
      </c>
      <c r="DD348" s="774">
        <v>0</v>
      </c>
      <c r="DE348" s="774">
        <v>0</v>
      </c>
      <c r="DF348" s="774">
        <v>0</v>
      </c>
      <c r="DG348" s="774">
        <v>0</v>
      </c>
      <c r="DH348" s="774">
        <v>0</v>
      </c>
      <c r="DI348" s="774">
        <v>0</v>
      </c>
      <c r="DJ348" s="774">
        <v>0</v>
      </c>
      <c r="DK348" s="774">
        <v>0</v>
      </c>
      <c r="DL348" s="774">
        <v>0</v>
      </c>
      <c r="DM348" s="774">
        <v>0</v>
      </c>
      <c r="DN348" s="774">
        <v>0</v>
      </c>
      <c r="DO348" s="774">
        <v>0</v>
      </c>
      <c r="DP348" s="773">
        <v>0</v>
      </c>
      <c r="DQ348" s="773">
        <v>0</v>
      </c>
      <c r="DR348" s="773">
        <v>0</v>
      </c>
      <c r="DS348" s="774">
        <v>0</v>
      </c>
      <c r="DT348" s="774">
        <v>0</v>
      </c>
      <c r="DU348" s="774">
        <v>0</v>
      </c>
      <c r="DV348" s="774">
        <v>0</v>
      </c>
      <c r="DW348" s="774">
        <v>0</v>
      </c>
      <c r="DX348" s="774">
        <v>0</v>
      </c>
      <c r="DY348" s="774">
        <v>0</v>
      </c>
      <c r="DZ348" s="774">
        <v>0</v>
      </c>
      <c r="EA348" s="774">
        <v>0</v>
      </c>
      <c r="EB348" s="774">
        <v>0</v>
      </c>
      <c r="EC348" s="774">
        <v>0</v>
      </c>
      <c r="ED348" s="774">
        <v>0</v>
      </c>
    </row>
    <row r="349" spans="1:134" ht="15" x14ac:dyDescent="0.25">
      <c r="A349" s="766">
        <v>103</v>
      </c>
      <c r="B349" s="766">
        <v>100</v>
      </c>
      <c r="C349" s="766" t="s">
        <v>4020</v>
      </c>
      <c r="D349" s="2">
        <v>99709</v>
      </c>
      <c r="E349" s="2">
        <v>99709</v>
      </c>
      <c r="F349" s="767" t="s">
        <v>3746</v>
      </c>
      <c r="G349" s="114">
        <v>64</v>
      </c>
      <c r="H349" s="114">
        <v>53</v>
      </c>
      <c r="I349" s="114">
        <v>40</v>
      </c>
      <c r="J349" s="114">
        <v>13</v>
      </c>
      <c r="K349" s="114">
        <v>1</v>
      </c>
      <c r="L349" s="114">
        <v>45</v>
      </c>
      <c r="M349" s="114">
        <v>46</v>
      </c>
      <c r="N349" s="114">
        <v>4</v>
      </c>
      <c r="O349" s="114">
        <v>0</v>
      </c>
      <c r="P349" s="114">
        <v>0</v>
      </c>
      <c r="Q349" s="114">
        <v>50</v>
      </c>
      <c r="R349" s="114">
        <v>6656</v>
      </c>
      <c r="S349" s="114">
        <v>1555.2222222222222</v>
      </c>
      <c r="T349" s="114">
        <v>1666.108695652174</v>
      </c>
      <c r="U349" s="114">
        <v>3280</v>
      </c>
      <c r="V349" s="114">
        <v>0</v>
      </c>
      <c r="W349" s="114">
        <v>0</v>
      </c>
      <c r="X349" s="114">
        <v>1795.22</v>
      </c>
      <c r="Y349" s="114">
        <v>1.1521739130434783</v>
      </c>
      <c r="Z349" s="114">
        <v>51.847826086956523</v>
      </c>
      <c r="AA349" s="114">
        <v>0</v>
      </c>
      <c r="AB349" s="657">
        <v>4</v>
      </c>
      <c r="AC349" s="657">
        <v>0</v>
      </c>
      <c r="AD349" s="768">
        <v>57</v>
      </c>
      <c r="AE349" s="769">
        <v>0.86956521739130443</v>
      </c>
      <c r="AF349" s="769">
        <v>39.130434782608695</v>
      </c>
      <c r="AG349" s="770">
        <v>40</v>
      </c>
      <c r="AH349" s="769">
        <v>0</v>
      </c>
      <c r="AI349" s="769">
        <v>1.0970520638132648</v>
      </c>
      <c r="AJ349" s="769">
        <v>49.367342871596925</v>
      </c>
      <c r="AK349" s="769">
        <v>50.464394935410191</v>
      </c>
      <c r="AL349" s="769">
        <v>0</v>
      </c>
      <c r="AM349" s="769">
        <v>0.82952576425910995</v>
      </c>
      <c r="AN349" s="769">
        <v>37.32865939165994</v>
      </c>
      <c r="AO349" s="769">
        <v>38.15818515591905</v>
      </c>
      <c r="AP349" s="769">
        <v>0</v>
      </c>
      <c r="AQ349" s="769">
        <v>3.8386629540049633</v>
      </c>
      <c r="AR349" s="769">
        <v>0</v>
      </c>
      <c r="AS349" s="769">
        <v>48.05009728673685</v>
      </c>
      <c r="AT349" s="769">
        <v>49.242452073010838</v>
      </c>
      <c r="AU349" s="769">
        <v>50.464394935410184</v>
      </c>
      <c r="AV349" s="769">
        <v>51.716660096885022</v>
      </c>
      <c r="AW349" s="769">
        <v>53</v>
      </c>
      <c r="AX349" s="769">
        <v>36.401177359835025</v>
      </c>
      <c r="AY349" s="769">
        <v>37.269328751535539</v>
      </c>
      <c r="AZ349" s="769">
        <v>38.15818515591905</v>
      </c>
      <c r="BA349" s="769">
        <v>39.068240378045722</v>
      </c>
      <c r="BB349" s="769">
        <v>40</v>
      </c>
      <c r="BC349" s="769">
        <v>3.6838333186125283</v>
      </c>
      <c r="BD349" s="769">
        <v>3.7604513677066849</v>
      </c>
      <c r="BE349" s="769">
        <v>3.8386629540049633</v>
      </c>
      <c r="BF349" s="769">
        <v>3.9185012206224785</v>
      </c>
      <c r="BG349" s="769">
        <v>4</v>
      </c>
      <c r="BH349" s="771">
        <v>53.271499337592168</v>
      </c>
      <c r="BI349" s="771">
        <v>53.544389465567605</v>
      </c>
      <c r="BJ349" s="771">
        <v>53.81867750842946</v>
      </c>
      <c r="BK349" s="772">
        <v>53.464843316496953</v>
      </c>
      <c r="BL349" s="772">
        <v>53.11333542913335</v>
      </c>
      <c r="BM349" s="772">
        <v>53.494628920290587</v>
      </c>
      <c r="BN349" s="772">
        <v>53.878659666135825</v>
      </c>
      <c r="BO349" s="772">
        <v>54.265447317052306</v>
      </c>
      <c r="BP349" s="772">
        <v>54.655011664490722</v>
      </c>
      <c r="BQ349" s="772">
        <v>55.047372641981923</v>
      </c>
      <c r="BR349" s="772">
        <v>55.356387950416924</v>
      </c>
      <c r="BS349" s="772">
        <v>55.667137954919411</v>
      </c>
      <c r="BT349" s="772">
        <v>55.979632393422634</v>
      </c>
      <c r="BU349" s="772">
        <v>56.293881058524946</v>
      </c>
      <c r="BV349" s="772">
        <v>56.609893797796651</v>
      </c>
      <c r="BW349" s="771">
        <v>40.20490516044692</v>
      </c>
      <c r="BX349" s="771">
        <v>40.410859974013285</v>
      </c>
      <c r="BY349" s="771">
        <v>40.61786981768261</v>
      </c>
      <c r="BZ349" s="772">
        <v>40.350825144525999</v>
      </c>
      <c r="CA349" s="772">
        <v>40.08553617293083</v>
      </c>
      <c r="CB349" s="772">
        <v>40.373304845502325</v>
      </c>
      <c r="CC349" s="772">
        <v>40.663139370668546</v>
      </c>
      <c r="CD349" s="772">
        <v>40.955054578907401</v>
      </c>
      <c r="CE349" s="772">
        <v>41.24906540716281</v>
      </c>
      <c r="CF349" s="772">
        <v>41.545186899609</v>
      </c>
      <c r="CG349" s="772">
        <v>41.778406000314661</v>
      </c>
      <c r="CH349" s="772">
        <v>42.012934305599551</v>
      </c>
      <c r="CI349" s="772">
        <v>42.248779164847271</v>
      </c>
      <c r="CJ349" s="772">
        <v>42.485947968698071</v>
      </c>
      <c r="CK349" s="772">
        <v>42.724448149280491</v>
      </c>
      <c r="CL349" s="771">
        <v>4.020490516044692</v>
      </c>
      <c r="CM349" s="771">
        <v>4.0410859974013285</v>
      </c>
      <c r="CN349" s="771">
        <v>4.061786981768261</v>
      </c>
      <c r="CO349" s="772">
        <v>4.0350825144525997</v>
      </c>
      <c r="CP349" s="772">
        <v>4.0085536172930825</v>
      </c>
      <c r="CQ349" s="772">
        <v>4.0373304845502327</v>
      </c>
      <c r="CR349" s="772">
        <v>4.0663139370668544</v>
      </c>
      <c r="CS349" s="772">
        <v>4.0955054578907397</v>
      </c>
      <c r="CT349" s="772">
        <v>4.1249065407162808</v>
      </c>
      <c r="CU349" s="772">
        <v>4.1545186899608995</v>
      </c>
      <c r="CV349" s="772">
        <v>4.1778406000314661</v>
      </c>
      <c r="CW349" s="772">
        <v>4.2012934305599554</v>
      </c>
      <c r="CX349" s="772">
        <v>4.2248779164847265</v>
      </c>
      <c r="CY349" s="772">
        <v>4.2485947968698072</v>
      </c>
      <c r="CZ349" s="772">
        <v>4.2724448149280487</v>
      </c>
      <c r="DA349" s="773">
        <v>0</v>
      </c>
      <c r="DB349" s="773">
        <v>0</v>
      </c>
      <c r="DC349" s="773">
        <v>0</v>
      </c>
      <c r="DD349" s="774">
        <v>0</v>
      </c>
      <c r="DE349" s="774">
        <v>0</v>
      </c>
      <c r="DF349" s="774">
        <v>0</v>
      </c>
      <c r="DG349" s="774">
        <v>0</v>
      </c>
      <c r="DH349" s="774">
        <v>0</v>
      </c>
      <c r="DI349" s="774">
        <v>0</v>
      </c>
      <c r="DJ349" s="774">
        <v>0</v>
      </c>
      <c r="DK349" s="774">
        <v>0</v>
      </c>
      <c r="DL349" s="774">
        <v>0</v>
      </c>
      <c r="DM349" s="774">
        <v>0</v>
      </c>
      <c r="DN349" s="774">
        <v>0</v>
      </c>
      <c r="DO349" s="774">
        <v>0</v>
      </c>
      <c r="DP349" s="773">
        <v>0</v>
      </c>
      <c r="DQ349" s="773">
        <v>0</v>
      </c>
      <c r="DR349" s="773">
        <v>0</v>
      </c>
      <c r="DS349" s="774">
        <v>0</v>
      </c>
      <c r="DT349" s="774">
        <v>0</v>
      </c>
      <c r="DU349" s="774">
        <v>0</v>
      </c>
      <c r="DV349" s="774">
        <v>0</v>
      </c>
      <c r="DW349" s="774">
        <v>0</v>
      </c>
      <c r="DX349" s="774">
        <v>0</v>
      </c>
      <c r="DY349" s="774">
        <v>0</v>
      </c>
      <c r="DZ349" s="774">
        <v>0</v>
      </c>
      <c r="EA349" s="774">
        <v>0</v>
      </c>
      <c r="EB349" s="774">
        <v>0</v>
      </c>
      <c r="EC349" s="774">
        <v>0</v>
      </c>
      <c r="ED349" s="774">
        <v>0</v>
      </c>
    </row>
    <row r="350" spans="1:134" ht="15" x14ac:dyDescent="0.25">
      <c r="A350" s="766">
        <v>104</v>
      </c>
      <c r="B350" s="766">
        <v>100</v>
      </c>
      <c r="C350" s="766" t="s">
        <v>4021</v>
      </c>
      <c r="D350" s="2">
        <v>99709</v>
      </c>
      <c r="E350" s="2">
        <v>99709</v>
      </c>
      <c r="F350" s="767" t="s">
        <v>3746</v>
      </c>
      <c r="G350" s="114">
        <v>171</v>
      </c>
      <c r="H350" s="114">
        <v>105</v>
      </c>
      <c r="I350" s="114">
        <v>90</v>
      </c>
      <c r="J350" s="114">
        <v>15</v>
      </c>
      <c r="K350" s="114">
        <v>0</v>
      </c>
      <c r="L350" s="114">
        <v>115</v>
      </c>
      <c r="M350" s="114">
        <v>115</v>
      </c>
      <c r="N350" s="114">
        <v>0</v>
      </c>
      <c r="O350" s="114">
        <v>0</v>
      </c>
      <c r="P350" s="114">
        <v>0</v>
      </c>
      <c r="Q350" s="114">
        <v>115</v>
      </c>
      <c r="R350" s="114">
        <v>0</v>
      </c>
      <c r="S350" s="114">
        <v>1133.0260869565216</v>
      </c>
      <c r="T350" s="114">
        <v>1133.0260869565216</v>
      </c>
      <c r="U350" s="114">
        <v>0</v>
      </c>
      <c r="V350" s="114">
        <v>0</v>
      </c>
      <c r="W350" s="114">
        <v>0</v>
      </c>
      <c r="X350" s="114">
        <v>1133.0260869565218</v>
      </c>
      <c r="Y350" s="114">
        <v>0</v>
      </c>
      <c r="Z350" s="114">
        <v>105</v>
      </c>
      <c r="AA350" s="114">
        <v>0</v>
      </c>
      <c r="AB350" s="657">
        <v>0</v>
      </c>
      <c r="AC350" s="657">
        <v>0</v>
      </c>
      <c r="AD350" s="768">
        <v>105</v>
      </c>
      <c r="AE350" s="769">
        <v>0</v>
      </c>
      <c r="AF350" s="769">
        <v>90</v>
      </c>
      <c r="AG350" s="770">
        <v>90</v>
      </c>
      <c r="AH350" s="769">
        <v>0</v>
      </c>
      <c r="AI350" s="769">
        <v>0</v>
      </c>
      <c r="AJ350" s="769">
        <v>99.976631475812638</v>
      </c>
      <c r="AK350" s="769">
        <v>99.976631475812638</v>
      </c>
      <c r="AL350" s="769">
        <v>0</v>
      </c>
      <c r="AM350" s="769">
        <v>0</v>
      </c>
      <c r="AN350" s="769">
        <v>85.855916600817864</v>
      </c>
      <c r="AO350" s="769">
        <v>85.855916600817864</v>
      </c>
      <c r="AP350" s="769">
        <v>0</v>
      </c>
      <c r="AQ350" s="769">
        <v>0</v>
      </c>
      <c r="AR350" s="769">
        <v>0</v>
      </c>
      <c r="AS350" s="769">
        <v>95.193588964289987</v>
      </c>
      <c r="AT350" s="769">
        <v>97.555801276719592</v>
      </c>
      <c r="AU350" s="769">
        <v>99.976631475812638</v>
      </c>
      <c r="AV350" s="769">
        <v>102.45753415420619</v>
      </c>
      <c r="AW350" s="769">
        <v>105</v>
      </c>
      <c r="AX350" s="769">
        <v>81.902649059628814</v>
      </c>
      <c r="AY350" s="769">
        <v>83.855989690954971</v>
      </c>
      <c r="AZ350" s="769">
        <v>85.855916600817864</v>
      </c>
      <c r="BA350" s="769">
        <v>87.903540850602866</v>
      </c>
      <c r="BB350" s="769">
        <v>90</v>
      </c>
      <c r="BC350" s="769">
        <v>0</v>
      </c>
      <c r="BD350" s="769">
        <v>0</v>
      </c>
      <c r="BE350" s="769">
        <v>0</v>
      </c>
      <c r="BF350" s="769">
        <v>0</v>
      </c>
      <c r="BG350" s="769">
        <v>0</v>
      </c>
      <c r="BH350" s="771">
        <v>105.53787604617317</v>
      </c>
      <c r="BI350" s="771">
        <v>106.07850743178487</v>
      </c>
      <c r="BJ350" s="771">
        <v>106.62190827141686</v>
      </c>
      <c r="BK350" s="772">
        <v>105.92091600438076</v>
      </c>
      <c r="BL350" s="772">
        <v>105.22453245394343</v>
      </c>
      <c r="BM350" s="772">
        <v>105.97992521944361</v>
      </c>
      <c r="BN350" s="772">
        <v>106.74074084800493</v>
      </c>
      <c r="BO350" s="772">
        <v>107.50701826963193</v>
      </c>
      <c r="BP350" s="772">
        <v>108.27879669380238</v>
      </c>
      <c r="BQ350" s="772">
        <v>109.05611561147363</v>
      </c>
      <c r="BR350" s="772">
        <v>109.66831575082598</v>
      </c>
      <c r="BS350" s="772">
        <v>110.28395255219883</v>
      </c>
      <c r="BT350" s="772">
        <v>110.90304530772408</v>
      </c>
      <c r="BU350" s="772">
        <v>111.52561341783243</v>
      </c>
      <c r="BV350" s="772">
        <v>112.1516763918613</v>
      </c>
      <c r="BW350" s="771">
        <v>90.461036611005568</v>
      </c>
      <c r="BX350" s="771">
        <v>90.924434941529896</v>
      </c>
      <c r="BY350" s="771">
        <v>91.390207089785875</v>
      </c>
      <c r="BZ350" s="772">
        <v>90.789356575183504</v>
      </c>
      <c r="CA350" s="772">
        <v>90.19245638909436</v>
      </c>
      <c r="CB350" s="772">
        <v>90.839935902380233</v>
      </c>
      <c r="CC350" s="772">
        <v>91.492063584004228</v>
      </c>
      <c r="CD350" s="772">
        <v>92.148872802541646</v>
      </c>
      <c r="CE350" s="772">
        <v>92.810397166116317</v>
      </c>
      <c r="CF350" s="772">
        <v>93.476670524120252</v>
      </c>
      <c r="CG350" s="772">
        <v>94.001413500707983</v>
      </c>
      <c r="CH350" s="772">
        <v>94.529102187598994</v>
      </c>
      <c r="CI350" s="772">
        <v>95.05975312090635</v>
      </c>
      <c r="CJ350" s="772">
        <v>95.593382929570652</v>
      </c>
      <c r="CK350" s="772">
        <v>96.130008335881101</v>
      </c>
      <c r="CL350" s="771">
        <v>0</v>
      </c>
      <c r="CM350" s="771">
        <v>0</v>
      </c>
      <c r="CN350" s="771">
        <v>0</v>
      </c>
      <c r="CO350" s="772">
        <v>0</v>
      </c>
      <c r="CP350" s="772">
        <v>0</v>
      </c>
      <c r="CQ350" s="772">
        <v>0</v>
      </c>
      <c r="CR350" s="772">
        <v>0</v>
      </c>
      <c r="CS350" s="772">
        <v>0</v>
      </c>
      <c r="CT350" s="772">
        <v>0</v>
      </c>
      <c r="CU350" s="772">
        <v>0</v>
      </c>
      <c r="CV350" s="772">
        <v>0</v>
      </c>
      <c r="CW350" s="772">
        <v>0</v>
      </c>
      <c r="CX350" s="772">
        <v>0</v>
      </c>
      <c r="CY350" s="772">
        <v>0</v>
      </c>
      <c r="CZ350" s="772">
        <v>0</v>
      </c>
      <c r="DA350" s="773">
        <v>0</v>
      </c>
      <c r="DB350" s="773">
        <v>0</v>
      </c>
      <c r="DC350" s="773">
        <v>0</v>
      </c>
      <c r="DD350" s="774">
        <v>0</v>
      </c>
      <c r="DE350" s="774">
        <v>0</v>
      </c>
      <c r="DF350" s="774">
        <v>0</v>
      </c>
      <c r="DG350" s="774">
        <v>0</v>
      </c>
      <c r="DH350" s="774">
        <v>0</v>
      </c>
      <c r="DI350" s="774">
        <v>0</v>
      </c>
      <c r="DJ350" s="774">
        <v>0</v>
      </c>
      <c r="DK350" s="774">
        <v>0</v>
      </c>
      <c r="DL350" s="774">
        <v>0</v>
      </c>
      <c r="DM350" s="774">
        <v>0</v>
      </c>
      <c r="DN350" s="774">
        <v>0</v>
      </c>
      <c r="DO350" s="774">
        <v>0</v>
      </c>
      <c r="DP350" s="773">
        <v>0</v>
      </c>
      <c r="DQ350" s="773">
        <v>0</v>
      </c>
      <c r="DR350" s="773">
        <v>0</v>
      </c>
      <c r="DS350" s="774">
        <v>0</v>
      </c>
      <c r="DT350" s="774">
        <v>0</v>
      </c>
      <c r="DU350" s="774">
        <v>0</v>
      </c>
      <c r="DV350" s="774">
        <v>0</v>
      </c>
      <c r="DW350" s="774">
        <v>0</v>
      </c>
      <c r="DX350" s="774">
        <v>0</v>
      </c>
      <c r="DY350" s="774">
        <v>0</v>
      </c>
      <c r="DZ350" s="774">
        <v>0</v>
      </c>
      <c r="EA350" s="774">
        <v>0</v>
      </c>
      <c r="EB350" s="774">
        <v>0</v>
      </c>
      <c r="EC350" s="774">
        <v>0</v>
      </c>
      <c r="ED350" s="774">
        <v>0</v>
      </c>
    </row>
    <row r="351" spans="1:134" ht="15" x14ac:dyDescent="0.25">
      <c r="A351" s="766">
        <v>109</v>
      </c>
      <c r="B351" s="766">
        <v>100</v>
      </c>
      <c r="C351" s="766" t="s">
        <v>4022</v>
      </c>
      <c r="D351" s="2">
        <v>99712</v>
      </c>
      <c r="E351" s="2">
        <v>99712</v>
      </c>
      <c r="F351" s="767" t="s">
        <v>3746</v>
      </c>
      <c r="G351" s="114">
        <v>38</v>
      </c>
      <c r="H351" s="114">
        <v>14</v>
      </c>
      <c r="I351" s="114">
        <v>14</v>
      </c>
      <c r="J351" s="114">
        <v>0</v>
      </c>
      <c r="K351" s="114">
        <v>0</v>
      </c>
      <c r="L351" s="114">
        <v>74</v>
      </c>
      <c r="M351" s="114">
        <v>74</v>
      </c>
      <c r="N351" s="114">
        <v>0</v>
      </c>
      <c r="O351" s="114">
        <v>0</v>
      </c>
      <c r="P351" s="114">
        <v>0</v>
      </c>
      <c r="Q351" s="114">
        <v>74</v>
      </c>
      <c r="R351" s="114">
        <v>0</v>
      </c>
      <c r="S351" s="114">
        <v>3187.2702702702704</v>
      </c>
      <c r="T351" s="114">
        <v>3187.2702702702704</v>
      </c>
      <c r="U351" s="114">
        <v>0</v>
      </c>
      <c r="V351" s="114">
        <v>0</v>
      </c>
      <c r="W351" s="114">
        <v>0</v>
      </c>
      <c r="X351" s="114">
        <v>3187.2702702702704</v>
      </c>
      <c r="Y351" s="114">
        <v>0</v>
      </c>
      <c r="Z351" s="114">
        <v>14</v>
      </c>
      <c r="AA351" s="114">
        <v>0</v>
      </c>
      <c r="AB351" s="657">
        <v>0</v>
      </c>
      <c r="AC351" s="657">
        <v>0</v>
      </c>
      <c r="AD351" s="768">
        <v>14</v>
      </c>
      <c r="AE351" s="769">
        <v>0</v>
      </c>
      <c r="AF351" s="769">
        <v>14</v>
      </c>
      <c r="AG351" s="770">
        <v>14</v>
      </c>
      <c r="AH351" s="769">
        <v>0</v>
      </c>
      <c r="AI351" s="769">
        <v>0</v>
      </c>
      <c r="AJ351" s="769">
        <v>12.727599432040336</v>
      </c>
      <c r="AK351" s="769">
        <v>12.727599432040336</v>
      </c>
      <c r="AL351" s="769">
        <v>0</v>
      </c>
      <c r="AM351" s="769">
        <v>0</v>
      </c>
      <c r="AN351" s="769">
        <v>12.77435754543073</v>
      </c>
      <c r="AO351" s="769">
        <v>12.77435754543073</v>
      </c>
      <c r="AP351" s="769">
        <v>0</v>
      </c>
      <c r="AQ351" s="769">
        <v>0</v>
      </c>
      <c r="AR351" s="769">
        <v>0</v>
      </c>
      <c r="AS351" s="769">
        <v>11.570841950176677</v>
      </c>
      <c r="AT351" s="769">
        <v>12.135445662739263</v>
      </c>
      <c r="AU351" s="769">
        <v>12.727599432040336</v>
      </c>
      <c r="AV351" s="769">
        <v>13.348647573764344</v>
      </c>
      <c r="AW351" s="769">
        <v>14</v>
      </c>
      <c r="AX351" s="769">
        <v>11.656015049893073</v>
      </c>
      <c r="AY351" s="769">
        <v>12.202381071014612</v>
      </c>
      <c r="AZ351" s="769">
        <v>12.77435754543073</v>
      </c>
      <c r="BA351" s="769">
        <v>13.373144941861291</v>
      </c>
      <c r="BB351" s="769">
        <v>14</v>
      </c>
      <c r="BC351" s="769">
        <v>0</v>
      </c>
      <c r="BD351" s="769">
        <v>0</v>
      </c>
      <c r="BE351" s="769">
        <v>0</v>
      </c>
      <c r="BF351" s="769">
        <v>0</v>
      </c>
      <c r="BG351" s="769">
        <v>0</v>
      </c>
      <c r="BH351" s="771">
        <v>14.34324717435028</v>
      </c>
      <c r="BI351" s="771">
        <v>14.694909964607664</v>
      </c>
      <c r="BJ351" s="771">
        <v>15.055194701942188</v>
      </c>
      <c r="BK351" s="772">
        <v>14.956213402171045</v>
      </c>
      <c r="BL351" s="772">
        <v>14.857882861018329</v>
      </c>
      <c r="BM351" s="772">
        <v>14.964545603651802</v>
      </c>
      <c r="BN351" s="772">
        <v>15.071974063768209</v>
      </c>
      <c r="BO351" s="772">
        <v>15.180173738350375</v>
      </c>
      <c r="BP351" s="772">
        <v>15.28915016384321</v>
      </c>
      <c r="BQ351" s="772">
        <v>15.398908916437033</v>
      </c>
      <c r="BR351" s="772">
        <v>15.4853526168353</v>
      </c>
      <c r="BS351" s="772">
        <v>15.572281579753083</v>
      </c>
      <c r="BT351" s="772">
        <v>15.659698529272202</v>
      </c>
      <c r="BU351" s="772">
        <v>15.747606204766452</v>
      </c>
      <c r="BV351" s="772">
        <v>15.836007360987439</v>
      </c>
      <c r="BW351" s="771">
        <v>14.34324717435028</v>
      </c>
      <c r="BX351" s="771">
        <v>14.694909964607664</v>
      </c>
      <c r="BY351" s="771">
        <v>15.055194701942188</v>
      </c>
      <c r="BZ351" s="772">
        <v>14.956213402171045</v>
      </c>
      <c r="CA351" s="772">
        <v>14.857882861018329</v>
      </c>
      <c r="CB351" s="772">
        <v>14.964545603651802</v>
      </c>
      <c r="CC351" s="772">
        <v>15.071974063768209</v>
      </c>
      <c r="CD351" s="772">
        <v>15.180173738350375</v>
      </c>
      <c r="CE351" s="772">
        <v>15.28915016384321</v>
      </c>
      <c r="CF351" s="772">
        <v>15.398908916437033</v>
      </c>
      <c r="CG351" s="772">
        <v>15.4853526168353</v>
      </c>
      <c r="CH351" s="772">
        <v>15.572281579753083</v>
      </c>
      <c r="CI351" s="772">
        <v>15.659698529272202</v>
      </c>
      <c r="CJ351" s="772">
        <v>15.747606204766452</v>
      </c>
      <c r="CK351" s="772">
        <v>15.836007360987439</v>
      </c>
      <c r="CL351" s="771">
        <v>0</v>
      </c>
      <c r="CM351" s="771">
        <v>0</v>
      </c>
      <c r="CN351" s="771">
        <v>0</v>
      </c>
      <c r="CO351" s="772">
        <v>0</v>
      </c>
      <c r="CP351" s="772">
        <v>0</v>
      </c>
      <c r="CQ351" s="772">
        <v>0</v>
      </c>
      <c r="CR351" s="772">
        <v>0</v>
      </c>
      <c r="CS351" s="772">
        <v>0</v>
      </c>
      <c r="CT351" s="772">
        <v>0</v>
      </c>
      <c r="CU351" s="772">
        <v>0</v>
      </c>
      <c r="CV351" s="772">
        <v>0</v>
      </c>
      <c r="CW351" s="772">
        <v>0</v>
      </c>
      <c r="CX351" s="772">
        <v>0</v>
      </c>
      <c r="CY351" s="772">
        <v>0</v>
      </c>
      <c r="CZ351" s="772">
        <v>0</v>
      </c>
      <c r="DA351" s="773">
        <v>0</v>
      </c>
      <c r="DB351" s="773">
        <v>0</v>
      </c>
      <c r="DC351" s="773">
        <v>0</v>
      </c>
      <c r="DD351" s="774">
        <v>0</v>
      </c>
      <c r="DE351" s="774">
        <v>0</v>
      </c>
      <c r="DF351" s="774">
        <v>0</v>
      </c>
      <c r="DG351" s="774">
        <v>0</v>
      </c>
      <c r="DH351" s="774">
        <v>0</v>
      </c>
      <c r="DI351" s="774">
        <v>0</v>
      </c>
      <c r="DJ351" s="774">
        <v>0</v>
      </c>
      <c r="DK351" s="774">
        <v>0</v>
      </c>
      <c r="DL351" s="774">
        <v>0</v>
      </c>
      <c r="DM351" s="774">
        <v>0</v>
      </c>
      <c r="DN351" s="774">
        <v>0</v>
      </c>
      <c r="DO351" s="774">
        <v>0</v>
      </c>
      <c r="DP351" s="773">
        <v>0</v>
      </c>
      <c r="DQ351" s="773">
        <v>0</v>
      </c>
      <c r="DR351" s="773">
        <v>0</v>
      </c>
      <c r="DS351" s="774">
        <v>0</v>
      </c>
      <c r="DT351" s="774">
        <v>0</v>
      </c>
      <c r="DU351" s="774">
        <v>0</v>
      </c>
      <c r="DV351" s="774">
        <v>0</v>
      </c>
      <c r="DW351" s="774">
        <v>0</v>
      </c>
      <c r="DX351" s="774">
        <v>0</v>
      </c>
      <c r="DY351" s="774">
        <v>0</v>
      </c>
      <c r="DZ351" s="774">
        <v>0</v>
      </c>
      <c r="EA351" s="774">
        <v>0</v>
      </c>
      <c r="EB351" s="774">
        <v>0</v>
      </c>
      <c r="EC351" s="774">
        <v>0</v>
      </c>
      <c r="ED351" s="774">
        <v>0</v>
      </c>
    </row>
    <row r="352" spans="1:134" ht="15" x14ac:dyDescent="0.25">
      <c r="A352" s="766">
        <v>110</v>
      </c>
      <c r="B352" s="766">
        <v>100</v>
      </c>
      <c r="C352" s="766" t="s">
        <v>4023</v>
      </c>
      <c r="D352" s="2">
        <v>99712</v>
      </c>
      <c r="E352" s="2">
        <v>99712</v>
      </c>
      <c r="F352" s="767" t="s">
        <v>3746</v>
      </c>
      <c r="G352" s="114">
        <v>67</v>
      </c>
      <c r="H352" s="114">
        <v>27</v>
      </c>
      <c r="I352" s="114">
        <v>27</v>
      </c>
      <c r="J352" s="114">
        <v>0</v>
      </c>
      <c r="K352" s="114">
        <v>0</v>
      </c>
      <c r="L352" s="114">
        <v>87</v>
      </c>
      <c r="M352" s="114">
        <v>87</v>
      </c>
      <c r="N352" s="114">
        <v>0</v>
      </c>
      <c r="O352" s="114">
        <v>0</v>
      </c>
      <c r="P352" s="114">
        <v>0</v>
      </c>
      <c r="Q352" s="114">
        <v>87</v>
      </c>
      <c r="R352" s="114">
        <v>0</v>
      </c>
      <c r="S352" s="114">
        <v>2990.6091954022991</v>
      </c>
      <c r="T352" s="114">
        <v>2990.6091954022991</v>
      </c>
      <c r="U352" s="114">
        <v>0</v>
      </c>
      <c r="V352" s="114">
        <v>0</v>
      </c>
      <c r="W352" s="114">
        <v>0</v>
      </c>
      <c r="X352" s="114">
        <v>2990.6091954022991</v>
      </c>
      <c r="Y352" s="114">
        <v>0</v>
      </c>
      <c r="Z352" s="114">
        <v>27</v>
      </c>
      <c r="AA352" s="114">
        <v>0</v>
      </c>
      <c r="AB352" s="657">
        <v>0</v>
      </c>
      <c r="AC352" s="657">
        <v>0</v>
      </c>
      <c r="AD352" s="768">
        <v>27</v>
      </c>
      <c r="AE352" s="769">
        <v>0</v>
      </c>
      <c r="AF352" s="769">
        <v>27</v>
      </c>
      <c r="AG352" s="770">
        <v>27</v>
      </c>
      <c r="AH352" s="769">
        <v>0</v>
      </c>
      <c r="AI352" s="769">
        <v>0</v>
      </c>
      <c r="AJ352" s="769">
        <v>24.54608461893493</v>
      </c>
      <c r="AK352" s="769">
        <v>24.54608461893493</v>
      </c>
      <c r="AL352" s="769">
        <v>0</v>
      </c>
      <c r="AM352" s="769">
        <v>0</v>
      </c>
      <c r="AN352" s="769">
        <v>24.636260980473551</v>
      </c>
      <c r="AO352" s="769">
        <v>24.636260980473551</v>
      </c>
      <c r="AP352" s="769">
        <v>0</v>
      </c>
      <c r="AQ352" s="769">
        <v>0</v>
      </c>
      <c r="AR352" s="769">
        <v>0</v>
      </c>
      <c r="AS352" s="769">
        <v>22.315195189626447</v>
      </c>
      <c r="AT352" s="769">
        <v>23.404073778140006</v>
      </c>
      <c r="AU352" s="769">
        <v>24.54608461893493</v>
      </c>
      <c r="AV352" s="769">
        <v>25.743820320831233</v>
      </c>
      <c r="AW352" s="769">
        <v>27</v>
      </c>
      <c r="AX352" s="769">
        <v>22.479457596222353</v>
      </c>
      <c r="AY352" s="769">
        <v>23.533163494099608</v>
      </c>
      <c r="AZ352" s="769">
        <v>24.636260980473551</v>
      </c>
      <c r="BA352" s="769">
        <v>25.791065245018203</v>
      </c>
      <c r="BB352" s="769">
        <v>27</v>
      </c>
      <c r="BC352" s="769">
        <v>0</v>
      </c>
      <c r="BD352" s="769">
        <v>0</v>
      </c>
      <c r="BE352" s="769">
        <v>0</v>
      </c>
      <c r="BF352" s="769">
        <v>0</v>
      </c>
      <c r="BG352" s="769">
        <v>0</v>
      </c>
      <c r="BH352" s="771">
        <v>27.661976693389825</v>
      </c>
      <c r="BI352" s="771">
        <v>28.340183503171922</v>
      </c>
      <c r="BJ352" s="771">
        <v>29.035018353745649</v>
      </c>
      <c r="BK352" s="772">
        <v>28.844125847044161</v>
      </c>
      <c r="BL352" s="772">
        <v>28.654488374821064</v>
      </c>
      <c r="BM352" s="772">
        <v>28.860195092757046</v>
      </c>
      <c r="BN352" s="772">
        <v>29.067378551552977</v>
      </c>
      <c r="BO352" s="772">
        <v>29.276049352532862</v>
      </c>
      <c r="BP352" s="772">
        <v>29.486218173126193</v>
      </c>
      <c r="BQ352" s="772">
        <v>29.697895767414277</v>
      </c>
      <c r="BR352" s="772">
        <v>29.864608618182366</v>
      </c>
      <c r="BS352" s="772">
        <v>30.032257332380944</v>
      </c>
      <c r="BT352" s="772">
        <v>30.200847163596389</v>
      </c>
      <c r="BU352" s="772">
        <v>30.370383394906728</v>
      </c>
      <c r="BV352" s="772">
        <v>30.540871339047207</v>
      </c>
      <c r="BW352" s="771">
        <v>27.661976693389825</v>
      </c>
      <c r="BX352" s="771">
        <v>28.340183503171922</v>
      </c>
      <c r="BY352" s="771">
        <v>29.035018353745649</v>
      </c>
      <c r="BZ352" s="772">
        <v>28.844125847044161</v>
      </c>
      <c r="CA352" s="772">
        <v>28.654488374821064</v>
      </c>
      <c r="CB352" s="772">
        <v>28.860195092757046</v>
      </c>
      <c r="CC352" s="772">
        <v>29.067378551552977</v>
      </c>
      <c r="CD352" s="772">
        <v>29.276049352532862</v>
      </c>
      <c r="CE352" s="772">
        <v>29.486218173126193</v>
      </c>
      <c r="CF352" s="772">
        <v>29.697895767414277</v>
      </c>
      <c r="CG352" s="772">
        <v>29.864608618182366</v>
      </c>
      <c r="CH352" s="772">
        <v>30.032257332380944</v>
      </c>
      <c r="CI352" s="772">
        <v>30.200847163596389</v>
      </c>
      <c r="CJ352" s="772">
        <v>30.370383394906728</v>
      </c>
      <c r="CK352" s="772">
        <v>30.540871339047207</v>
      </c>
      <c r="CL352" s="771">
        <v>0</v>
      </c>
      <c r="CM352" s="771">
        <v>0</v>
      </c>
      <c r="CN352" s="771">
        <v>0</v>
      </c>
      <c r="CO352" s="772">
        <v>0</v>
      </c>
      <c r="CP352" s="772">
        <v>0</v>
      </c>
      <c r="CQ352" s="772">
        <v>0</v>
      </c>
      <c r="CR352" s="772">
        <v>0</v>
      </c>
      <c r="CS352" s="772">
        <v>0</v>
      </c>
      <c r="CT352" s="772">
        <v>0</v>
      </c>
      <c r="CU352" s="772">
        <v>0</v>
      </c>
      <c r="CV352" s="772">
        <v>0</v>
      </c>
      <c r="CW352" s="772">
        <v>0</v>
      </c>
      <c r="CX352" s="772">
        <v>0</v>
      </c>
      <c r="CY352" s="772">
        <v>0</v>
      </c>
      <c r="CZ352" s="772">
        <v>0</v>
      </c>
      <c r="DA352" s="773">
        <v>0</v>
      </c>
      <c r="DB352" s="773">
        <v>0</v>
      </c>
      <c r="DC352" s="773">
        <v>0</v>
      </c>
      <c r="DD352" s="774">
        <v>0</v>
      </c>
      <c r="DE352" s="774">
        <v>0</v>
      </c>
      <c r="DF352" s="774">
        <v>0</v>
      </c>
      <c r="DG352" s="774">
        <v>0</v>
      </c>
      <c r="DH352" s="774">
        <v>0</v>
      </c>
      <c r="DI352" s="774">
        <v>0</v>
      </c>
      <c r="DJ352" s="774">
        <v>0</v>
      </c>
      <c r="DK352" s="774">
        <v>0</v>
      </c>
      <c r="DL352" s="774">
        <v>0</v>
      </c>
      <c r="DM352" s="774">
        <v>0</v>
      </c>
      <c r="DN352" s="774">
        <v>0</v>
      </c>
      <c r="DO352" s="774">
        <v>0</v>
      </c>
      <c r="DP352" s="773">
        <v>0</v>
      </c>
      <c r="DQ352" s="773">
        <v>0</v>
      </c>
      <c r="DR352" s="773">
        <v>0</v>
      </c>
      <c r="DS352" s="774">
        <v>0</v>
      </c>
      <c r="DT352" s="774">
        <v>0</v>
      </c>
      <c r="DU352" s="774">
        <v>0</v>
      </c>
      <c r="DV352" s="774">
        <v>0</v>
      </c>
      <c r="DW352" s="774">
        <v>0</v>
      </c>
      <c r="DX352" s="774">
        <v>0</v>
      </c>
      <c r="DY352" s="774">
        <v>0</v>
      </c>
      <c r="DZ352" s="774">
        <v>0</v>
      </c>
      <c r="EA352" s="774">
        <v>0</v>
      </c>
      <c r="EB352" s="774">
        <v>0</v>
      </c>
      <c r="EC352" s="774">
        <v>0</v>
      </c>
      <c r="ED352" s="774">
        <v>0</v>
      </c>
    </row>
    <row r="353" spans="1:134" ht="15" x14ac:dyDescent="0.25">
      <c r="A353" s="766">
        <v>111</v>
      </c>
      <c r="B353" s="766">
        <v>100</v>
      </c>
      <c r="C353" s="766" t="s">
        <v>4024</v>
      </c>
      <c r="D353" s="2">
        <v>99712</v>
      </c>
      <c r="E353" s="2">
        <v>99712</v>
      </c>
      <c r="F353" s="767" t="s">
        <v>3746</v>
      </c>
      <c r="G353" s="114">
        <v>284</v>
      </c>
      <c r="H353" s="114">
        <v>118</v>
      </c>
      <c r="I353" s="114">
        <v>111</v>
      </c>
      <c r="J353" s="114">
        <v>7</v>
      </c>
      <c r="K353" s="114">
        <v>0</v>
      </c>
      <c r="L353" s="114">
        <v>124</v>
      </c>
      <c r="M353" s="114">
        <v>124</v>
      </c>
      <c r="N353" s="114">
        <v>0</v>
      </c>
      <c r="O353" s="114">
        <v>0</v>
      </c>
      <c r="P353" s="114">
        <v>0</v>
      </c>
      <c r="Q353" s="114">
        <v>124</v>
      </c>
      <c r="R353" s="114">
        <v>0</v>
      </c>
      <c r="S353" s="114">
        <v>2465.733870967742</v>
      </c>
      <c r="T353" s="114">
        <v>2465.733870967742</v>
      </c>
      <c r="U353" s="114">
        <v>0</v>
      </c>
      <c r="V353" s="114">
        <v>0</v>
      </c>
      <c r="W353" s="114">
        <v>0</v>
      </c>
      <c r="X353" s="114">
        <v>2465.733870967742</v>
      </c>
      <c r="Y353" s="114">
        <v>0</v>
      </c>
      <c r="Z353" s="114">
        <v>118</v>
      </c>
      <c r="AA353" s="114">
        <v>0</v>
      </c>
      <c r="AB353" s="657">
        <v>0</v>
      </c>
      <c r="AC353" s="657">
        <v>0</v>
      </c>
      <c r="AD353" s="768">
        <v>118</v>
      </c>
      <c r="AE353" s="769">
        <v>0</v>
      </c>
      <c r="AF353" s="769">
        <v>111</v>
      </c>
      <c r="AG353" s="770">
        <v>111</v>
      </c>
      <c r="AH353" s="769">
        <v>0</v>
      </c>
      <c r="AI353" s="769">
        <v>0</v>
      </c>
      <c r="AJ353" s="769">
        <v>107.27548092719711</v>
      </c>
      <c r="AK353" s="769">
        <v>107.27548092719711</v>
      </c>
      <c r="AL353" s="769">
        <v>0</v>
      </c>
      <c r="AM353" s="769">
        <v>0</v>
      </c>
      <c r="AN353" s="769">
        <v>101.28240625305793</v>
      </c>
      <c r="AO353" s="769">
        <v>101.28240625305793</v>
      </c>
      <c r="AP353" s="769">
        <v>0</v>
      </c>
      <c r="AQ353" s="769">
        <v>0</v>
      </c>
      <c r="AR353" s="769">
        <v>0</v>
      </c>
      <c r="AS353" s="769">
        <v>97.525667865774835</v>
      </c>
      <c r="AT353" s="769">
        <v>102.28447058594521</v>
      </c>
      <c r="AU353" s="769">
        <v>107.27548092719711</v>
      </c>
      <c r="AV353" s="769">
        <v>112.51002955029946</v>
      </c>
      <c r="AW353" s="769">
        <v>118</v>
      </c>
      <c r="AX353" s="769">
        <v>92.415547895580787</v>
      </c>
      <c r="AY353" s="769">
        <v>96.747449920187279</v>
      </c>
      <c r="AZ353" s="769">
        <v>101.28240625305793</v>
      </c>
      <c r="BA353" s="769">
        <v>106.02993489618595</v>
      </c>
      <c r="BB353" s="769">
        <v>111</v>
      </c>
      <c r="BC353" s="769">
        <v>0</v>
      </c>
      <c r="BD353" s="769">
        <v>0</v>
      </c>
      <c r="BE353" s="769">
        <v>0</v>
      </c>
      <c r="BF353" s="769">
        <v>0</v>
      </c>
      <c r="BG353" s="769">
        <v>0</v>
      </c>
      <c r="BH353" s="771">
        <v>119.61284693562548</v>
      </c>
      <c r="BI353" s="771">
        <v>121.24773857665566</v>
      </c>
      <c r="BJ353" s="771">
        <v>122.90497623440886</v>
      </c>
      <c r="BK353" s="772">
        <v>122.0969299396337</v>
      </c>
      <c r="BL353" s="772">
        <v>121.29419619472024</v>
      </c>
      <c r="BM353" s="772">
        <v>122.16495091480185</v>
      </c>
      <c r="BN353" s="772">
        <v>123.04195666590005</v>
      </c>
      <c r="BO353" s="772">
        <v>123.92525832332571</v>
      </c>
      <c r="BP353" s="772">
        <v>124.81490108454354</v>
      </c>
      <c r="BQ353" s="772">
        <v>125.71093047148477</v>
      </c>
      <c r="BR353" s="772">
        <v>126.41662449626499</v>
      </c>
      <c r="BS353" s="772">
        <v>127.12628002268031</v>
      </c>
      <c r="BT353" s="772">
        <v>127.83991928911541</v>
      </c>
      <c r="BU353" s="772">
        <v>128.55756465879298</v>
      </c>
      <c r="BV353" s="772">
        <v>129.27923862047433</v>
      </c>
      <c r="BW353" s="771">
        <v>112.51716957503753</v>
      </c>
      <c r="BX353" s="771">
        <v>114.05507611871846</v>
      </c>
      <c r="BY353" s="771">
        <v>115.61400306796088</v>
      </c>
      <c r="BZ353" s="772">
        <v>114.85389172287576</v>
      </c>
      <c r="CA353" s="772">
        <v>114.09877777638938</v>
      </c>
      <c r="CB353" s="772">
        <v>114.91787755544919</v>
      </c>
      <c r="CC353" s="772">
        <v>115.74285754165173</v>
      </c>
      <c r="CD353" s="772">
        <v>116.57375994821317</v>
      </c>
      <c r="CE353" s="772">
        <v>117.41062729139266</v>
      </c>
      <c r="CF353" s="772">
        <v>118.25350239266788</v>
      </c>
      <c r="CG353" s="772">
        <v>118.91733321258825</v>
      </c>
      <c r="CH353" s="772">
        <v>119.58489052980943</v>
      </c>
      <c r="CI353" s="772">
        <v>120.25619526348991</v>
      </c>
      <c r="CJ353" s="772">
        <v>120.93126845022051</v>
      </c>
      <c r="CK353" s="772">
        <v>121.61013124468349</v>
      </c>
      <c r="CL353" s="771">
        <v>0</v>
      </c>
      <c r="CM353" s="771">
        <v>0</v>
      </c>
      <c r="CN353" s="771">
        <v>0</v>
      </c>
      <c r="CO353" s="772">
        <v>0</v>
      </c>
      <c r="CP353" s="772">
        <v>0</v>
      </c>
      <c r="CQ353" s="772">
        <v>0</v>
      </c>
      <c r="CR353" s="772">
        <v>0</v>
      </c>
      <c r="CS353" s="772">
        <v>0</v>
      </c>
      <c r="CT353" s="772">
        <v>0</v>
      </c>
      <c r="CU353" s="772">
        <v>0</v>
      </c>
      <c r="CV353" s="772">
        <v>0</v>
      </c>
      <c r="CW353" s="772">
        <v>0</v>
      </c>
      <c r="CX353" s="772">
        <v>0</v>
      </c>
      <c r="CY353" s="772">
        <v>0</v>
      </c>
      <c r="CZ353" s="772">
        <v>0</v>
      </c>
      <c r="DA353" s="773">
        <v>0</v>
      </c>
      <c r="DB353" s="773">
        <v>0</v>
      </c>
      <c r="DC353" s="773">
        <v>0</v>
      </c>
      <c r="DD353" s="774">
        <v>0</v>
      </c>
      <c r="DE353" s="774">
        <v>0</v>
      </c>
      <c r="DF353" s="774">
        <v>0</v>
      </c>
      <c r="DG353" s="774">
        <v>0</v>
      </c>
      <c r="DH353" s="774">
        <v>0</v>
      </c>
      <c r="DI353" s="774">
        <v>0</v>
      </c>
      <c r="DJ353" s="774">
        <v>0</v>
      </c>
      <c r="DK353" s="774">
        <v>0</v>
      </c>
      <c r="DL353" s="774">
        <v>0</v>
      </c>
      <c r="DM353" s="774">
        <v>0</v>
      </c>
      <c r="DN353" s="774">
        <v>0</v>
      </c>
      <c r="DO353" s="774">
        <v>0</v>
      </c>
      <c r="DP353" s="773">
        <v>0</v>
      </c>
      <c r="DQ353" s="773">
        <v>0</v>
      </c>
      <c r="DR353" s="773">
        <v>0</v>
      </c>
      <c r="DS353" s="774">
        <v>0</v>
      </c>
      <c r="DT353" s="774">
        <v>0</v>
      </c>
      <c r="DU353" s="774">
        <v>0</v>
      </c>
      <c r="DV353" s="774">
        <v>0</v>
      </c>
      <c r="DW353" s="774">
        <v>0</v>
      </c>
      <c r="DX353" s="774">
        <v>0</v>
      </c>
      <c r="DY353" s="774">
        <v>0</v>
      </c>
      <c r="DZ353" s="774">
        <v>0</v>
      </c>
      <c r="EA353" s="774">
        <v>0</v>
      </c>
      <c r="EB353" s="774">
        <v>0</v>
      </c>
      <c r="EC353" s="774">
        <v>0</v>
      </c>
      <c r="ED353" s="774">
        <v>0</v>
      </c>
    </row>
    <row r="354" spans="1:134" ht="15" x14ac:dyDescent="0.25">
      <c r="A354" s="766">
        <v>112</v>
      </c>
      <c r="B354" s="766">
        <v>100</v>
      </c>
      <c r="C354" s="766" t="s">
        <v>4025</v>
      </c>
      <c r="D354" s="2">
        <v>99712</v>
      </c>
      <c r="E354" s="2">
        <v>99712</v>
      </c>
      <c r="F354" s="767" t="s">
        <v>3746</v>
      </c>
      <c r="G354" s="114">
        <v>550</v>
      </c>
      <c r="H354" s="114">
        <v>224</v>
      </c>
      <c r="I354" s="114">
        <v>206</v>
      </c>
      <c r="J354" s="114">
        <v>18</v>
      </c>
      <c r="K354" s="114">
        <v>0</v>
      </c>
      <c r="L354" s="114">
        <v>133</v>
      </c>
      <c r="M354" s="114">
        <v>133</v>
      </c>
      <c r="N354" s="114">
        <v>1</v>
      </c>
      <c r="O354" s="114">
        <v>0</v>
      </c>
      <c r="P354" s="114">
        <v>0</v>
      </c>
      <c r="Q354" s="114">
        <v>134</v>
      </c>
      <c r="R354" s="114">
        <v>0</v>
      </c>
      <c r="S354" s="114">
        <v>2457.1729323308273</v>
      </c>
      <c r="T354" s="114">
        <v>2457.1729323308273</v>
      </c>
      <c r="U354" s="114">
        <v>1297</v>
      </c>
      <c r="V354" s="114">
        <v>0</v>
      </c>
      <c r="W354" s="114">
        <v>0</v>
      </c>
      <c r="X354" s="114">
        <v>2448.5149253731342</v>
      </c>
      <c r="Y354" s="114">
        <v>0</v>
      </c>
      <c r="Z354" s="114">
        <v>224</v>
      </c>
      <c r="AA354" s="114">
        <v>0</v>
      </c>
      <c r="AB354" s="657">
        <v>1</v>
      </c>
      <c r="AC354" s="657">
        <v>0</v>
      </c>
      <c r="AD354" s="768">
        <v>225</v>
      </c>
      <c r="AE354" s="769">
        <v>0</v>
      </c>
      <c r="AF354" s="769">
        <v>206</v>
      </c>
      <c r="AG354" s="770">
        <v>206</v>
      </c>
      <c r="AH354" s="769">
        <v>0</v>
      </c>
      <c r="AI354" s="769">
        <v>0</v>
      </c>
      <c r="AJ354" s="769">
        <v>203.64159091264537</v>
      </c>
      <c r="AK354" s="769">
        <v>203.64159091264537</v>
      </c>
      <c r="AL354" s="769">
        <v>0</v>
      </c>
      <c r="AM354" s="769">
        <v>0</v>
      </c>
      <c r="AN354" s="769">
        <v>187.96554673990931</v>
      </c>
      <c r="AO354" s="769">
        <v>187.96554673990931</v>
      </c>
      <c r="AP354" s="769">
        <v>0</v>
      </c>
      <c r="AQ354" s="769">
        <v>0.92984135081383867</v>
      </c>
      <c r="AR354" s="769">
        <v>0</v>
      </c>
      <c r="AS354" s="769">
        <v>185.13347120282683</v>
      </c>
      <c r="AT354" s="769">
        <v>194.16713060382821</v>
      </c>
      <c r="AU354" s="769">
        <v>203.64159091264537</v>
      </c>
      <c r="AV354" s="769">
        <v>213.57836118022951</v>
      </c>
      <c r="AW354" s="769">
        <v>224</v>
      </c>
      <c r="AX354" s="769">
        <v>171.50993573414092</v>
      </c>
      <c r="AY354" s="769">
        <v>179.54932147350073</v>
      </c>
      <c r="AZ354" s="769">
        <v>187.96554673990931</v>
      </c>
      <c r="BA354" s="769">
        <v>196.77627557310186</v>
      </c>
      <c r="BB354" s="769">
        <v>206</v>
      </c>
      <c r="BC354" s="769">
        <v>0.86460493768330426</v>
      </c>
      <c r="BD354" s="769">
        <v>0.89663003695825327</v>
      </c>
      <c r="BE354" s="769">
        <v>0.92984135081383867</v>
      </c>
      <c r="BF354" s="769">
        <v>0.96428281681975381</v>
      </c>
      <c r="BG354" s="769">
        <v>1</v>
      </c>
      <c r="BH354" s="771">
        <v>227.06167553881448</v>
      </c>
      <c r="BI354" s="771">
        <v>230.16519865399042</v>
      </c>
      <c r="BJ354" s="771">
        <v>233.31114132633547</v>
      </c>
      <c r="BK354" s="772">
        <v>231.77722293625379</v>
      </c>
      <c r="BL354" s="772">
        <v>230.25338938658757</v>
      </c>
      <c r="BM354" s="772">
        <v>231.90634749928489</v>
      </c>
      <c r="BN354" s="772">
        <v>233.57117197594584</v>
      </c>
      <c r="BO354" s="772">
        <v>235.24794800360135</v>
      </c>
      <c r="BP354" s="772">
        <v>236.93676138082841</v>
      </c>
      <c r="BQ354" s="772">
        <v>238.6376985221406</v>
      </c>
      <c r="BR354" s="772">
        <v>239.97732107765557</v>
      </c>
      <c r="BS354" s="772">
        <v>241.3244637718677</v>
      </c>
      <c r="BT354" s="772">
        <v>242.67916882001569</v>
      </c>
      <c r="BU354" s="772">
        <v>244.04147867431888</v>
      </c>
      <c r="BV354" s="772">
        <v>245.41143602530721</v>
      </c>
      <c r="BW354" s="771">
        <v>208.81564804015974</v>
      </c>
      <c r="BX354" s="771">
        <v>211.66978090500905</v>
      </c>
      <c r="BY354" s="771">
        <v>214.56292461261211</v>
      </c>
      <c r="BZ354" s="772">
        <v>213.15226752173342</v>
      </c>
      <c r="CA354" s="772">
        <v>211.75088488230824</v>
      </c>
      <c r="CB354" s="772">
        <v>213.27101600380664</v>
      </c>
      <c r="CC354" s="772">
        <v>214.8020599421645</v>
      </c>
      <c r="CD354" s="772">
        <v>216.34409503902626</v>
      </c>
      <c r="CE354" s="772">
        <v>217.89720019844043</v>
      </c>
      <c r="CF354" s="772">
        <v>219.46145489089716</v>
      </c>
      <c r="CG354" s="772">
        <v>220.69342920534399</v>
      </c>
      <c r="CH354" s="772">
        <v>221.93231936162834</v>
      </c>
      <c r="CI354" s="772">
        <v>223.17816418269302</v>
      </c>
      <c r="CJ354" s="772">
        <v>224.43100270941827</v>
      </c>
      <c r="CK354" s="772">
        <v>225.69087420184505</v>
      </c>
      <c r="CL354" s="771">
        <v>1.0136681943697075</v>
      </c>
      <c r="CM354" s="771">
        <v>1.0275232082767429</v>
      </c>
      <c r="CN354" s="771">
        <v>1.0415675952068548</v>
      </c>
      <c r="CO354" s="772">
        <v>1.034719745251133</v>
      </c>
      <c r="CP354" s="772">
        <v>1.0279169169044089</v>
      </c>
      <c r="CQ354" s="772">
        <v>1.0352961941932362</v>
      </c>
      <c r="CR354" s="772">
        <v>1.0427284463211868</v>
      </c>
      <c r="CS354" s="772">
        <v>1.050214053587506</v>
      </c>
      <c r="CT354" s="772">
        <v>1.0577533990215555</v>
      </c>
      <c r="CU354" s="772">
        <v>1.0653468684024134</v>
      </c>
      <c r="CV354" s="772">
        <v>1.071327326239534</v>
      </c>
      <c r="CW354" s="772">
        <v>1.0773413561244094</v>
      </c>
      <c r="CX354" s="772">
        <v>1.0833891465179273</v>
      </c>
      <c r="CY354" s="772">
        <v>1.0894708869389236</v>
      </c>
      <c r="CZ354" s="772">
        <v>1.0955867679701214</v>
      </c>
      <c r="DA354" s="773">
        <v>0</v>
      </c>
      <c r="DB354" s="773">
        <v>0</v>
      </c>
      <c r="DC354" s="773">
        <v>0</v>
      </c>
      <c r="DD354" s="774">
        <v>0</v>
      </c>
      <c r="DE354" s="774">
        <v>0</v>
      </c>
      <c r="DF354" s="774">
        <v>0</v>
      </c>
      <c r="DG354" s="774">
        <v>0</v>
      </c>
      <c r="DH354" s="774">
        <v>0</v>
      </c>
      <c r="DI354" s="774">
        <v>0</v>
      </c>
      <c r="DJ354" s="774">
        <v>0</v>
      </c>
      <c r="DK354" s="774">
        <v>0</v>
      </c>
      <c r="DL354" s="774">
        <v>0</v>
      </c>
      <c r="DM354" s="774">
        <v>0</v>
      </c>
      <c r="DN354" s="774">
        <v>0</v>
      </c>
      <c r="DO354" s="774">
        <v>0</v>
      </c>
      <c r="DP354" s="773">
        <v>0</v>
      </c>
      <c r="DQ354" s="773">
        <v>0</v>
      </c>
      <c r="DR354" s="773">
        <v>0</v>
      </c>
      <c r="DS354" s="774">
        <v>0</v>
      </c>
      <c r="DT354" s="774">
        <v>0</v>
      </c>
      <c r="DU354" s="774">
        <v>0</v>
      </c>
      <c r="DV354" s="774">
        <v>0</v>
      </c>
      <c r="DW354" s="774">
        <v>0</v>
      </c>
      <c r="DX354" s="774">
        <v>0</v>
      </c>
      <c r="DY354" s="774">
        <v>0</v>
      </c>
      <c r="DZ354" s="774">
        <v>0</v>
      </c>
      <c r="EA354" s="774">
        <v>0</v>
      </c>
      <c r="EB354" s="774">
        <v>0</v>
      </c>
      <c r="EC354" s="774">
        <v>0</v>
      </c>
      <c r="ED354" s="774">
        <v>0</v>
      </c>
    </row>
    <row r="355" spans="1:134" ht="15" x14ac:dyDescent="0.25">
      <c r="A355" s="766">
        <v>113</v>
      </c>
      <c r="B355" s="766">
        <v>100</v>
      </c>
      <c r="C355" s="766" t="s">
        <v>4026</v>
      </c>
      <c r="D355" s="2">
        <v>99712</v>
      </c>
      <c r="E355" s="2">
        <v>99712</v>
      </c>
      <c r="F355" s="767" t="s">
        <v>3746</v>
      </c>
      <c r="G355" s="114">
        <v>168</v>
      </c>
      <c r="H355" s="114">
        <v>76</v>
      </c>
      <c r="I355" s="114">
        <v>70</v>
      </c>
      <c r="J355" s="114">
        <v>6</v>
      </c>
      <c r="K355" s="114">
        <v>0</v>
      </c>
      <c r="L355" s="114">
        <v>81</v>
      </c>
      <c r="M355" s="114">
        <v>81</v>
      </c>
      <c r="N355" s="114">
        <v>0</v>
      </c>
      <c r="O355" s="114">
        <v>0</v>
      </c>
      <c r="P355" s="114">
        <v>0</v>
      </c>
      <c r="Q355" s="114">
        <v>81</v>
      </c>
      <c r="R355" s="114">
        <v>0</v>
      </c>
      <c r="S355" s="114">
        <v>1491.679012345679</v>
      </c>
      <c r="T355" s="114">
        <v>1491.679012345679</v>
      </c>
      <c r="U355" s="114">
        <v>0</v>
      </c>
      <c r="V355" s="114">
        <v>0</v>
      </c>
      <c r="W355" s="114">
        <v>0</v>
      </c>
      <c r="X355" s="114">
        <v>1491.679012345679</v>
      </c>
      <c r="Y355" s="114">
        <v>0</v>
      </c>
      <c r="Z355" s="114">
        <v>76</v>
      </c>
      <c r="AA355" s="114">
        <v>0</v>
      </c>
      <c r="AB355" s="657">
        <v>0</v>
      </c>
      <c r="AC355" s="657">
        <v>0</v>
      </c>
      <c r="AD355" s="768">
        <v>76</v>
      </c>
      <c r="AE355" s="769">
        <v>0</v>
      </c>
      <c r="AF355" s="769">
        <v>70</v>
      </c>
      <c r="AG355" s="770">
        <v>70</v>
      </c>
      <c r="AH355" s="769">
        <v>0</v>
      </c>
      <c r="AI355" s="769">
        <v>0</v>
      </c>
      <c r="AJ355" s="769">
        <v>69.092682631076102</v>
      </c>
      <c r="AK355" s="769">
        <v>69.092682631076102</v>
      </c>
      <c r="AL355" s="769">
        <v>0</v>
      </c>
      <c r="AM355" s="769">
        <v>0</v>
      </c>
      <c r="AN355" s="769">
        <v>63.871787727153645</v>
      </c>
      <c r="AO355" s="769">
        <v>63.871787727153645</v>
      </c>
      <c r="AP355" s="769">
        <v>0</v>
      </c>
      <c r="AQ355" s="769">
        <v>0</v>
      </c>
      <c r="AR355" s="769">
        <v>0</v>
      </c>
      <c r="AS355" s="769">
        <v>62.813142015244814</v>
      </c>
      <c r="AT355" s="769">
        <v>65.878133597727427</v>
      </c>
      <c r="AU355" s="769">
        <v>69.092682631076102</v>
      </c>
      <c r="AV355" s="769">
        <v>72.464086829006433</v>
      </c>
      <c r="AW355" s="769">
        <v>76</v>
      </c>
      <c r="AX355" s="769">
        <v>58.280075249465362</v>
      </c>
      <c r="AY355" s="769">
        <v>61.011905355073061</v>
      </c>
      <c r="AZ355" s="769">
        <v>63.871787727153645</v>
      </c>
      <c r="BA355" s="769">
        <v>66.865724709306448</v>
      </c>
      <c r="BB355" s="769">
        <v>70</v>
      </c>
      <c r="BC355" s="769">
        <v>0</v>
      </c>
      <c r="BD355" s="769">
        <v>0</v>
      </c>
      <c r="BE355" s="769">
        <v>0</v>
      </c>
      <c r="BF355" s="769">
        <v>0</v>
      </c>
      <c r="BG355" s="769">
        <v>0</v>
      </c>
      <c r="BH355" s="771">
        <v>76.719666597861675</v>
      </c>
      <c r="BI355" s="771">
        <v>77.446147932724372</v>
      </c>
      <c r="BJ355" s="771">
        <v>78.179508535359062</v>
      </c>
      <c r="BK355" s="772">
        <v>77.665512567621718</v>
      </c>
      <c r="BL355" s="772">
        <v>77.154895897858978</v>
      </c>
      <c r="BM355" s="772">
        <v>77.708780517965735</v>
      </c>
      <c r="BN355" s="772">
        <v>78.266641401261225</v>
      </c>
      <c r="BO355" s="772">
        <v>78.828507092804102</v>
      </c>
      <c r="BP355" s="772">
        <v>79.394406342574086</v>
      </c>
      <c r="BQ355" s="772">
        <v>79.964368106943169</v>
      </c>
      <c r="BR355" s="772">
        <v>80.413258084582765</v>
      </c>
      <c r="BS355" s="772">
        <v>80.864667962232758</v>
      </c>
      <c r="BT355" s="772">
        <v>81.318611885666925</v>
      </c>
      <c r="BU355" s="772">
        <v>81.77510408006809</v>
      </c>
      <c r="BV355" s="772">
        <v>82.234158850473875</v>
      </c>
      <c r="BW355" s="771">
        <v>70.662850813819972</v>
      </c>
      <c r="BX355" s="771">
        <v>71.331978359088239</v>
      </c>
      <c r="BY355" s="771">
        <v>72.007442072041243</v>
      </c>
      <c r="BZ355" s="772">
        <v>71.534024733335798</v>
      </c>
      <c r="CA355" s="772">
        <v>71.063719905922753</v>
      </c>
      <c r="CB355" s="772">
        <v>71.573876792863175</v>
      </c>
      <c r="CC355" s="772">
        <v>72.087696027477449</v>
      </c>
      <c r="CD355" s="772">
        <v>72.605203901266933</v>
      </c>
      <c r="CE355" s="772">
        <v>73.12642689447614</v>
      </c>
      <c r="CF355" s="772">
        <v>73.651391677447663</v>
      </c>
      <c r="CG355" s="772">
        <v>74.064842972642012</v>
      </c>
      <c r="CH355" s="772">
        <v>74.480615228372272</v>
      </c>
      <c r="CI355" s="772">
        <v>74.898721473640592</v>
      </c>
      <c r="CJ355" s="772">
        <v>75.319174810589033</v>
      </c>
      <c r="CK355" s="772">
        <v>75.741988414910139</v>
      </c>
      <c r="CL355" s="771">
        <v>0</v>
      </c>
      <c r="CM355" s="771">
        <v>0</v>
      </c>
      <c r="CN355" s="771">
        <v>0</v>
      </c>
      <c r="CO355" s="772">
        <v>0</v>
      </c>
      <c r="CP355" s="772">
        <v>0</v>
      </c>
      <c r="CQ355" s="772">
        <v>0</v>
      </c>
      <c r="CR355" s="772">
        <v>0</v>
      </c>
      <c r="CS355" s="772">
        <v>0</v>
      </c>
      <c r="CT355" s="772">
        <v>0</v>
      </c>
      <c r="CU355" s="772">
        <v>0</v>
      </c>
      <c r="CV355" s="772">
        <v>0</v>
      </c>
      <c r="CW355" s="772">
        <v>0</v>
      </c>
      <c r="CX355" s="772">
        <v>0</v>
      </c>
      <c r="CY355" s="772">
        <v>0</v>
      </c>
      <c r="CZ355" s="772">
        <v>0</v>
      </c>
      <c r="DA355" s="773">
        <v>0</v>
      </c>
      <c r="DB355" s="773">
        <v>0</v>
      </c>
      <c r="DC355" s="773">
        <v>0</v>
      </c>
      <c r="DD355" s="774">
        <v>0</v>
      </c>
      <c r="DE355" s="774">
        <v>0</v>
      </c>
      <c r="DF355" s="774">
        <v>0</v>
      </c>
      <c r="DG355" s="774">
        <v>0</v>
      </c>
      <c r="DH355" s="774">
        <v>0</v>
      </c>
      <c r="DI355" s="774">
        <v>0</v>
      </c>
      <c r="DJ355" s="774">
        <v>0</v>
      </c>
      <c r="DK355" s="774">
        <v>0</v>
      </c>
      <c r="DL355" s="774">
        <v>0</v>
      </c>
      <c r="DM355" s="774">
        <v>0</v>
      </c>
      <c r="DN355" s="774">
        <v>0</v>
      </c>
      <c r="DO355" s="774">
        <v>0</v>
      </c>
      <c r="DP355" s="773">
        <v>0</v>
      </c>
      <c r="DQ355" s="773">
        <v>0</v>
      </c>
      <c r="DR355" s="773">
        <v>0</v>
      </c>
      <c r="DS355" s="774">
        <v>0</v>
      </c>
      <c r="DT355" s="774">
        <v>0</v>
      </c>
      <c r="DU355" s="774">
        <v>0</v>
      </c>
      <c r="DV355" s="774">
        <v>0</v>
      </c>
      <c r="DW355" s="774">
        <v>0</v>
      </c>
      <c r="DX355" s="774">
        <v>0</v>
      </c>
      <c r="DY355" s="774">
        <v>0</v>
      </c>
      <c r="DZ355" s="774">
        <v>0</v>
      </c>
      <c r="EA355" s="774">
        <v>0</v>
      </c>
      <c r="EB355" s="774">
        <v>0</v>
      </c>
      <c r="EC355" s="774">
        <v>0</v>
      </c>
      <c r="ED355" s="774">
        <v>0</v>
      </c>
    </row>
    <row r="356" spans="1:134" ht="15" x14ac:dyDescent="0.25">
      <c r="A356" s="766">
        <v>114</v>
      </c>
      <c r="B356" s="766">
        <v>100</v>
      </c>
      <c r="C356" s="766" t="s">
        <v>4027</v>
      </c>
      <c r="D356" s="2">
        <v>99712</v>
      </c>
      <c r="E356" s="2">
        <v>99712</v>
      </c>
      <c r="F356" s="767" t="s">
        <v>3746</v>
      </c>
      <c r="G356" s="114">
        <v>92</v>
      </c>
      <c r="H356" s="114">
        <v>54</v>
      </c>
      <c r="I356" s="114">
        <v>45</v>
      </c>
      <c r="J356" s="114">
        <v>9</v>
      </c>
      <c r="K356" s="114">
        <v>0</v>
      </c>
      <c r="L356" s="114">
        <v>53</v>
      </c>
      <c r="M356" s="114">
        <v>53</v>
      </c>
      <c r="N356" s="114">
        <v>0</v>
      </c>
      <c r="O356" s="114">
        <v>0</v>
      </c>
      <c r="P356" s="114">
        <v>0</v>
      </c>
      <c r="Q356" s="114">
        <v>53</v>
      </c>
      <c r="R356" s="114">
        <v>0</v>
      </c>
      <c r="S356" s="114">
        <v>2582.5094339622642</v>
      </c>
      <c r="T356" s="114">
        <v>2582.5094339622642</v>
      </c>
      <c r="U356" s="114">
        <v>0</v>
      </c>
      <c r="V356" s="114">
        <v>0</v>
      </c>
      <c r="W356" s="114">
        <v>0</v>
      </c>
      <c r="X356" s="114">
        <v>2582.5094339622642</v>
      </c>
      <c r="Y356" s="114">
        <v>0</v>
      </c>
      <c r="Z356" s="114">
        <v>54</v>
      </c>
      <c r="AA356" s="114">
        <v>0</v>
      </c>
      <c r="AB356" s="657">
        <v>0</v>
      </c>
      <c r="AC356" s="657">
        <v>0</v>
      </c>
      <c r="AD356" s="768">
        <v>54</v>
      </c>
      <c r="AE356" s="769">
        <v>0</v>
      </c>
      <c r="AF356" s="769">
        <v>45</v>
      </c>
      <c r="AG356" s="770">
        <v>45</v>
      </c>
      <c r="AH356" s="769">
        <v>0</v>
      </c>
      <c r="AI356" s="769">
        <v>0</v>
      </c>
      <c r="AJ356" s="769">
        <v>49.092169237869861</v>
      </c>
      <c r="AK356" s="769">
        <v>49.092169237869861</v>
      </c>
      <c r="AL356" s="769">
        <v>0</v>
      </c>
      <c r="AM356" s="769">
        <v>0</v>
      </c>
      <c r="AN356" s="769">
        <v>41.060434967455919</v>
      </c>
      <c r="AO356" s="769">
        <v>41.060434967455919</v>
      </c>
      <c r="AP356" s="769">
        <v>0</v>
      </c>
      <c r="AQ356" s="769">
        <v>0</v>
      </c>
      <c r="AR356" s="769">
        <v>0</v>
      </c>
      <c r="AS356" s="769">
        <v>44.630390379252894</v>
      </c>
      <c r="AT356" s="769">
        <v>46.808147556280012</v>
      </c>
      <c r="AU356" s="769">
        <v>49.092169237869861</v>
      </c>
      <c r="AV356" s="769">
        <v>51.487640641662466</v>
      </c>
      <c r="AW356" s="769">
        <v>54</v>
      </c>
      <c r="AX356" s="769">
        <v>37.465762660370586</v>
      </c>
      <c r="AY356" s="769">
        <v>39.221939156832683</v>
      </c>
      <c r="AZ356" s="769">
        <v>41.060434967455919</v>
      </c>
      <c r="BA356" s="769">
        <v>42.985108741697005</v>
      </c>
      <c r="BB356" s="769">
        <v>45</v>
      </c>
      <c r="BC356" s="769">
        <v>0</v>
      </c>
      <c r="BD356" s="769">
        <v>0</v>
      </c>
      <c r="BE356" s="769">
        <v>0</v>
      </c>
      <c r="BF356" s="769">
        <v>0</v>
      </c>
      <c r="BG356" s="769">
        <v>0</v>
      </c>
      <c r="BH356" s="771">
        <v>54.511342056375405</v>
      </c>
      <c r="BI356" s="771">
        <v>55.027526162725216</v>
      </c>
      <c r="BJ356" s="771">
        <v>55.548598169860391</v>
      </c>
      <c r="BK356" s="772">
        <v>55.183390508573325</v>
      </c>
      <c r="BL356" s="772">
        <v>54.820583927426121</v>
      </c>
      <c r="BM356" s="772">
        <v>55.214133525923025</v>
      </c>
      <c r="BN356" s="772">
        <v>55.610508364054034</v>
      </c>
      <c r="BO356" s="772">
        <v>56.009728723834499</v>
      </c>
      <c r="BP356" s="772">
        <v>56.411815032881591</v>
      </c>
      <c r="BQ356" s="772">
        <v>56.816787865459631</v>
      </c>
      <c r="BR356" s="772">
        <v>57.135736007466704</v>
      </c>
      <c r="BS356" s="772">
        <v>57.456474604744329</v>
      </c>
      <c r="BT356" s="772">
        <v>57.779013708237031</v>
      </c>
      <c r="BU356" s="772">
        <v>58.103363425311542</v>
      </c>
      <c r="BV356" s="772">
        <v>58.429533920073546</v>
      </c>
      <c r="BW356" s="771">
        <v>45.426118380312836</v>
      </c>
      <c r="BX356" s="771">
        <v>45.85627180227101</v>
      </c>
      <c r="BY356" s="771">
        <v>46.290498474883655</v>
      </c>
      <c r="BZ356" s="772">
        <v>45.986158757144437</v>
      </c>
      <c r="CA356" s="772">
        <v>45.683819939521761</v>
      </c>
      <c r="CB356" s="772">
        <v>46.011777938269184</v>
      </c>
      <c r="CC356" s="772">
        <v>46.342090303378356</v>
      </c>
      <c r="CD356" s="772">
        <v>46.674773936528744</v>
      </c>
      <c r="CE356" s="772">
        <v>47.009845860734657</v>
      </c>
      <c r="CF356" s="772">
        <v>47.347323221216357</v>
      </c>
      <c r="CG356" s="772">
        <v>47.613113339555582</v>
      </c>
      <c r="CH356" s="772">
        <v>47.880395503953608</v>
      </c>
      <c r="CI356" s="772">
        <v>48.149178090197523</v>
      </c>
      <c r="CJ356" s="772">
        <v>48.41946952109295</v>
      </c>
      <c r="CK356" s="772">
        <v>48.691278266727949</v>
      </c>
      <c r="CL356" s="771">
        <v>0</v>
      </c>
      <c r="CM356" s="771">
        <v>0</v>
      </c>
      <c r="CN356" s="771">
        <v>0</v>
      </c>
      <c r="CO356" s="772">
        <v>0</v>
      </c>
      <c r="CP356" s="772">
        <v>0</v>
      </c>
      <c r="CQ356" s="772">
        <v>0</v>
      </c>
      <c r="CR356" s="772">
        <v>0</v>
      </c>
      <c r="CS356" s="772">
        <v>0</v>
      </c>
      <c r="CT356" s="772">
        <v>0</v>
      </c>
      <c r="CU356" s="772">
        <v>0</v>
      </c>
      <c r="CV356" s="772">
        <v>0</v>
      </c>
      <c r="CW356" s="772">
        <v>0</v>
      </c>
      <c r="CX356" s="772">
        <v>0</v>
      </c>
      <c r="CY356" s="772">
        <v>0</v>
      </c>
      <c r="CZ356" s="772">
        <v>0</v>
      </c>
      <c r="DA356" s="773">
        <v>0</v>
      </c>
      <c r="DB356" s="773">
        <v>0</v>
      </c>
      <c r="DC356" s="773">
        <v>0</v>
      </c>
      <c r="DD356" s="774">
        <v>0</v>
      </c>
      <c r="DE356" s="774">
        <v>0</v>
      </c>
      <c r="DF356" s="774">
        <v>0</v>
      </c>
      <c r="DG356" s="774">
        <v>0</v>
      </c>
      <c r="DH356" s="774">
        <v>0</v>
      </c>
      <c r="DI356" s="774">
        <v>0</v>
      </c>
      <c r="DJ356" s="774">
        <v>0</v>
      </c>
      <c r="DK356" s="774">
        <v>0</v>
      </c>
      <c r="DL356" s="774">
        <v>0</v>
      </c>
      <c r="DM356" s="774">
        <v>0</v>
      </c>
      <c r="DN356" s="774">
        <v>0</v>
      </c>
      <c r="DO356" s="774">
        <v>0</v>
      </c>
      <c r="DP356" s="773">
        <v>0</v>
      </c>
      <c r="DQ356" s="773">
        <v>0</v>
      </c>
      <c r="DR356" s="773">
        <v>0</v>
      </c>
      <c r="DS356" s="774">
        <v>0</v>
      </c>
      <c r="DT356" s="774">
        <v>0</v>
      </c>
      <c r="DU356" s="774">
        <v>0</v>
      </c>
      <c r="DV356" s="774">
        <v>0</v>
      </c>
      <c r="DW356" s="774">
        <v>0</v>
      </c>
      <c r="DX356" s="774">
        <v>0</v>
      </c>
      <c r="DY356" s="774">
        <v>0</v>
      </c>
      <c r="DZ356" s="774">
        <v>0</v>
      </c>
      <c r="EA356" s="774">
        <v>0</v>
      </c>
      <c r="EB356" s="774">
        <v>0</v>
      </c>
      <c r="EC356" s="774">
        <v>0</v>
      </c>
      <c r="ED356" s="774">
        <v>0</v>
      </c>
    </row>
    <row r="357" spans="1:134" ht="15" x14ac:dyDescent="0.25">
      <c r="A357" s="766">
        <v>115</v>
      </c>
      <c r="B357" s="766">
        <v>100</v>
      </c>
      <c r="C357" s="766" t="s">
        <v>4028</v>
      </c>
      <c r="D357" s="2">
        <v>99712</v>
      </c>
      <c r="E357" s="2">
        <v>99712</v>
      </c>
      <c r="F357" s="767" t="s">
        <v>3746</v>
      </c>
      <c r="G357" s="114">
        <v>639</v>
      </c>
      <c r="H357" s="114">
        <v>257</v>
      </c>
      <c r="I357" s="114">
        <v>242</v>
      </c>
      <c r="J357" s="114">
        <v>15</v>
      </c>
      <c r="K357" s="114">
        <v>0</v>
      </c>
      <c r="L357" s="114">
        <v>90</v>
      </c>
      <c r="M357" s="114">
        <v>90</v>
      </c>
      <c r="N357" s="114">
        <v>0</v>
      </c>
      <c r="O357" s="114">
        <v>0</v>
      </c>
      <c r="P357" s="114">
        <v>0</v>
      </c>
      <c r="Q357" s="114">
        <v>90</v>
      </c>
      <c r="R357" s="114">
        <v>0</v>
      </c>
      <c r="S357" s="114">
        <v>2400.2666666666669</v>
      </c>
      <c r="T357" s="114">
        <v>2400.2666666666669</v>
      </c>
      <c r="U357" s="114">
        <v>0</v>
      </c>
      <c r="V357" s="114">
        <v>0</v>
      </c>
      <c r="W357" s="114">
        <v>0</v>
      </c>
      <c r="X357" s="114">
        <v>2400.2666666666669</v>
      </c>
      <c r="Y357" s="114">
        <v>0</v>
      </c>
      <c r="Z357" s="114">
        <v>257</v>
      </c>
      <c r="AA357" s="114">
        <v>0</v>
      </c>
      <c r="AB357" s="657">
        <v>0</v>
      </c>
      <c r="AC357" s="657">
        <v>0</v>
      </c>
      <c r="AD357" s="768">
        <v>257</v>
      </c>
      <c r="AE357" s="769">
        <v>0</v>
      </c>
      <c r="AF357" s="769">
        <v>242</v>
      </c>
      <c r="AG357" s="770">
        <v>242</v>
      </c>
      <c r="AH357" s="769">
        <v>0</v>
      </c>
      <c r="AI357" s="769">
        <v>0</v>
      </c>
      <c r="AJ357" s="769">
        <v>233.64236100245472</v>
      </c>
      <c r="AK357" s="769">
        <v>233.64236100245472</v>
      </c>
      <c r="AL357" s="769">
        <v>0</v>
      </c>
      <c r="AM357" s="769">
        <v>0</v>
      </c>
      <c r="AN357" s="769">
        <v>220.81389471387405</v>
      </c>
      <c r="AO357" s="769">
        <v>220.81389471387405</v>
      </c>
      <c r="AP357" s="769">
        <v>0</v>
      </c>
      <c r="AQ357" s="769">
        <v>0</v>
      </c>
      <c r="AR357" s="769">
        <v>0</v>
      </c>
      <c r="AS357" s="769">
        <v>212.40759865681468</v>
      </c>
      <c r="AT357" s="769">
        <v>222.77210966599932</v>
      </c>
      <c r="AU357" s="769">
        <v>233.64236100245472</v>
      </c>
      <c r="AV357" s="769">
        <v>245.04303046124545</v>
      </c>
      <c r="AW357" s="769">
        <v>257</v>
      </c>
      <c r="AX357" s="769">
        <v>201.48254586243738</v>
      </c>
      <c r="AY357" s="769">
        <v>210.92687279896685</v>
      </c>
      <c r="AZ357" s="769">
        <v>220.81389471387405</v>
      </c>
      <c r="BA357" s="769">
        <v>231.16436256645946</v>
      </c>
      <c r="BB357" s="769">
        <v>242</v>
      </c>
      <c r="BC357" s="769">
        <v>0</v>
      </c>
      <c r="BD357" s="769">
        <v>0</v>
      </c>
      <c r="BE357" s="769">
        <v>0</v>
      </c>
      <c r="BF357" s="769">
        <v>0</v>
      </c>
      <c r="BG357" s="769">
        <v>0</v>
      </c>
      <c r="BH357" s="771">
        <v>259.43360941645329</v>
      </c>
      <c r="BI357" s="771">
        <v>261.89026340408111</v>
      </c>
      <c r="BJ357" s="771">
        <v>264.37018017878</v>
      </c>
      <c r="BK357" s="772">
        <v>262.63206223524713</v>
      </c>
      <c r="BL357" s="772">
        <v>260.90537165460211</v>
      </c>
      <c r="BM357" s="772">
        <v>262.77837622522622</v>
      </c>
      <c r="BN357" s="772">
        <v>264.66482684373864</v>
      </c>
      <c r="BO357" s="772">
        <v>266.56482003750864</v>
      </c>
      <c r="BP357" s="772">
        <v>268.47845302686238</v>
      </c>
      <c r="BQ357" s="772">
        <v>270.40582373005788</v>
      </c>
      <c r="BR357" s="772">
        <v>271.92378062812855</v>
      </c>
      <c r="BS357" s="772">
        <v>273.45025876702397</v>
      </c>
      <c r="BT357" s="772">
        <v>274.98530598179474</v>
      </c>
      <c r="BU357" s="772">
        <v>276.52897037601974</v>
      </c>
      <c r="BV357" s="772">
        <v>278.08130032331297</v>
      </c>
      <c r="BW357" s="771">
        <v>244.29156995634904</v>
      </c>
      <c r="BX357" s="771">
        <v>246.60483946999076</v>
      </c>
      <c r="BY357" s="771">
        <v>248.94001402048545</v>
      </c>
      <c r="BZ357" s="772">
        <v>247.30334264953231</v>
      </c>
      <c r="CA357" s="772">
        <v>245.67743167476149</v>
      </c>
      <c r="CB357" s="772">
        <v>247.44111691246982</v>
      </c>
      <c r="CC357" s="772">
        <v>249.21746340927919</v>
      </c>
      <c r="CD357" s="772">
        <v>251.00656205866571</v>
      </c>
      <c r="CE357" s="772">
        <v>252.80850440661752</v>
      </c>
      <c r="CF357" s="772">
        <v>254.62338265631908</v>
      </c>
      <c r="CG357" s="772">
        <v>256.05274284827669</v>
      </c>
      <c r="CH357" s="772">
        <v>257.49012693237273</v>
      </c>
      <c r="CI357" s="772">
        <v>258.93557995172893</v>
      </c>
      <c r="CJ357" s="772">
        <v>260.38914720232208</v>
      </c>
      <c r="CK357" s="772">
        <v>261.85087423440365</v>
      </c>
      <c r="CL357" s="771">
        <v>0</v>
      </c>
      <c r="CM357" s="771">
        <v>0</v>
      </c>
      <c r="CN357" s="771">
        <v>0</v>
      </c>
      <c r="CO357" s="772">
        <v>0</v>
      </c>
      <c r="CP357" s="772">
        <v>0</v>
      </c>
      <c r="CQ357" s="772">
        <v>0</v>
      </c>
      <c r="CR357" s="772">
        <v>0</v>
      </c>
      <c r="CS357" s="772">
        <v>0</v>
      </c>
      <c r="CT357" s="772">
        <v>0</v>
      </c>
      <c r="CU357" s="772">
        <v>0</v>
      </c>
      <c r="CV357" s="772">
        <v>0</v>
      </c>
      <c r="CW357" s="772">
        <v>0</v>
      </c>
      <c r="CX357" s="772">
        <v>0</v>
      </c>
      <c r="CY357" s="772">
        <v>0</v>
      </c>
      <c r="CZ357" s="772">
        <v>0</v>
      </c>
      <c r="DA357" s="773">
        <v>0</v>
      </c>
      <c r="DB357" s="773">
        <v>0</v>
      </c>
      <c r="DC357" s="773">
        <v>0</v>
      </c>
      <c r="DD357" s="774">
        <v>0</v>
      </c>
      <c r="DE357" s="774">
        <v>0</v>
      </c>
      <c r="DF357" s="774">
        <v>0</v>
      </c>
      <c r="DG357" s="774">
        <v>0</v>
      </c>
      <c r="DH357" s="774">
        <v>0</v>
      </c>
      <c r="DI357" s="774">
        <v>0</v>
      </c>
      <c r="DJ357" s="774">
        <v>0</v>
      </c>
      <c r="DK357" s="774">
        <v>0</v>
      </c>
      <c r="DL357" s="774">
        <v>0</v>
      </c>
      <c r="DM357" s="774">
        <v>0</v>
      </c>
      <c r="DN357" s="774">
        <v>0</v>
      </c>
      <c r="DO357" s="774">
        <v>0</v>
      </c>
      <c r="DP357" s="773">
        <v>0</v>
      </c>
      <c r="DQ357" s="773">
        <v>0</v>
      </c>
      <c r="DR357" s="773">
        <v>0</v>
      </c>
      <c r="DS357" s="774">
        <v>0</v>
      </c>
      <c r="DT357" s="774">
        <v>0</v>
      </c>
      <c r="DU357" s="774">
        <v>0</v>
      </c>
      <c r="DV357" s="774">
        <v>0</v>
      </c>
      <c r="DW357" s="774">
        <v>0</v>
      </c>
      <c r="DX357" s="774">
        <v>0</v>
      </c>
      <c r="DY357" s="774">
        <v>0</v>
      </c>
      <c r="DZ357" s="774">
        <v>0</v>
      </c>
      <c r="EA357" s="774">
        <v>0</v>
      </c>
      <c r="EB357" s="774">
        <v>0</v>
      </c>
      <c r="EC357" s="774">
        <v>0</v>
      </c>
      <c r="ED357" s="774">
        <v>0</v>
      </c>
    </row>
    <row r="358" spans="1:134" ht="15" x14ac:dyDescent="0.25">
      <c r="A358" s="766">
        <v>116</v>
      </c>
      <c r="B358" s="766">
        <v>100</v>
      </c>
      <c r="C358" s="766" t="s">
        <v>4029</v>
      </c>
      <c r="D358" s="2">
        <v>99712</v>
      </c>
      <c r="E358" s="2">
        <v>99712</v>
      </c>
      <c r="F358" s="767" t="s">
        <v>3746</v>
      </c>
      <c r="G358" s="114">
        <v>5</v>
      </c>
      <c r="H358" s="114">
        <v>1</v>
      </c>
      <c r="I358" s="114">
        <v>1</v>
      </c>
      <c r="J358" s="114">
        <v>0</v>
      </c>
      <c r="K358" s="114">
        <v>0</v>
      </c>
      <c r="L358" s="114">
        <v>57</v>
      </c>
      <c r="M358" s="114">
        <v>57</v>
      </c>
      <c r="N358" s="114">
        <v>0</v>
      </c>
      <c r="O358" s="114">
        <v>0</v>
      </c>
      <c r="P358" s="114">
        <v>0</v>
      </c>
      <c r="Q358" s="114">
        <v>57</v>
      </c>
      <c r="R358" s="114">
        <v>0</v>
      </c>
      <c r="S358" s="114">
        <v>2782.9122807017543</v>
      </c>
      <c r="T358" s="114">
        <v>2782.9122807017543</v>
      </c>
      <c r="U358" s="114">
        <v>0</v>
      </c>
      <c r="V358" s="114">
        <v>0</v>
      </c>
      <c r="W358" s="114">
        <v>0</v>
      </c>
      <c r="X358" s="114">
        <v>2782.9122807017543</v>
      </c>
      <c r="Y358" s="114">
        <v>0</v>
      </c>
      <c r="Z358" s="114">
        <v>1</v>
      </c>
      <c r="AA358" s="114">
        <v>0</v>
      </c>
      <c r="AB358" s="657">
        <v>0</v>
      </c>
      <c r="AC358" s="657">
        <v>0</v>
      </c>
      <c r="AD358" s="768">
        <v>1</v>
      </c>
      <c r="AE358" s="769">
        <v>0</v>
      </c>
      <c r="AF358" s="769">
        <v>1</v>
      </c>
      <c r="AG358" s="770">
        <v>1</v>
      </c>
      <c r="AH358" s="769">
        <v>0</v>
      </c>
      <c r="AI358" s="769">
        <v>0</v>
      </c>
      <c r="AJ358" s="769">
        <v>0.90911424514573824</v>
      </c>
      <c r="AK358" s="769">
        <v>0.90911424514573824</v>
      </c>
      <c r="AL358" s="769">
        <v>0</v>
      </c>
      <c r="AM358" s="769">
        <v>0</v>
      </c>
      <c r="AN358" s="769">
        <v>0.91245411038790925</v>
      </c>
      <c r="AO358" s="769">
        <v>0.91245411038790925</v>
      </c>
      <c r="AP358" s="769">
        <v>0</v>
      </c>
      <c r="AQ358" s="769">
        <v>0</v>
      </c>
      <c r="AR358" s="769">
        <v>0</v>
      </c>
      <c r="AS358" s="769">
        <v>0.82648871072690544</v>
      </c>
      <c r="AT358" s="769">
        <v>0.86681754733851879</v>
      </c>
      <c r="AU358" s="769">
        <v>0.90911424514573824</v>
      </c>
      <c r="AV358" s="769">
        <v>0.95347482669745309</v>
      </c>
      <c r="AW358" s="769">
        <v>1</v>
      </c>
      <c r="AX358" s="769">
        <v>0.83257250356379087</v>
      </c>
      <c r="AY358" s="769">
        <v>0.87159864792961517</v>
      </c>
      <c r="AZ358" s="769">
        <v>0.91245411038790925</v>
      </c>
      <c r="BA358" s="769">
        <v>0.9552246387043779</v>
      </c>
      <c r="BB358" s="769">
        <v>1</v>
      </c>
      <c r="BC358" s="769">
        <v>0</v>
      </c>
      <c r="BD358" s="769">
        <v>0</v>
      </c>
      <c r="BE358" s="769">
        <v>0</v>
      </c>
      <c r="BF358" s="769">
        <v>0</v>
      </c>
      <c r="BG358" s="769">
        <v>0</v>
      </c>
      <c r="BH358" s="771">
        <v>1.0094692973402852</v>
      </c>
      <c r="BI358" s="771">
        <v>1.0190282622726892</v>
      </c>
      <c r="BJ358" s="771">
        <v>1.0286777438863035</v>
      </c>
      <c r="BK358" s="772">
        <v>1.0219146390476541</v>
      </c>
      <c r="BL358" s="772">
        <v>1.0151959986560393</v>
      </c>
      <c r="BM358" s="772">
        <v>1.0224839541837596</v>
      </c>
      <c r="BN358" s="772">
        <v>1.0298242289639636</v>
      </c>
      <c r="BO358" s="772">
        <v>1.0372171985895278</v>
      </c>
      <c r="BP358" s="772">
        <v>1.044663241349659</v>
      </c>
      <c r="BQ358" s="772">
        <v>1.0521627382492524</v>
      </c>
      <c r="BR358" s="772">
        <v>1.0580691853234574</v>
      </c>
      <c r="BS358" s="772">
        <v>1.0640087889767469</v>
      </c>
      <c r="BT358" s="772">
        <v>1.0699817353377228</v>
      </c>
      <c r="BU358" s="772">
        <v>1.0759882115798434</v>
      </c>
      <c r="BV358" s="772">
        <v>1.0820284059272878</v>
      </c>
      <c r="BW358" s="771">
        <v>1.0094692973402852</v>
      </c>
      <c r="BX358" s="771">
        <v>1.0190282622726892</v>
      </c>
      <c r="BY358" s="771">
        <v>1.0286777438863035</v>
      </c>
      <c r="BZ358" s="772">
        <v>1.0219146390476541</v>
      </c>
      <c r="CA358" s="772">
        <v>1.0151959986560393</v>
      </c>
      <c r="CB358" s="772">
        <v>1.0224839541837596</v>
      </c>
      <c r="CC358" s="772">
        <v>1.0298242289639636</v>
      </c>
      <c r="CD358" s="772">
        <v>1.0372171985895278</v>
      </c>
      <c r="CE358" s="772">
        <v>1.044663241349659</v>
      </c>
      <c r="CF358" s="772">
        <v>1.0521627382492524</v>
      </c>
      <c r="CG358" s="772">
        <v>1.0580691853234574</v>
      </c>
      <c r="CH358" s="772">
        <v>1.0640087889767469</v>
      </c>
      <c r="CI358" s="772">
        <v>1.0699817353377228</v>
      </c>
      <c r="CJ358" s="772">
        <v>1.0759882115798434</v>
      </c>
      <c r="CK358" s="772">
        <v>1.0820284059272878</v>
      </c>
      <c r="CL358" s="771">
        <v>0</v>
      </c>
      <c r="CM358" s="771">
        <v>0</v>
      </c>
      <c r="CN358" s="771">
        <v>0</v>
      </c>
      <c r="CO358" s="772">
        <v>0</v>
      </c>
      <c r="CP358" s="772">
        <v>0</v>
      </c>
      <c r="CQ358" s="772">
        <v>0</v>
      </c>
      <c r="CR358" s="772">
        <v>0</v>
      </c>
      <c r="CS358" s="772">
        <v>0</v>
      </c>
      <c r="CT358" s="772">
        <v>0</v>
      </c>
      <c r="CU358" s="772">
        <v>0</v>
      </c>
      <c r="CV358" s="772">
        <v>0</v>
      </c>
      <c r="CW358" s="772">
        <v>0</v>
      </c>
      <c r="CX358" s="772">
        <v>0</v>
      </c>
      <c r="CY358" s="772">
        <v>0</v>
      </c>
      <c r="CZ358" s="772">
        <v>0</v>
      </c>
      <c r="DA358" s="773">
        <v>0</v>
      </c>
      <c r="DB358" s="773">
        <v>0</v>
      </c>
      <c r="DC358" s="773">
        <v>0</v>
      </c>
      <c r="DD358" s="774">
        <v>0</v>
      </c>
      <c r="DE358" s="774">
        <v>0</v>
      </c>
      <c r="DF358" s="774">
        <v>0</v>
      </c>
      <c r="DG358" s="774">
        <v>0</v>
      </c>
      <c r="DH358" s="774">
        <v>0</v>
      </c>
      <c r="DI358" s="774">
        <v>0</v>
      </c>
      <c r="DJ358" s="774">
        <v>0</v>
      </c>
      <c r="DK358" s="774">
        <v>0</v>
      </c>
      <c r="DL358" s="774">
        <v>0</v>
      </c>
      <c r="DM358" s="774">
        <v>0</v>
      </c>
      <c r="DN358" s="774">
        <v>0</v>
      </c>
      <c r="DO358" s="774">
        <v>0</v>
      </c>
      <c r="DP358" s="773">
        <v>0</v>
      </c>
      <c r="DQ358" s="773">
        <v>0</v>
      </c>
      <c r="DR358" s="773">
        <v>0</v>
      </c>
      <c r="DS358" s="774">
        <v>0</v>
      </c>
      <c r="DT358" s="774">
        <v>0</v>
      </c>
      <c r="DU358" s="774">
        <v>0</v>
      </c>
      <c r="DV358" s="774">
        <v>0</v>
      </c>
      <c r="DW358" s="774">
        <v>0</v>
      </c>
      <c r="DX358" s="774">
        <v>0</v>
      </c>
      <c r="DY358" s="774">
        <v>0</v>
      </c>
      <c r="DZ358" s="774">
        <v>0</v>
      </c>
      <c r="EA358" s="774">
        <v>0</v>
      </c>
      <c r="EB358" s="774">
        <v>0</v>
      </c>
      <c r="EC358" s="774">
        <v>0</v>
      </c>
      <c r="ED358" s="774">
        <v>0</v>
      </c>
    </row>
    <row r="359" spans="1:134" ht="15" x14ac:dyDescent="0.25">
      <c r="A359" s="766">
        <v>122</v>
      </c>
      <c r="B359" s="766">
        <v>100</v>
      </c>
      <c r="C359" s="766" t="s">
        <v>4030</v>
      </c>
      <c r="D359" s="2">
        <v>99712</v>
      </c>
      <c r="E359" s="2">
        <v>99712</v>
      </c>
      <c r="F359" s="767" t="s">
        <v>3676</v>
      </c>
      <c r="G359" s="114">
        <v>510</v>
      </c>
      <c r="H359" s="114">
        <v>233</v>
      </c>
      <c r="I359" s="114">
        <v>205</v>
      </c>
      <c r="J359" s="114">
        <v>28</v>
      </c>
      <c r="K359" s="114">
        <v>0</v>
      </c>
      <c r="L359" s="114">
        <v>0</v>
      </c>
      <c r="M359" s="114">
        <v>0</v>
      </c>
      <c r="N359" s="114">
        <v>0</v>
      </c>
      <c r="O359" s="114">
        <v>0</v>
      </c>
      <c r="P359" s="114">
        <v>0</v>
      </c>
      <c r="Q359" s="114">
        <v>0</v>
      </c>
      <c r="R359" s="114">
        <v>0</v>
      </c>
      <c r="S359" s="114">
        <v>834.49503068156923</v>
      </c>
      <c r="T359" s="114">
        <v>834.49503068156923</v>
      </c>
      <c r="U359" s="114">
        <v>1408.3846153846155</v>
      </c>
      <c r="V359" s="114">
        <v>0</v>
      </c>
      <c r="W359" s="114">
        <v>0</v>
      </c>
      <c r="X359" s="114">
        <v>1365.173957061457</v>
      </c>
      <c r="Y359" s="114">
        <v>5.3385741510741509</v>
      </c>
      <c r="Z359" s="114">
        <v>227.35867117117118</v>
      </c>
      <c r="AA359" s="114">
        <v>0.30275467775467774</v>
      </c>
      <c r="AB359" s="657">
        <v>0</v>
      </c>
      <c r="AC359" s="657">
        <v>0</v>
      </c>
      <c r="AD359" s="768">
        <v>233</v>
      </c>
      <c r="AE359" s="769">
        <v>4.6970287595287594</v>
      </c>
      <c r="AF359" s="769">
        <v>200.03659909909911</v>
      </c>
      <c r="AG359" s="770">
        <v>204.73362785862787</v>
      </c>
      <c r="AH359" s="769">
        <v>0.26637214137214138</v>
      </c>
      <c r="AI359" s="769">
        <v>4.8533738095083265</v>
      </c>
      <c r="AJ359" s="769">
        <v>206.6950067191174</v>
      </c>
      <c r="AK359" s="769">
        <v>211.54838052862573</v>
      </c>
      <c r="AL359" s="769">
        <v>0.27523859033128506</v>
      </c>
      <c r="AM359" s="769">
        <v>4.2858231982422392</v>
      </c>
      <c r="AN359" s="769">
        <v>182.52421707599132</v>
      </c>
      <c r="AO359" s="769">
        <v>186.81004027423356</v>
      </c>
      <c r="AP359" s="769">
        <v>0.24305235528783967</v>
      </c>
      <c r="AQ359" s="769">
        <v>0</v>
      </c>
      <c r="AR359" s="769">
        <v>0</v>
      </c>
      <c r="AS359" s="769">
        <v>192.32164627608495</v>
      </c>
      <c r="AT359" s="769">
        <v>201.7060554626583</v>
      </c>
      <c r="AU359" s="769">
        <v>211.54838052862573</v>
      </c>
      <c r="AV359" s="769">
        <v>221.87096565660261</v>
      </c>
      <c r="AW359" s="769">
        <v>232.69724532224532</v>
      </c>
      <c r="AX359" s="769">
        <v>170.45558910995527</v>
      </c>
      <c r="AY359" s="769">
        <v>178.44555322730503</v>
      </c>
      <c r="AZ359" s="769">
        <v>186.81004027423356</v>
      </c>
      <c r="BA359" s="769">
        <v>195.56660570189436</v>
      </c>
      <c r="BB359" s="769">
        <v>204.73362785862787</v>
      </c>
      <c r="BC359" s="769">
        <v>0</v>
      </c>
      <c r="BD359" s="769">
        <v>0</v>
      </c>
      <c r="BE359" s="769">
        <v>0</v>
      </c>
      <c r="BF359" s="769">
        <v>0</v>
      </c>
      <c r="BG359" s="769">
        <v>0</v>
      </c>
      <c r="BH359" s="771">
        <v>234.85176561078194</v>
      </c>
      <c r="BI359" s="771">
        <v>237.02623438503136</v>
      </c>
      <c r="BJ359" s="771">
        <v>239.22083634600767</v>
      </c>
      <c r="BK359" s="772">
        <v>237.64806430402186</v>
      </c>
      <c r="BL359" s="772">
        <v>236.08563254816593</v>
      </c>
      <c r="BM359" s="772">
        <v>237.78045955006758</v>
      </c>
      <c r="BN359" s="772">
        <v>239.48745348705702</v>
      </c>
      <c r="BO359" s="772">
        <v>241.20670170392478</v>
      </c>
      <c r="BP359" s="772">
        <v>242.93829217249785</v>
      </c>
      <c r="BQ359" s="772">
        <v>244.68231349614115</v>
      </c>
      <c r="BR359" s="772">
        <v>246.05586825351998</v>
      </c>
      <c r="BS359" s="772">
        <v>247.43713363225336</v>
      </c>
      <c r="BT359" s="772">
        <v>248.82615291687824</v>
      </c>
      <c r="BU359" s="772">
        <v>250.22296963491479</v>
      </c>
      <c r="BV359" s="772">
        <v>251.62762755823019</v>
      </c>
      <c r="BW359" s="771">
        <v>206.62923583781244</v>
      </c>
      <c r="BX359" s="771">
        <v>208.54239505979155</v>
      </c>
      <c r="BY359" s="771">
        <v>210.47326802974925</v>
      </c>
      <c r="BZ359" s="772">
        <v>209.08949863658577</v>
      </c>
      <c r="CA359" s="772">
        <v>207.71482692006018</v>
      </c>
      <c r="CB359" s="772">
        <v>209.2059837243084</v>
      </c>
      <c r="CC359" s="772">
        <v>210.70784534268967</v>
      </c>
      <c r="CD359" s="772">
        <v>212.22048862362482</v>
      </c>
      <c r="CE359" s="772">
        <v>213.74399096721916</v>
      </c>
      <c r="CF359" s="772">
        <v>215.27843032922291</v>
      </c>
      <c r="CG359" s="772">
        <v>216.48692271232446</v>
      </c>
      <c r="CH359" s="772">
        <v>217.70219911850617</v>
      </c>
      <c r="CI359" s="772">
        <v>218.9242976307298</v>
      </c>
      <c r="CJ359" s="772">
        <v>220.1532565457405</v>
      </c>
      <c r="CK359" s="772">
        <v>221.3891143752669</v>
      </c>
      <c r="CL359" s="771">
        <v>0</v>
      </c>
      <c r="CM359" s="771">
        <v>0</v>
      </c>
      <c r="CN359" s="771">
        <v>0</v>
      </c>
      <c r="CO359" s="772">
        <v>0</v>
      </c>
      <c r="CP359" s="772">
        <v>0</v>
      </c>
      <c r="CQ359" s="772">
        <v>0</v>
      </c>
      <c r="CR359" s="772">
        <v>0</v>
      </c>
      <c r="CS359" s="772">
        <v>0</v>
      </c>
      <c r="CT359" s="772">
        <v>0</v>
      </c>
      <c r="CU359" s="772">
        <v>0</v>
      </c>
      <c r="CV359" s="772">
        <v>0</v>
      </c>
      <c r="CW359" s="772">
        <v>0</v>
      </c>
      <c r="CX359" s="772">
        <v>0</v>
      </c>
      <c r="CY359" s="772">
        <v>0</v>
      </c>
      <c r="CZ359" s="772">
        <v>0</v>
      </c>
      <c r="DA359" s="773">
        <v>0.30555785273325775</v>
      </c>
      <c r="DB359" s="773">
        <v>0.30838698202580189</v>
      </c>
      <c r="DC359" s="773">
        <v>0.31124230594068131</v>
      </c>
      <c r="DD359" s="774">
        <v>0.30919602433518323</v>
      </c>
      <c r="DE359" s="774">
        <v>0.30716319613344512</v>
      </c>
      <c r="DF359" s="774">
        <v>0.30936827940419925</v>
      </c>
      <c r="DG359" s="774">
        <v>0.31158919267116447</v>
      </c>
      <c r="DH359" s="774">
        <v>0.31382604957575433</v>
      </c>
      <c r="DI359" s="774">
        <v>0.31607896457519885</v>
      </c>
      <c r="DJ359" s="774">
        <v>0.31834805294840118</v>
      </c>
      <c r="DK359" s="774">
        <v>0.32013513954400202</v>
      </c>
      <c r="DL359" s="774">
        <v>0.32193225817363169</v>
      </c>
      <c r="DM359" s="774">
        <v>0.32373946515336749</v>
      </c>
      <c r="DN359" s="774">
        <v>0.32555681711542384</v>
      </c>
      <c r="DO359" s="774">
        <v>0.32738437100992734</v>
      </c>
      <c r="DP359" s="773">
        <v>0</v>
      </c>
      <c r="DQ359" s="773">
        <v>0</v>
      </c>
      <c r="DR359" s="773">
        <v>0</v>
      </c>
      <c r="DS359" s="774">
        <v>0</v>
      </c>
      <c r="DT359" s="774">
        <v>0</v>
      </c>
      <c r="DU359" s="774">
        <v>0</v>
      </c>
      <c r="DV359" s="774">
        <v>0</v>
      </c>
      <c r="DW359" s="774">
        <v>0</v>
      </c>
      <c r="DX359" s="774">
        <v>0</v>
      </c>
      <c r="DY359" s="774">
        <v>0</v>
      </c>
      <c r="DZ359" s="774">
        <v>0</v>
      </c>
      <c r="EA359" s="774">
        <v>0</v>
      </c>
      <c r="EB359" s="774">
        <v>0</v>
      </c>
      <c r="EC359" s="774">
        <v>0</v>
      </c>
      <c r="ED359" s="774">
        <v>0</v>
      </c>
    </row>
    <row r="360" spans="1:134" ht="15" x14ac:dyDescent="0.25">
      <c r="A360" s="766">
        <v>153</v>
      </c>
      <c r="B360" s="766">
        <v>100</v>
      </c>
      <c r="C360" s="766" t="s">
        <v>4031</v>
      </c>
      <c r="D360" s="2">
        <v>99712</v>
      </c>
      <c r="E360" s="2">
        <v>99712</v>
      </c>
      <c r="F360" s="767" t="s">
        <v>3676</v>
      </c>
      <c r="G360" s="114">
        <v>0</v>
      </c>
      <c r="H360" s="114">
        <v>1</v>
      </c>
      <c r="I360" s="114">
        <v>0</v>
      </c>
      <c r="J360" s="114">
        <v>1</v>
      </c>
      <c r="K360" s="114">
        <v>0</v>
      </c>
      <c r="L360" s="114">
        <v>0</v>
      </c>
      <c r="M360" s="114">
        <v>0</v>
      </c>
      <c r="N360" s="114">
        <v>0</v>
      </c>
      <c r="O360" s="114">
        <v>0</v>
      </c>
      <c r="P360" s="114">
        <v>0</v>
      </c>
      <c r="Q360" s="114">
        <v>0</v>
      </c>
      <c r="R360" s="114">
        <v>0</v>
      </c>
      <c r="S360" s="114">
        <v>834.49503068156923</v>
      </c>
      <c r="T360" s="114">
        <v>834.49503068156923</v>
      </c>
      <c r="U360" s="114">
        <v>1408.3846153846155</v>
      </c>
      <c r="V360" s="114">
        <v>0</v>
      </c>
      <c r="W360" s="114">
        <v>0</v>
      </c>
      <c r="X360" s="114">
        <v>1365.173957061457</v>
      </c>
      <c r="Y360" s="114">
        <v>2.2912335412335411E-2</v>
      </c>
      <c r="Z360" s="114">
        <v>0.97578828828828834</v>
      </c>
      <c r="AA360" s="114">
        <v>1.2993762993762994E-3</v>
      </c>
      <c r="AB360" s="657">
        <v>0</v>
      </c>
      <c r="AC360" s="657">
        <v>0</v>
      </c>
      <c r="AD360" s="768">
        <v>1</v>
      </c>
      <c r="AE360" s="769">
        <v>0</v>
      </c>
      <c r="AF360" s="769">
        <v>0</v>
      </c>
      <c r="AG360" s="770">
        <v>0</v>
      </c>
      <c r="AH360" s="769">
        <v>0</v>
      </c>
      <c r="AI360" s="769">
        <v>2.0829930512911272E-2</v>
      </c>
      <c r="AJ360" s="769">
        <v>0.8871030331292592</v>
      </c>
      <c r="AK360" s="769">
        <v>0.90793296364217047</v>
      </c>
      <c r="AL360" s="769">
        <v>1.1812815035677471E-3</v>
      </c>
      <c r="AM360" s="769">
        <v>0</v>
      </c>
      <c r="AN360" s="769">
        <v>0</v>
      </c>
      <c r="AO360" s="769">
        <v>0</v>
      </c>
      <c r="AP360" s="769">
        <v>0</v>
      </c>
      <c r="AQ360" s="769">
        <v>0</v>
      </c>
      <c r="AR360" s="769">
        <v>0</v>
      </c>
      <c r="AS360" s="769">
        <v>0.82541479088448488</v>
      </c>
      <c r="AT360" s="769">
        <v>0.86569122516162356</v>
      </c>
      <c r="AU360" s="769">
        <v>0.90793296364217047</v>
      </c>
      <c r="AV360" s="769">
        <v>0.95223590410559056</v>
      </c>
      <c r="AW360" s="769">
        <v>0.99870062370062374</v>
      </c>
      <c r="AX360" s="769">
        <v>0</v>
      </c>
      <c r="AY360" s="769">
        <v>0</v>
      </c>
      <c r="AZ360" s="769">
        <v>0</v>
      </c>
      <c r="BA360" s="769">
        <v>0</v>
      </c>
      <c r="BB360" s="769">
        <v>0</v>
      </c>
      <c r="BC360" s="769">
        <v>0</v>
      </c>
      <c r="BD360" s="769">
        <v>0</v>
      </c>
      <c r="BE360" s="769">
        <v>0</v>
      </c>
      <c r="BF360" s="769">
        <v>0</v>
      </c>
      <c r="BG360" s="769">
        <v>0</v>
      </c>
      <c r="BH360" s="771">
        <v>1.0113419507725885</v>
      </c>
      <c r="BI360" s="771">
        <v>1.0241432889092785</v>
      </c>
      <c r="BJ360" s="771">
        <v>1.0371066634946347</v>
      </c>
      <c r="BK360" s="772">
        <v>1.0302881422077084</v>
      </c>
      <c r="BL360" s="772">
        <v>1.0235144497066504</v>
      </c>
      <c r="BM360" s="772">
        <v>1.0308621222756087</v>
      </c>
      <c r="BN360" s="772">
        <v>1.0382625427976575</v>
      </c>
      <c r="BO360" s="772">
        <v>1.0457160899432576</v>
      </c>
      <c r="BP360" s="772">
        <v>1.0532231451012932</v>
      </c>
      <c r="BQ360" s="772">
        <v>1.0607840923985892</v>
      </c>
      <c r="BR360" s="772">
        <v>1.0667389365221667</v>
      </c>
      <c r="BS360" s="772">
        <v>1.072727208907716</v>
      </c>
      <c r="BT360" s="772">
        <v>1.0787490972089651</v>
      </c>
      <c r="BU360" s="772">
        <v>1.0848047901330593</v>
      </c>
      <c r="BV360" s="772">
        <v>1.0908944774464748</v>
      </c>
      <c r="BW360" s="771">
        <v>0</v>
      </c>
      <c r="BX360" s="771">
        <v>0</v>
      </c>
      <c r="BY360" s="771">
        <v>0</v>
      </c>
      <c r="BZ360" s="772">
        <v>0</v>
      </c>
      <c r="CA360" s="772">
        <v>0</v>
      </c>
      <c r="CB360" s="772">
        <v>0</v>
      </c>
      <c r="CC360" s="772">
        <v>0</v>
      </c>
      <c r="CD360" s="772">
        <v>0</v>
      </c>
      <c r="CE360" s="772">
        <v>0</v>
      </c>
      <c r="CF360" s="772">
        <v>0</v>
      </c>
      <c r="CG360" s="772">
        <v>0</v>
      </c>
      <c r="CH360" s="772">
        <v>0</v>
      </c>
      <c r="CI360" s="772">
        <v>0</v>
      </c>
      <c r="CJ360" s="772">
        <v>0</v>
      </c>
      <c r="CK360" s="772">
        <v>0</v>
      </c>
      <c r="CL360" s="771">
        <v>0</v>
      </c>
      <c r="CM360" s="771">
        <v>0</v>
      </c>
      <c r="CN360" s="771">
        <v>0</v>
      </c>
      <c r="CO360" s="772">
        <v>0</v>
      </c>
      <c r="CP360" s="772">
        <v>0</v>
      </c>
      <c r="CQ360" s="772">
        <v>0</v>
      </c>
      <c r="CR360" s="772">
        <v>0</v>
      </c>
      <c r="CS360" s="772">
        <v>0</v>
      </c>
      <c r="CT360" s="772">
        <v>0</v>
      </c>
      <c r="CU360" s="772">
        <v>0</v>
      </c>
      <c r="CV360" s="772">
        <v>0</v>
      </c>
      <c r="CW360" s="772">
        <v>0</v>
      </c>
      <c r="CX360" s="772">
        <v>0</v>
      </c>
      <c r="CY360" s="772">
        <v>0</v>
      </c>
      <c r="CZ360" s="772">
        <v>0</v>
      </c>
      <c r="DA360" s="773">
        <v>1.3158235112836177E-3</v>
      </c>
      <c r="DB360" s="773">
        <v>1.3324789082868574E-3</v>
      </c>
      <c r="DC360" s="773">
        <v>1.3493451255459728E-3</v>
      </c>
      <c r="DD360" s="774">
        <v>1.3404737733641796E-3</v>
      </c>
      <c r="DE360" s="774">
        <v>1.3316607464307186E-3</v>
      </c>
      <c r="DF360" s="774">
        <v>1.3412205598173415E-3</v>
      </c>
      <c r="DG360" s="774">
        <v>1.3508490018184459E-3</v>
      </c>
      <c r="DH360" s="774">
        <v>1.3605465651096247E-3</v>
      </c>
      <c r="DI360" s="774">
        <v>1.3703137459033219E-3</v>
      </c>
      <c r="DJ360" s="774">
        <v>1.3801510439742247E-3</v>
      </c>
      <c r="DK360" s="774">
        <v>1.3878986944082315E-3</v>
      </c>
      <c r="DL360" s="774">
        <v>1.3956898372465732E-3</v>
      </c>
      <c r="DM360" s="774">
        <v>1.4035247166392989E-3</v>
      </c>
      <c r="DN360" s="774">
        <v>1.4114035781070248E-3</v>
      </c>
      <c r="DO360" s="774">
        <v>1.4193266685486271E-3</v>
      </c>
      <c r="DP360" s="773">
        <v>0</v>
      </c>
      <c r="DQ360" s="773">
        <v>0</v>
      </c>
      <c r="DR360" s="773">
        <v>0</v>
      </c>
      <c r="DS360" s="774">
        <v>0</v>
      </c>
      <c r="DT360" s="774">
        <v>0</v>
      </c>
      <c r="DU360" s="774">
        <v>0</v>
      </c>
      <c r="DV360" s="774">
        <v>0</v>
      </c>
      <c r="DW360" s="774">
        <v>0</v>
      </c>
      <c r="DX360" s="774">
        <v>0</v>
      </c>
      <c r="DY360" s="774">
        <v>0</v>
      </c>
      <c r="DZ360" s="774">
        <v>0</v>
      </c>
      <c r="EA360" s="774">
        <v>0</v>
      </c>
      <c r="EB360" s="774">
        <v>0</v>
      </c>
      <c r="EC360" s="774">
        <v>0</v>
      </c>
      <c r="ED360" s="774">
        <v>0</v>
      </c>
    </row>
    <row r="361" spans="1:134" ht="15" x14ac:dyDescent="0.25">
      <c r="A361" s="766">
        <v>98</v>
      </c>
      <c r="B361" s="766">
        <v>101</v>
      </c>
      <c r="C361" s="766" t="s">
        <v>4032</v>
      </c>
      <c r="D361" s="2">
        <v>99709</v>
      </c>
      <c r="E361" s="2">
        <v>99709</v>
      </c>
      <c r="F361" s="767" t="s">
        <v>3676</v>
      </c>
      <c r="G361" s="114">
        <v>45</v>
      </c>
      <c r="H361" s="114">
        <v>17</v>
      </c>
      <c r="I361" s="114">
        <v>16</v>
      </c>
      <c r="J361" s="114">
        <v>1</v>
      </c>
      <c r="K361" s="114">
        <v>0</v>
      </c>
      <c r="L361" s="114">
        <v>36</v>
      </c>
      <c r="M361" s="114">
        <v>36</v>
      </c>
      <c r="N361" s="114">
        <v>0</v>
      </c>
      <c r="O361" s="114">
        <v>0</v>
      </c>
      <c r="P361" s="114">
        <v>0</v>
      </c>
      <c r="Q361" s="114">
        <v>36</v>
      </c>
      <c r="R361" s="114">
        <v>0</v>
      </c>
      <c r="S361" s="114">
        <v>2361.4166666666665</v>
      </c>
      <c r="T361" s="114">
        <v>2361.4166666666665</v>
      </c>
      <c r="U361" s="114">
        <v>0</v>
      </c>
      <c r="V361" s="114">
        <v>0</v>
      </c>
      <c r="W361" s="114">
        <v>0</v>
      </c>
      <c r="X361" s="114">
        <v>2361.4166666666665</v>
      </c>
      <c r="Y361" s="114">
        <v>0</v>
      </c>
      <c r="Z361" s="114">
        <v>17</v>
      </c>
      <c r="AA361" s="114">
        <v>0</v>
      </c>
      <c r="AB361" s="657">
        <v>0</v>
      </c>
      <c r="AC361" s="657">
        <v>0</v>
      </c>
      <c r="AD361" s="768">
        <v>17</v>
      </c>
      <c r="AE361" s="769">
        <v>0</v>
      </c>
      <c r="AF361" s="769">
        <v>16</v>
      </c>
      <c r="AG361" s="770">
        <v>16</v>
      </c>
      <c r="AH361" s="769">
        <v>0</v>
      </c>
      <c r="AI361" s="769">
        <v>0</v>
      </c>
      <c r="AJ361" s="769">
        <v>16.186692715131567</v>
      </c>
      <c r="AK361" s="769">
        <v>16.186692715131567</v>
      </c>
      <c r="AL361" s="769">
        <v>0</v>
      </c>
      <c r="AM361" s="769">
        <v>0</v>
      </c>
      <c r="AN361" s="769">
        <v>15.263274062367621</v>
      </c>
      <c r="AO361" s="769">
        <v>15.263274062367621</v>
      </c>
      <c r="AP361" s="769">
        <v>0</v>
      </c>
      <c r="AQ361" s="769">
        <v>0</v>
      </c>
      <c r="AR361" s="769">
        <v>0</v>
      </c>
      <c r="AS361" s="769">
        <v>15.412295356123142</v>
      </c>
      <c r="AT361" s="769">
        <v>15.794748778135553</v>
      </c>
      <c r="AU361" s="769">
        <v>16.186692715131567</v>
      </c>
      <c r="AV361" s="769">
        <v>16.588362672585763</v>
      </c>
      <c r="AW361" s="769">
        <v>17</v>
      </c>
      <c r="AX361" s="769">
        <v>14.560470943934011</v>
      </c>
      <c r="AY361" s="769">
        <v>14.907731500614217</v>
      </c>
      <c r="AZ361" s="769">
        <v>15.263274062367621</v>
      </c>
      <c r="BA361" s="769">
        <v>15.627296151218289</v>
      </c>
      <c r="BB361" s="769">
        <v>16</v>
      </c>
      <c r="BC361" s="769">
        <v>0</v>
      </c>
      <c r="BD361" s="769">
        <v>0</v>
      </c>
      <c r="BE361" s="769">
        <v>0</v>
      </c>
      <c r="BF361" s="769">
        <v>0</v>
      </c>
      <c r="BG361" s="769">
        <v>0</v>
      </c>
      <c r="BH361" s="771">
        <v>17.08708469318994</v>
      </c>
      <c r="BI361" s="771">
        <v>17.174615488955645</v>
      </c>
      <c r="BJ361" s="771">
        <v>17.26259467251511</v>
      </c>
      <c r="BK361" s="772">
        <v>17.149100686423552</v>
      </c>
      <c r="BL361" s="772">
        <v>17.036352873495602</v>
      </c>
      <c r="BM361" s="772">
        <v>17.15865455933849</v>
      </c>
      <c r="BN361" s="772">
        <v>17.281834232534134</v>
      </c>
      <c r="BO361" s="772">
        <v>17.405898196035647</v>
      </c>
      <c r="BP361" s="772">
        <v>17.530852798044194</v>
      </c>
      <c r="BQ361" s="772">
        <v>17.656704432333825</v>
      </c>
      <c r="BR361" s="772">
        <v>17.755822550133733</v>
      </c>
      <c r="BS361" s="772">
        <v>17.855497079879811</v>
      </c>
      <c r="BT361" s="772">
        <v>17.955731145060088</v>
      </c>
      <c r="BU361" s="772">
        <v>18.056527886696681</v>
      </c>
      <c r="BV361" s="772">
        <v>18.157890463444211</v>
      </c>
      <c r="BW361" s="771">
        <v>16.081962064178768</v>
      </c>
      <c r="BX361" s="771">
        <v>16.164343989605314</v>
      </c>
      <c r="BY361" s="771">
        <v>16.247147927073044</v>
      </c>
      <c r="BZ361" s="772">
        <v>16.140330057810399</v>
      </c>
      <c r="CA361" s="772">
        <v>16.03421446917233</v>
      </c>
      <c r="CB361" s="772">
        <v>16.149321938200931</v>
      </c>
      <c r="CC361" s="772">
        <v>16.265255748267418</v>
      </c>
      <c r="CD361" s="772">
        <v>16.382021831562959</v>
      </c>
      <c r="CE361" s="772">
        <v>16.499626162865123</v>
      </c>
      <c r="CF361" s="772">
        <v>16.618074759843598</v>
      </c>
      <c r="CG361" s="772">
        <v>16.711362400125864</v>
      </c>
      <c r="CH361" s="772">
        <v>16.805173722239822</v>
      </c>
      <c r="CI361" s="772">
        <v>16.899511665938906</v>
      </c>
      <c r="CJ361" s="772">
        <v>16.994379187479229</v>
      </c>
      <c r="CK361" s="772">
        <v>17.089779259712195</v>
      </c>
      <c r="CL361" s="771">
        <v>0</v>
      </c>
      <c r="CM361" s="771">
        <v>0</v>
      </c>
      <c r="CN361" s="771">
        <v>0</v>
      </c>
      <c r="CO361" s="772">
        <v>0</v>
      </c>
      <c r="CP361" s="772">
        <v>0</v>
      </c>
      <c r="CQ361" s="772">
        <v>0</v>
      </c>
      <c r="CR361" s="772">
        <v>0</v>
      </c>
      <c r="CS361" s="772">
        <v>0</v>
      </c>
      <c r="CT361" s="772">
        <v>0</v>
      </c>
      <c r="CU361" s="772">
        <v>0</v>
      </c>
      <c r="CV361" s="772">
        <v>0</v>
      </c>
      <c r="CW361" s="772">
        <v>0</v>
      </c>
      <c r="CX361" s="772">
        <v>0</v>
      </c>
      <c r="CY361" s="772">
        <v>0</v>
      </c>
      <c r="CZ361" s="772">
        <v>0</v>
      </c>
      <c r="DA361" s="773">
        <v>0</v>
      </c>
      <c r="DB361" s="773">
        <v>0</v>
      </c>
      <c r="DC361" s="773">
        <v>0</v>
      </c>
      <c r="DD361" s="774">
        <v>0</v>
      </c>
      <c r="DE361" s="774">
        <v>0</v>
      </c>
      <c r="DF361" s="774">
        <v>0</v>
      </c>
      <c r="DG361" s="774">
        <v>0</v>
      </c>
      <c r="DH361" s="774">
        <v>0</v>
      </c>
      <c r="DI361" s="774">
        <v>0</v>
      </c>
      <c r="DJ361" s="774">
        <v>0</v>
      </c>
      <c r="DK361" s="774">
        <v>0</v>
      </c>
      <c r="DL361" s="774">
        <v>0</v>
      </c>
      <c r="DM361" s="774">
        <v>0</v>
      </c>
      <c r="DN361" s="774">
        <v>0</v>
      </c>
      <c r="DO361" s="774">
        <v>0</v>
      </c>
      <c r="DP361" s="773">
        <v>0</v>
      </c>
      <c r="DQ361" s="773">
        <v>0</v>
      </c>
      <c r="DR361" s="773">
        <v>0</v>
      </c>
      <c r="DS361" s="774">
        <v>0</v>
      </c>
      <c r="DT361" s="774">
        <v>0</v>
      </c>
      <c r="DU361" s="774">
        <v>0</v>
      </c>
      <c r="DV361" s="774">
        <v>0</v>
      </c>
      <c r="DW361" s="774">
        <v>0</v>
      </c>
      <c r="DX361" s="774">
        <v>0</v>
      </c>
      <c r="DY361" s="774">
        <v>0</v>
      </c>
      <c r="DZ361" s="774">
        <v>0</v>
      </c>
      <c r="EA361" s="774">
        <v>0</v>
      </c>
      <c r="EB361" s="774">
        <v>0</v>
      </c>
      <c r="EC361" s="774">
        <v>0</v>
      </c>
      <c r="ED361" s="774">
        <v>0</v>
      </c>
    </row>
    <row r="362" spans="1:134" ht="15" x14ac:dyDescent="0.25">
      <c r="A362" s="766">
        <v>100</v>
      </c>
      <c r="B362" s="766">
        <v>101</v>
      </c>
      <c r="C362" s="766" t="s">
        <v>4033</v>
      </c>
      <c r="D362" s="2">
        <v>99709</v>
      </c>
      <c r="E362" s="2">
        <v>99709</v>
      </c>
      <c r="F362" s="767" t="s">
        <v>3746</v>
      </c>
      <c r="G362" s="114">
        <v>4</v>
      </c>
      <c r="H362" s="114">
        <v>1</v>
      </c>
      <c r="I362" s="114">
        <v>1</v>
      </c>
      <c r="J362" s="114">
        <v>0</v>
      </c>
      <c r="K362" s="114">
        <v>0</v>
      </c>
      <c r="L362" s="114">
        <v>37</v>
      </c>
      <c r="M362" s="114">
        <v>37</v>
      </c>
      <c r="N362" s="114">
        <v>0</v>
      </c>
      <c r="O362" s="114">
        <v>0</v>
      </c>
      <c r="P362" s="114">
        <v>0</v>
      </c>
      <c r="Q362" s="114">
        <v>37</v>
      </c>
      <c r="R362" s="114">
        <v>0</v>
      </c>
      <c r="S362" s="114">
        <v>2028</v>
      </c>
      <c r="T362" s="114">
        <v>2028</v>
      </c>
      <c r="U362" s="114">
        <v>0</v>
      </c>
      <c r="V362" s="114">
        <v>0</v>
      </c>
      <c r="W362" s="114">
        <v>0</v>
      </c>
      <c r="X362" s="114">
        <v>2028</v>
      </c>
      <c r="Y362" s="114">
        <v>0</v>
      </c>
      <c r="Z362" s="114">
        <v>1</v>
      </c>
      <c r="AA362" s="114">
        <v>0</v>
      </c>
      <c r="AB362" s="657">
        <v>0</v>
      </c>
      <c r="AC362" s="657">
        <v>0</v>
      </c>
      <c r="AD362" s="768">
        <v>1</v>
      </c>
      <c r="AE362" s="769">
        <v>0</v>
      </c>
      <c r="AF362" s="769">
        <v>1</v>
      </c>
      <c r="AG362" s="770">
        <v>1</v>
      </c>
      <c r="AH362" s="769">
        <v>0</v>
      </c>
      <c r="AI362" s="769">
        <v>0</v>
      </c>
      <c r="AJ362" s="769">
        <v>0.95215839500773936</v>
      </c>
      <c r="AK362" s="769">
        <v>0.95215839500773936</v>
      </c>
      <c r="AL362" s="769">
        <v>0</v>
      </c>
      <c r="AM362" s="769">
        <v>0</v>
      </c>
      <c r="AN362" s="769">
        <v>0.95395462889797633</v>
      </c>
      <c r="AO362" s="769">
        <v>0.95395462889797633</v>
      </c>
      <c r="AP362" s="769">
        <v>0</v>
      </c>
      <c r="AQ362" s="769">
        <v>0</v>
      </c>
      <c r="AR362" s="769">
        <v>0</v>
      </c>
      <c r="AS362" s="769">
        <v>0.90660560918371424</v>
      </c>
      <c r="AT362" s="769">
        <v>0.92910286930209141</v>
      </c>
      <c r="AU362" s="769">
        <v>0.95215839500773936</v>
      </c>
      <c r="AV362" s="769">
        <v>0.97578603956386833</v>
      </c>
      <c r="AW362" s="769">
        <v>1</v>
      </c>
      <c r="AX362" s="769">
        <v>0.91002943399587566</v>
      </c>
      <c r="AY362" s="769">
        <v>0.93173321878838855</v>
      </c>
      <c r="AZ362" s="769">
        <v>0.95395462889797633</v>
      </c>
      <c r="BA362" s="769">
        <v>0.97670600945114305</v>
      </c>
      <c r="BB362" s="769">
        <v>1</v>
      </c>
      <c r="BC362" s="769">
        <v>0</v>
      </c>
      <c r="BD362" s="769">
        <v>0</v>
      </c>
      <c r="BE362" s="769">
        <v>0</v>
      </c>
      <c r="BF362" s="769">
        <v>0</v>
      </c>
      <c r="BG362" s="769">
        <v>0</v>
      </c>
      <c r="BH362" s="771">
        <v>1.005122629011173</v>
      </c>
      <c r="BI362" s="771">
        <v>1.0102714993503321</v>
      </c>
      <c r="BJ362" s="771">
        <v>1.0154467454420653</v>
      </c>
      <c r="BK362" s="772">
        <v>1.0087706286131499</v>
      </c>
      <c r="BL362" s="772">
        <v>1.0021384043232706</v>
      </c>
      <c r="BM362" s="772">
        <v>1.0093326211375582</v>
      </c>
      <c r="BN362" s="772">
        <v>1.0165784842667136</v>
      </c>
      <c r="BO362" s="772">
        <v>1.0238763644726849</v>
      </c>
      <c r="BP362" s="772">
        <v>1.0312266351790702</v>
      </c>
      <c r="BQ362" s="772">
        <v>1.0386296724902249</v>
      </c>
      <c r="BR362" s="772">
        <v>1.0444601500078665</v>
      </c>
      <c r="BS362" s="772">
        <v>1.0503233576399889</v>
      </c>
      <c r="BT362" s="772">
        <v>1.0562194791211816</v>
      </c>
      <c r="BU362" s="772">
        <v>1.0621486992174518</v>
      </c>
      <c r="BV362" s="772">
        <v>1.0681112037320122</v>
      </c>
      <c r="BW362" s="771">
        <v>1.005122629011173</v>
      </c>
      <c r="BX362" s="771">
        <v>1.0102714993503321</v>
      </c>
      <c r="BY362" s="771">
        <v>1.0154467454420653</v>
      </c>
      <c r="BZ362" s="772">
        <v>1.0087706286131499</v>
      </c>
      <c r="CA362" s="772">
        <v>1.0021384043232706</v>
      </c>
      <c r="CB362" s="772">
        <v>1.0093326211375582</v>
      </c>
      <c r="CC362" s="772">
        <v>1.0165784842667136</v>
      </c>
      <c r="CD362" s="772">
        <v>1.0238763644726849</v>
      </c>
      <c r="CE362" s="772">
        <v>1.0312266351790702</v>
      </c>
      <c r="CF362" s="772">
        <v>1.0386296724902249</v>
      </c>
      <c r="CG362" s="772">
        <v>1.0444601500078665</v>
      </c>
      <c r="CH362" s="772">
        <v>1.0503233576399889</v>
      </c>
      <c r="CI362" s="772">
        <v>1.0562194791211816</v>
      </c>
      <c r="CJ362" s="772">
        <v>1.0621486992174518</v>
      </c>
      <c r="CK362" s="772">
        <v>1.0681112037320122</v>
      </c>
      <c r="CL362" s="771">
        <v>0</v>
      </c>
      <c r="CM362" s="771">
        <v>0</v>
      </c>
      <c r="CN362" s="771">
        <v>0</v>
      </c>
      <c r="CO362" s="772">
        <v>0</v>
      </c>
      <c r="CP362" s="772">
        <v>0</v>
      </c>
      <c r="CQ362" s="772">
        <v>0</v>
      </c>
      <c r="CR362" s="772">
        <v>0</v>
      </c>
      <c r="CS362" s="772">
        <v>0</v>
      </c>
      <c r="CT362" s="772">
        <v>0</v>
      </c>
      <c r="CU362" s="772">
        <v>0</v>
      </c>
      <c r="CV362" s="772">
        <v>0</v>
      </c>
      <c r="CW362" s="772">
        <v>0</v>
      </c>
      <c r="CX362" s="772">
        <v>0</v>
      </c>
      <c r="CY362" s="772">
        <v>0</v>
      </c>
      <c r="CZ362" s="772">
        <v>0</v>
      </c>
      <c r="DA362" s="773">
        <v>0</v>
      </c>
      <c r="DB362" s="773">
        <v>0</v>
      </c>
      <c r="DC362" s="773">
        <v>0</v>
      </c>
      <c r="DD362" s="774">
        <v>0</v>
      </c>
      <c r="DE362" s="774">
        <v>0</v>
      </c>
      <c r="DF362" s="774">
        <v>0</v>
      </c>
      <c r="DG362" s="774">
        <v>0</v>
      </c>
      <c r="DH362" s="774">
        <v>0</v>
      </c>
      <c r="DI362" s="774">
        <v>0</v>
      </c>
      <c r="DJ362" s="774">
        <v>0</v>
      </c>
      <c r="DK362" s="774">
        <v>0</v>
      </c>
      <c r="DL362" s="774">
        <v>0</v>
      </c>
      <c r="DM362" s="774">
        <v>0</v>
      </c>
      <c r="DN362" s="774">
        <v>0</v>
      </c>
      <c r="DO362" s="774">
        <v>0</v>
      </c>
      <c r="DP362" s="773">
        <v>0</v>
      </c>
      <c r="DQ362" s="773">
        <v>0</v>
      </c>
      <c r="DR362" s="773">
        <v>0</v>
      </c>
      <c r="DS362" s="774">
        <v>0</v>
      </c>
      <c r="DT362" s="774">
        <v>0</v>
      </c>
      <c r="DU362" s="774">
        <v>0</v>
      </c>
      <c r="DV362" s="774">
        <v>0</v>
      </c>
      <c r="DW362" s="774">
        <v>0</v>
      </c>
      <c r="DX362" s="774">
        <v>0</v>
      </c>
      <c r="DY362" s="774">
        <v>0</v>
      </c>
      <c r="DZ362" s="774">
        <v>0</v>
      </c>
      <c r="EA362" s="774">
        <v>0</v>
      </c>
      <c r="EB362" s="774">
        <v>0</v>
      </c>
      <c r="EC362" s="774">
        <v>0</v>
      </c>
      <c r="ED362" s="774">
        <v>0</v>
      </c>
    </row>
    <row r="363" spans="1:134" ht="15" x14ac:dyDescent="0.25">
      <c r="A363" s="766">
        <v>101</v>
      </c>
      <c r="B363" s="766">
        <v>101</v>
      </c>
      <c r="C363" s="766" t="s">
        <v>4034</v>
      </c>
      <c r="D363" s="2">
        <v>99709</v>
      </c>
      <c r="E363" s="2">
        <v>99709</v>
      </c>
      <c r="F363" s="767" t="s">
        <v>3746</v>
      </c>
      <c r="G363" s="114">
        <v>43</v>
      </c>
      <c r="H363" s="114">
        <v>17</v>
      </c>
      <c r="I363" s="114">
        <v>15</v>
      </c>
      <c r="J363" s="114">
        <v>2</v>
      </c>
      <c r="K363" s="114">
        <v>0</v>
      </c>
      <c r="L363" s="114">
        <v>57</v>
      </c>
      <c r="M363" s="114">
        <v>57</v>
      </c>
      <c r="N363" s="114">
        <v>0</v>
      </c>
      <c r="O363" s="114">
        <v>0</v>
      </c>
      <c r="P363" s="114">
        <v>0</v>
      </c>
      <c r="Q363" s="114">
        <v>57</v>
      </c>
      <c r="R363" s="114">
        <v>0</v>
      </c>
      <c r="S363" s="114">
        <v>2176.7368421052633</v>
      </c>
      <c r="T363" s="114">
        <v>2176.7368421052633</v>
      </c>
      <c r="U363" s="114">
        <v>0</v>
      </c>
      <c r="V363" s="114">
        <v>0</v>
      </c>
      <c r="W363" s="114">
        <v>0</v>
      </c>
      <c r="X363" s="114">
        <v>2176.7368421052633</v>
      </c>
      <c r="Y363" s="114">
        <v>0</v>
      </c>
      <c r="Z363" s="114">
        <v>17</v>
      </c>
      <c r="AA363" s="114">
        <v>0</v>
      </c>
      <c r="AB363" s="657">
        <v>0</v>
      </c>
      <c r="AC363" s="657">
        <v>0</v>
      </c>
      <c r="AD363" s="768">
        <v>17</v>
      </c>
      <c r="AE363" s="769">
        <v>0</v>
      </c>
      <c r="AF363" s="769">
        <v>15</v>
      </c>
      <c r="AG363" s="770">
        <v>15</v>
      </c>
      <c r="AH363" s="769">
        <v>0</v>
      </c>
      <c r="AI363" s="769">
        <v>0</v>
      </c>
      <c r="AJ363" s="769">
        <v>16.186692715131567</v>
      </c>
      <c r="AK363" s="769">
        <v>16.186692715131567</v>
      </c>
      <c r="AL363" s="769">
        <v>0</v>
      </c>
      <c r="AM363" s="769">
        <v>0</v>
      </c>
      <c r="AN363" s="769">
        <v>14.309319433469645</v>
      </c>
      <c r="AO363" s="769">
        <v>14.309319433469645</v>
      </c>
      <c r="AP363" s="769">
        <v>0</v>
      </c>
      <c r="AQ363" s="769">
        <v>0</v>
      </c>
      <c r="AR363" s="769">
        <v>0</v>
      </c>
      <c r="AS363" s="769">
        <v>15.412295356123142</v>
      </c>
      <c r="AT363" s="769">
        <v>15.794748778135553</v>
      </c>
      <c r="AU363" s="769">
        <v>16.186692715131567</v>
      </c>
      <c r="AV363" s="769">
        <v>16.588362672585763</v>
      </c>
      <c r="AW363" s="769">
        <v>17</v>
      </c>
      <c r="AX363" s="769">
        <v>13.650441509938135</v>
      </c>
      <c r="AY363" s="769">
        <v>13.975998281825829</v>
      </c>
      <c r="AZ363" s="769">
        <v>14.309319433469645</v>
      </c>
      <c r="BA363" s="769">
        <v>14.650590141767145</v>
      </c>
      <c r="BB363" s="769">
        <v>15</v>
      </c>
      <c r="BC363" s="769">
        <v>0</v>
      </c>
      <c r="BD363" s="769">
        <v>0</v>
      </c>
      <c r="BE363" s="769">
        <v>0</v>
      </c>
      <c r="BF363" s="769">
        <v>0</v>
      </c>
      <c r="BG363" s="769">
        <v>0</v>
      </c>
      <c r="BH363" s="771">
        <v>17.08708469318994</v>
      </c>
      <c r="BI363" s="771">
        <v>17.174615488955645</v>
      </c>
      <c r="BJ363" s="771">
        <v>17.26259467251511</v>
      </c>
      <c r="BK363" s="772">
        <v>17.149100686423552</v>
      </c>
      <c r="BL363" s="772">
        <v>17.036352873495602</v>
      </c>
      <c r="BM363" s="772">
        <v>17.15865455933849</v>
      </c>
      <c r="BN363" s="772">
        <v>17.281834232534134</v>
      </c>
      <c r="BO363" s="772">
        <v>17.405898196035647</v>
      </c>
      <c r="BP363" s="772">
        <v>17.530852798044194</v>
      </c>
      <c r="BQ363" s="772">
        <v>17.656704432333825</v>
      </c>
      <c r="BR363" s="772">
        <v>17.755822550133733</v>
      </c>
      <c r="BS363" s="772">
        <v>17.855497079879811</v>
      </c>
      <c r="BT363" s="772">
        <v>17.955731145060088</v>
      </c>
      <c r="BU363" s="772">
        <v>18.056527886696681</v>
      </c>
      <c r="BV363" s="772">
        <v>18.157890463444211</v>
      </c>
      <c r="BW363" s="771">
        <v>15.076839435167596</v>
      </c>
      <c r="BX363" s="771">
        <v>15.154072490254983</v>
      </c>
      <c r="BY363" s="771">
        <v>15.231701181630978</v>
      </c>
      <c r="BZ363" s="772">
        <v>15.13155942919725</v>
      </c>
      <c r="CA363" s="772">
        <v>15.032076064849059</v>
      </c>
      <c r="CB363" s="772">
        <v>15.139989317063373</v>
      </c>
      <c r="CC363" s="772">
        <v>15.248677264000703</v>
      </c>
      <c r="CD363" s="772">
        <v>15.358145467090274</v>
      </c>
      <c r="CE363" s="772">
        <v>15.468399527686051</v>
      </c>
      <c r="CF363" s="772">
        <v>15.579445087353374</v>
      </c>
      <c r="CG363" s="772">
        <v>15.666902250117996</v>
      </c>
      <c r="CH363" s="772">
        <v>15.754850364599832</v>
      </c>
      <c r="CI363" s="772">
        <v>15.843292186817724</v>
      </c>
      <c r="CJ363" s="772">
        <v>15.932230488261775</v>
      </c>
      <c r="CK363" s="772">
        <v>16.021668055980182</v>
      </c>
      <c r="CL363" s="771">
        <v>0</v>
      </c>
      <c r="CM363" s="771">
        <v>0</v>
      </c>
      <c r="CN363" s="771">
        <v>0</v>
      </c>
      <c r="CO363" s="772">
        <v>0</v>
      </c>
      <c r="CP363" s="772">
        <v>0</v>
      </c>
      <c r="CQ363" s="772">
        <v>0</v>
      </c>
      <c r="CR363" s="772">
        <v>0</v>
      </c>
      <c r="CS363" s="772">
        <v>0</v>
      </c>
      <c r="CT363" s="772">
        <v>0</v>
      </c>
      <c r="CU363" s="772">
        <v>0</v>
      </c>
      <c r="CV363" s="772">
        <v>0</v>
      </c>
      <c r="CW363" s="772">
        <v>0</v>
      </c>
      <c r="CX363" s="772">
        <v>0</v>
      </c>
      <c r="CY363" s="772">
        <v>0</v>
      </c>
      <c r="CZ363" s="772">
        <v>0</v>
      </c>
      <c r="DA363" s="773">
        <v>0</v>
      </c>
      <c r="DB363" s="773">
        <v>0</v>
      </c>
      <c r="DC363" s="773">
        <v>0</v>
      </c>
      <c r="DD363" s="774">
        <v>0</v>
      </c>
      <c r="DE363" s="774">
        <v>0</v>
      </c>
      <c r="DF363" s="774">
        <v>0</v>
      </c>
      <c r="DG363" s="774">
        <v>0</v>
      </c>
      <c r="DH363" s="774">
        <v>0</v>
      </c>
      <c r="DI363" s="774">
        <v>0</v>
      </c>
      <c r="DJ363" s="774">
        <v>0</v>
      </c>
      <c r="DK363" s="774">
        <v>0</v>
      </c>
      <c r="DL363" s="774">
        <v>0</v>
      </c>
      <c r="DM363" s="774">
        <v>0</v>
      </c>
      <c r="DN363" s="774">
        <v>0</v>
      </c>
      <c r="DO363" s="774">
        <v>0</v>
      </c>
      <c r="DP363" s="773">
        <v>0</v>
      </c>
      <c r="DQ363" s="773">
        <v>0</v>
      </c>
      <c r="DR363" s="773">
        <v>0</v>
      </c>
      <c r="DS363" s="774">
        <v>0</v>
      </c>
      <c r="DT363" s="774">
        <v>0</v>
      </c>
      <c r="DU363" s="774">
        <v>0</v>
      </c>
      <c r="DV363" s="774">
        <v>0</v>
      </c>
      <c r="DW363" s="774">
        <v>0</v>
      </c>
      <c r="DX363" s="774">
        <v>0</v>
      </c>
      <c r="DY363" s="774">
        <v>0</v>
      </c>
      <c r="DZ363" s="774">
        <v>0</v>
      </c>
      <c r="EA363" s="774">
        <v>0</v>
      </c>
      <c r="EB363" s="774">
        <v>0</v>
      </c>
      <c r="EC363" s="774">
        <v>0</v>
      </c>
      <c r="ED363" s="774">
        <v>0</v>
      </c>
    </row>
    <row r="364" spans="1:134" ht="15" x14ac:dyDescent="0.25">
      <c r="A364" s="766">
        <v>104</v>
      </c>
      <c r="B364" s="766">
        <v>101</v>
      </c>
      <c r="C364" s="766" t="s">
        <v>4035</v>
      </c>
      <c r="D364" s="2">
        <v>99709</v>
      </c>
      <c r="E364" s="2">
        <v>99709</v>
      </c>
      <c r="F364" s="767" t="s">
        <v>3746</v>
      </c>
      <c r="G364" s="114">
        <v>74</v>
      </c>
      <c r="H364" s="114">
        <v>33</v>
      </c>
      <c r="I364" s="114">
        <v>31</v>
      </c>
      <c r="J364" s="114">
        <v>2</v>
      </c>
      <c r="K364" s="114">
        <v>1</v>
      </c>
      <c r="L364" s="114">
        <v>110</v>
      </c>
      <c r="M364" s="114">
        <v>111</v>
      </c>
      <c r="N364" s="114">
        <v>3</v>
      </c>
      <c r="O364" s="114">
        <v>0</v>
      </c>
      <c r="P364" s="114">
        <v>0</v>
      </c>
      <c r="Q364" s="114">
        <v>114</v>
      </c>
      <c r="R364" s="114">
        <v>3452</v>
      </c>
      <c r="S364" s="114">
        <v>2332.909090909091</v>
      </c>
      <c r="T364" s="114">
        <v>2342.9909909909911</v>
      </c>
      <c r="U364" s="114">
        <v>5083.333333333333</v>
      </c>
      <c r="V364" s="114">
        <v>0</v>
      </c>
      <c r="W364" s="114">
        <v>0</v>
      </c>
      <c r="X364" s="114">
        <v>2415.1052631578946</v>
      </c>
      <c r="Y364" s="114">
        <v>0.29729729729729731</v>
      </c>
      <c r="Z364" s="114">
        <v>32.702702702702702</v>
      </c>
      <c r="AA364" s="114">
        <v>0</v>
      </c>
      <c r="AB364" s="657">
        <v>3</v>
      </c>
      <c r="AC364" s="657">
        <v>0</v>
      </c>
      <c r="AD364" s="768">
        <v>36</v>
      </c>
      <c r="AE364" s="769">
        <v>0.27927927927927931</v>
      </c>
      <c r="AF364" s="769">
        <v>30.72072072072072</v>
      </c>
      <c r="AG364" s="770">
        <v>31</v>
      </c>
      <c r="AH364" s="769">
        <v>0</v>
      </c>
      <c r="AI364" s="769">
        <v>0.28307411743473332</v>
      </c>
      <c r="AJ364" s="769">
        <v>31.138152917820666</v>
      </c>
      <c r="AK364" s="769">
        <v>31.421227035255399</v>
      </c>
      <c r="AL364" s="769">
        <v>0</v>
      </c>
      <c r="AM364" s="769">
        <v>0.26641976122375921</v>
      </c>
      <c r="AN364" s="769">
        <v>29.306173734613505</v>
      </c>
      <c r="AO364" s="769">
        <v>29.572593495837264</v>
      </c>
      <c r="AP364" s="769">
        <v>0</v>
      </c>
      <c r="AQ364" s="769">
        <v>2.8789972155037225</v>
      </c>
      <c r="AR364" s="769">
        <v>0</v>
      </c>
      <c r="AS364" s="769">
        <v>29.91798510306257</v>
      </c>
      <c r="AT364" s="769">
        <v>30.660394686969013</v>
      </c>
      <c r="AU364" s="769">
        <v>31.421227035255399</v>
      </c>
      <c r="AV364" s="769">
        <v>32.200939305607655</v>
      </c>
      <c r="AW364" s="769">
        <v>33</v>
      </c>
      <c r="AX364" s="769">
        <v>28.210912453872144</v>
      </c>
      <c r="AY364" s="769">
        <v>28.883729782440046</v>
      </c>
      <c r="AZ364" s="769">
        <v>29.572593495837264</v>
      </c>
      <c r="BA364" s="769">
        <v>30.277886292985432</v>
      </c>
      <c r="BB364" s="769">
        <v>31</v>
      </c>
      <c r="BC364" s="769">
        <v>2.7628749889593962</v>
      </c>
      <c r="BD364" s="769">
        <v>2.8203385257800138</v>
      </c>
      <c r="BE364" s="769">
        <v>2.8789972155037225</v>
      </c>
      <c r="BF364" s="769">
        <v>2.9388759154668591</v>
      </c>
      <c r="BG364" s="769">
        <v>3</v>
      </c>
      <c r="BH364" s="771">
        <v>33.169046757368712</v>
      </c>
      <c r="BI364" s="771">
        <v>33.338959478560959</v>
      </c>
      <c r="BJ364" s="771">
        <v>33.509742599588151</v>
      </c>
      <c r="BK364" s="772">
        <v>33.289430744233947</v>
      </c>
      <c r="BL364" s="772">
        <v>33.070567342667928</v>
      </c>
      <c r="BM364" s="772">
        <v>33.307976497539414</v>
      </c>
      <c r="BN364" s="772">
        <v>33.547089980801545</v>
      </c>
      <c r="BO364" s="772">
        <v>33.787920027598602</v>
      </c>
      <c r="BP364" s="772">
        <v>34.030478960909313</v>
      </c>
      <c r="BQ364" s="772">
        <v>34.274779192177419</v>
      </c>
      <c r="BR364" s="772">
        <v>34.467184950259593</v>
      </c>
      <c r="BS364" s="772">
        <v>34.660670802119625</v>
      </c>
      <c r="BT364" s="772">
        <v>34.855242810998995</v>
      </c>
      <c r="BU364" s="772">
        <v>35.050907074175903</v>
      </c>
      <c r="BV364" s="772">
        <v>35.247669723156406</v>
      </c>
      <c r="BW364" s="771">
        <v>31.158801499346364</v>
      </c>
      <c r="BX364" s="771">
        <v>31.318416479860296</v>
      </c>
      <c r="BY364" s="771">
        <v>31.478849108704022</v>
      </c>
      <c r="BZ364" s="772">
        <v>31.271889487007648</v>
      </c>
      <c r="CA364" s="772">
        <v>31.066290534021391</v>
      </c>
      <c r="CB364" s="772">
        <v>31.289311255264302</v>
      </c>
      <c r="CC364" s="772">
        <v>31.513933012268122</v>
      </c>
      <c r="CD364" s="772">
        <v>31.740167298653233</v>
      </c>
      <c r="CE364" s="772">
        <v>31.968025690551176</v>
      </c>
      <c r="CF364" s="772">
        <v>32.197519847196972</v>
      </c>
      <c r="CG364" s="772">
        <v>32.378264650243857</v>
      </c>
      <c r="CH364" s="772">
        <v>32.560024086839654</v>
      </c>
      <c r="CI364" s="772">
        <v>32.74280385275663</v>
      </c>
      <c r="CJ364" s="772">
        <v>32.926609675741005</v>
      </c>
      <c r="CK364" s="772">
        <v>33.111447315692381</v>
      </c>
      <c r="CL364" s="771">
        <v>3.015367887033519</v>
      </c>
      <c r="CM364" s="771">
        <v>3.0308144980509963</v>
      </c>
      <c r="CN364" s="771">
        <v>3.0463402363261958</v>
      </c>
      <c r="CO364" s="772">
        <v>3.02631188583945</v>
      </c>
      <c r="CP364" s="772">
        <v>3.0064152129698121</v>
      </c>
      <c r="CQ364" s="772">
        <v>3.0279978634126747</v>
      </c>
      <c r="CR364" s="772">
        <v>3.049735452800141</v>
      </c>
      <c r="CS364" s="772">
        <v>3.0716290934180548</v>
      </c>
      <c r="CT364" s="772">
        <v>3.0936799055372104</v>
      </c>
      <c r="CU364" s="772">
        <v>3.1158890174706748</v>
      </c>
      <c r="CV364" s="772">
        <v>3.1333804500235996</v>
      </c>
      <c r="CW364" s="772">
        <v>3.1509700729199666</v>
      </c>
      <c r="CX364" s="772">
        <v>3.1686584373635451</v>
      </c>
      <c r="CY364" s="772">
        <v>3.1864460976523552</v>
      </c>
      <c r="CZ364" s="772">
        <v>3.204333611196037</v>
      </c>
      <c r="DA364" s="773">
        <v>0</v>
      </c>
      <c r="DB364" s="773">
        <v>0</v>
      </c>
      <c r="DC364" s="773">
        <v>0</v>
      </c>
      <c r="DD364" s="774">
        <v>0</v>
      </c>
      <c r="DE364" s="774">
        <v>0</v>
      </c>
      <c r="DF364" s="774">
        <v>0</v>
      </c>
      <c r="DG364" s="774">
        <v>0</v>
      </c>
      <c r="DH364" s="774">
        <v>0</v>
      </c>
      <c r="DI364" s="774">
        <v>0</v>
      </c>
      <c r="DJ364" s="774">
        <v>0</v>
      </c>
      <c r="DK364" s="774">
        <v>0</v>
      </c>
      <c r="DL364" s="774">
        <v>0</v>
      </c>
      <c r="DM364" s="774">
        <v>0</v>
      </c>
      <c r="DN364" s="774">
        <v>0</v>
      </c>
      <c r="DO364" s="774">
        <v>0</v>
      </c>
      <c r="DP364" s="773">
        <v>0</v>
      </c>
      <c r="DQ364" s="773">
        <v>0</v>
      </c>
      <c r="DR364" s="773">
        <v>0</v>
      </c>
      <c r="DS364" s="774">
        <v>0</v>
      </c>
      <c r="DT364" s="774">
        <v>0</v>
      </c>
      <c r="DU364" s="774">
        <v>0</v>
      </c>
      <c r="DV364" s="774">
        <v>0</v>
      </c>
      <c r="DW364" s="774">
        <v>0</v>
      </c>
      <c r="DX364" s="774">
        <v>0</v>
      </c>
      <c r="DY364" s="774">
        <v>0</v>
      </c>
      <c r="DZ364" s="774">
        <v>0</v>
      </c>
      <c r="EA364" s="774">
        <v>0</v>
      </c>
      <c r="EB364" s="774">
        <v>0</v>
      </c>
      <c r="EC364" s="774">
        <v>0</v>
      </c>
      <c r="ED364" s="774">
        <v>0</v>
      </c>
    </row>
    <row r="365" spans="1:134" ht="15" x14ac:dyDescent="0.25">
      <c r="A365" s="766">
        <v>106</v>
      </c>
      <c r="B365" s="766">
        <v>101</v>
      </c>
      <c r="C365" s="766" t="s">
        <v>4036</v>
      </c>
      <c r="D365" s="2">
        <v>99709</v>
      </c>
      <c r="E365" s="2">
        <v>99709</v>
      </c>
      <c r="F365" s="767" t="s">
        <v>3746</v>
      </c>
      <c r="G365" s="114">
        <v>274</v>
      </c>
      <c r="H365" s="114">
        <v>157</v>
      </c>
      <c r="I365" s="114">
        <v>134</v>
      </c>
      <c r="J365" s="114">
        <v>23</v>
      </c>
      <c r="K365" s="114">
        <v>0</v>
      </c>
      <c r="L365" s="114">
        <v>1</v>
      </c>
      <c r="M365" s="114">
        <v>1</v>
      </c>
      <c r="N365" s="114">
        <v>0</v>
      </c>
      <c r="O365" s="114">
        <v>0</v>
      </c>
      <c r="P365" s="114">
        <v>0</v>
      </c>
      <c r="Q365" s="114">
        <v>1</v>
      </c>
      <c r="R365" s="114">
        <v>0</v>
      </c>
      <c r="S365" s="114">
        <v>3292</v>
      </c>
      <c r="T365" s="114">
        <v>3292</v>
      </c>
      <c r="U365" s="114">
        <v>0</v>
      </c>
      <c r="V365" s="114">
        <v>0</v>
      </c>
      <c r="W365" s="114">
        <v>0</v>
      </c>
      <c r="X365" s="114">
        <v>3292</v>
      </c>
      <c r="Y365" s="114">
        <v>0</v>
      </c>
      <c r="Z365" s="114">
        <v>157</v>
      </c>
      <c r="AA365" s="114">
        <v>0</v>
      </c>
      <c r="AB365" s="657">
        <v>0</v>
      </c>
      <c r="AC365" s="657">
        <v>0</v>
      </c>
      <c r="AD365" s="768">
        <v>157</v>
      </c>
      <c r="AE365" s="769">
        <v>0</v>
      </c>
      <c r="AF365" s="769">
        <v>134</v>
      </c>
      <c r="AG365" s="770">
        <v>134</v>
      </c>
      <c r="AH365" s="769">
        <v>0</v>
      </c>
      <c r="AI365" s="769">
        <v>0</v>
      </c>
      <c r="AJ365" s="769">
        <v>149.48886801621506</v>
      </c>
      <c r="AK365" s="769">
        <v>149.48886801621506</v>
      </c>
      <c r="AL365" s="769">
        <v>0</v>
      </c>
      <c r="AM365" s="769">
        <v>0</v>
      </c>
      <c r="AN365" s="769">
        <v>127.82992027232882</v>
      </c>
      <c r="AO365" s="769">
        <v>127.82992027232882</v>
      </c>
      <c r="AP365" s="769">
        <v>0</v>
      </c>
      <c r="AQ365" s="769">
        <v>0</v>
      </c>
      <c r="AR365" s="769">
        <v>0</v>
      </c>
      <c r="AS365" s="769">
        <v>142.33708064184313</v>
      </c>
      <c r="AT365" s="769">
        <v>145.86915048042835</v>
      </c>
      <c r="AU365" s="769">
        <v>149.48886801621506</v>
      </c>
      <c r="AV365" s="769">
        <v>153.19840821152732</v>
      </c>
      <c r="AW365" s="769">
        <v>157</v>
      </c>
      <c r="AX365" s="769">
        <v>121.94394415544734</v>
      </c>
      <c r="AY365" s="769">
        <v>124.85225131764406</v>
      </c>
      <c r="AZ365" s="769">
        <v>127.82992027232882</v>
      </c>
      <c r="BA365" s="769">
        <v>130.87860526645315</v>
      </c>
      <c r="BB365" s="769">
        <v>134</v>
      </c>
      <c r="BC365" s="769">
        <v>0</v>
      </c>
      <c r="BD365" s="769">
        <v>0</v>
      </c>
      <c r="BE365" s="769">
        <v>0</v>
      </c>
      <c r="BF365" s="769">
        <v>0</v>
      </c>
      <c r="BG365" s="769">
        <v>0</v>
      </c>
      <c r="BH365" s="771">
        <v>157.80425275475417</v>
      </c>
      <c r="BI365" s="771">
        <v>158.61262539800214</v>
      </c>
      <c r="BJ365" s="771">
        <v>159.42513903440425</v>
      </c>
      <c r="BK365" s="772">
        <v>158.37698869226455</v>
      </c>
      <c r="BL365" s="772">
        <v>157.33572947875351</v>
      </c>
      <c r="BM365" s="772">
        <v>158.46522151859665</v>
      </c>
      <c r="BN365" s="772">
        <v>159.60282202987403</v>
      </c>
      <c r="BO365" s="772">
        <v>160.74858922221156</v>
      </c>
      <c r="BP365" s="772">
        <v>161.90258172311403</v>
      </c>
      <c r="BQ365" s="772">
        <v>163.06485858096534</v>
      </c>
      <c r="BR365" s="772">
        <v>163.98024355123505</v>
      </c>
      <c r="BS365" s="772">
        <v>164.90076714947824</v>
      </c>
      <c r="BT365" s="772">
        <v>165.82645822202554</v>
      </c>
      <c r="BU365" s="772">
        <v>166.75734577713993</v>
      </c>
      <c r="BV365" s="772">
        <v>167.69345898592593</v>
      </c>
      <c r="BW365" s="771">
        <v>134.68643228749718</v>
      </c>
      <c r="BX365" s="771">
        <v>135.37638091294451</v>
      </c>
      <c r="BY365" s="771">
        <v>136.06986388923676</v>
      </c>
      <c r="BZ365" s="772">
        <v>135.17526423416211</v>
      </c>
      <c r="CA365" s="772">
        <v>134.28654617931829</v>
      </c>
      <c r="CB365" s="772">
        <v>135.2505712324328</v>
      </c>
      <c r="CC365" s="772">
        <v>136.22151689173964</v>
      </c>
      <c r="CD365" s="772">
        <v>137.19943283933981</v>
      </c>
      <c r="CE365" s="772">
        <v>138.18436911399542</v>
      </c>
      <c r="CF365" s="772">
        <v>139.17637611369017</v>
      </c>
      <c r="CG365" s="772">
        <v>139.95766010105413</v>
      </c>
      <c r="CH365" s="772">
        <v>140.74332992375852</v>
      </c>
      <c r="CI365" s="772">
        <v>141.53341020223837</v>
      </c>
      <c r="CJ365" s="772">
        <v>142.32792569513853</v>
      </c>
      <c r="CK365" s="772">
        <v>143.12690130008966</v>
      </c>
      <c r="CL365" s="771">
        <v>0</v>
      </c>
      <c r="CM365" s="771">
        <v>0</v>
      </c>
      <c r="CN365" s="771">
        <v>0</v>
      </c>
      <c r="CO365" s="772">
        <v>0</v>
      </c>
      <c r="CP365" s="772">
        <v>0</v>
      </c>
      <c r="CQ365" s="772">
        <v>0</v>
      </c>
      <c r="CR365" s="772">
        <v>0</v>
      </c>
      <c r="CS365" s="772">
        <v>0</v>
      </c>
      <c r="CT365" s="772">
        <v>0</v>
      </c>
      <c r="CU365" s="772">
        <v>0</v>
      </c>
      <c r="CV365" s="772">
        <v>0</v>
      </c>
      <c r="CW365" s="772">
        <v>0</v>
      </c>
      <c r="CX365" s="772">
        <v>0</v>
      </c>
      <c r="CY365" s="772">
        <v>0</v>
      </c>
      <c r="CZ365" s="772">
        <v>0</v>
      </c>
      <c r="DA365" s="773">
        <v>0</v>
      </c>
      <c r="DB365" s="773">
        <v>0</v>
      </c>
      <c r="DC365" s="773">
        <v>0</v>
      </c>
      <c r="DD365" s="774">
        <v>0</v>
      </c>
      <c r="DE365" s="774">
        <v>0</v>
      </c>
      <c r="DF365" s="774">
        <v>0</v>
      </c>
      <c r="DG365" s="774">
        <v>0</v>
      </c>
      <c r="DH365" s="774">
        <v>0</v>
      </c>
      <c r="DI365" s="774">
        <v>0</v>
      </c>
      <c r="DJ365" s="774">
        <v>0</v>
      </c>
      <c r="DK365" s="774">
        <v>0</v>
      </c>
      <c r="DL365" s="774">
        <v>0</v>
      </c>
      <c r="DM365" s="774">
        <v>0</v>
      </c>
      <c r="DN365" s="774">
        <v>0</v>
      </c>
      <c r="DO365" s="774">
        <v>0</v>
      </c>
      <c r="DP365" s="773">
        <v>0</v>
      </c>
      <c r="DQ365" s="773">
        <v>0</v>
      </c>
      <c r="DR365" s="773">
        <v>0</v>
      </c>
      <c r="DS365" s="774">
        <v>0</v>
      </c>
      <c r="DT365" s="774">
        <v>0</v>
      </c>
      <c r="DU365" s="774">
        <v>0</v>
      </c>
      <c r="DV365" s="774">
        <v>0</v>
      </c>
      <c r="DW365" s="774">
        <v>0</v>
      </c>
      <c r="DX365" s="774">
        <v>0</v>
      </c>
      <c r="DY365" s="774">
        <v>0</v>
      </c>
      <c r="DZ365" s="774">
        <v>0</v>
      </c>
      <c r="EA365" s="774">
        <v>0</v>
      </c>
      <c r="EB365" s="774">
        <v>0</v>
      </c>
      <c r="EC365" s="774">
        <v>0</v>
      </c>
      <c r="ED365" s="774">
        <v>0</v>
      </c>
    </row>
    <row r="366" spans="1:134" ht="15" x14ac:dyDescent="0.25">
      <c r="A366" s="766">
        <v>109</v>
      </c>
      <c r="B366" s="766">
        <v>101</v>
      </c>
      <c r="C366" s="766" t="s">
        <v>4037</v>
      </c>
      <c r="D366" s="2">
        <v>99712</v>
      </c>
      <c r="E366" s="2">
        <v>99712</v>
      </c>
      <c r="F366" s="767" t="s">
        <v>3746</v>
      </c>
      <c r="G366" s="114">
        <v>430</v>
      </c>
      <c r="H366" s="114">
        <v>186</v>
      </c>
      <c r="I366" s="114">
        <v>173</v>
      </c>
      <c r="J366" s="114">
        <v>13</v>
      </c>
      <c r="K366" s="114">
        <v>0</v>
      </c>
      <c r="L366" s="114">
        <v>30</v>
      </c>
      <c r="M366" s="114">
        <v>30</v>
      </c>
      <c r="N366" s="114">
        <v>2</v>
      </c>
      <c r="O366" s="114">
        <v>0</v>
      </c>
      <c r="P366" s="114">
        <v>0</v>
      </c>
      <c r="Q366" s="114">
        <v>32</v>
      </c>
      <c r="R366" s="114">
        <v>0</v>
      </c>
      <c r="S366" s="114">
        <v>1849.4</v>
      </c>
      <c r="T366" s="114">
        <v>1849.4</v>
      </c>
      <c r="U366" s="114">
        <v>424</v>
      </c>
      <c r="V366" s="114">
        <v>0</v>
      </c>
      <c r="W366" s="114">
        <v>0</v>
      </c>
      <c r="X366" s="114">
        <v>1760.3125</v>
      </c>
      <c r="Y366" s="114">
        <v>0</v>
      </c>
      <c r="Z366" s="114">
        <v>186</v>
      </c>
      <c r="AA366" s="114">
        <v>0</v>
      </c>
      <c r="AB366" s="657">
        <v>2</v>
      </c>
      <c r="AC366" s="657">
        <v>0</v>
      </c>
      <c r="AD366" s="768">
        <v>188</v>
      </c>
      <c r="AE366" s="769">
        <v>0</v>
      </c>
      <c r="AF366" s="769">
        <v>173</v>
      </c>
      <c r="AG366" s="770">
        <v>173</v>
      </c>
      <c r="AH366" s="769">
        <v>0</v>
      </c>
      <c r="AI366" s="769">
        <v>0</v>
      </c>
      <c r="AJ366" s="769">
        <v>169.09524959710731</v>
      </c>
      <c r="AK366" s="769">
        <v>169.09524959710731</v>
      </c>
      <c r="AL366" s="769">
        <v>0</v>
      </c>
      <c r="AM366" s="769">
        <v>0</v>
      </c>
      <c r="AN366" s="769">
        <v>157.8545610971083</v>
      </c>
      <c r="AO366" s="769">
        <v>157.8545610971083</v>
      </c>
      <c r="AP366" s="769">
        <v>0</v>
      </c>
      <c r="AQ366" s="769">
        <v>1.8596827016276773</v>
      </c>
      <c r="AR366" s="769">
        <v>0</v>
      </c>
      <c r="AS366" s="769">
        <v>153.72690019520442</v>
      </c>
      <c r="AT366" s="769">
        <v>161.22806380496448</v>
      </c>
      <c r="AU366" s="769">
        <v>169.09524959710731</v>
      </c>
      <c r="AV366" s="769">
        <v>177.34631776572627</v>
      </c>
      <c r="AW366" s="769">
        <v>186</v>
      </c>
      <c r="AX366" s="769">
        <v>144.03504311653583</v>
      </c>
      <c r="AY366" s="769">
        <v>150.78656609182343</v>
      </c>
      <c r="AZ366" s="769">
        <v>157.8545610971083</v>
      </c>
      <c r="BA366" s="769">
        <v>165.25386249585739</v>
      </c>
      <c r="BB366" s="769">
        <v>173</v>
      </c>
      <c r="BC366" s="769">
        <v>1.7292098753666085</v>
      </c>
      <c r="BD366" s="769">
        <v>1.7932600739165065</v>
      </c>
      <c r="BE366" s="769">
        <v>1.8596827016276773</v>
      </c>
      <c r="BF366" s="769">
        <v>1.9285656336395076</v>
      </c>
      <c r="BG366" s="769">
        <v>2</v>
      </c>
      <c r="BH366" s="771">
        <v>190.56028388779657</v>
      </c>
      <c r="BI366" s="771">
        <v>195.23237524407324</v>
      </c>
      <c r="BJ366" s="771">
        <v>200.01901532580334</v>
      </c>
      <c r="BK366" s="772">
        <v>198.7039780574153</v>
      </c>
      <c r="BL366" s="772">
        <v>197.39758658210064</v>
      </c>
      <c r="BM366" s="772">
        <v>198.81467730565964</v>
      </c>
      <c r="BN366" s="772">
        <v>200.24194113292049</v>
      </c>
      <c r="BO366" s="772">
        <v>201.67945109522637</v>
      </c>
      <c r="BP366" s="772">
        <v>203.12728074820262</v>
      </c>
      <c r="BQ366" s="772">
        <v>204.58550417552055</v>
      </c>
      <c r="BR366" s="772">
        <v>205.73397048081182</v>
      </c>
      <c r="BS366" s="772">
        <v>206.88888384529093</v>
      </c>
      <c r="BT366" s="772">
        <v>208.05028046033064</v>
      </c>
      <c r="BU366" s="772">
        <v>209.21819672046854</v>
      </c>
      <c r="BV366" s="772">
        <v>210.3926692245474</v>
      </c>
      <c r="BW366" s="771">
        <v>177.24155436875702</v>
      </c>
      <c r="BX366" s="771">
        <v>181.58710170550899</v>
      </c>
      <c r="BY366" s="771">
        <v>186.03919167399988</v>
      </c>
      <c r="BZ366" s="772">
        <v>184.81606561254219</v>
      </c>
      <c r="CA366" s="772">
        <v>183.6009810682979</v>
      </c>
      <c r="CB366" s="772">
        <v>184.9190278165544</v>
      </c>
      <c r="CC366" s="772">
        <v>186.24653664513571</v>
      </c>
      <c r="CD366" s="772">
        <v>187.58357548104388</v>
      </c>
      <c r="CE366" s="772">
        <v>188.93021273891966</v>
      </c>
      <c r="CF366" s="772">
        <v>190.28651732454333</v>
      </c>
      <c r="CG366" s="772">
        <v>191.35471447946477</v>
      </c>
      <c r="CH366" s="772">
        <v>192.42890809266308</v>
      </c>
      <c r="CI366" s="772">
        <v>193.50913182600647</v>
      </c>
      <c r="CJ366" s="772">
        <v>194.59541953032829</v>
      </c>
      <c r="CK366" s="772">
        <v>195.68780524648764</v>
      </c>
      <c r="CL366" s="771">
        <v>2.0490353106214685</v>
      </c>
      <c r="CM366" s="771">
        <v>2.0992728520868091</v>
      </c>
      <c r="CN366" s="771">
        <v>2.1507421002774554</v>
      </c>
      <c r="CO366" s="772">
        <v>2.1366019145958637</v>
      </c>
      <c r="CP366" s="772">
        <v>2.1225546944311899</v>
      </c>
      <c r="CQ366" s="772">
        <v>2.1377922290931144</v>
      </c>
      <c r="CR366" s="772">
        <v>2.153139151966887</v>
      </c>
      <c r="CS366" s="772">
        <v>2.1685962483357675</v>
      </c>
      <c r="CT366" s="772">
        <v>2.1841643091204586</v>
      </c>
      <c r="CU366" s="772">
        <v>2.1998441309195762</v>
      </c>
      <c r="CV366" s="772">
        <v>2.2121932309764714</v>
      </c>
      <c r="CW366" s="772">
        <v>2.2246116542504404</v>
      </c>
      <c r="CX366" s="772">
        <v>2.2370997898960288</v>
      </c>
      <c r="CY366" s="772">
        <v>2.24965802925235</v>
      </c>
      <c r="CZ366" s="772">
        <v>2.2622867658553485</v>
      </c>
      <c r="DA366" s="773">
        <v>0</v>
      </c>
      <c r="DB366" s="773">
        <v>0</v>
      </c>
      <c r="DC366" s="773">
        <v>0</v>
      </c>
      <c r="DD366" s="774">
        <v>0</v>
      </c>
      <c r="DE366" s="774">
        <v>0</v>
      </c>
      <c r="DF366" s="774">
        <v>0</v>
      </c>
      <c r="DG366" s="774">
        <v>0</v>
      </c>
      <c r="DH366" s="774">
        <v>0</v>
      </c>
      <c r="DI366" s="774">
        <v>0</v>
      </c>
      <c r="DJ366" s="774">
        <v>0</v>
      </c>
      <c r="DK366" s="774">
        <v>0</v>
      </c>
      <c r="DL366" s="774">
        <v>0</v>
      </c>
      <c r="DM366" s="774">
        <v>0</v>
      </c>
      <c r="DN366" s="774">
        <v>0</v>
      </c>
      <c r="DO366" s="774">
        <v>0</v>
      </c>
      <c r="DP366" s="773">
        <v>0</v>
      </c>
      <c r="DQ366" s="773">
        <v>0</v>
      </c>
      <c r="DR366" s="773">
        <v>0</v>
      </c>
      <c r="DS366" s="774">
        <v>0</v>
      </c>
      <c r="DT366" s="774">
        <v>0</v>
      </c>
      <c r="DU366" s="774">
        <v>0</v>
      </c>
      <c r="DV366" s="774">
        <v>0</v>
      </c>
      <c r="DW366" s="774">
        <v>0</v>
      </c>
      <c r="DX366" s="774">
        <v>0</v>
      </c>
      <c r="DY366" s="774">
        <v>0</v>
      </c>
      <c r="DZ366" s="774">
        <v>0</v>
      </c>
      <c r="EA366" s="774">
        <v>0</v>
      </c>
      <c r="EB366" s="774">
        <v>0</v>
      </c>
      <c r="EC366" s="774">
        <v>0</v>
      </c>
      <c r="ED366" s="774">
        <v>0</v>
      </c>
    </row>
    <row r="367" spans="1:134" ht="15" x14ac:dyDescent="0.25">
      <c r="A367" s="766">
        <v>112</v>
      </c>
      <c r="B367" s="766">
        <v>101</v>
      </c>
      <c r="C367" s="766" t="s">
        <v>4038</v>
      </c>
      <c r="D367" s="2">
        <v>99712</v>
      </c>
      <c r="E367" s="2">
        <v>99712</v>
      </c>
      <c r="F367" s="767" t="s">
        <v>3746</v>
      </c>
      <c r="G367" s="114">
        <v>49</v>
      </c>
      <c r="H367" s="114">
        <v>20</v>
      </c>
      <c r="I367" s="114">
        <v>19</v>
      </c>
      <c r="J367" s="114">
        <v>1</v>
      </c>
      <c r="K367" s="114">
        <v>0</v>
      </c>
      <c r="L367" s="114">
        <v>26</v>
      </c>
      <c r="M367" s="114">
        <v>26</v>
      </c>
      <c r="N367" s="114">
        <v>1</v>
      </c>
      <c r="O367" s="114">
        <v>0</v>
      </c>
      <c r="P367" s="114">
        <v>0</v>
      </c>
      <c r="Q367" s="114">
        <v>27</v>
      </c>
      <c r="R367" s="114">
        <v>0</v>
      </c>
      <c r="S367" s="114">
        <v>1878.5</v>
      </c>
      <c r="T367" s="114">
        <v>1878.5</v>
      </c>
      <c r="U367" s="114">
        <v>8170</v>
      </c>
      <c r="V367" s="114">
        <v>0</v>
      </c>
      <c r="W367" s="114">
        <v>0</v>
      </c>
      <c r="X367" s="114">
        <v>2111.5185185185187</v>
      </c>
      <c r="Y367" s="114">
        <v>0</v>
      </c>
      <c r="Z367" s="114">
        <v>20</v>
      </c>
      <c r="AA367" s="114">
        <v>0</v>
      </c>
      <c r="AB367" s="657">
        <v>1</v>
      </c>
      <c r="AC367" s="657">
        <v>0</v>
      </c>
      <c r="AD367" s="768">
        <v>21</v>
      </c>
      <c r="AE367" s="769">
        <v>0</v>
      </c>
      <c r="AF367" s="769">
        <v>19</v>
      </c>
      <c r="AG367" s="770">
        <v>19</v>
      </c>
      <c r="AH367" s="769">
        <v>0</v>
      </c>
      <c r="AI367" s="769">
        <v>0</v>
      </c>
      <c r="AJ367" s="769">
        <v>18.182284902914763</v>
      </c>
      <c r="AK367" s="769">
        <v>18.182284902914763</v>
      </c>
      <c r="AL367" s="769">
        <v>0</v>
      </c>
      <c r="AM367" s="769">
        <v>0</v>
      </c>
      <c r="AN367" s="769">
        <v>17.336628097370276</v>
      </c>
      <c r="AO367" s="769">
        <v>17.336628097370276</v>
      </c>
      <c r="AP367" s="769">
        <v>0</v>
      </c>
      <c r="AQ367" s="769">
        <v>0.92984135081383867</v>
      </c>
      <c r="AR367" s="769">
        <v>0</v>
      </c>
      <c r="AS367" s="769">
        <v>16.529774214538108</v>
      </c>
      <c r="AT367" s="769">
        <v>17.336350946770374</v>
      </c>
      <c r="AU367" s="769">
        <v>18.182284902914763</v>
      </c>
      <c r="AV367" s="769">
        <v>19.069496533949064</v>
      </c>
      <c r="AW367" s="769">
        <v>20</v>
      </c>
      <c r="AX367" s="769">
        <v>15.818877567712025</v>
      </c>
      <c r="AY367" s="769">
        <v>16.560374310662688</v>
      </c>
      <c r="AZ367" s="769">
        <v>17.336628097370276</v>
      </c>
      <c r="BA367" s="769">
        <v>18.149268135383181</v>
      </c>
      <c r="BB367" s="769">
        <v>19</v>
      </c>
      <c r="BC367" s="769">
        <v>0.86460493768330426</v>
      </c>
      <c r="BD367" s="769">
        <v>0.89663003695825327</v>
      </c>
      <c r="BE367" s="769">
        <v>0.92984135081383867</v>
      </c>
      <c r="BF367" s="769">
        <v>0.96428281681975381</v>
      </c>
      <c r="BG367" s="769">
        <v>1</v>
      </c>
      <c r="BH367" s="771">
        <v>20.273363887394147</v>
      </c>
      <c r="BI367" s="771">
        <v>20.550464165534859</v>
      </c>
      <c r="BJ367" s="771">
        <v>20.831351904137097</v>
      </c>
      <c r="BK367" s="772">
        <v>20.694394905022662</v>
      </c>
      <c r="BL367" s="772">
        <v>20.558338338088177</v>
      </c>
      <c r="BM367" s="772">
        <v>20.705923883864724</v>
      </c>
      <c r="BN367" s="772">
        <v>20.854568926423738</v>
      </c>
      <c r="BO367" s="772">
        <v>21.004281071750121</v>
      </c>
      <c r="BP367" s="772">
        <v>21.155067980431109</v>
      </c>
      <c r="BQ367" s="772">
        <v>21.306937368048267</v>
      </c>
      <c r="BR367" s="772">
        <v>21.426546524790677</v>
      </c>
      <c r="BS367" s="772">
        <v>21.546827122488189</v>
      </c>
      <c r="BT367" s="772">
        <v>21.667782930358545</v>
      </c>
      <c r="BU367" s="772">
        <v>21.789417738778472</v>
      </c>
      <c r="BV367" s="772">
        <v>21.911735359402432</v>
      </c>
      <c r="BW367" s="771">
        <v>19.25969569302444</v>
      </c>
      <c r="BX367" s="771">
        <v>19.522940957258115</v>
      </c>
      <c r="BY367" s="771">
        <v>19.789784308930241</v>
      </c>
      <c r="BZ367" s="772">
        <v>19.659675159771528</v>
      </c>
      <c r="CA367" s="772">
        <v>19.530421421183767</v>
      </c>
      <c r="CB367" s="772">
        <v>19.670627689671484</v>
      </c>
      <c r="CC367" s="772">
        <v>19.81184048010255</v>
      </c>
      <c r="CD367" s="772">
        <v>19.954067018162615</v>
      </c>
      <c r="CE367" s="772">
        <v>20.097314581409552</v>
      </c>
      <c r="CF367" s="772">
        <v>20.241590499645852</v>
      </c>
      <c r="CG367" s="772">
        <v>20.355219198551143</v>
      </c>
      <c r="CH367" s="772">
        <v>20.469485766363778</v>
      </c>
      <c r="CI367" s="772">
        <v>20.584393783840618</v>
      </c>
      <c r="CJ367" s="772">
        <v>20.699946851839545</v>
      </c>
      <c r="CK367" s="772">
        <v>20.816148591432309</v>
      </c>
      <c r="CL367" s="771">
        <v>1.0136681943697075</v>
      </c>
      <c r="CM367" s="771">
        <v>1.0275232082767429</v>
      </c>
      <c r="CN367" s="771">
        <v>1.0415675952068548</v>
      </c>
      <c r="CO367" s="772">
        <v>1.034719745251133</v>
      </c>
      <c r="CP367" s="772">
        <v>1.0279169169044089</v>
      </c>
      <c r="CQ367" s="772">
        <v>1.0352961941932362</v>
      </c>
      <c r="CR367" s="772">
        <v>1.0427284463211868</v>
      </c>
      <c r="CS367" s="772">
        <v>1.050214053587506</v>
      </c>
      <c r="CT367" s="772">
        <v>1.0577533990215555</v>
      </c>
      <c r="CU367" s="772">
        <v>1.0653468684024134</v>
      </c>
      <c r="CV367" s="772">
        <v>1.071327326239534</v>
      </c>
      <c r="CW367" s="772">
        <v>1.0773413561244094</v>
      </c>
      <c r="CX367" s="772">
        <v>1.0833891465179273</v>
      </c>
      <c r="CY367" s="772">
        <v>1.0894708869389236</v>
      </c>
      <c r="CZ367" s="772">
        <v>1.0955867679701214</v>
      </c>
      <c r="DA367" s="773">
        <v>0</v>
      </c>
      <c r="DB367" s="773">
        <v>0</v>
      </c>
      <c r="DC367" s="773">
        <v>0</v>
      </c>
      <c r="DD367" s="774">
        <v>0</v>
      </c>
      <c r="DE367" s="774">
        <v>0</v>
      </c>
      <c r="DF367" s="774">
        <v>0</v>
      </c>
      <c r="DG367" s="774">
        <v>0</v>
      </c>
      <c r="DH367" s="774">
        <v>0</v>
      </c>
      <c r="DI367" s="774">
        <v>0</v>
      </c>
      <c r="DJ367" s="774">
        <v>0</v>
      </c>
      <c r="DK367" s="774">
        <v>0</v>
      </c>
      <c r="DL367" s="774">
        <v>0</v>
      </c>
      <c r="DM367" s="774">
        <v>0</v>
      </c>
      <c r="DN367" s="774">
        <v>0</v>
      </c>
      <c r="DO367" s="774">
        <v>0</v>
      </c>
      <c r="DP367" s="773">
        <v>0</v>
      </c>
      <c r="DQ367" s="773">
        <v>0</v>
      </c>
      <c r="DR367" s="773">
        <v>0</v>
      </c>
      <c r="DS367" s="774">
        <v>0</v>
      </c>
      <c r="DT367" s="774">
        <v>0</v>
      </c>
      <c r="DU367" s="774">
        <v>0</v>
      </c>
      <c r="DV367" s="774">
        <v>0</v>
      </c>
      <c r="DW367" s="774">
        <v>0</v>
      </c>
      <c r="DX367" s="774">
        <v>0</v>
      </c>
      <c r="DY367" s="774">
        <v>0</v>
      </c>
      <c r="DZ367" s="774">
        <v>0</v>
      </c>
      <c r="EA367" s="774">
        <v>0</v>
      </c>
      <c r="EB367" s="774">
        <v>0</v>
      </c>
      <c r="EC367" s="774">
        <v>0</v>
      </c>
      <c r="ED367" s="774">
        <v>0</v>
      </c>
    </row>
    <row r="368" spans="1:134" ht="15" x14ac:dyDescent="0.25">
      <c r="A368" s="766">
        <v>113</v>
      </c>
      <c r="B368" s="766">
        <v>101</v>
      </c>
      <c r="C368" s="766" t="s">
        <v>4039</v>
      </c>
      <c r="D368" s="2">
        <v>99712</v>
      </c>
      <c r="E368" s="2">
        <v>99712</v>
      </c>
      <c r="F368" s="767" t="s">
        <v>3746</v>
      </c>
      <c r="G368" s="114">
        <v>161</v>
      </c>
      <c r="H368" s="114">
        <v>65</v>
      </c>
      <c r="I368" s="114">
        <v>60</v>
      </c>
      <c r="J368" s="114">
        <v>5</v>
      </c>
      <c r="K368" s="114">
        <v>0</v>
      </c>
      <c r="L368" s="114">
        <v>43</v>
      </c>
      <c r="M368" s="114">
        <v>43</v>
      </c>
      <c r="N368" s="114">
        <v>0</v>
      </c>
      <c r="O368" s="114">
        <v>0</v>
      </c>
      <c r="P368" s="114">
        <v>0</v>
      </c>
      <c r="Q368" s="114">
        <v>43</v>
      </c>
      <c r="R368" s="114">
        <v>0</v>
      </c>
      <c r="S368" s="114">
        <v>2739.2790697674418</v>
      </c>
      <c r="T368" s="114">
        <v>2739.2790697674418</v>
      </c>
      <c r="U368" s="114">
        <v>0</v>
      </c>
      <c r="V368" s="114">
        <v>0</v>
      </c>
      <c r="W368" s="114">
        <v>0</v>
      </c>
      <c r="X368" s="114">
        <v>2739.2790697674418</v>
      </c>
      <c r="Y368" s="114">
        <v>0</v>
      </c>
      <c r="Z368" s="114">
        <v>65</v>
      </c>
      <c r="AA368" s="114">
        <v>0</v>
      </c>
      <c r="AB368" s="657">
        <v>0</v>
      </c>
      <c r="AC368" s="657">
        <v>0</v>
      </c>
      <c r="AD368" s="768">
        <v>65</v>
      </c>
      <c r="AE368" s="769">
        <v>0</v>
      </c>
      <c r="AF368" s="769">
        <v>60</v>
      </c>
      <c r="AG368" s="770">
        <v>60</v>
      </c>
      <c r="AH368" s="769">
        <v>0</v>
      </c>
      <c r="AI368" s="769">
        <v>0</v>
      </c>
      <c r="AJ368" s="769">
        <v>59.092425934472985</v>
      </c>
      <c r="AK368" s="769">
        <v>59.092425934472985</v>
      </c>
      <c r="AL368" s="769">
        <v>0</v>
      </c>
      <c r="AM368" s="769">
        <v>0</v>
      </c>
      <c r="AN368" s="769">
        <v>54.747246623274556</v>
      </c>
      <c r="AO368" s="769">
        <v>54.747246623274556</v>
      </c>
      <c r="AP368" s="769">
        <v>0</v>
      </c>
      <c r="AQ368" s="769">
        <v>0</v>
      </c>
      <c r="AR368" s="769">
        <v>0</v>
      </c>
      <c r="AS368" s="769">
        <v>53.721766197248854</v>
      </c>
      <c r="AT368" s="769">
        <v>56.343140577003716</v>
      </c>
      <c r="AU368" s="769">
        <v>59.092425934472985</v>
      </c>
      <c r="AV368" s="769">
        <v>61.975863735334457</v>
      </c>
      <c r="AW368" s="769">
        <v>65</v>
      </c>
      <c r="AX368" s="769">
        <v>49.954350213827453</v>
      </c>
      <c r="AY368" s="769">
        <v>52.295918875776906</v>
      </c>
      <c r="AZ368" s="769">
        <v>54.747246623274556</v>
      </c>
      <c r="BA368" s="769">
        <v>57.313478322262675</v>
      </c>
      <c r="BB368" s="769">
        <v>60</v>
      </c>
      <c r="BC368" s="769">
        <v>0</v>
      </c>
      <c r="BD368" s="769">
        <v>0</v>
      </c>
      <c r="BE368" s="769">
        <v>0</v>
      </c>
      <c r="BF368" s="769">
        <v>0</v>
      </c>
      <c r="BG368" s="769">
        <v>0</v>
      </c>
      <c r="BH368" s="771">
        <v>65.601828434027837</v>
      </c>
      <c r="BI368" s="771">
        <v>66.209229136732688</v>
      </c>
      <c r="BJ368" s="771">
        <v>66.822253701187307</v>
      </c>
      <c r="BK368" s="772">
        <v>66.382926701043814</v>
      </c>
      <c r="BL368" s="772">
        <v>65.946488083173648</v>
      </c>
      <c r="BM368" s="772">
        <v>66.419909051140195</v>
      </c>
      <c r="BN368" s="772">
        <v>66.89672864455936</v>
      </c>
      <c r="BO368" s="772">
        <v>67.37697126170616</v>
      </c>
      <c r="BP368" s="772">
        <v>67.860661476007508</v>
      </c>
      <c r="BQ368" s="772">
        <v>68.347824037299659</v>
      </c>
      <c r="BR368" s="772">
        <v>68.731503092485653</v>
      </c>
      <c r="BS368" s="772">
        <v>69.117335978016115</v>
      </c>
      <c r="BT368" s="772">
        <v>69.505334784686937</v>
      </c>
      <c r="BU368" s="772">
        <v>69.895511671167228</v>
      </c>
      <c r="BV368" s="772">
        <v>70.287878864380289</v>
      </c>
      <c r="BW368" s="771">
        <v>60.555533939102624</v>
      </c>
      <c r="BX368" s="771">
        <v>61.116211510830169</v>
      </c>
      <c r="BY368" s="771">
        <v>61.682080339557515</v>
      </c>
      <c r="BZ368" s="772">
        <v>61.276547724040441</v>
      </c>
      <c r="CA368" s="772">
        <v>60.873681307544906</v>
      </c>
      <c r="CB368" s="772">
        <v>61.310685277975566</v>
      </c>
      <c r="CC368" s="772">
        <v>61.750826441131721</v>
      </c>
      <c r="CD368" s="772">
        <v>62.194127318497991</v>
      </c>
      <c r="CE368" s="772">
        <v>62.640610593237696</v>
      </c>
      <c r="CF368" s="772">
        <v>63.090299111353531</v>
      </c>
      <c r="CG368" s="772">
        <v>63.44446439306369</v>
      </c>
      <c r="CH368" s="772">
        <v>63.800617825861025</v>
      </c>
      <c r="CI368" s="772">
        <v>64.158770570480243</v>
      </c>
      <c r="CJ368" s="772">
        <v>64.518933850308215</v>
      </c>
      <c r="CK368" s="772">
        <v>64.881118951735644</v>
      </c>
      <c r="CL368" s="771">
        <v>0</v>
      </c>
      <c r="CM368" s="771">
        <v>0</v>
      </c>
      <c r="CN368" s="771">
        <v>0</v>
      </c>
      <c r="CO368" s="772">
        <v>0</v>
      </c>
      <c r="CP368" s="772">
        <v>0</v>
      </c>
      <c r="CQ368" s="772">
        <v>0</v>
      </c>
      <c r="CR368" s="772">
        <v>0</v>
      </c>
      <c r="CS368" s="772">
        <v>0</v>
      </c>
      <c r="CT368" s="772">
        <v>0</v>
      </c>
      <c r="CU368" s="772">
        <v>0</v>
      </c>
      <c r="CV368" s="772">
        <v>0</v>
      </c>
      <c r="CW368" s="772">
        <v>0</v>
      </c>
      <c r="CX368" s="772">
        <v>0</v>
      </c>
      <c r="CY368" s="772">
        <v>0</v>
      </c>
      <c r="CZ368" s="772">
        <v>0</v>
      </c>
      <c r="DA368" s="773">
        <v>0</v>
      </c>
      <c r="DB368" s="773">
        <v>0</v>
      </c>
      <c r="DC368" s="773">
        <v>0</v>
      </c>
      <c r="DD368" s="774">
        <v>0</v>
      </c>
      <c r="DE368" s="774">
        <v>0</v>
      </c>
      <c r="DF368" s="774">
        <v>0</v>
      </c>
      <c r="DG368" s="774">
        <v>0</v>
      </c>
      <c r="DH368" s="774">
        <v>0</v>
      </c>
      <c r="DI368" s="774">
        <v>0</v>
      </c>
      <c r="DJ368" s="774">
        <v>0</v>
      </c>
      <c r="DK368" s="774">
        <v>0</v>
      </c>
      <c r="DL368" s="774">
        <v>0</v>
      </c>
      <c r="DM368" s="774">
        <v>0</v>
      </c>
      <c r="DN368" s="774">
        <v>0</v>
      </c>
      <c r="DO368" s="774">
        <v>0</v>
      </c>
      <c r="DP368" s="773">
        <v>0</v>
      </c>
      <c r="DQ368" s="773">
        <v>0</v>
      </c>
      <c r="DR368" s="773">
        <v>0</v>
      </c>
      <c r="DS368" s="774">
        <v>0</v>
      </c>
      <c r="DT368" s="774">
        <v>0</v>
      </c>
      <c r="DU368" s="774">
        <v>0</v>
      </c>
      <c r="DV368" s="774">
        <v>0</v>
      </c>
      <c r="DW368" s="774">
        <v>0</v>
      </c>
      <c r="DX368" s="774">
        <v>0</v>
      </c>
      <c r="DY368" s="774">
        <v>0</v>
      </c>
      <c r="DZ368" s="774">
        <v>0</v>
      </c>
      <c r="EA368" s="774">
        <v>0</v>
      </c>
      <c r="EB368" s="774">
        <v>0</v>
      </c>
      <c r="EC368" s="774">
        <v>0</v>
      </c>
      <c r="ED368" s="774">
        <v>0</v>
      </c>
    </row>
    <row r="369" spans="1:134" ht="15" x14ac:dyDescent="0.25">
      <c r="A369" s="766">
        <v>114</v>
      </c>
      <c r="B369" s="766">
        <v>101</v>
      </c>
      <c r="C369" s="766" t="s">
        <v>4040</v>
      </c>
      <c r="D369" s="2">
        <v>99712</v>
      </c>
      <c r="E369" s="2">
        <v>99712</v>
      </c>
      <c r="F369" s="767" t="s">
        <v>3746</v>
      </c>
      <c r="G369" s="114">
        <v>97</v>
      </c>
      <c r="H369" s="114">
        <v>47</v>
      </c>
      <c r="I369" s="114">
        <v>39</v>
      </c>
      <c r="J369" s="114">
        <v>8</v>
      </c>
      <c r="K369" s="114">
        <v>0</v>
      </c>
      <c r="L369" s="114">
        <v>62</v>
      </c>
      <c r="M369" s="114">
        <v>62</v>
      </c>
      <c r="N369" s="114">
        <v>0</v>
      </c>
      <c r="O369" s="114">
        <v>0</v>
      </c>
      <c r="P369" s="114">
        <v>0</v>
      </c>
      <c r="Q369" s="114">
        <v>62</v>
      </c>
      <c r="R369" s="114">
        <v>0</v>
      </c>
      <c r="S369" s="114">
        <v>1942.9516129032259</v>
      </c>
      <c r="T369" s="114">
        <v>1942.9516129032259</v>
      </c>
      <c r="U369" s="114">
        <v>0</v>
      </c>
      <c r="V369" s="114">
        <v>0</v>
      </c>
      <c r="W369" s="114">
        <v>0</v>
      </c>
      <c r="X369" s="114">
        <v>1942.9516129032259</v>
      </c>
      <c r="Y369" s="114">
        <v>0</v>
      </c>
      <c r="Z369" s="114">
        <v>47</v>
      </c>
      <c r="AA369" s="114">
        <v>0</v>
      </c>
      <c r="AB369" s="657">
        <v>0</v>
      </c>
      <c r="AC369" s="657">
        <v>0</v>
      </c>
      <c r="AD369" s="768">
        <v>47</v>
      </c>
      <c r="AE369" s="769">
        <v>0</v>
      </c>
      <c r="AF369" s="769">
        <v>39</v>
      </c>
      <c r="AG369" s="770">
        <v>39</v>
      </c>
      <c r="AH369" s="769">
        <v>0</v>
      </c>
      <c r="AI369" s="769">
        <v>0</v>
      </c>
      <c r="AJ369" s="769">
        <v>42.728369521849693</v>
      </c>
      <c r="AK369" s="769">
        <v>42.728369521849693</v>
      </c>
      <c r="AL369" s="769">
        <v>0</v>
      </c>
      <c r="AM369" s="769">
        <v>0</v>
      </c>
      <c r="AN369" s="769">
        <v>35.585710305128458</v>
      </c>
      <c r="AO369" s="769">
        <v>35.585710305128458</v>
      </c>
      <c r="AP369" s="769">
        <v>0</v>
      </c>
      <c r="AQ369" s="769">
        <v>0</v>
      </c>
      <c r="AR369" s="769">
        <v>0</v>
      </c>
      <c r="AS369" s="769">
        <v>38.844969404164551</v>
      </c>
      <c r="AT369" s="769">
        <v>40.740424724910383</v>
      </c>
      <c r="AU369" s="769">
        <v>42.728369521849693</v>
      </c>
      <c r="AV369" s="769">
        <v>44.813316854780297</v>
      </c>
      <c r="AW369" s="769">
        <v>47</v>
      </c>
      <c r="AX369" s="769">
        <v>32.470327638987847</v>
      </c>
      <c r="AY369" s="769">
        <v>33.992347269254992</v>
      </c>
      <c r="AZ369" s="769">
        <v>35.585710305128458</v>
      </c>
      <c r="BA369" s="769">
        <v>37.253760909470735</v>
      </c>
      <c r="BB369" s="769">
        <v>39</v>
      </c>
      <c r="BC369" s="769">
        <v>0</v>
      </c>
      <c r="BD369" s="769">
        <v>0</v>
      </c>
      <c r="BE369" s="769">
        <v>0</v>
      </c>
      <c r="BF369" s="769">
        <v>0</v>
      </c>
      <c r="BG369" s="769">
        <v>0</v>
      </c>
      <c r="BH369" s="771">
        <v>47.435168252297053</v>
      </c>
      <c r="BI369" s="771">
        <v>47.874365683483632</v>
      </c>
      <c r="BJ369" s="771">
        <v>48.31762959932005</v>
      </c>
      <c r="BK369" s="772">
        <v>47.999962383831672</v>
      </c>
      <c r="BL369" s="772">
        <v>47.684383690910174</v>
      </c>
      <c r="BM369" s="772">
        <v>48.026703467747524</v>
      </c>
      <c r="BN369" s="772">
        <v>48.371480712219842</v>
      </c>
      <c r="BO369" s="772">
        <v>48.718733066156759</v>
      </c>
      <c r="BP369" s="772">
        <v>49.06847829803619</v>
      </c>
      <c r="BQ369" s="772">
        <v>49.420734303893596</v>
      </c>
      <c r="BR369" s="772">
        <v>49.698163774566552</v>
      </c>
      <c r="BS369" s="772">
        <v>49.977150630257796</v>
      </c>
      <c r="BT369" s="772">
        <v>50.257703613542851</v>
      </c>
      <c r="BU369" s="772">
        <v>50.539831516074763</v>
      </c>
      <c r="BV369" s="772">
        <v>50.823543178859587</v>
      </c>
      <c r="BW369" s="771">
        <v>39.361097060416704</v>
      </c>
      <c r="BX369" s="771">
        <v>39.725537482039606</v>
      </c>
      <c r="BY369" s="771">
        <v>40.093352220712383</v>
      </c>
      <c r="BZ369" s="772">
        <v>39.829756020626284</v>
      </c>
      <c r="CA369" s="772">
        <v>39.567892849904183</v>
      </c>
      <c r="CB369" s="772">
        <v>39.851945430684118</v>
      </c>
      <c r="CC369" s="772">
        <v>40.138037186735616</v>
      </c>
      <c r="CD369" s="772">
        <v>40.426182757023696</v>
      </c>
      <c r="CE369" s="772">
        <v>40.716396885604503</v>
      </c>
      <c r="CF369" s="772">
        <v>41.008694422379797</v>
      </c>
      <c r="CG369" s="772">
        <v>41.238901855491392</v>
      </c>
      <c r="CH369" s="772">
        <v>41.470401586809665</v>
      </c>
      <c r="CI369" s="772">
        <v>41.703200870812154</v>
      </c>
      <c r="CJ369" s="772">
        <v>41.937307002700337</v>
      </c>
      <c r="CK369" s="772">
        <v>42.172727318628169</v>
      </c>
      <c r="CL369" s="771">
        <v>0</v>
      </c>
      <c r="CM369" s="771">
        <v>0</v>
      </c>
      <c r="CN369" s="771">
        <v>0</v>
      </c>
      <c r="CO369" s="772">
        <v>0</v>
      </c>
      <c r="CP369" s="772">
        <v>0</v>
      </c>
      <c r="CQ369" s="772">
        <v>0</v>
      </c>
      <c r="CR369" s="772">
        <v>0</v>
      </c>
      <c r="CS369" s="772">
        <v>0</v>
      </c>
      <c r="CT369" s="772">
        <v>0</v>
      </c>
      <c r="CU369" s="772">
        <v>0</v>
      </c>
      <c r="CV369" s="772">
        <v>0</v>
      </c>
      <c r="CW369" s="772">
        <v>0</v>
      </c>
      <c r="CX369" s="772">
        <v>0</v>
      </c>
      <c r="CY369" s="772">
        <v>0</v>
      </c>
      <c r="CZ369" s="772">
        <v>0</v>
      </c>
      <c r="DA369" s="773">
        <v>0</v>
      </c>
      <c r="DB369" s="773">
        <v>0</v>
      </c>
      <c r="DC369" s="773">
        <v>0</v>
      </c>
      <c r="DD369" s="774">
        <v>0</v>
      </c>
      <c r="DE369" s="774">
        <v>0</v>
      </c>
      <c r="DF369" s="774">
        <v>0</v>
      </c>
      <c r="DG369" s="774">
        <v>0</v>
      </c>
      <c r="DH369" s="774">
        <v>0</v>
      </c>
      <c r="DI369" s="774">
        <v>0</v>
      </c>
      <c r="DJ369" s="774">
        <v>0</v>
      </c>
      <c r="DK369" s="774">
        <v>0</v>
      </c>
      <c r="DL369" s="774">
        <v>0</v>
      </c>
      <c r="DM369" s="774">
        <v>0</v>
      </c>
      <c r="DN369" s="774">
        <v>0</v>
      </c>
      <c r="DO369" s="774">
        <v>0</v>
      </c>
      <c r="DP369" s="773">
        <v>0</v>
      </c>
      <c r="DQ369" s="773">
        <v>0</v>
      </c>
      <c r="DR369" s="773">
        <v>0</v>
      </c>
      <c r="DS369" s="774">
        <v>0</v>
      </c>
      <c r="DT369" s="774">
        <v>0</v>
      </c>
      <c r="DU369" s="774">
        <v>0</v>
      </c>
      <c r="DV369" s="774">
        <v>0</v>
      </c>
      <c r="DW369" s="774">
        <v>0</v>
      </c>
      <c r="DX369" s="774">
        <v>0</v>
      </c>
      <c r="DY369" s="774">
        <v>0</v>
      </c>
      <c r="DZ369" s="774">
        <v>0</v>
      </c>
      <c r="EA369" s="774">
        <v>0</v>
      </c>
      <c r="EB369" s="774">
        <v>0</v>
      </c>
      <c r="EC369" s="774">
        <v>0</v>
      </c>
      <c r="ED369" s="774">
        <v>0</v>
      </c>
    </row>
    <row r="370" spans="1:134" ht="15" x14ac:dyDescent="0.25">
      <c r="A370" s="766">
        <v>115</v>
      </c>
      <c r="B370" s="766">
        <v>101</v>
      </c>
      <c r="C370" s="766" t="s">
        <v>4041</v>
      </c>
      <c r="D370" s="2">
        <v>99712</v>
      </c>
      <c r="E370" s="2">
        <v>99712</v>
      </c>
      <c r="F370" s="767" t="s">
        <v>3746</v>
      </c>
      <c r="G370" s="114">
        <v>242</v>
      </c>
      <c r="H370" s="114">
        <v>110</v>
      </c>
      <c r="I370" s="114">
        <v>97</v>
      </c>
      <c r="J370" s="114">
        <v>13</v>
      </c>
      <c r="K370" s="114">
        <v>0</v>
      </c>
      <c r="L370" s="114">
        <v>66</v>
      </c>
      <c r="M370" s="114">
        <v>66</v>
      </c>
      <c r="N370" s="114">
        <v>0</v>
      </c>
      <c r="O370" s="114">
        <v>0</v>
      </c>
      <c r="P370" s="114">
        <v>0</v>
      </c>
      <c r="Q370" s="114">
        <v>66</v>
      </c>
      <c r="R370" s="114">
        <v>0</v>
      </c>
      <c r="S370" s="114">
        <v>1918.590909090909</v>
      </c>
      <c r="T370" s="114">
        <v>1918.590909090909</v>
      </c>
      <c r="U370" s="114">
        <v>0</v>
      </c>
      <c r="V370" s="114">
        <v>0</v>
      </c>
      <c r="W370" s="114">
        <v>0</v>
      </c>
      <c r="X370" s="114">
        <v>1918.590909090909</v>
      </c>
      <c r="Y370" s="114">
        <v>0</v>
      </c>
      <c r="Z370" s="114">
        <v>110</v>
      </c>
      <c r="AA370" s="114">
        <v>0</v>
      </c>
      <c r="AB370" s="657">
        <v>0</v>
      </c>
      <c r="AC370" s="657">
        <v>0</v>
      </c>
      <c r="AD370" s="768">
        <v>110</v>
      </c>
      <c r="AE370" s="769">
        <v>0</v>
      </c>
      <c r="AF370" s="769">
        <v>97</v>
      </c>
      <c r="AG370" s="770">
        <v>97</v>
      </c>
      <c r="AH370" s="769">
        <v>0</v>
      </c>
      <c r="AI370" s="769">
        <v>0</v>
      </c>
      <c r="AJ370" s="769">
        <v>100.00256696603121</v>
      </c>
      <c r="AK370" s="769">
        <v>100.00256696603121</v>
      </c>
      <c r="AL370" s="769">
        <v>0</v>
      </c>
      <c r="AM370" s="769">
        <v>0</v>
      </c>
      <c r="AN370" s="769">
        <v>88.508048707627196</v>
      </c>
      <c r="AO370" s="769">
        <v>88.508048707627196</v>
      </c>
      <c r="AP370" s="769">
        <v>0</v>
      </c>
      <c r="AQ370" s="769">
        <v>0</v>
      </c>
      <c r="AR370" s="769">
        <v>0</v>
      </c>
      <c r="AS370" s="769">
        <v>90.913758179959601</v>
      </c>
      <c r="AT370" s="769">
        <v>95.349930207237065</v>
      </c>
      <c r="AU370" s="769">
        <v>100.00256696603121</v>
      </c>
      <c r="AV370" s="769">
        <v>104.88223093671985</v>
      </c>
      <c r="AW370" s="769">
        <v>110</v>
      </c>
      <c r="AX370" s="769">
        <v>80.759532845687716</v>
      </c>
      <c r="AY370" s="769">
        <v>84.545068849172665</v>
      </c>
      <c r="AZ370" s="769">
        <v>88.508048707627196</v>
      </c>
      <c r="BA370" s="769">
        <v>92.656789954324651</v>
      </c>
      <c r="BB370" s="769">
        <v>97</v>
      </c>
      <c r="BC370" s="769">
        <v>0</v>
      </c>
      <c r="BD370" s="769">
        <v>0</v>
      </c>
      <c r="BE370" s="769">
        <v>0</v>
      </c>
      <c r="BF370" s="769">
        <v>0</v>
      </c>
      <c r="BG370" s="769">
        <v>0</v>
      </c>
      <c r="BH370" s="771">
        <v>111.01847888835481</v>
      </c>
      <c r="BI370" s="771">
        <v>112.0463877698553</v>
      </c>
      <c r="BJ370" s="771">
        <v>113.08381395585545</v>
      </c>
      <c r="BK370" s="772">
        <v>112.34033749407413</v>
      </c>
      <c r="BL370" s="772">
        <v>111.60174906383233</v>
      </c>
      <c r="BM370" s="772">
        <v>112.40292300962187</v>
      </c>
      <c r="BN370" s="772">
        <v>113.20984847540815</v>
      </c>
      <c r="BO370" s="772">
        <v>114.02256675057966</v>
      </c>
      <c r="BP370" s="772">
        <v>114.84111942093578</v>
      </c>
      <c r="BQ370" s="772">
        <v>115.66554837081482</v>
      </c>
      <c r="BR370" s="772">
        <v>116.31485138728343</v>
      </c>
      <c r="BS370" s="772">
        <v>116.96779934741188</v>
      </c>
      <c r="BT370" s="772">
        <v>117.62441271254711</v>
      </c>
      <c r="BU370" s="772">
        <v>118.28471205889839</v>
      </c>
      <c r="BV370" s="772">
        <v>118.94871807818203</v>
      </c>
      <c r="BW370" s="771">
        <v>97.898113201549236</v>
      </c>
      <c r="BX370" s="771">
        <v>98.804541942508777</v>
      </c>
      <c r="BY370" s="771">
        <v>99.719363215617989</v>
      </c>
      <c r="BZ370" s="772">
        <v>99.06375215386538</v>
      </c>
      <c r="CA370" s="772">
        <v>98.412451447197597</v>
      </c>
      <c r="CB370" s="772">
        <v>99.118941199393831</v>
      </c>
      <c r="CC370" s="772">
        <v>99.830502746496293</v>
      </c>
      <c r="CD370" s="772">
        <v>100.54717249823842</v>
      </c>
      <c r="CE370" s="772">
        <v>101.26898712573428</v>
      </c>
      <c r="CF370" s="772">
        <v>101.99598356335488</v>
      </c>
      <c r="CG370" s="772">
        <v>102.5685507687863</v>
      </c>
      <c r="CH370" s="772">
        <v>103.14433215180867</v>
      </c>
      <c r="CI370" s="772">
        <v>103.72334575560974</v>
      </c>
      <c r="CJ370" s="772">
        <v>104.30560972466495</v>
      </c>
      <c r="CK370" s="772">
        <v>104.89114230530598</v>
      </c>
      <c r="CL370" s="771">
        <v>0</v>
      </c>
      <c r="CM370" s="771">
        <v>0</v>
      </c>
      <c r="CN370" s="771">
        <v>0</v>
      </c>
      <c r="CO370" s="772">
        <v>0</v>
      </c>
      <c r="CP370" s="772">
        <v>0</v>
      </c>
      <c r="CQ370" s="772">
        <v>0</v>
      </c>
      <c r="CR370" s="772">
        <v>0</v>
      </c>
      <c r="CS370" s="772">
        <v>0</v>
      </c>
      <c r="CT370" s="772">
        <v>0</v>
      </c>
      <c r="CU370" s="772">
        <v>0</v>
      </c>
      <c r="CV370" s="772">
        <v>0</v>
      </c>
      <c r="CW370" s="772">
        <v>0</v>
      </c>
      <c r="CX370" s="772">
        <v>0</v>
      </c>
      <c r="CY370" s="772">
        <v>0</v>
      </c>
      <c r="CZ370" s="772">
        <v>0</v>
      </c>
      <c r="DA370" s="773">
        <v>0</v>
      </c>
      <c r="DB370" s="773">
        <v>0</v>
      </c>
      <c r="DC370" s="773">
        <v>0</v>
      </c>
      <c r="DD370" s="774">
        <v>0</v>
      </c>
      <c r="DE370" s="774">
        <v>0</v>
      </c>
      <c r="DF370" s="774">
        <v>0</v>
      </c>
      <c r="DG370" s="774">
        <v>0</v>
      </c>
      <c r="DH370" s="774">
        <v>0</v>
      </c>
      <c r="DI370" s="774">
        <v>0</v>
      </c>
      <c r="DJ370" s="774">
        <v>0</v>
      </c>
      <c r="DK370" s="774">
        <v>0</v>
      </c>
      <c r="DL370" s="774">
        <v>0</v>
      </c>
      <c r="DM370" s="774">
        <v>0</v>
      </c>
      <c r="DN370" s="774">
        <v>0</v>
      </c>
      <c r="DO370" s="774">
        <v>0</v>
      </c>
      <c r="DP370" s="773">
        <v>0</v>
      </c>
      <c r="DQ370" s="773">
        <v>0</v>
      </c>
      <c r="DR370" s="773">
        <v>0</v>
      </c>
      <c r="DS370" s="774">
        <v>0</v>
      </c>
      <c r="DT370" s="774">
        <v>0</v>
      </c>
      <c r="DU370" s="774">
        <v>0</v>
      </c>
      <c r="DV370" s="774">
        <v>0</v>
      </c>
      <c r="DW370" s="774">
        <v>0</v>
      </c>
      <c r="DX370" s="774">
        <v>0</v>
      </c>
      <c r="DY370" s="774">
        <v>0</v>
      </c>
      <c r="DZ370" s="774">
        <v>0</v>
      </c>
      <c r="EA370" s="774">
        <v>0</v>
      </c>
      <c r="EB370" s="774">
        <v>0</v>
      </c>
      <c r="EC370" s="774">
        <v>0</v>
      </c>
      <c r="ED370" s="774">
        <v>0</v>
      </c>
    </row>
    <row r="371" spans="1:134" ht="15" x14ac:dyDescent="0.25">
      <c r="A371" s="766">
        <v>117</v>
      </c>
      <c r="B371" s="766">
        <v>101</v>
      </c>
      <c r="C371" s="766" t="s">
        <v>4042</v>
      </c>
      <c r="D371" s="2">
        <v>99712</v>
      </c>
      <c r="E371" s="2">
        <v>99712</v>
      </c>
      <c r="F371" s="767" t="s">
        <v>3746</v>
      </c>
      <c r="G371" s="114">
        <v>75</v>
      </c>
      <c r="H371" s="114">
        <v>26</v>
      </c>
      <c r="I371" s="114">
        <v>26</v>
      </c>
      <c r="J371" s="114">
        <v>0</v>
      </c>
      <c r="K371" s="114">
        <v>0</v>
      </c>
      <c r="L371" s="114">
        <v>14</v>
      </c>
      <c r="M371" s="114">
        <v>14</v>
      </c>
      <c r="N371" s="114">
        <v>1</v>
      </c>
      <c r="O371" s="114">
        <v>0</v>
      </c>
      <c r="P371" s="114">
        <v>0</v>
      </c>
      <c r="Q371" s="114">
        <v>15</v>
      </c>
      <c r="R371" s="114">
        <v>0</v>
      </c>
      <c r="S371" s="114">
        <v>2256.2142857142858</v>
      </c>
      <c r="T371" s="114">
        <v>2256.2142857142858</v>
      </c>
      <c r="U371" s="114">
        <v>1104</v>
      </c>
      <c r="V371" s="114">
        <v>0</v>
      </c>
      <c r="W371" s="114">
        <v>0</v>
      </c>
      <c r="X371" s="114">
        <v>2179.4</v>
      </c>
      <c r="Y371" s="114">
        <v>0</v>
      </c>
      <c r="Z371" s="114">
        <v>26</v>
      </c>
      <c r="AA371" s="114">
        <v>0</v>
      </c>
      <c r="AB371" s="657">
        <v>1</v>
      </c>
      <c r="AC371" s="657">
        <v>0</v>
      </c>
      <c r="AD371" s="768">
        <v>27</v>
      </c>
      <c r="AE371" s="769">
        <v>0</v>
      </c>
      <c r="AF371" s="769">
        <v>26</v>
      </c>
      <c r="AG371" s="770">
        <v>26</v>
      </c>
      <c r="AH371" s="769">
        <v>0</v>
      </c>
      <c r="AI371" s="769">
        <v>0</v>
      </c>
      <c r="AJ371" s="769">
        <v>23.636970373789193</v>
      </c>
      <c r="AK371" s="769">
        <v>23.636970373789193</v>
      </c>
      <c r="AL371" s="769">
        <v>0</v>
      </c>
      <c r="AM371" s="769">
        <v>0</v>
      </c>
      <c r="AN371" s="769">
        <v>23.723806870085639</v>
      </c>
      <c r="AO371" s="769">
        <v>23.723806870085639</v>
      </c>
      <c r="AP371" s="769">
        <v>0</v>
      </c>
      <c r="AQ371" s="769">
        <v>0.92984135081383867</v>
      </c>
      <c r="AR371" s="769">
        <v>0</v>
      </c>
      <c r="AS371" s="769">
        <v>21.488706478899541</v>
      </c>
      <c r="AT371" s="769">
        <v>22.537256230801486</v>
      </c>
      <c r="AU371" s="769">
        <v>23.636970373789193</v>
      </c>
      <c r="AV371" s="769">
        <v>24.790345494133781</v>
      </c>
      <c r="AW371" s="769">
        <v>26</v>
      </c>
      <c r="AX371" s="769">
        <v>21.646885092658561</v>
      </c>
      <c r="AY371" s="769">
        <v>22.661564846169995</v>
      </c>
      <c r="AZ371" s="769">
        <v>23.723806870085639</v>
      </c>
      <c r="BA371" s="769">
        <v>24.835840606313827</v>
      </c>
      <c r="BB371" s="769">
        <v>26</v>
      </c>
      <c r="BC371" s="769">
        <v>0.86460493768330426</v>
      </c>
      <c r="BD371" s="769">
        <v>0.89663003695825327</v>
      </c>
      <c r="BE371" s="769">
        <v>0.92984135081383867</v>
      </c>
      <c r="BF371" s="769">
        <v>0.96428281681975381</v>
      </c>
      <c r="BG371" s="769">
        <v>1</v>
      </c>
      <c r="BH371" s="771">
        <v>26.240731373611137</v>
      </c>
      <c r="BI371" s="771">
        <v>26.483691654693072</v>
      </c>
      <c r="BJ371" s="771">
        <v>26.728901480474924</v>
      </c>
      <c r="BK371" s="772">
        <v>26.553170680417523</v>
      </c>
      <c r="BL371" s="772">
        <v>26.378595233269458</v>
      </c>
      <c r="BM371" s="772">
        <v>26.56796362045608</v>
      </c>
      <c r="BN371" s="772">
        <v>26.758691457823748</v>
      </c>
      <c r="BO371" s="772">
        <v>26.950788504682464</v>
      </c>
      <c r="BP371" s="772">
        <v>27.144264590403001</v>
      </c>
      <c r="BQ371" s="772">
        <v>27.339129614919866</v>
      </c>
      <c r="BR371" s="772">
        <v>27.492601236994265</v>
      </c>
      <c r="BS371" s="772">
        <v>27.646934391206447</v>
      </c>
      <c r="BT371" s="772">
        <v>27.802133913874773</v>
      </c>
      <c r="BU371" s="772">
        <v>27.958204668466891</v>
      </c>
      <c r="BV371" s="772">
        <v>28.115151545752116</v>
      </c>
      <c r="BW371" s="771">
        <v>26.240731373611137</v>
      </c>
      <c r="BX371" s="771">
        <v>26.483691654693072</v>
      </c>
      <c r="BY371" s="771">
        <v>26.728901480474924</v>
      </c>
      <c r="BZ371" s="772">
        <v>26.553170680417523</v>
      </c>
      <c r="CA371" s="772">
        <v>26.378595233269458</v>
      </c>
      <c r="CB371" s="772">
        <v>26.56796362045608</v>
      </c>
      <c r="CC371" s="772">
        <v>26.758691457823748</v>
      </c>
      <c r="CD371" s="772">
        <v>26.950788504682464</v>
      </c>
      <c r="CE371" s="772">
        <v>27.144264590403001</v>
      </c>
      <c r="CF371" s="772">
        <v>27.339129614919866</v>
      </c>
      <c r="CG371" s="772">
        <v>27.492601236994265</v>
      </c>
      <c r="CH371" s="772">
        <v>27.646934391206447</v>
      </c>
      <c r="CI371" s="772">
        <v>27.802133913874773</v>
      </c>
      <c r="CJ371" s="772">
        <v>27.958204668466891</v>
      </c>
      <c r="CK371" s="772">
        <v>28.115151545752116</v>
      </c>
      <c r="CL371" s="771">
        <v>1.0092588989850437</v>
      </c>
      <c r="CM371" s="771">
        <v>1.0186035251805028</v>
      </c>
      <c r="CN371" s="771">
        <v>1.0280346723259586</v>
      </c>
      <c r="CO371" s="772">
        <v>1.0212757954006739</v>
      </c>
      <c r="CP371" s="772">
        <v>1.0145613551257484</v>
      </c>
      <c r="CQ371" s="772">
        <v>1.0218447546329261</v>
      </c>
      <c r="CR371" s="772">
        <v>1.0291804406855287</v>
      </c>
      <c r="CS371" s="772">
        <v>1.0365687886416333</v>
      </c>
      <c r="CT371" s="772">
        <v>1.0440101765539616</v>
      </c>
      <c r="CU371" s="772">
        <v>1.0515049851892255</v>
      </c>
      <c r="CV371" s="772">
        <v>1.0574077398843948</v>
      </c>
      <c r="CW371" s="772">
        <v>1.0633436304310171</v>
      </c>
      <c r="CX371" s="772">
        <v>1.0693128428413374</v>
      </c>
      <c r="CY371" s="772">
        <v>1.0753155641718035</v>
      </c>
      <c r="CZ371" s="772">
        <v>1.0813519825289275</v>
      </c>
      <c r="DA371" s="773">
        <v>0</v>
      </c>
      <c r="DB371" s="773">
        <v>0</v>
      </c>
      <c r="DC371" s="773">
        <v>0</v>
      </c>
      <c r="DD371" s="774">
        <v>0</v>
      </c>
      <c r="DE371" s="774">
        <v>0</v>
      </c>
      <c r="DF371" s="774">
        <v>0</v>
      </c>
      <c r="DG371" s="774">
        <v>0</v>
      </c>
      <c r="DH371" s="774">
        <v>0</v>
      </c>
      <c r="DI371" s="774">
        <v>0</v>
      </c>
      <c r="DJ371" s="774">
        <v>0</v>
      </c>
      <c r="DK371" s="774">
        <v>0</v>
      </c>
      <c r="DL371" s="774">
        <v>0</v>
      </c>
      <c r="DM371" s="774">
        <v>0</v>
      </c>
      <c r="DN371" s="774">
        <v>0</v>
      </c>
      <c r="DO371" s="774">
        <v>0</v>
      </c>
      <c r="DP371" s="773">
        <v>0</v>
      </c>
      <c r="DQ371" s="773">
        <v>0</v>
      </c>
      <c r="DR371" s="773">
        <v>0</v>
      </c>
      <c r="DS371" s="774">
        <v>0</v>
      </c>
      <c r="DT371" s="774">
        <v>0</v>
      </c>
      <c r="DU371" s="774">
        <v>0</v>
      </c>
      <c r="DV371" s="774">
        <v>0</v>
      </c>
      <c r="DW371" s="774">
        <v>0</v>
      </c>
      <c r="DX371" s="774">
        <v>0</v>
      </c>
      <c r="DY371" s="774">
        <v>0</v>
      </c>
      <c r="DZ371" s="774">
        <v>0</v>
      </c>
      <c r="EA371" s="774">
        <v>0</v>
      </c>
      <c r="EB371" s="774">
        <v>0</v>
      </c>
      <c r="EC371" s="774">
        <v>0</v>
      </c>
      <c r="ED371" s="774">
        <v>0</v>
      </c>
    </row>
    <row r="372" spans="1:134" ht="15" x14ac:dyDescent="0.25">
      <c r="A372" s="766">
        <v>119</v>
      </c>
      <c r="B372" s="766">
        <v>101</v>
      </c>
      <c r="C372" s="766" t="s">
        <v>4043</v>
      </c>
      <c r="D372" s="2">
        <v>99712</v>
      </c>
      <c r="E372" s="2">
        <v>99712</v>
      </c>
      <c r="F372" s="767" t="s">
        <v>3676</v>
      </c>
      <c r="G372" s="114">
        <v>352</v>
      </c>
      <c r="H372" s="114">
        <v>157</v>
      </c>
      <c r="I372" s="114">
        <v>139</v>
      </c>
      <c r="J372" s="114">
        <v>18</v>
      </c>
      <c r="K372" s="114">
        <v>0</v>
      </c>
      <c r="L372" s="114">
        <v>0</v>
      </c>
      <c r="M372" s="114">
        <v>0</v>
      </c>
      <c r="N372" s="114">
        <v>0</v>
      </c>
      <c r="O372" s="114">
        <v>0</v>
      </c>
      <c r="P372" s="114">
        <v>0</v>
      </c>
      <c r="Q372" s="114">
        <v>0</v>
      </c>
      <c r="R372" s="114">
        <v>0</v>
      </c>
      <c r="S372" s="114">
        <v>834.49503068156923</v>
      </c>
      <c r="T372" s="114">
        <v>834.49503068156923</v>
      </c>
      <c r="U372" s="114">
        <v>1408.3846153846155</v>
      </c>
      <c r="V372" s="114">
        <v>0</v>
      </c>
      <c r="W372" s="114">
        <v>0</v>
      </c>
      <c r="X372" s="114">
        <v>1365.173957061457</v>
      </c>
      <c r="Y372" s="114">
        <v>3.5972366597366596</v>
      </c>
      <c r="Z372" s="114">
        <v>153.19876126126127</v>
      </c>
      <c r="AA372" s="114">
        <v>0.20400207900207901</v>
      </c>
      <c r="AB372" s="657">
        <v>0</v>
      </c>
      <c r="AC372" s="657">
        <v>0</v>
      </c>
      <c r="AD372" s="768">
        <v>157</v>
      </c>
      <c r="AE372" s="769">
        <v>3.1848146223146223</v>
      </c>
      <c r="AF372" s="769">
        <v>135.6345720720721</v>
      </c>
      <c r="AG372" s="770">
        <v>138.81938669438674</v>
      </c>
      <c r="AH372" s="769">
        <v>0.18061330561330563</v>
      </c>
      <c r="AI372" s="769">
        <v>3.2702990905270699</v>
      </c>
      <c r="AJ372" s="769">
        <v>139.2751762012937</v>
      </c>
      <c r="AK372" s="769">
        <v>142.54547529182076</v>
      </c>
      <c r="AL372" s="769">
        <v>0.18546119606013631</v>
      </c>
      <c r="AM372" s="769">
        <v>2.9059971929544939</v>
      </c>
      <c r="AN372" s="769">
        <v>123.76032279786732</v>
      </c>
      <c r="AO372" s="769">
        <v>126.6663199908218</v>
      </c>
      <c r="AP372" s="769">
        <v>0.16480135309760838</v>
      </c>
      <c r="AQ372" s="769">
        <v>0</v>
      </c>
      <c r="AR372" s="769">
        <v>0</v>
      </c>
      <c r="AS372" s="769">
        <v>129.59012216886413</v>
      </c>
      <c r="AT372" s="769">
        <v>135.9135223503749</v>
      </c>
      <c r="AU372" s="769">
        <v>142.54547529182076</v>
      </c>
      <c r="AV372" s="769">
        <v>149.50103694457772</v>
      </c>
      <c r="AW372" s="769">
        <v>156.79599792099793</v>
      </c>
      <c r="AX372" s="769">
        <v>115.57720432333556</v>
      </c>
      <c r="AY372" s="769">
        <v>120.99478974924588</v>
      </c>
      <c r="AZ372" s="769">
        <v>126.66631999082182</v>
      </c>
      <c r="BA372" s="769">
        <v>132.60369850030889</v>
      </c>
      <c r="BB372" s="769">
        <v>138.81938669438674</v>
      </c>
      <c r="BC372" s="769">
        <v>0</v>
      </c>
      <c r="BD372" s="769">
        <v>0</v>
      </c>
      <c r="BE372" s="769">
        <v>0</v>
      </c>
      <c r="BF372" s="769">
        <v>0</v>
      </c>
      <c r="BG372" s="769">
        <v>0</v>
      </c>
      <c r="BH372" s="771">
        <v>158.24775622700759</v>
      </c>
      <c r="BI372" s="771">
        <v>159.71295621652328</v>
      </c>
      <c r="BJ372" s="771">
        <v>161.19172234473479</v>
      </c>
      <c r="BK372" s="772">
        <v>160.13195749240958</v>
      </c>
      <c r="BL372" s="772">
        <v>159.07916012902169</v>
      </c>
      <c r="BM372" s="772">
        <v>160.22116802300692</v>
      </c>
      <c r="BN372" s="772">
        <v>161.37137423805987</v>
      </c>
      <c r="BO372" s="772">
        <v>162.52983762882485</v>
      </c>
      <c r="BP372" s="772">
        <v>163.69661747245564</v>
      </c>
      <c r="BQ372" s="772">
        <v>164.87177347164877</v>
      </c>
      <c r="BR372" s="772">
        <v>165.79730178456069</v>
      </c>
      <c r="BS372" s="772">
        <v>166.72802566636815</v>
      </c>
      <c r="BT372" s="772">
        <v>167.66397428304671</v>
      </c>
      <c r="BU372" s="772">
        <v>168.60517696429881</v>
      </c>
      <c r="BV372" s="772">
        <v>169.5516632044727</v>
      </c>
      <c r="BW372" s="771">
        <v>140.10470137295579</v>
      </c>
      <c r="BX372" s="771">
        <v>141.40191665029772</v>
      </c>
      <c r="BY372" s="771">
        <v>142.71114271285441</v>
      </c>
      <c r="BZ372" s="772">
        <v>141.77287956334357</v>
      </c>
      <c r="CA372" s="772">
        <v>140.8407850823823</v>
      </c>
      <c r="CB372" s="772">
        <v>141.85186213501891</v>
      </c>
      <c r="CC372" s="772">
        <v>142.87019757382376</v>
      </c>
      <c r="CD372" s="772">
        <v>143.89584350577493</v>
      </c>
      <c r="CE372" s="772">
        <v>144.92885241191937</v>
      </c>
      <c r="CF372" s="772">
        <v>145.9692771500585</v>
      </c>
      <c r="CG372" s="772">
        <v>146.78869393664931</v>
      </c>
      <c r="CH372" s="772">
        <v>147.61271062181643</v>
      </c>
      <c r="CI372" s="772">
        <v>148.44135302766563</v>
      </c>
      <c r="CJ372" s="772">
        <v>149.27464712125823</v>
      </c>
      <c r="CK372" s="772">
        <v>150.11261901542491</v>
      </c>
      <c r="CL372" s="771">
        <v>0</v>
      </c>
      <c r="CM372" s="771">
        <v>0</v>
      </c>
      <c r="CN372" s="771">
        <v>0</v>
      </c>
      <c r="CO372" s="772">
        <v>0</v>
      </c>
      <c r="CP372" s="772">
        <v>0</v>
      </c>
      <c r="CQ372" s="772">
        <v>0</v>
      </c>
      <c r="CR372" s="772">
        <v>0</v>
      </c>
      <c r="CS372" s="772">
        <v>0</v>
      </c>
      <c r="CT372" s="772">
        <v>0</v>
      </c>
      <c r="CU372" s="772">
        <v>0</v>
      </c>
      <c r="CV372" s="772">
        <v>0</v>
      </c>
      <c r="CW372" s="772">
        <v>0</v>
      </c>
      <c r="CX372" s="772">
        <v>0</v>
      </c>
      <c r="CY372" s="772">
        <v>0</v>
      </c>
      <c r="CZ372" s="772">
        <v>0</v>
      </c>
      <c r="DA372" s="773">
        <v>0.20589091364429818</v>
      </c>
      <c r="DB372" s="773">
        <v>0.20779723681566911</v>
      </c>
      <c r="DC372" s="773">
        <v>0.20972121044071659</v>
      </c>
      <c r="DD372" s="774">
        <v>0.20834238549623935</v>
      </c>
      <c r="DE372" s="774">
        <v>0.20697262572081923</v>
      </c>
      <c r="DF372" s="774">
        <v>0.20845845436248622</v>
      </c>
      <c r="DG372" s="774">
        <v>0.20995494956812369</v>
      </c>
      <c r="DH372" s="774">
        <v>0.21146218791155977</v>
      </c>
      <c r="DI372" s="774">
        <v>0.21298024651633571</v>
      </c>
      <c r="DJ372" s="774">
        <v>0.21450920305965229</v>
      </c>
      <c r="DK372" s="774">
        <v>0.21571337728930609</v>
      </c>
      <c r="DL372" s="774">
        <v>0.21692431130154582</v>
      </c>
      <c r="DM372" s="774">
        <v>0.21814204304325618</v>
      </c>
      <c r="DN372" s="774">
        <v>0.21936661067434141</v>
      </c>
      <c r="DO372" s="774">
        <v>0.22059805256892101</v>
      </c>
      <c r="DP372" s="773">
        <v>0</v>
      </c>
      <c r="DQ372" s="773">
        <v>0</v>
      </c>
      <c r="DR372" s="773">
        <v>0</v>
      </c>
      <c r="DS372" s="774">
        <v>0</v>
      </c>
      <c r="DT372" s="774">
        <v>0</v>
      </c>
      <c r="DU372" s="774">
        <v>0</v>
      </c>
      <c r="DV372" s="774">
        <v>0</v>
      </c>
      <c r="DW372" s="774">
        <v>0</v>
      </c>
      <c r="DX372" s="774">
        <v>0</v>
      </c>
      <c r="DY372" s="774">
        <v>0</v>
      </c>
      <c r="DZ372" s="774">
        <v>0</v>
      </c>
      <c r="EA372" s="774">
        <v>0</v>
      </c>
      <c r="EB372" s="774">
        <v>0</v>
      </c>
      <c r="EC372" s="774">
        <v>0</v>
      </c>
      <c r="ED372" s="774">
        <v>0</v>
      </c>
    </row>
    <row r="373" spans="1:134" ht="15" x14ac:dyDescent="0.25">
      <c r="A373" s="766">
        <v>135</v>
      </c>
      <c r="B373" s="766">
        <v>101</v>
      </c>
      <c r="C373" s="766" t="s">
        <v>4044</v>
      </c>
      <c r="D373" s="2">
        <v>99712</v>
      </c>
      <c r="E373" s="2">
        <v>99712</v>
      </c>
      <c r="F373" s="767" t="s">
        <v>3676</v>
      </c>
      <c r="G373" s="114">
        <v>27</v>
      </c>
      <c r="H373" s="114">
        <v>10</v>
      </c>
      <c r="I373" s="114">
        <v>9</v>
      </c>
      <c r="J373" s="114">
        <v>1</v>
      </c>
      <c r="K373" s="114">
        <v>0</v>
      </c>
      <c r="L373" s="114">
        <v>0</v>
      </c>
      <c r="M373" s="114">
        <v>0</v>
      </c>
      <c r="N373" s="114">
        <v>0</v>
      </c>
      <c r="O373" s="114">
        <v>0</v>
      </c>
      <c r="P373" s="114">
        <v>0</v>
      </c>
      <c r="Q373" s="114">
        <v>0</v>
      </c>
      <c r="R373" s="114">
        <v>0</v>
      </c>
      <c r="S373" s="114">
        <v>834.49503068156923</v>
      </c>
      <c r="T373" s="114">
        <v>834.49503068156923</v>
      </c>
      <c r="U373" s="114">
        <v>1408.3846153846155</v>
      </c>
      <c r="V373" s="114">
        <v>0</v>
      </c>
      <c r="W373" s="114">
        <v>0</v>
      </c>
      <c r="X373" s="114">
        <v>1365.173957061457</v>
      </c>
      <c r="Y373" s="114">
        <v>0.22912335412335413</v>
      </c>
      <c r="Z373" s="114">
        <v>9.7578828828828836</v>
      </c>
      <c r="AA373" s="114">
        <v>1.2993762993762994E-2</v>
      </c>
      <c r="AB373" s="657">
        <v>0</v>
      </c>
      <c r="AC373" s="657">
        <v>0</v>
      </c>
      <c r="AD373" s="768">
        <v>10</v>
      </c>
      <c r="AE373" s="769">
        <v>0.20621101871101871</v>
      </c>
      <c r="AF373" s="769">
        <v>8.7820945945945947</v>
      </c>
      <c r="AG373" s="770">
        <v>8.988305613305613</v>
      </c>
      <c r="AH373" s="769">
        <v>1.1694386694386695E-2</v>
      </c>
      <c r="AI373" s="769">
        <v>0.20829930512911277</v>
      </c>
      <c r="AJ373" s="769">
        <v>8.8710303312925927</v>
      </c>
      <c r="AK373" s="769">
        <v>9.079329636421706</v>
      </c>
      <c r="AL373" s="769">
        <v>1.1812815035677472E-2</v>
      </c>
      <c r="AM373" s="769">
        <v>0.1881580916301471</v>
      </c>
      <c r="AN373" s="769">
        <v>8.0132583106532778</v>
      </c>
      <c r="AO373" s="769">
        <v>8.2014164022834244</v>
      </c>
      <c r="AP373" s="769">
        <v>1.0670591207758814E-2</v>
      </c>
      <c r="AQ373" s="769">
        <v>0</v>
      </c>
      <c r="AR373" s="769">
        <v>0</v>
      </c>
      <c r="AS373" s="769">
        <v>8.2541479088448479</v>
      </c>
      <c r="AT373" s="769">
        <v>8.6569122516162373</v>
      </c>
      <c r="AU373" s="769">
        <v>9.079329636421706</v>
      </c>
      <c r="AV373" s="769">
        <v>9.5223590410559069</v>
      </c>
      <c r="AW373" s="769">
        <v>9.9870062370062378</v>
      </c>
      <c r="AX373" s="769">
        <v>7.4834161072663283</v>
      </c>
      <c r="AY373" s="769">
        <v>7.8341950197353425</v>
      </c>
      <c r="AZ373" s="769">
        <v>8.2014164022834244</v>
      </c>
      <c r="BA373" s="769">
        <v>8.5858509820343851</v>
      </c>
      <c r="BB373" s="769">
        <v>8.988305613305613</v>
      </c>
      <c r="BC373" s="769">
        <v>0</v>
      </c>
      <c r="BD373" s="769">
        <v>0</v>
      </c>
      <c r="BE373" s="769">
        <v>0</v>
      </c>
      <c r="BF373" s="769">
        <v>0</v>
      </c>
      <c r="BG373" s="769">
        <v>0</v>
      </c>
      <c r="BH373" s="771">
        <v>10.113419507725885</v>
      </c>
      <c r="BI373" s="771">
        <v>10.241432889092787</v>
      </c>
      <c r="BJ373" s="771">
        <v>10.371066634946347</v>
      </c>
      <c r="BK373" s="772">
        <v>10.302881422077085</v>
      </c>
      <c r="BL373" s="772">
        <v>10.235144497066504</v>
      </c>
      <c r="BM373" s="772">
        <v>10.308621222756088</v>
      </c>
      <c r="BN373" s="772">
        <v>10.382625427976576</v>
      </c>
      <c r="BO373" s="772">
        <v>10.457160899432575</v>
      </c>
      <c r="BP373" s="772">
        <v>10.532231451012933</v>
      </c>
      <c r="BQ373" s="772">
        <v>10.607840923985892</v>
      </c>
      <c r="BR373" s="772">
        <v>10.667389365221668</v>
      </c>
      <c r="BS373" s="772">
        <v>10.727272089077161</v>
      </c>
      <c r="BT373" s="772">
        <v>10.787490972089651</v>
      </c>
      <c r="BU373" s="772">
        <v>10.848047901330593</v>
      </c>
      <c r="BV373" s="772">
        <v>10.908944774464748</v>
      </c>
      <c r="BW373" s="771">
        <v>9.1020775569532955</v>
      </c>
      <c r="BX373" s="771">
        <v>9.2172896001835074</v>
      </c>
      <c r="BY373" s="771">
        <v>9.3339599714517121</v>
      </c>
      <c r="BZ373" s="772">
        <v>9.2725932798693762</v>
      </c>
      <c r="CA373" s="772">
        <v>9.2116300473598525</v>
      </c>
      <c r="CB373" s="772">
        <v>9.2777591004804787</v>
      </c>
      <c r="CC373" s="772">
        <v>9.3443628851789171</v>
      </c>
      <c r="CD373" s="772">
        <v>9.4114448094893177</v>
      </c>
      <c r="CE373" s="772">
        <v>9.4790083059116395</v>
      </c>
      <c r="CF373" s="772">
        <v>9.5470568315873017</v>
      </c>
      <c r="CG373" s="772">
        <v>9.6006504286995007</v>
      </c>
      <c r="CH373" s="772">
        <v>9.6545448801694445</v>
      </c>
      <c r="CI373" s="772">
        <v>9.7087418748806869</v>
      </c>
      <c r="CJ373" s="772">
        <v>9.763243111197534</v>
      </c>
      <c r="CK373" s="772">
        <v>9.8180502970182726</v>
      </c>
      <c r="CL373" s="771">
        <v>0</v>
      </c>
      <c r="CM373" s="771">
        <v>0</v>
      </c>
      <c r="CN373" s="771">
        <v>0</v>
      </c>
      <c r="CO373" s="772">
        <v>0</v>
      </c>
      <c r="CP373" s="772">
        <v>0</v>
      </c>
      <c r="CQ373" s="772">
        <v>0</v>
      </c>
      <c r="CR373" s="772">
        <v>0</v>
      </c>
      <c r="CS373" s="772">
        <v>0</v>
      </c>
      <c r="CT373" s="772">
        <v>0</v>
      </c>
      <c r="CU373" s="772">
        <v>0</v>
      </c>
      <c r="CV373" s="772">
        <v>0</v>
      </c>
      <c r="CW373" s="772">
        <v>0</v>
      </c>
      <c r="CX373" s="772">
        <v>0</v>
      </c>
      <c r="CY373" s="772">
        <v>0</v>
      </c>
      <c r="CZ373" s="772">
        <v>0</v>
      </c>
      <c r="DA373" s="773">
        <v>1.3158235112836175E-2</v>
      </c>
      <c r="DB373" s="773">
        <v>1.3324789082868575E-2</v>
      </c>
      <c r="DC373" s="773">
        <v>1.3493451255459728E-2</v>
      </c>
      <c r="DD373" s="774">
        <v>1.3404737733641797E-2</v>
      </c>
      <c r="DE373" s="774">
        <v>1.3316607464307186E-2</v>
      </c>
      <c r="DF373" s="774">
        <v>1.3412205598173415E-2</v>
      </c>
      <c r="DG373" s="774">
        <v>1.3508490018184459E-2</v>
      </c>
      <c r="DH373" s="774">
        <v>1.3605465651096247E-2</v>
      </c>
      <c r="DI373" s="774">
        <v>1.370313745903322E-2</v>
      </c>
      <c r="DJ373" s="774">
        <v>1.3801510439742247E-2</v>
      </c>
      <c r="DK373" s="774">
        <v>1.3878986944082315E-2</v>
      </c>
      <c r="DL373" s="774">
        <v>1.3956898372465731E-2</v>
      </c>
      <c r="DM373" s="774">
        <v>1.4035247166392989E-2</v>
      </c>
      <c r="DN373" s="774">
        <v>1.4114035781070249E-2</v>
      </c>
      <c r="DO373" s="774">
        <v>1.4193266685486271E-2</v>
      </c>
      <c r="DP373" s="773">
        <v>0</v>
      </c>
      <c r="DQ373" s="773">
        <v>0</v>
      </c>
      <c r="DR373" s="773">
        <v>0</v>
      </c>
      <c r="DS373" s="774">
        <v>0</v>
      </c>
      <c r="DT373" s="774">
        <v>0</v>
      </c>
      <c r="DU373" s="774">
        <v>0</v>
      </c>
      <c r="DV373" s="774">
        <v>0</v>
      </c>
      <c r="DW373" s="774">
        <v>0</v>
      </c>
      <c r="DX373" s="774">
        <v>0</v>
      </c>
      <c r="DY373" s="774">
        <v>0</v>
      </c>
      <c r="DZ373" s="774">
        <v>0</v>
      </c>
      <c r="EA373" s="774">
        <v>0</v>
      </c>
      <c r="EB373" s="774">
        <v>0</v>
      </c>
      <c r="EC373" s="774">
        <v>0</v>
      </c>
      <c r="ED373" s="774">
        <v>0</v>
      </c>
    </row>
    <row r="374" spans="1:134" ht="15" x14ac:dyDescent="0.25">
      <c r="A374" s="766">
        <v>136</v>
      </c>
      <c r="B374" s="766">
        <v>101</v>
      </c>
      <c r="C374" s="766" t="s">
        <v>4045</v>
      </c>
      <c r="D374" s="2">
        <v>99712</v>
      </c>
      <c r="E374" s="2">
        <v>99712</v>
      </c>
      <c r="F374" s="767" t="s">
        <v>3676</v>
      </c>
      <c r="G374" s="114">
        <v>4</v>
      </c>
      <c r="H374" s="114">
        <v>2</v>
      </c>
      <c r="I374" s="114">
        <v>2</v>
      </c>
      <c r="J374" s="114">
        <v>0</v>
      </c>
      <c r="K374" s="114">
        <v>0</v>
      </c>
      <c r="L374" s="114">
        <v>0</v>
      </c>
      <c r="M374" s="114">
        <v>0</v>
      </c>
      <c r="N374" s="114">
        <v>0</v>
      </c>
      <c r="O374" s="114">
        <v>0</v>
      </c>
      <c r="P374" s="114">
        <v>0</v>
      </c>
      <c r="Q374" s="114">
        <v>0</v>
      </c>
      <c r="R374" s="114">
        <v>0</v>
      </c>
      <c r="S374" s="114">
        <v>834.49503068156923</v>
      </c>
      <c r="T374" s="114">
        <v>834.49503068156923</v>
      </c>
      <c r="U374" s="114">
        <v>1408.3846153846155</v>
      </c>
      <c r="V374" s="114">
        <v>0</v>
      </c>
      <c r="W374" s="114">
        <v>0</v>
      </c>
      <c r="X374" s="114">
        <v>1365.173957061457</v>
      </c>
      <c r="Y374" s="114">
        <v>4.5824670824670823E-2</v>
      </c>
      <c r="Z374" s="114">
        <v>1.9515765765765767</v>
      </c>
      <c r="AA374" s="114">
        <v>2.5987525987525989E-3</v>
      </c>
      <c r="AB374" s="657">
        <v>0</v>
      </c>
      <c r="AC374" s="657">
        <v>0</v>
      </c>
      <c r="AD374" s="768">
        <v>2</v>
      </c>
      <c r="AE374" s="769">
        <v>4.5824670824670823E-2</v>
      </c>
      <c r="AF374" s="769">
        <v>1.9515765765765767</v>
      </c>
      <c r="AG374" s="770">
        <v>1.9974012474012475</v>
      </c>
      <c r="AH374" s="769">
        <v>2.5987525987525989E-3</v>
      </c>
      <c r="AI374" s="769">
        <v>4.1659861025822545E-2</v>
      </c>
      <c r="AJ374" s="769">
        <v>1.7742060662585184</v>
      </c>
      <c r="AK374" s="769">
        <v>1.8158659272843409</v>
      </c>
      <c r="AL374" s="769">
        <v>2.3625630071354943E-3</v>
      </c>
      <c r="AM374" s="769">
        <v>4.1812909251143796E-2</v>
      </c>
      <c r="AN374" s="769">
        <v>1.7807240690340618</v>
      </c>
      <c r="AO374" s="769">
        <v>1.8225369782852057</v>
      </c>
      <c r="AP374" s="769">
        <v>2.3712424906130701E-3</v>
      </c>
      <c r="AQ374" s="769">
        <v>0</v>
      </c>
      <c r="AR374" s="769">
        <v>0</v>
      </c>
      <c r="AS374" s="769">
        <v>1.6508295817689698</v>
      </c>
      <c r="AT374" s="769">
        <v>1.7313824503232471</v>
      </c>
      <c r="AU374" s="769">
        <v>1.8158659272843409</v>
      </c>
      <c r="AV374" s="769">
        <v>1.9044718082111811</v>
      </c>
      <c r="AW374" s="769">
        <v>1.9974012474012475</v>
      </c>
      <c r="AX374" s="769">
        <v>1.6629813571702954</v>
      </c>
      <c r="AY374" s="769">
        <v>1.740932226607854</v>
      </c>
      <c r="AZ374" s="769">
        <v>1.8225369782852054</v>
      </c>
      <c r="BA374" s="769">
        <v>1.9079668848965303</v>
      </c>
      <c r="BB374" s="769">
        <v>1.9974012474012475</v>
      </c>
      <c r="BC374" s="769">
        <v>0</v>
      </c>
      <c r="BD374" s="769">
        <v>0</v>
      </c>
      <c r="BE374" s="769">
        <v>0</v>
      </c>
      <c r="BF374" s="769">
        <v>0</v>
      </c>
      <c r="BG374" s="769">
        <v>0</v>
      </c>
      <c r="BH374" s="771">
        <v>2.022683901545177</v>
      </c>
      <c r="BI374" s="771">
        <v>2.0482865778185571</v>
      </c>
      <c r="BJ374" s="771">
        <v>2.0742133269892693</v>
      </c>
      <c r="BK374" s="772">
        <v>2.0605762844154167</v>
      </c>
      <c r="BL374" s="772">
        <v>2.0470288994133008</v>
      </c>
      <c r="BM374" s="772">
        <v>2.0617242445512174</v>
      </c>
      <c r="BN374" s="772">
        <v>2.076525085595315</v>
      </c>
      <c r="BO374" s="772">
        <v>2.0914321798865152</v>
      </c>
      <c r="BP374" s="772">
        <v>2.1064462902025864</v>
      </c>
      <c r="BQ374" s="772">
        <v>2.1215681847971783</v>
      </c>
      <c r="BR374" s="772">
        <v>2.1334778730443333</v>
      </c>
      <c r="BS374" s="772">
        <v>2.145454417815432</v>
      </c>
      <c r="BT374" s="772">
        <v>2.1574981944179301</v>
      </c>
      <c r="BU374" s="772">
        <v>2.1696095802661186</v>
      </c>
      <c r="BV374" s="772">
        <v>2.1817889548929497</v>
      </c>
      <c r="BW374" s="771">
        <v>2.022683901545177</v>
      </c>
      <c r="BX374" s="771">
        <v>2.0482865778185571</v>
      </c>
      <c r="BY374" s="771">
        <v>2.0742133269892693</v>
      </c>
      <c r="BZ374" s="772">
        <v>2.0605762844154167</v>
      </c>
      <c r="CA374" s="772">
        <v>2.0470288994133008</v>
      </c>
      <c r="CB374" s="772">
        <v>2.0617242445512174</v>
      </c>
      <c r="CC374" s="772">
        <v>2.076525085595315</v>
      </c>
      <c r="CD374" s="772">
        <v>2.0914321798865152</v>
      </c>
      <c r="CE374" s="772">
        <v>2.1064462902025864</v>
      </c>
      <c r="CF374" s="772">
        <v>2.1215681847971783</v>
      </c>
      <c r="CG374" s="772">
        <v>2.1334778730443333</v>
      </c>
      <c r="CH374" s="772">
        <v>2.145454417815432</v>
      </c>
      <c r="CI374" s="772">
        <v>2.1574981944179301</v>
      </c>
      <c r="CJ374" s="772">
        <v>2.1696095802661186</v>
      </c>
      <c r="CK374" s="772">
        <v>2.1817889548929497</v>
      </c>
      <c r="CL374" s="771">
        <v>0</v>
      </c>
      <c r="CM374" s="771">
        <v>0</v>
      </c>
      <c r="CN374" s="771">
        <v>0</v>
      </c>
      <c r="CO374" s="772">
        <v>0</v>
      </c>
      <c r="CP374" s="772">
        <v>0</v>
      </c>
      <c r="CQ374" s="772">
        <v>0</v>
      </c>
      <c r="CR374" s="772">
        <v>0</v>
      </c>
      <c r="CS374" s="772">
        <v>0</v>
      </c>
      <c r="CT374" s="772">
        <v>0</v>
      </c>
      <c r="CU374" s="772">
        <v>0</v>
      </c>
      <c r="CV374" s="772">
        <v>0</v>
      </c>
      <c r="CW374" s="772">
        <v>0</v>
      </c>
      <c r="CX374" s="772">
        <v>0</v>
      </c>
      <c r="CY374" s="772">
        <v>0</v>
      </c>
      <c r="CZ374" s="772">
        <v>0</v>
      </c>
      <c r="DA374" s="773">
        <v>2.6316470225672354E-3</v>
      </c>
      <c r="DB374" s="773">
        <v>2.6649578165737148E-3</v>
      </c>
      <c r="DC374" s="773">
        <v>2.6986902510919455E-3</v>
      </c>
      <c r="DD374" s="774">
        <v>2.6809475467283591E-3</v>
      </c>
      <c r="DE374" s="774">
        <v>2.6633214928614372E-3</v>
      </c>
      <c r="DF374" s="774">
        <v>2.6824411196346831E-3</v>
      </c>
      <c r="DG374" s="774">
        <v>2.7016980036368918E-3</v>
      </c>
      <c r="DH374" s="774">
        <v>2.7210931302192494E-3</v>
      </c>
      <c r="DI374" s="774">
        <v>2.7406274918066438E-3</v>
      </c>
      <c r="DJ374" s="774">
        <v>2.7603020879484494E-3</v>
      </c>
      <c r="DK374" s="774">
        <v>2.775797388816463E-3</v>
      </c>
      <c r="DL374" s="774">
        <v>2.7913796744931463E-3</v>
      </c>
      <c r="DM374" s="774">
        <v>2.8070494332785977E-3</v>
      </c>
      <c r="DN374" s="774">
        <v>2.8228071562140496E-3</v>
      </c>
      <c r="DO374" s="774">
        <v>2.8386533370972542E-3</v>
      </c>
      <c r="DP374" s="773">
        <v>0</v>
      </c>
      <c r="DQ374" s="773">
        <v>0</v>
      </c>
      <c r="DR374" s="773">
        <v>0</v>
      </c>
      <c r="DS374" s="774">
        <v>0</v>
      </c>
      <c r="DT374" s="774">
        <v>0</v>
      </c>
      <c r="DU374" s="774">
        <v>0</v>
      </c>
      <c r="DV374" s="774">
        <v>0</v>
      </c>
      <c r="DW374" s="774">
        <v>0</v>
      </c>
      <c r="DX374" s="774">
        <v>0</v>
      </c>
      <c r="DY374" s="774">
        <v>0</v>
      </c>
      <c r="DZ374" s="774">
        <v>0</v>
      </c>
      <c r="EA374" s="774">
        <v>0</v>
      </c>
      <c r="EB374" s="774">
        <v>0</v>
      </c>
      <c r="EC374" s="774">
        <v>0</v>
      </c>
      <c r="ED374" s="774">
        <v>0</v>
      </c>
    </row>
    <row r="375" spans="1:134" ht="15" x14ac:dyDescent="0.25">
      <c r="A375" s="766">
        <v>92</v>
      </c>
      <c r="B375" s="766">
        <v>102</v>
      </c>
      <c r="C375" s="766" t="s">
        <v>4046</v>
      </c>
      <c r="D375" s="2">
        <v>99709</v>
      </c>
      <c r="E375" s="2">
        <v>99709</v>
      </c>
      <c r="F375" s="767" t="s">
        <v>3676</v>
      </c>
      <c r="G375" s="114">
        <v>14</v>
      </c>
      <c r="H375" s="114">
        <v>13</v>
      </c>
      <c r="I375" s="114">
        <v>6</v>
      </c>
      <c r="J375" s="114">
        <v>7</v>
      </c>
      <c r="K375" s="114">
        <v>0</v>
      </c>
      <c r="L375" s="114">
        <v>0</v>
      </c>
      <c r="M375" s="114">
        <v>0</v>
      </c>
      <c r="N375" s="114">
        <v>0</v>
      </c>
      <c r="O375" s="114">
        <v>0</v>
      </c>
      <c r="P375" s="114">
        <v>0</v>
      </c>
      <c r="Q375" s="114">
        <v>0</v>
      </c>
      <c r="R375" s="114">
        <v>0</v>
      </c>
      <c r="S375" s="114">
        <v>834.49503068156923</v>
      </c>
      <c r="T375" s="114">
        <v>834.49503068156923</v>
      </c>
      <c r="U375" s="114">
        <v>1408.3846153846155</v>
      </c>
      <c r="V375" s="114">
        <v>0</v>
      </c>
      <c r="W375" s="114">
        <v>0</v>
      </c>
      <c r="X375" s="114">
        <v>1365.173957061457</v>
      </c>
      <c r="Y375" s="114">
        <v>0.29786036036036034</v>
      </c>
      <c r="Z375" s="114">
        <v>12.685247747747749</v>
      </c>
      <c r="AA375" s="114">
        <v>1.6891891891891893E-2</v>
      </c>
      <c r="AB375" s="657">
        <v>0</v>
      </c>
      <c r="AC375" s="657">
        <v>0</v>
      </c>
      <c r="AD375" s="768">
        <v>13</v>
      </c>
      <c r="AE375" s="769">
        <v>0.13747401247401247</v>
      </c>
      <c r="AF375" s="769">
        <v>5.8547297297297298</v>
      </c>
      <c r="AG375" s="770">
        <v>5.992203742203742</v>
      </c>
      <c r="AH375" s="769">
        <v>7.7962577962577967E-3</v>
      </c>
      <c r="AI375" s="769">
        <v>0.28361024265714757</v>
      </c>
      <c r="AJ375" s="769">
        <v>12.078365135771037</v>
      </c>
      <c r="AK375" s="769">
        <v>12.361975378428184</v>
      </c>
      <c r="AL375" s="769">
        <v>1.6083756672428031E-2</v>
      </c>
      <c r="AM375" s="769">
        <v>0.13114397055276233</v>
      </c>
      <c r="AN375" s="769">
        <v>5.5851465266222737</v>
      </c>
      <c r="AO375" s="769">
        <v>5.7162904971750361</v>
      </c>
      <c r="AP375" s="769">
        <v>7.4372762128220608E-3</v>
      </c>
      <c r="AQ375" s="769">
        <v>0</v>
      </c>
      <c r="AR375" s="769">
        <v>0</v>
      </c>
      <c r="AS375" s="769">
        <v>11.770558635449371</v>
      </c>
      <c r="AT375" s="769">
        <v>12.062642995702491</v>
      </c>
      <c r="AU375" s="769">
        <v>12.361975378428184</v>
      </c>
      <c r="AV375" s="769">
        <v>12.668735642040359</v>
      </c>
      <c r="AW375" s="769">
        <v>12.983108108108109</v>
      </c>
      <c r="AX375" s="769">
        <v>5.4530817799056388</v>
      </c>
      <c r="AY375" s="769">
        <v>5.5831352803593202</v>
      </c>
      <c r="AZ375" s="769">
        <v>5.7162904971750352</v>
      </c>
      <c r="BA375" s="769">
        <v>5.8526214048660226</v>
      </c>
      <c r="BB375" s="769">
        <v>5.992203742203742</v>
      </c>
      <c r="BC375" s="769">
        <v>0</v>
      </c>
      <c r="BD375" s="769">
        <v>0</v>
      </c>
      <c r="BE375" s="769">
        <v>0</v>
      </c>
      <c r="BF375" s="769">
        <v>0</v>
      </c>
      <c r="BG375" s="769">
        <v>0</v>
      </c>
      <c r="BH375" s="771">
        <v>13.049615754357898</v>
      </c>
      <c r="BI375" s="771">
        <v>13.116464094605833</v>
      </c>
      <c r="BJ375" s="771">
        <v>13.183654874100869</v>
      </c>
      <c r="BK375" s="772">
        <v>13.096978127568702</v>
      </c>
      <c r="BL375" s="772">
        <v>13.010871242615979</v>
      </c>
      <c r="BM375" s="772">
        <v>13.104274537269042</v>
      </c>
      <c r="BN375" s="772">
        <v>13.198348361611421</v>
      </c>
      <c r="BO375" s="772">
        <v>13.29309752928557</v>
      </c>
      <c r="BP375" s="772">
        <v>13.388526888490428</v>
      </c>
      <c r="BQ375" s="772">
        <v>13.484641322229511</v>
      </c>
      <c r="BR375" s="772">
        <v>13.560339042162944</v>
      </c>
      <c r="BS375" s="772">
        <v>13.636461700711072</v>
      </c>
      <c r="BT375" s="772">
        <v>13.713011683319937</v>
      </c>
      <c r="BU375" s="772">
        <v>13.789991388826579</v>
      </c>
      <c r="BV375" s="772">
        <v>13.867403229534201</v>
      </c>
      <c r="BW375" s="771">
        <v>6.022899578934414</v>
      </c>
      <c r="BX375" s="771">
        <v>6.0537526590488451</v>
      </c>
      <c r="BY375" s="771">
        <v>6.0847637880465539</v>
      </c>
      <c r="BZ375" s="772">
        <v>6.0447591358009385</v>
      </c>
      <c r="CA375" s="772">
        <v>6.0050174965919894</v>
      </c>
      <c r="CB375" s="772">
        <v>6.0481267095087876</v>
      </c>
      <c r="CC375" s="772">
        <v>6.0915453976668088</v>
      </c>
      <c r="CD375" s="772">
        <v>6.1352757827471853</v>
      </c>
      <c r="CE375" s="772">
        <v>6.1793201023801974</v>
      </c>
      <c r="CF375" s="772">
        <v>6.2236806102597733</v>
      </c>
      <c r="CG375" s="772">
        <v>6.2586180194598189</v>
      </c>
      <c r="CH375" s="772">
        <v>6.2937515541743405</v>
      </c>
      <c r="CI375" s="772">
        <v>6.3290823153784324</v>
      </c>
      <c r="CJ375" s="772">
        <v>6.364611410227651</v>
      </c>
      <c r="CK375" s="772">
        <v>6.4003399520927076</v>
      </c>
      <c r="CL375" s="771">
        <v>0</v>
      </c>
      <c r="CM375" s="771">
        <v>0</v>
      </c>
      <c r="CN375" s="771">
        <v>0</v>
      </c>
      <c r="CO375" s="772">
        <v>0</v>
      </c>
      <c r="CP375" s="772">
        <v>0</v>
      </c>
      <c r="CQ375" s="772">
        <v>0</v>
      </c>
      <c r="CR375" s="772">
        <v>0</v>
      </c>
      <c r="CS375" s="772">
        <v>0</v>
      </c>
      <c r="CT375" s="772">
        <v>0</v>
      </c>
      <c r="CU375" s="772">
        <v>0</v>
      </c>
      <c r="CV375" s="772">
        <v>0</v>
      </c>
      <c r="CW375" s="772">
        <v>0</v>
      </c>
      <c r="CX375" s="772">
        <v>0</v>
      </c>
      <c r="CY375" s="772">
        <v>0</v>
      </c>
      <c r="CZ375" s="772">
        <v>0</v>
      </c>
      <c r="DA375" s="773">
        <v>1.6978422787350896E-2</v>
      </c>
      <c r="DB375" s="773">
        <v>1.7065396948485342E-2</v>
      </c>
      <c r="DC375" s="773">
        <v>1.7152816645980833E-2</v>
      </c>
      <c r="DD375" s="774">
        <v>1.7040044402249155E-2</v>
      </c>
      <c r="DE375" s="774">
        <v>1.6928013586541734E-2</v>
      </c>
      <c r="DF375" s="774">
        <v>1.7049537519215511E-2</v>
      </c>
      <c r="DG375" s="774">
        <v>1.717193385585665E-2</v>
      </c>
      <c r="DH375" s="774">
        <v>1.7295208859335897E-2</v>
      </c>
      <c r="DI375" s="774">
        <v>1.7419368837484295E-2</v>
      </c>
      <c r="DJ375" s="774">
        <v>1.7544420143415961E-2</v>
      </c>
      <c r="DK375" s="774">
        <v>1.7642907939322071E-2</v>
      </c>
      <c r="DL375" s="774">
        <v>1.7741948608783597E-2</v>
      </c>
      <c r="DM375" s="774">
        <v>1.7841545255425369E-2</v>
      </c>
      <c r="DN375" s="774">
        <v>1.7941701000294793E-2</v>
      </c>
      <c r="DO375" s="774">
        <v>1.8042418981959667E-2</v>
      </c>
      <c r="DP375" s="773">
        <v>0</v>
      </c>
      <c r="DQ375" s="773">
        <v>0</v>
      </c>
      <c r="DR375" s="773">
        <v>0</v>
      </c>
      <c r="DS375" s="774">
        <v>0</v>
      </c>
      <c r="DT375" s="774">
        <v>0</v>
      </c>
      <c r="DU375" s="774">
        <v>0</v>
      </c>
      <c r="DV375" s="774">
        <v>0</v>
      </c>
      <c r="DW375" s="774">
        <v>0</v>
      </c>
      <c r="DX375" s="774">
        <v>0</v>
      </c>
      <c r="DY375" s="774">
        <v>0</v>
      </c>
      <c r="DZ375" s="774">
        <v>0</v>
      </c>
      <c r="EA375" s="774">
        <v>0</v>
      </c>
      <c r="EB375" s="774">
        <v>0</v>
      </c>
      <c r="EC375" s="774">
        <v>0</v>
      </c>
      <c r="ED375" s="774">
        <v>0</v>
      </c>
    </row>
    <row r="376" spans="1:134" ht="15" x14ac:dyDescent="0.25">
      <c r="A376" s="766">
        <v>95</v>
      </c>
      <c r="B376" s="766">
        <v>102</v>
      </c>
      <c r="C376" s="766" t="s">
        <v>4047</v>
      </c>
      <c r="D376" s="2">
        <v>99709</v>
      </c>
      <c r="E376" s="2">
        <v>99709</v>
      </c>
      <c r="F376" s="767" t="s">
        <v>3676</v>
      </c>
      <c r="G376" s="114">
        <v>295</v>
      </c>
      <c r="H376" s="114">
        <v>124</v>
      </c>
      <c r="I376" s="114">
        <v>117</v>
      </c>
      <c r="J376" s="114">
        <v>7</v>
      </c>
      <c r="K376" s="114">
        <v>0</v>
      </c>
      <c r="L376" s="114">
        <v>0</v>
      </c>
      <c r="M376" s="114">
        <v>0</v>
      </c>
      <c r="N376" s="114">
        <v>0</v>
      </c>
      <c r="O376" s="114">
        <v>0</v>
      </c>
      <c r="P376" s="114">
        <v>0</v>
      </c>
      <c r="Q376" s="114">
        <v>0</v>
      </c>
      <c r="R376" s="114">
        <v>0</v>
      </c>
      <c r="S376" s="114">
        <v>834.49503068156923</v>
      </c>
      <c r="T376" s="114">
        <v>834.49503068156923</v>
      </c>
      <c r="U376" s="114">
        <v>1408.3846153846155</v>
      </c>
      <c r="V376" s="114">
        <v>0</v>
      </c>
      <c r="W376" s="114">
        <v>0</v>
      </c>
      <c r="X376" s="114">
        <v>1365.173957061457</v>
      </c>
      <c r="Y376" s="114">
        <v>2.8411295911295911</v>
      </c>
      <c r="Z376" s="114">
        <v>120.99774774774775</v>
      </c>
      <c r="AA376" s="114">
        <v>0.16112266112266113</v>
      </c>
      <c r="AB376" s="657">
        <v>0</v>
      </c>
      <c r="AC376" s="657">
        <v>0</v>
      </c>
      <c r="AD376" s="768">
        <v>124</v>
      </c>
      <c r="AE376" s="769">
        <v>2.680743243243243</v>
      </c>
      <c r="AF376" s="769">
        <v>114.16722972972973</v>
      </c>
      <c r="AG376" s="770">
        <v>116.84797297297297</v>
      </c>
      <c r="AH376" s="769">
        <v>0.15202702702702703</v>
      </c>
      <c r="AI376" s="769">
        <v>2.705205391498946</v>
      </c>
      <c r="AJ376" s="769">
        <v>115.20902129504681</v>
      </c>
      <c r="AK376" s="769">
        <v>117.91422668654576</v>
      </c>
      <c r="AL376" s="769">
        <v>0.1534142944139289</v>
      </c>
      <c r="AM376" s="769">
        <v>2.5573074257788653</v>
      </c>
      <c r="AN376" s="769">
        <v>108.91035726913432</v>
      </c>
      <c r="AO376" s="769">
        <v>111.46766469491318</v>
      </c>
      <c r="AP376" s="769">
        <v>0.14502688615003018</v>
      </c>
      <c r="AQ376" s="769">
        <v>0</v>
      </c>
      <c r="AR376" s="769">
        <v>0</v>
      </c>
      <c r="AS376" s="769">
        <v>112.27302083044015</v>
      </c>
      <c r="AT376" s="769">
        <v>115.05905626670068</v>
      </c>
      <c r="AU376" s="769">
        <v>117.91422668654575</v>
      </c>
      <c r="AV376" s="769">
        <v>120.8402476625388</v>
      </c>
      <c r="AW376" s="769">
        <v>123.83887733887734</v>
      </c>
      <c r="AX376" s="769">
        <v>106.33509470815997</v>
      </c>
      <c r="AY376" s="769">
        <v>108.87113796700673</v>
      </c>
      <c r="AZ376" s="769">
        <v>111.4676646949132</v>
      </c>
      <c r="BA376" s="769">
        <v>114.12611739488744</v>
      </c>
      <c r="BB376" s="769">
        <v>116.84797297297297</v>
      </c>
      <c r="BC376" s="769">
        <v>0</v>
      </c>
      <c r="BD376" s="769">
        <v>0</v>
      </c>
      <c r="BE376" s="769">
        <v>0</v>
      </c>
      <c r="BF376" s="769">
        <v>0</v>
      </c>
      <c r="BG376" s="769">
        <v>0</v>
      </c>
      <c r="BH376" s="771">
        <v>124.47325796464456</v>
      </c>
      <c r="BI376" s="771">
        <v>125.11088828700947</v>
      </c>
      <c r="BJ376" s="771">
        <v>125.75178495296213</v>
      </c>
      <c r="BK376" s="772">
        <v>124.92502213988607</v>
      </c>
      <c r="BL376" s="772">
        <v>124.10369492956779</v>
      </c>
      <c r="BM376" s="772">
        <v>124.99461866318163</v>
      </c>
      <c r="BN376" s="772">
        <v>125.89193821844739</v>
      </c>
      <c r="BO376" s="772">
        <v>126.79569951010851</v>
      </c>
      <c r="BP376" s="772">
        <v>127.70594878252409</v>
      </c>
      <c r="BQ376" s="772">
        <v>128.62273261203532</v>
      </c>
      <c r="BR376" s="772">
        <v>129.34477240216961</v>
      </c>
      <c r="BS376" s="772">
        <v>130.07086545293637</v>
      </c>
      <c r="BT376" s="772">
        <v>130.80103451782094</v>
      </c>
      <c r="BU376" s="772">
        <v>131.53530247803812</v>
      </c>
      <c r="BV376" s="772">
        <v>132.27369234324931</v>
      </c>
      <c r="BW376" s="771">
        <v>117.44654178922107</v>
      </c>
      <c r="BX376" s="771">
        <v>118.04817685145248</v>
      </c>
      <c r="BY376" s="771">
        <v>118.6528938669078</v>
      </c>
      <c r="BZ376" s="772">
        <v>117.87280314811831</v>
      </c>
      <c r="CA376" s="772">
        <v>117.09784118354379</v>
      </c>
      <c r="CB376" s="772">
        <v>117.93847083542137</v>
      </c>
      <c r="CC376" s="772">
        <v>118.78513525450278</v>
      </c>
      <c r="CD376" s="772">
        <v>119.63787776357012</v>
      </c>
      <c r="CE376" s="772">
        <v>120.49674199641385</v>
      </c>
      <c r="CF376" s="772">
        <v>121.36177190006558</v>
      </c>
      <c r="CG376" s="772">
        <v>122.04305137946648</v>
      </c>
      <c r="CH376" s="772">
        <v>122.72815530639964</v>
      </c>
      <c r="CI376" s="772">
        <v>123.41710514987943</v>
      </c>
      <c r="CJ376" s="772">
        <v>124.10992249943919</v>
      </c>
      <c r="CK376" s="772">
        <v>124.8066290658078</v>
      </c>
      <c r="CL376" s="771">
        <v>0</v>
      </c>
      <c r="CM376" s="771">
        <v>0</v>
      </c>
      <c r="CN376" s="771">
        <v>0</v>
      </c>
      <c r="CO376" s="772">
        <v>0</v>
      </c>
      <c r="CP376" s="772">
        <v>0</v>
      </c>
      <c r="CQ376" s="772">
        <v>0</v>
      </c>
      <c r="CR376" s="772">
        <v>0</v>
      </c>
      <c r="CS376" s="772">
        <v>0</v>
      </c>
      <c r="CT376" s="772">
        <v>0</v>
      </c>
      <c r="CU376" s="772">
        <v>0</v>
      </c>
      <c r="CV376" s="772">
        <v>0</v>
      </c>
      <c r="CW376" s="772">
        <v>0</v>
      </c>
      <c r="CX376" s="772">
        <v>0</v>
      </c>
      <c r="CY376" s="772">
        <v>0</v>
      </c>
      <c r="CZ376" s="772">
        <v>0</v>
      </c>
      <c r="DA376" s="773">
        <v>0.16194803274088548</v>
      </c>
      <c r="DB376" s="773">
        <v>0.16277763243170632</v>
      </c>
      <c r="DC376" s="773">
        <v>0.16361148185397104</v>
      </c>
      <c r="DD376" s="774">
        <v>0.16253580814453042</v>
      </c>
      <c r="DE376" s="774">
        <v>0.16146720651778274</v>
      </c>
      <c r="DF376" s="774">
        <v>0.16262635787559412</v>
      </c>
      <c r="DG376" s="774">
        <v>0.1637938306250942</v>
      </c>
      <c r="DH376" s="774">
        <v>0.16496968450443472</v>
      </c>
      <c r="DI376" s="774">
        <v>0.16615397968061943</v>
      </c>
      <c r="DJ376" s="774">
        <v>0.16734677675258305</v>
      </c>
      <c r="DK376" s="774">
        <v>0.16828619880584131</v>
      </c>
      <c r="DL376" s="774">
        <v>0.16923089442224354</v>
      </c>
      <c r="DM376" s="774">
        <v>0.17018089320559582</v>
      </c>
      <c r="DN376" s="774">
        <v>0.17113622492588881</v>
      </c>
      <c r="DO376" s="774">
        <v>0.17209691952023071</v>
      </c>
      <c r="DP376" s="773">
        <v>0</v>
      </c>
      <c r="DQ376" s="773">
        <v>0</v>
      </c>
      <c r="DR376" s="773">
        <v>0</v>
      </c>
      <c r="DS376" s="774">
        <v>0</v>
      </c>
      <c r="DT376" s="774">
        <v>0</v>
      </c>
      <c r="DU376" s="774">
        <v>0</v>
      </c>
      <c r="DV376" s="774">
        <v>0</v>
      </c>
      <c r="DW376" s="774">
        <v>0</v>
      </c>
      <c r="DX376" s="774">
        <v>0</v>
      </c>
      <c r="DY376" s="774">
        <v>0</v>
      </c>
      <c r="DZ376" s="774">
        <v>0</v>
      </c>
      <c r="EA376" s="774">
        <v>0</v>
      </c>
      <c r="EB376" s="774">
        <v>0</v>
      </c>
      <c r="EC376" s="774">
        <v>0</v>
      </c>
      <c r="ED376" s="774">
        <v>0</v>
      </c>
    </row>
    <row r="377" spans="1:134" ht="15" x14ac:dyDescent="0.25">
      <c r="A377" s="766">
        <v>103</v>
      </c>
      <c r="B377" s="766">
        <v>102</v>
      </c>
      <c r="C377" s="766" t="s">
        <v>4048</v>
      </c>
      <c r="D377" s="2">
        <v>99709</v>
      </c>
      <c r="E377" s="2">
        <v>99709</v>
      </c>
      <c r="F377" s="767" t="s">
        <v>3746</v>
      </c>
      <c r="G377" s="114">
        <v>4</v>
      </c>
      <c r="H377" s="114">
        <v>1</v>
      </c>
      <c r="I377" s="114">
        <v>1</v>
      </c>
      <c r="J377" s="114">
        <v>0</v>
      </c>
      <c r="K377" s="114">
        <v>0</v>
      </c>
      <c r="L377" s="114">
        <v>12</v>
      </c>
      <c r="M377" s="114">
        <v>12</v>
      </c>
      <c r="N377" s="114">
        <v>0</v>
      </c>
      <c r="O377" s="114">
        <v>0</v>
      </c>
      <c r="P377" s="114">
        <v>0</v>
      </c>
      <c r="Q377" s="114">
        <v>12</v>
      </c>
      <c r="R377" s="114">
        <v>0</v>
      </c>
      <c r="S377" s="114">
        <v>1443.5833333333333</v>
      </c>
      <c r="T377" s="114">
        <v>1443.5833333333333</v>
      </c>
      <c r="U377" s="114">
        <v>0</v>
      </c>
      <c r="V377" s="114">
        <v>0</v>
      </c>
      <c r="W377" s="114">
        <v>0</v>
      </c>
      <c r="X377" s="114">
        <v>1443.5833333333333</v>
      </c>
      <c r="Y377" s="114">
        <v>0</v>
      </c>
      <c r="Z377" s="114">
        <v>1</v>
      </c>
      <c r="AA377" s="114">
        <v>0</v>
      </c>
      <c r="AB377" s="657">
        <v>0</v>
      </c>
      <c r="AC377" s="657">
        <v>0</v>
      </c>
      <c r="AD377" s="768">
        <v>1</v>
      </c>
      <c r="AE377" s="769">
        <v>0</v>
      </c>
      <c r="AF377" s="769">
        <v>1</v>
      </c>
      <c r="AG377" s="770">
        <v>1</v>
      </c>
      <c r="AH377" s="769">
        <v>0</v>
      </c>
      <c r="AI377" s="769">
        <v>0</v>
      </c>
      <c r="AJ377" s="769">
        <v>0.95215839500773936</v>
      </c>
      <c r="AK377" s="769">
        <v>0.95215839500773936</v>
      </c>
      <c r="AL377" s="769">
        <v>0</v>
      </c>
      <c r="AM377" s="769">
        <v>0</v>
      </c>
      <c r="AN377" s="769">
        <v>0.95395462889797633</v>
      </c>
      <c r="AO377" s="769">
        <v>0.95395462889797633</v>
      </c>
      <c r="AP377" s="769">
        <v>0</v>
      </c>
      <c r="AQ377" s="769">
        <v>0</v>
      </c>
      <c r="AR377" s="769">
        <v>0</v>
      </c>
      <c r="AS377" s="769">
        <v>0.90660560918371424</v>
      </c>
      <c r="AT377" s="769">
        <v>0.92910286930209141</v>
      </c>
      <c r="AU377" s="769">
        <v>0.95215839500773936</v>
      </c>
      <c r="AV377" s="769">
        <v>0.97578603956386833</v>
      </c>
      <c r="AW377" s="769">
        <v>1</v>
      </c>
      <c r="AX377" s="769">
        <v>0.91002943399587566</v>
      </c>
      <c r="AY377" s="769">
        <v>0.93173321878838855</v>
      </c>
      <c r="AZ377" s="769">
        <v>0.95395462889797633</v>
      </c>
      <c r="BA377" s="769">
        <v>0.97670600945114305</v>
      </c>
      <c r="BB377" s="769">
        <v>1</v>
      </c>
      <c r="BC377" s="769">
        <v>0</v>
      </c>
      <c r="BD377" s="769">
        <v>0</v>
      </c>
      <c r="BE377" s="769">
        <v>0</v>
      </c>
      <c r="BF377" s="769">
        <v>0</v>
      </c>
      <c r="BG377" s="769">
        <v>0</v>
      </c>
      <c r="BH377" s="771">
        <v>1.005122629011173</v>
      </c>
      <c r="BI377" s="771">
        <v>1.0102714993503321</v>
      </c>
      <c r="BJ377" s="771">
        <v>1.0154467454420653</v>
      </c>
      <c r="BK377" s="772">
        <v>1.0087706286131499</v>
      </c>
      <c r="BL377" s="772">
        <v>1.0021384043232706</v>
      </c>
      <c r="BM377" s="772">
        <v>1.0093326211375582</v>
      </c>
      <c r="BN377" s="772">
        <v>1.0165784842667136</v>
      </c>
      <c r="BO377" s="772">
        <v>1.0238763644726849</v>
      </c>
      <c r="BP377" s="772">
        <v>1.0312266351790702</v>
      </c>
      <c r="BQ377" s="772">
        <v>1.0386296724902249</v>
      </c>
      <c r="BR377" s="772">
        <v>1.0444601500078665</v>
      </c>
      <c r="BS377" s="772">
        <v>1.0503233576399889</v>
      </c>
      <c r="BT377" s="772">
        <v>1.0562194791211816</v>
      </c>
      <c r="BU377" s="772">
        <v>1.0621486992174518</v>
      </c>
      <c r="BV377" s="772">
        <v>1.0681112037320122</v>
      </c>
      <c r="BW377" s="771">
        <v>1.005122629011173</v>
      </c>
      <c r="BX377" s="771">
        <v>1.0102714993503321</v>
      </c>
      <c r="BY377" s="771">
        <v>1.0154467454420653</v>
      </c>
      <c r="BZ377" s="772">
        <v>1.0087706286131499</v>
      </c>
      <c r="CA377" s="772">
        <v>1.0021384043232706</v>
      </c>
      <c r="CB377" s="772">
        <v>1.0093326211375582</v>
      </c>
      <c r="CC377" s="772">
        <v>1.0165784842667136</v>
      </c>
      <c r="CD377" s="772">
        <v>1.0238763644726849</v>
      </c>
      <c r="CE377" s="772">
        <v>1.0312266351790702</v>
      </c>
      <c r="CF377" s="772">
        <v>1.0386296724902249</v>
      </c>
      <c r="CG377" s="772">
        <v>1.0444601500078665</v>
      </c>
      <c r="CH377" s="772">
        <v>1.0503233576399889</v>
      </c>
      <c r="CI377" s="772">
        <v>1.0562194791211816</v>
      </c>
      <c r="CJ377" s="772">
        <v>1.0621486992174518</v>
      </c>
      <c r="CK377" s="772">
        <v>1.0681112037320122</v>
      </c>
      <c r="CL377" s="771">
        <v>0</v>
      </c>
      <c r="CM377" s="771">
        <v>0</v>
      </c>
      <c r="CN377" s="771">
        <v>0</v>
      </c>
      <c r="CO377" s="772">
        <v>0</v>
      </c>
      <c r="CP377" s="772">
        <v>0</v>
      </c>
      <c r="CQ377" s="772">
        <v>0</v>
      </c>
      <c r="CR377" s="772">
        <v>0</v>
      </c>
      <c r="CS377" s="772">
        <v>0</v>
      </c>
      <c r="CT377" s="772">
        <v>0</v>
      </c>
      <c r="CU377" s="772">
        <v>0</v>
      </c>
      <c r="CV377" s="772">
        <v>0</v>
      </c>
      <c r="CW377" s="772">
        <v>0</v>
      </c>
      <c r="CX377" s="772">
        <v>0</v>
      </c>
      <c r="CY377" s="772">
        <v>0</v>
      </c>
      <c r="CZ377" s="772">
        <v>0</v>
      </c>
      <c r="DA377" s="773">
        <v>0</v>
      </c>
      <c r="DB377" s="773">
        <v>0</v>
      </c>
      <c r="DC377" s="773">
        <v>0</v>
      </c>
      <c r="DD377" s="774">
        <v>0</v>
      </c>
      <c r="DE377" s="774">
        <v>0</v>
      </c>
      <c r="DF377" s="774">
        <v>0</v>
      </c>
      <c r="DG377" s="774">
        <v>0</v>
      </c>
      <c r="DH377" s="774">
        <v>0</v>
      </c>
      <c r="DI377" s="774">
        <v>0</v>
      </c>
      <c r="DJ377" s="774">
        <v>0</v>
      </c>
      <c r="DK377" s="774">
        <v>0</v>
      </c>
      <c r="DL377" s="774">
        <v>0</v>
      </c>
      <c r="DM377" s="774">
        <v>0</v>
      </c>
      <c r="DN377" s="774">
        <v>0</v>
      </c>
      <c r="DO377" s="774">
        <v>0</v>
      </c>
      <c r="DP377" s="773">
        <v>0</v>
      </c>
      <c r="DQ377" s="773">
        <v>0</v>
      </c>
      <c r="DR377" s="773">
        <v>0</v>
      </c>
      <c r="DS377" s="774">
        <v>0</v>
      </c>
      <c r="DT377" s="774">
        <v>0</v>
      </c>
      <c r="DU377" s="774">
        <v>0</v>
      </c>
      <c r="DV377" s="774">
        <v>0</v>
      </c>
      <c r="DW377" s="774">
        <v>0</v>
      </c>
      <c r="DX377" s="774">
        <v>0</v>
      </c>
      <c r="DY377" s="774">
        <v>0</v>
      </c>
      <c r="DZ377" s="774">
        <v>0</v>
      </c>
      <c r="EA377" s="774">
        <v>0</v>
      </c>
      <c r="EB377" s="774">
        <v>0</v>
      </c>
      <c r="EC377" s="774">
        <v>0</v>
      </c>
      <c r="ED377" s="774">
        <v>0</v>
      </c>
    </row>
    <row r="378" spans="1:134" ht="15" x14ac:dyDescent="0.25">
      <c r="A378" s="766">
        <v>107</v>
      </c>
      <c r="B378" s="766">
        <v>102</v>
      </c>
      <c r="C378" s="766" t="s">
        <v>4049</v>
      </c>
      <c r="D378" s="2">
        <v>99709</v>
      </c>
      <c r="E378" s="2">
        <v>99709</v>
      </c>
      <c r="F378" s="767" t="s">
        <v>3746</v>
      </c>
      <c r="G378" s="114">
        <v>14</v>
      </c>
      <c r="H378" s="114">
        <v>10</v>
      </c>
      <c r="I378" s="114">
        <v>8</v>
      </c>
      <c r="J378" s="114">
        <v>2</v>
      </c>
      <c r="K378" s="114">
        <v>0</v>
      </c>
      <c r="L378" s="114">
        <v>14</v>
      </c>
      <c r="M378" s="114">
        <v>14</v>
      </c>
      <c r="N378" s="114">
        <v>0</v>
      </c>
      <c r="O378" s="114">
        <v>0</v>
      </c>
      <c r="P378" s="114">
        <v>0</v>
      </c>
      <c r="Q378" s="114">
        <v>14</v>
      </c>
      <c r="R378" s="114">
        <v>0</v>
      </c>
      <c r="S378" s="114">
        <v>1347.9285714285713</v>
      </c>
      <c r="T378" s="114">
        <v>1347.9285714285713</v>
      </c>
      <c r="U378" s="114">
        <v>0</v>
      </c>
      <c r="V378" s="114">
        <v>0</v>
      </c>
      <c r="W378" s="114">
        <v>0</v>
      </c>
      <c r="X378" s="114">
        <v>1347.9285714285713</v>
      </c>
      <c r="Y378" s="114">
        <v>0</v>
      </c>
      <c r="Z378" s="114">
        <v>10</v>
      </c>
      <c r="AA378" s="114">
        <v>0</v>
      </c>
      <c r="AB378" s="657">
        <v>0</v>
      </c>
      <c r="AC378" s="657">
        <v>0</v>
      </c>
      <c r="AD378" s="768">
        <v>10</v>
      </c>
      <c r="AE378" s="769">
        <v>0</v>
      </c>
      <c r="AF378" s="769">
        <v>8</v>
      </c>
      <c r="AG378" s="770">
        <v>8</v>
      </c>
      <c r="AH378" s="769">
        <v>0</v>
      </c>
      <c r="AI378" s="769">
        <v>0</v>
      </c>
      <c r="AJ378" s="769">
        <v>9.5215839500773942</v>
      </c>
      <c r="AK378" s="769">
        <v>9.5215839500773942</v>
      </c>
      <c r="AL378" s="769">
        <v>0</v>
      </c>
      <c r="AM378" s="769">
        <v>0</v>
      </c>
      <c r="AN378" s="769">
        <v>7.6316370311838106</v>
      </c>
      <c r="AO378" s="769">
        <v>7.6316370311838106</v>
      </c>
      <c r="AP378" s="769">
        <v>0</v>
      </c>
      <c r="AQ378" s="769">
        <v>0</v>
      </c>
      <c r="AR378" s="769">
        <v>0</v>
      </c>
      <c r="AS378" s="769">
        <v>9.066056091837142</v>
      </c>
      <c r="AT378" s="769">
        <v>9.2910286930209143</v>
      </c>
      <c r="AU378" s="769">
        <v>9.5215839500773942</v>
      </c>
      <c r="AV378" s="769">
        <v>9.7578603956386836</v>
      </c>
      <c r="AW378" s="769">
        <v>10</v>
      </c>
      <c r="AX378" s="769">
        <v>7.2802354719670053</v>
      </c>
      <c r="AY378" s="769">
        <v>7.4538657503071084</v>
      </c>
      <c r="AZ378" s="769">
        <v>7.6316370311838106</v>
      </c>
      <c r="BA378" s="769">
        <v>7.8136480756091444</v>
      </c>
      <c r="BB378" s="769">
        <v>8</v>
      </c>
      <c r="BC378" s="769">
        <v>0</v>
      </c>
      <c r="BD378" s="769">
        <v>0</v>
      </c>
      <c r="BE378" s="769">
        <v>0</v>
      </c>
      <c r="BF378" s="769">
        <v>0</v>
      </c>
      <c r="BG378" s="769">
        <v>0</v>
      </c>
      <c r="BH378" s="771">
        <v>10.05122629011173</v>
      </c>
      <c r="BI378" s="771">
        <v>10.102714993503321</v>
      </c>
      <c r="BJ378" s="771">
        <v>10.154467454420653</v>
      </c>
      <c r="BK378" s="772">
        <v>10.0877062861315</v>
      </c>
      <c r="BL378" s="772">
        <v>10.021384043232707</v>
      </c>
      <c r="BM378" s="772">
        <v>10.093326211375581</v>
      </c>
      <c r="BN378" s="772">
        <v>10.165784842667136</v>
      </c>
      <c r="BO378" s="772">
        <v>10.23876364472685</v>
      </c>
      <c r="BP378" s="772">
        <v>10.312266351790703</v>
      </c>
      <c r="BQ378" s="772">
        <v>10.38629672490225</v>
      </c>
      <c r="BR378" s="772">
        <v>10.444601500078665</v>
      </c>
      <c r="BS378" s="772">
        <v>10.503233576399888</v>
      </c>
      <c r="BT378" s="772">
        <v>10.562194791211818</v>
      </c>
      <c r="BU378" s="772">
        <v>10.621486992174518</v>
      </c>
      <c r="BV378" s="772">
        <v>10.681112037320123</v>
      </c>
      <c r="BW378" s="771">
        <v>8.040981032089384</v>
      </c>
      <c r="BX378" s="771">
        <v>8.0821719948026569</v>
      </c>
      <c r="BY378" s="771">
        <v>8.1235739635365221</v>
      </c>
      <c r="BZ378" s="772">
        <v>8.0701650289051994</v>
      </c>
      <c r="CA378" s="772">
        <v>8.0171072345861649</v>
      </c>
      <c r="CB378" s="772">
        <v>8.0746609691004654</v>
      </c>
      <c r="CC378" s="772">
        <v>8.1326278741337088</v>
      </c>
      <c r="CD378" s="772">
        <v>8.1910109157814794</v>
      </c>
      <c r="CE378" s="772">
        <v>8.2498130814325616</v>
      </c>
      <c r="CF378" s="772">
        <v>8.3090373799217989</v>
      </c>
      <c r="CG378" s="772">
        <v>8.3556812000629321</v>
      </c>
      <c r="CH378" s="772">
        <v>8.4025868611199108</v>
      </c>
      <c r="CI378" s="772">
        <v>8.4497558329694531</v>
      </c>
      <c r="CJ378" s="772">
        <v>8.4971895937396145</v>
      </c>
      <c r="CK378" s="772">
        <v>8.5448896298560975</v>
      </c>
      <c r="CL378" s="771">
        <v>0</v>
      </c>
      <c r="CM378" s="771">
        <v>0</v>
      </c>
      <c r="CN378" s="771">
        <v>0</v>
      </c>
      <c r="CO378" s="772">
        <v>0</v>
      </c>
      <c r="CP378" s="772">
        <v>0</v>
      </c>
      <c r="CQ378" s="772">
        <v>0</v>
      </c>
      <c r="CR378" s="772">
        <v>0</v>
      </c>
      <c r="CS378" s="772">
        <v>0</v>
      </c>
      <c r="CT378" s="772">
        <v>0</v>
      </c>
      <c r="CU378" s="772">
        <v>0</v>
      </c>
      <c r="CV378" s="772">
        <v>0</v>
      </c>
      <c r="CW378" s="772">
        <v>0</v>
      </c>
      <c r="CX378" s="772">
        <v>0</v>
      </c>
      <c r="CY378" s="772">
        <v>0</v>
      </c>
      <c r="CZ378" s="772">
        <v>0</v>
      </c>
      <c r="DA378" s="773">
        <v>0</v>
      </c>
      <c r="DB378" s="773">
        <v>0</v>
      </c>
      <c r="DC378" s="773">
        <v>0</v>
      </c>
      <c r="DD378" s="774">
        <v>0</v>
      </c>
      <c r="DE378" s="774">
        <v>0</v>
      </c>
      <c r="DF378" s="774">
        <v>0</v>
      </c>
      <c r="DG378" s="774">
        <v>0</v>
      </c>
      <c r="DH378" s="774">
        <v>0</v>
      </c>
      <c r="DI378" s="774">
        <v>0</v>
      </c>
      <c r="DJ378" s="774">
        <v>0</v>
      </c>
      <c r="DK378" s="774">
        <v>0</v>
      </c>
      <c r="DL378" s="774">
        <v>0</v>
      </c>
      <c r="DM378" s="774">
        <v>0</v>
      </c>
      <c r="DN378" s="774">
        <v>0</v>
      </c>
      <c r="DO378" s="774">
        <v>0</v>
      </c>
      <c r="DP378" s="773">
        <v>0</v>
      </c>
      <c r="DQ378" s="773">
        <v>0</v>
      </c>
      <c r="DR378" s="773">
        <v>0</v>
      </c>
      <c r="DS378" s="774">
        <v>0</v>
      </c>
      <c r="DT378" s="774">
        <v>0</v>
      </c>
      <c r="DU378" s="774">
        <v>0</v>
      </c>
      <c r="DV378" s="774">
        <v>0</v>
      </c>
      <c r="DW378" s="774">
        <v>0</v>
      </c>
      <c r="DX378" s="774">
        <v>0</v>
      </c>
      <c r="DY378" s="774">
        <v>0</v>
      </c>
      <c r="DZ378" s="774">
        <v>0</v>
      </c>
      <c r="EA378" s="774">
        <v>0</v>
      </c>
      <c r="EB378" s="774">
        <v>0</v>
      </c>
      <c r="EC378" s="774">
        <v>0</v>
      </c>
      <c r="ED378" s="774">
        <v>0</v>
      </c>
    </row>
    <row r="379" spans="1:134" ht="15" x14ac:dyDescent="0.25">
      <c r="A379" s="766">
        <v>111</v>
      </c>
      <c r="B379" s="766">
        <v>102</v>
      </c>
      <c r="C379" s="766" t="s">
        <v>4050</v>
      </c>
      <c r="D379" s="2">
        <v>99712</v>
      </c>
      <c r="E379" s="2">
        <v>99712</v>
      </c>
      <c r="F379" s="767" t="s">
        <v>3746</v>
      </c>
      <c r="G379" s="114">
        <v>4</v>
      </c>
      <c r="H379" s="114">
        <v>2</v>
      </c>
      <c r="I379" s="114">
        <v>2</v>
      </c>
      <c r="J379" s="114">
        <v>0</v>
      </c>
      <c r="K379" s="114">
        <v>0</v>
      </c>
      <c r="L379" s="114">
        <v>2</v>
      </c>
      <c r="M379" s="114">
        <v>2</v>
      </c>
      <c r="N379" s="114">
        <v>3</v>
      </c>
      <c r="O379" s="114">
        <v>0</v>
      </c>
      <c r="P379" s="114">
        <v>0</v>
      </c>
      <c r="Q379" s="114">
        <v>5</v>
      </c>
      <c r="R379" s="114">
        <v>0</v>
      </c>
      <c r="S379" s="114">
        <v>3041</v>
      </c>
      <c r="T379" s="114">
        <v>3041</v>
      </c>
      <c r="U379" s="114">
        <v>3634.3333333333335</v>
      </c>
      <c r="V379" s="114">
        <v>0</v>
      </c>
      <c r="W379" s="114">
        <v>0</v>
      </c>
      <c r="X379" s="114">
        <v>3397</v>
      </c>
      <c r="Y379" s="114">
        <v>0</v>
      </c>
      <c r="Z379" s="114">
        <v>2</v>
      </c>
      <c r="AA379" s="114">
        <v>0</v>
      </c>
      <c r="AB379" s="657">
        <v>3</v>
      </c>
      <c r="AC379" s="657">
        <v>0</v>
      </c>
      <c r="AD379" s="768">
        <v>5</v>
      </c>
      <c r="AE379" s="769">
        <v>0</v>
      </c>
      <c r="AF379" s="769">
        <v>2</v>
      </c>
      <c r="AG379" s="770">
        <v>2</v>
      </c>
      <c r="AH379" s="769">
        <v>0</v>
      </c>
      <c r="AI379" s="769">
        <v>0</v>
      </c>
      <c r="AJ379" s="769">
        <v>1.8182284902914765</v>
      </c>
      <c r="AK379" s="769">
        <v>1.8182284902914765</v>
      </c>
      <c r="AL379" s="769">
        <v>0</v>
      </c>
      <c r="AM379" s="769">
        <v>0</v>
      </c>
      <c r="AN379" s="769">
        <v>1.8249082207758185</v>
      </c>
      <c r="AO379" s="769">
        <v>1.8249082207758185</v>
      </c>
      <c r="AP379" s="769">
        <v>0</v>
      </c>
      <c r="AQ379" s="769">
        <v>2.7895240524415161</v>
      </c>
      <c r="AR379" s="769">
        <v>0</v>
      </c>
      <c r="AS379" s="769">
        <v>1.6529774214538109</v>
      </c>
      <c r="AT379" s="769">
        <v>1.7336350946770376</v>
      </c>
      <c r="AU379" s="769">
        <v>1.8182284902914765</v>
      </c>
      <c r="AV379" s="769">
        <v>1.9069496533949062</v>
      </c>
      <c r="AW379" s="769">
        <v>2</v>
      </c>
      <c r="AX379" s="769">
        <v>1.6651450071275817</v>
      </c>
      <c r="AY379" s="769">
        <v>1.7431972958592303</v>
      </c>
      <c r="AZ379" s="769">
        <v>1.8249082207758185</v>
      </c>
      <c r="BA379" s="769">
        <v>1.9104492774087558</v>
      </c>
      <c r="BB379" s="769">
        <v>2</v>
      </c>
      <c r="BC379" s="769">
        <v>2.5938148130499128</v>
      </c>
      <c r="BD379" s="769">
        <v>2.6898901108747597</v>
      </c>
      <c r="BE379" s="769">
        <v>2.7895240524415161</v>
      </c>
      <c r="BF379" s="769">
        <v>2.8928484504592613</v>
      </c>
      <c r="BG379" s="769">
        <v>3</v>
      </c>
      <c r="BH379" s="771">
        <v>2.0490353106214685</v>
      </c>
      <c r="BI379" s="771">
        <v>2.0992728520868091</v>
      </c>
      <c r="BJ379" s="771">
        <v>2.1507421002774554</v>
      </c>
      <c r="BK379" s="772">
        <v>2.1366019145958637</v>
      </c>
      <c r="BL379" s="772">
        <v>2.1225546944311899</v>
      </c>
      <c r="BM379" s="772">
        <v>2.1377922290931144</v>
      </c>
      <c r="BN379" s="772">
        <v>2.153139151966887</v>
      </c>
      <c r="BO379" s="772">
        <v>2.1685962483357675</v>
      </c>
      <c r="BP379" s="772">
        <v>2.1841643091204586</v>
      </c>
      <c r="BQ379" s="772">
        <v>2.1998441309195762</v>
      </c>
      <c r="BR379" s="772">
        <v>2.2121932309764714</v>
      </c>
      <c r="BS379" s="772">
        <v>2.2246116542504404</v>
      </c>
      <c r="BT379" s="772">
        <v>2.2370997898960288</v>
      </c>
      <c r="BU379" s="772">
        <v>2.24965802925235</v>
      </c>
      <c r="BV379" s="772">
        <v>2.2622867658553485</v>
      </c>
      <c r="BW379" s="771">
        <v>2.0490353106214685</v>
      </c>
      <c r="BX379" s="771">
        <v>2.0992728520868091</v>
      </c>
      <c r="BY379" s="771">
        <v>2.1507421002774554</v>
      </c>
      <c r="BZ379" s="772">
        <v>2.1366019145958637</v>
      </c>
      <c r="CA379" s="772">
        <v>2.1225546944311899</v>
      </c>
      <c r="CB379" s="772">
        <v>2.1377922290931144</v>
      </c>
      <c r="CC379" s="772">
        <v>2.153139151966887</v>
      </c>
      <c r="CD379" s="772">
        <v>2.1685962483357675</v>
      </c>
      <c r="CE379" s="772">
        <v>2.1841643091204586</v>
      </c>
      <c r="CF379" s="772">
        <v>2.1998441309195762</v>
      </c>
      <c r="CG379" s="772">
        <v>2.2121932309764714</v>
      </c>
      <c r="CH379" s="772">
        <v>2.2246116542504404</v>
      </c>
      <c r="CI379" s="772">
        <v>2.2370997898960288</v>
      </c>
      <c r="CJ379" s="772">
        <v>2.24965802925235</v>
      </c>
      <c r="CK379" s="772">
        <v>2.2622867658553485</v>
      </c>
      <c r="CL379" s="771">
        <v>3.073552965932203</v>
      </c>
      <c r="CM379" s="771">
        <v>3.1489092781302137</v>
      </c>
      <c r="CN379" s="771">
        <v>3.2261131504161833</v>
      </c>
      <c r="CO379" s="772">
        <v>3.2049028718937955</v>
      </c>
      <c r="CP379" s="772">
        <v>3.1838320416467849</v>
      </c>
      <c r="CQ379" s="772">
        <v>3.206688343639672</v>
      </c>
      <c r="CR379" s="772">
        <v>3.2297087279503307</v>
      </c>
      <c r="CS379" s="772">
        <v>3.2528943725036514</v>
      </c>
      <c r="CT379" s="772">
        <v>3.2762464636806881</v>
      </c>
      <c r="CU379" s="772">
        <v>3.2997661963793643</v>
      </c>
      <c r="CV379" s="772">
        <v>3.3182898464647073</v>
      </c>
      <c r="CW379" s="772">
        <v>3.3369174813756608</v>
      </c>
      <c r="CX379" s="772">
        <v>3.3556496848440434</v>
      </c>
      <c r="CY379" s="772">
        <v>3.3744870438785255</v>
      </c>
      <c r="CZ379" s="772">
        <v>3.3934301487830232</v>
      </c>
      <c r="DA379" s="773">
        <v>0</v>
      </c>
      <c r="DB379" s="773">
        <v>0</v>
      </c>
      <c r="DC379" s="773">
        <v>0</v>
      </c>
      <c r="DD379" s="774">
        <v>0</v>
      </c>
      <c r="DE379" s="774">
        <v>0</v>
      </c>
      <c r="DF379" s="774">
        <v>0</v>
      </c>
      <c r="DG379" s="774">
        <v>0</v>
      </c>
      <c r="DH379" s="774">
        <v>0</v>
      </c>
      <c r="DI379" s="774">
        <v>0</v>
      </c>
      <c r="DJ379" s="774">
        <v>0</v>
      </c>
      <c r="DK379" s="774">
        <v>0</v>
      </c>
      <c r="DL379" s="774">
        <v>0</v>
      </c>
      <c r="DM379" s="774">
        <v>0</v>
      </c>
      <c r="DN379" s="774">
        <v>0</v>
      </c>
      <c r="DO379" s="774">
        <v>0</v>
      </c>
      <c r="DP379" s="773">
        <v>0</v>
      </c>
      <c r="DQ379" s="773">
        <v>0</v>
      </c>
      <c r="DR379" s="773">
        <v>0</v>
      </c>
      <c r="DS379" s="774">
        <v>0</v>
      </c>
      <c r="DT379" s="774">
        <v>0</v>
      </c>
      <c r="DU379" s="774">
        <v>0</v>
      </c>
      <c r="DV379" s="774">
        <v>0</v>
      </c>
      <c r="DW379" s="774">
        <v>0</v>
      </c>
      <c r="DX379" s="774">
        <v>0</v>
      </c>
      <c r="DY379" s="774">
        <v>0</v>
      </c>
      <c r="DZ379" s="774">
        <v>0</v>
      </c>
      <c r="EA379" s="774">
        <v>0</v>
      </c>
      <c r="EB379" s="774">
        <v>0</v>
      </c>
      <c r="EC379" s="774">
        <v>0</v>
      </c>
      <c r="ED379" s="774">
        <v>0</v>
      </c>
    </row>
    <row r="380" spans="1:134" ht="15" x14ac:dyDescent="0.25">
      <c r="A380" s="766">
        <v>112</v>
      </c>
      <c r="B380" s="766">
        <v>102</v>
      </c>
      <c r="C380" s="766" t="s">
        <v>4051</v>
      </c>
      <c r="D380" s="2">
        <v>99712</v>
      </c>
      <c r="E380" s="2">
        <v>99712</v>
      </c>
      <c r="F380" s="767" t="s">
        <v>3746</v>
      </c>
      <c r="G380" s="114">
        <v>34</v>
      </c>
      <c r="H380" s="114">
        <v>15</v>
      </c>
      <c r="I380" s="114">
        <v>15</v>
      </c>
      <c r="J380" s="114">
        <v>0</v>
      </c>
      <c r="K380" s="114">
        <v>0</v>
      </c>
      <c r="L380" s="114">
        <v>7</v>
      </c>
      <c r="M380" s="114">
        <v>7</v>
      </c>
      <c r="N380" s="114">
        <v>7</v>
      </c>
      <c r="O380" s="114">
        <v>0</v>
      </c>
      <c r="P380" s="114">
        <v>0</v>
      </c>
      <c r="Q380" s="114">
        <v>14</v>
      </c>
      <c r="R380" s="114">
        <v>0</v>
      </c>
      <c r="S380" s="114">
        <v>1661.7142857142858</v>
      </c>
      <c r="T380" s="114">
        <v>1661.7142857142858</v>
      </c>
      <c r="U380" s="114">
        <v>5746.1428571428569</v>
      </c>
      <c r="V380" s="114">
        <v>0</v>
      </c>
      <c r="W380" s="114">
        <v>0</v>
      </c>
      <c r="X380" s="114">
        <v>3703.9285714285716</v>
      </c>
      <c r="Y380" s="114">
        <v>0</v>
      </c>
      <c r="Z380" s="114">
        <v>15</v>
      </c>
      <c r="AA380" s="114">
        <v>0</v>
      </c>
      <c r="AB380" s="657">
        <v>7</v>
      </c>
      <c r="AC380" s="657">
        <v>0</v>
      </c>
      <c r="AD380" s="768">
        <v>22</v>
      </c>
      <c r="AE380" s="769">
        <v>0</v>
      </c>
      <c r="AF380" s="769">
        <v>15</v>
      </c>
      <c r="AG380" s="770">
        <v>15</v>
      </c>
      <c r="AH380" s="769">
        <v>0</v>
      </c>
      <c r="AI380" s="769">
        <v>0</v>
      </c>
      <c r="AJ380" s="769">
        <v>13.636713677186073</v>
      </c>
      <c r="AK380" s="769">
        <v>13.636713677186073</v>
      </c>
      <c r="AL380" s="769">
        <v>0</v>
      </c>
      <c r="AM380" s="769">
        <v>0</v>
      </c>
      <c r="AN380" s="769">
        <v>13.686811655818639</v>
      </c>
      <c r="AO380" s="769">
        <v>13.686811655818639</v>
      </c>
      <c r="AP380" s="769">
        <v>0</v>
      </c>
      <c r="AQ380" s="769">
        <v>6.5088894556968713</v>
      </c>
      <c r="AR380" s="769">
        <v>0</v>
      </c>
      <c r="AS380" s="769">
        <v>12.397330660903581</v>
      </c>
      <c r="AT380" s="769">
        <v>13.002263210077782</v>
      </c>
      <c r="AU380" s="769">
        <v>13.636713677186073</v>
      </c>
      <c r="AV380" s="769">
        <v>14.302122400461798</v>
      </c>
      <c r="AW380" s="769">
        <v>15</v>
      </c>
      <c r="AX380" s="769">
        <v>12.488587553456863</v>
      </c>
      <c r="AY380" s="769">
        <v>13.073979718944226</v>
      </c>
      <c r="AZ380" s="769">
        <v>13.686811655818639</v>
      </c>
      <c r="BA380" s="769">
        <v>14.328369580565669</v>
      </c>
      <c r="BB380" s="769">
        <v>15</v>
      </c>
      <c r="BC380" s="769">
        <v>6.0522345637831299</v>
      </c>
      <c r="BD380" s="769">
        <v>6.2764102587077728</v>
      </c>
      <c r="BE380" s="769">
        <v>6.5088894556968713</v>
      </c>
      <c r="BF380" s="769">
        <v>6.7499797177382765</v>
      </c>
      <c r="BG380" s="769">
        <v>7</v>
      </c>
      <c r="BH380" s="771">
        <v>15.138883484775656</v>
      </c>
      <c r="BI380" s="771">
        <v>15.279052877707542</v>
      </c>
      <c r="BJ380" s="771">
        <v>15.420520084889379</v>
      </c>
      <c r="BK380" s="772">
        <v>15.31913693101011</v>
      </c>
      <c r="BL380" s="772">
        <v>15.218420326886227</v>
      </c>
      <c r="BM380" s="772">
        <v>15.327671319493891</v>
      </c>
      <c r="BN380" s="772">
        <v>15.43770661028293</v>
      </c>
      <c r="BO380" s="772">
        <v>15.548531829624498</v>
      </c>
      <c r="BP380" s="772">
        <v>15.660152648309424</v>
      </c>
      <c r="BQ380" s="772">
        <v>15.772574777838383</v>
      </c>
      <c r="BR380" s="772">
        <v>15.861116098265923</v>
      </c>
      <c r="BS380" s="772">
        <v>15.950154456465256</v>
      </c>
      <c r="BT380" s="772">
        <v>16.039692642620061</v>
      </c>
      <c r="BU380" s="772">
        <v>16.129733462577054</v>
      </c>
      <c r="BV380" s="772">
        <v>16.220279737933911</v>
      </c>
      <c r="BW380" s="771">
        <v>15.138883484775656</v>
      </c>
      <c r="BX380" s="771">
        <v>15.279052877707542</v>
      </c>
      <c r="BY380" s="771">
        <v>15.420520084889379</v>
      </c>
      <c r="BZ380" s="772">
        <v>15.31913693101011</v>
      </c>
      <c r="CA380" s="772">
        <v>15.218420326886227</v>
      </c>
      <c r="CB380" s="772">
        <v>15.327671319493891</v>
      </c>
      <c r="CC380" s="772">
        <v>15.43770661028293</v>
      </c>
      <c r="CD380" s="772">
        <v>15.548531829624498</v>
      </c>
      <c r="CE380" s="772">
        <v>15.660152648309424</v>
      </c>
      <c r="CF380" s="772">
        <v>15.772574777838383</v>
      </c>
      <c r="CG380" s="772">
        <v>15.861116098265923</v>
      </c>
      <c r="CH380" s="772">
        <v>15.950154456465256</v>
      </c>
      <c r="CI380" s="772">
        <v>16.039692642620061</v>
      </c>
      <c r="CJ380" s="772">
        <v>16.129733462577054</v>
      </c>
      <c r="CK380" s="772">
        <v>16.220279737933911</v>
      </c>
      <c r="CL380" s="771">
        <v>7.0648122928953061</v>
      </c>
      <c r="CM380" s="771">
        <v>7.13022467626352</v>
      </c>
      <c r="CN380" s="771">
        <v>7.1962427062817103</v>
      </c>
      <c r="CO380" s="772">
        <v>7.1489305678047179</v>
      </c>
      <c r="CP380" s="772">
        <v>7.1019294858802384</v>
      </c>
      <c r="CQ380" s="772">
        <v>7.1529132824304824</v>
      </c>
      <c r="CR380" s="772">
        <v>7.2042630847987006</v>
      </c>
      <c r="CS380" s="772">
        <v>7.2559815204914324</v>
      </c>
      <c r="CT380" s="772">
        <v>7.3080712358777316</v>
      </c>
      <c r="CU380" s="772">
        <v>7.3605348963245785</v>
      </c>
      <c r="CV380" s="772">
        <v>7.4018541791907637</v>
      </c>
      <c r="CW380" s="772">
        <v>7.4434054130171194</v>
      </c>
      <c r="CX380" s="772">
        <v>7.4851898998893622</v>
      </c>
      <c r="CY380" s="772">
        <v>7.5272089492026248</v>
      </c>
      <c r="CZ380" s="772">
        <v>7.5694638777024927</v>
      </c>
      <c r="DA380" s="773">
        <v>0</v>
      </c>
      <c r="DB380" s="773">
        <v>0</v>
      </c>
      <c r="DC380" s="773">
        <v>0</v>
      </c>
      <c r="DD380" s="774">
        <v>0</v>
      </c>
      <c r="DE380" s="774">
        <v>0</v>
      </c>
      <c r="DF380" s="774">
        <v>0</v>
      </c>
      <c r="DG380" s="774">
        <v>0</v>
      </c>
      <c r="DH380" s="774">
        <v>0</v>
      </c>
      <c r="DI380" s="774">
        <v>0</v>
      </c>
      <c r="DJ380" s="774">
        <v>0</v>
      </c>
      <c r="DK380" s="774">
        <v>0</v>
      </c>
      <c r="DL380" s="774">
        <v>0</v>
      </c>
      <c r="DM380" s="774">
        <v>0</v>
      </c>
      <c r="DN380" s="774">
        <v>0</v>
      </c>
      <c r="DO380" s="774">
        <v>0</v>
      </c>
      <c r="DP380" s="773">
        <v>0</v>
      </c>
      <c r="DQ380" s="773">
        <v>0</v>
      </c>
      <c r="DR380" s="773">
        <v>0</v>
      </c>
      <c r="DS380" s="774">
        <v>0</v>
      </c>
      <c r="DT380" s="774">
        <v>0</v>
      </c>
      <c r="DU380" s="774">
        <v>0</v>
      </c>
      <c r="DV380" s="774">
        <v>0</v>
      </c>
      <c r="DW380" s="774">
        <v>0</v>
      </c>
      <c r="DX380" s="774">
        <v>0</v>
      </c>
      <c r="DY380" s="774">
        <v>0</v>
      </c>
      <c r="DZ380" s="774">
        <v>0</v>
      </c>
      <c r="EA380" s="774">
        <v>0</v>
      </c>
      <c r="EB380" s="774">
        <v>0</v>
      </c>
      <c r="EC380" s="774">
        <v>0</v>
      </c>
      <c r="ED380" s="774">
        <v>0</v>
      </c>
    </row>
    <row r="381" spans="1:134" ht="15" x14ac:dyDescent="0.25">
      <c r="A381" s="766">
        <v>114</v>
      </c>
      <c r="B381" s="766">
        <v>102</v>
      </c>
      <c r="C381" s="766" t="s">
        <v>4052</v>
      </c>
      <c r="D381" s="2">
        <v>99712</v>
      </c>
      <c r="E381" s="2">
        <v>99712</v>
      </c>
      <c r="F381" s="767" t="s">
        <v>3746</v>
      </c>
      <c r="G381" s="114">
        <v>142</v>
      </c>
      <c r="H381" s="114">
        <v>51</v>
      </c>
      <c r="I381" s="114">
        <v>51</v>
      </c>
      <c r="J381" s="114">
        <v>0</v>
      </c>
      <c r="K381" s="114">
        <v>0</v>
      </c>
      <c r="L381" s="114">
        <v>76</v>
      </c>
      <c r="M381" s="114">
        <v>76</v>
      </c>
      <c r="N381" s="114">
        <v>0</v>
      </c>
      <c r="O381" s="114">
        <v>0</v>
      </c>
      <c r="P381" s="114">
        <v>0</v>
      </c>
      <c r="Q381" s="114">
        <v>76</v>
      </c>
      <c r="R381" s="114">
        <v>0</v>
      </c>
      <c r="S381" s="114">
        <v>2394.6973684210525</v>
      </c>
      <c r="T381" s="114">
        <v>2394.6973684210525</v>
      </c>
      <c r="U381" s="114">
        <v>0</v>
      </c>
      <c r="V381" s="114">
        <v>0</v>
      </c>
      <c r="W381" s="114">
        <v>0</v>
      </c>
      <c r="X381" s="114">
        <v>2394.6973684210525</v>
      </c>
      <c r="Y381" s="114">
        <v>0</v>
      </c>
      <c r="Z381" s="114">
        <v>51</v>
      </c>
      <c r="AA381" s="114">
        <v>0</v>
      </c>
      <c r="AB381" s="657">
        <v>0</v>
      </c>
      <c r="AC381" s="657">
        <v>0</v>
      </c>
      <c r="AD381" s="768">
        <v>51</v>
      </c>
      <c r="AE381" s="769">
        <v>0</v>
      </c>
      <c r="AF381" s="769">
        <v>51</v>
      </c>
      <c r="AG381" s="770">
        <v>51</v>
      </c>
      <c r="AH381" s="769">
        <v>0</v>
      </c>
      <c r="AI381" s="769">
        <v>0</v>
      </c>
      <c r="AJ381" s="769">
        <v>46.364826502432649</v>
      </c>
      <c r="AK381" s="769">
        <v>46.364826502432649</v>
      </c>
      <c r="AL381" s="769">
        <v>0</v>
      </c>
      <c r="AM381" s="769">
        <v>0</v>
      </c>
      <c r="AN381" s="769">
        <v>46.535159629783372</v>
      </c>
      <c r="AO381" s="769">
        <v>46.535159629783372</v>
      </c>
      <c r="AP381" s="769">
        <v>0</v>
      </c>
      <c r="AQ381" s="769">
        <v>0</v>
      </c>
      <c r="AR381" s="769">
        <v>0</v>
      </c>
      <c r="AS381" s="769">
        <v>42.150924247072176</v>
      </c>
      <c r="AT381" s="769">
        <v>44.207694914264458</v>
      </c>
      <c r="AU381" s="769">
        <v>46.364826502432649</v>
      </c>
      <c r="AV381" s="769">
        <v>48.627216161570111</v>
      </c>
      <c r="AW381" s="769">
        <v>51</v>
      </c>
      <c r="AX381" s="769">
        <v>42.461197681753333</v>
      </c>
      <c r="AY381" s="769">
        <v>44.451531044410373</v>
      </c>
      <c r="AZ381" s="769">
        <v>46.535159629783372</v>
      </c>
      <c r="BA381" s="769">
        <v>48.716456573923274</v>
      </c>
      <c r="BB381" s="769">
        <v>51</v>
      </c>
      <c r="BC381" s="769">
        <v>0</v>
      </c>
      <c r="BD381" s="769">
        <v>0</v>
      </c>
      <c r="BE381" s="769">
        <v>0</v>
      </c>
      <c r="BF381" s="769">
        <v>0</v>
      </c>
      <c r="BG381" s="769">
        <v>0</v>
      </c>
      <c r="BH381" s="771">
        <v>51.472203848237228</v>
      </c>
      <c r="BI381" s="771">
        <v>51.948779784205641</v>
      </c>
      <c r="BJ381" s="771">
        <v>52.42976828862389</v>
      </c>
      <c r="BK381" s="772">
        <v>52.085065565434377</v>
      </c>
      <c r="BL381" s="772">
        <v>51.742629111413173</v>
      </c>
      <c r="BM381" s="772">
        <v>52.11408248627923</v>
      </c>
      <c r="BN381" s="772">
        <v>52.488202474961966</v>
      </c>
      <c r="BO381" s="772">
        <v>52.865008220723297</v>
      </c>
      <c r="BP381" s="772">
        <v>53.244519004252041</v>
      </c>
      <c r="BQ381" s="772">
        <v>53.626754244650506</v>
      </c>
      <c r="BR381" s="772">
        <v>53.927794734104133</v>
      </c>
      <c r="BS381" s="772">
        <v>54.230525151981873</v>
      </c>
      <c r="BT381" s="772">
        <v>54.534954984908211</v>
      </c>
      <c r="BU381" s="772">
        <v>54.84109377276198</v>
      </c>
      <c r="BV381" s="772">
        <v>55.148951108975304</v>
      </c>
      <c r="BW381" s="771">
        <v>51.472203848237228</v>
      </c>
      <c r="BX381" s="771">
        <v>51.948779784205641</v>
      </c>
      <c r="BY381" s="771">
        <v>52.42976828862389</v>
      </c>
      <c r="BZ381" s="772">
        <v>52.085065565434377</v>
      </c>
      <c r="CA381" s="772">
        <v>51.742629111413173</v>
      </c>
      <c r="CB381" s="772">
        <v>52.11408248627923</v>
      </c>
      <c r="CC381" s="772">
        <v>52.488202474961966</v>
      </c>
      <c r="CD381" s="772">
        <v>52.865008220723297</v>
      </c>
      <c r="CE381" s="772">
        <v>53.244519004252041</v>
      </c>
      <c r="CF381" s="772">
        <v>53.626754244650506</v>
      </c>
      <c r="CG381" s="772">
        <v>53.927794734104133</v>
      </c>
      <c r="CH381" s="772">
        <v>54.230525151981873</v>
      </c>
      <c r="CI381" s="772">
        <v>54.534954984908211</v>
      </c>
      <c r="CJ381" s="772">
        <v>54.84109377276198</v>
      </c>
      <c r="CK381" s="772">
        <v>55.148951108975304</v>
      </c>
      <c r="CL381" s="771">
        <v>0</v>
      </c>
      <c r="CM381" s="771">
        <v>0</v>
      </c>
      <c r="CN381" s="771">
        <v>0</v>
      </c>
      <c r="CO381" s="772">
        <v>0</v>
      </c>
      <c r="CP381" s="772">
        <v>0</v>
      </c>
      <c r="CQ381" s="772">
        <v>0</v>
      </c>
      <c r="CR381" s="772">
        <v>0</v>
      </c>
      <c r="CS381" s="772">
        <v>0</v>
      </c>
      <c r="CT381" s="772">
        <v>0</v>
      </c>
      <c r="CU381" s="772">
        <v>0</v>
      </c>
      <c r="CV381" s="772">
        <v>0</v>
      </c>
      <c r="CW381" s="772">
        <v>0</v>
      </c>
      <c r="CX381" s="772">
        <v>0</v>
      </c>
      <c r="CY381" s="772">
        <v>0</v>
      </c>
      <c r="CZ381" s="772">
        <v>0</v>
      </c>
      <c r="DA381" s="773">
        <v>0</v>
      </c>
      <c r="DB381" s="773">
        <v>0</v>
      </c>
      <c r="DC381" s="773">
        <v>0</v>
      </c>
      <c r="DD381" s="774">
        <v>0</v>
      </c>
      <c r="DE381" s="774">
        <v>0</v>
      </c>
      <c r="DF381" s="774">
        <v>0</v>
      </c>
      <c r="DG381" s="774">
        <v>0</v>
      </c>
      <c r="DH381" s="774">
        <v>0</v>
      </c>
      <c r="DI381" s="774">
        <v>0</v>
      </c>
      <c r="DJ381" s="774">
        <v>0</v>
      </c>
      <c r="DK381" s="774">
        <v>0</v>
      </c>
      <c r="DL381" s="774">
        <v>0</v>
      </c>
      <c r="DM381" s="774">
        <v>0</v>
      </c>
      <c r="DN381" s="774">
        <v>0</v>
      </c>
      <c r="DO381" s="774">
        <v>0</v>
      </c>
      <c r="DP381" s="773">
        <v>0</v>
      </c>
      <c r="DQ381" s="773">
        <v>0</v>
      </c>
      <c r="DR381" s="773">
        <v>0</v>
      </c>
      <c r="DS381" s="774">
        <v>0</v>
      </c>
      <c r="DT381" s="774">
        <v>0</v>
      </c>
      <c r="DU381" s="774">
        <v>0</v>
      </c>
      <c r="DV381" s="774">
        <v>0</v>
      </c>
      <c r="DW381" s="774">
        <v>0</v>
      </c>
      <c r="DX381" s="774">
        <v>0</v>
      </c>
      <c r="DY381" s="774">
        <v>0</v>
      </c>
      <c r="DZ381" s="774">
        <v>0</v>
      </c>
      <c r="EA381" s="774">
        <v>0</v>
      </c>
      <c r="EB381" s="774">
        <v>0</v>
      </c>
      <c r="EC381" s="774">
        <v>0</v>
      </c>
      <c r="ED381" s="774">
        <v>0</v>
      </c>
    </row>
    <row r="382" spans="1:134" ht="15" x14ac:dyDescent="0.25">
      <c r="A382" s="766">
        <v>115</v>
      </c>
      <c r="B382" s="766">
        <v>102</v>
      </c>
      <c r="C382" s="766" t="s">
        <v>4053</v>
      </c>
      <c r="D382" s="2">
        <v>99712</v>
      </c>
      <c r="E382" s="2">
        <v>99712</v>
      </c>
      <c r="F382" s="767" t="s">
        <v>3746</v>
      </c>
      <c r="G382" s="114">
        <v>120</v>
      </c>
      <c r="H382" s="114">
        <v>54</v>
      </c>
      <c r="I382" s="114">
        <v>49</v>
      </c>
      <c r="J382" s="114">
        <v>5</v>
      </c>
      <c r="K382" s="114">
        <v>0</v>
      </c>
      <c r="L382" s="114">
        <v>72</v>
      </c>
      <c r="M382" s="114">
        <v>72</v>
      </c>
      <c r="N382" s="114">
        <v>0</v>
      </c>
      <c r="O382" s="114">
        <v>0</v>
      </c>
      <c r="P382" s="114">
        <v>0</v>
      </c>
      <c r="Q382" s="114">
        <v>72</v>
      </c>
      <c r="R382" s="114">
        <v>0</v>
      </c>
      <c r="S382" s="114">
        <v>1859.8888888888889</v>
      </c>
      <c r="T382" s="114">
        <v>1859.8888888888889</v>
      </c>
      <c r="U382" s="114">
        <v>0</v>
      </c>
      <c r="V382" s="114">
        <v>0</v>
      </c>
      <c r="W382" s="114">
        <v>0</v>
      </c>
      <c r="X382" s="114">
        <v>1859.8888888888889</v>
      </c>
      <c r="Y382" s="114">
        <v>0</v>
      </c>
      <c r="Z382" s="114">
        <v>54</v>
      </c>
      <c r="AA382" s="114">
        <v>0</v>
      </c>
      <c r="AB382" s="657">
        <v>0</v>
      </c>
      <c r="AC382" s="657">
        <v>0</v>
      </c>
      <c r="AD382" s="768">
        <v>54</v>
      </c>
      <c r="AE382" s="769">
        <v>0</v>
      </c>
      <c r="AF382" s="769">
        <v>49</v>
      </c>
      <c r="AG382" s="770">
        <v>49</v>
      </c>
      <c r="AH382" s="769">
        <v>0</v>
      </c>
      <c r="AI382" s="769">
        <v>0</v>
      </c>
      <c r="AJ382" s="769">
        <v>49.092169237869861</v>
      </c>
      <c r="AK382" s="769">
        <v>49.092169237869861</v>
      </c>
      <c r="AL382" s="769">
        <v>0</v>
      </c>
      <c r="AM382" s="769">
        <v>0</v>
      </c>
      <c r="AN382" s="769">
        <v>44.710251409007554</v>
      </c>
      <c r="AO382" s="769">
        <v>44.710251409007554</v>
      </c>
      <c r="AP382" s="769">
        <v>0</v>
      </c>
      <c r="AQ382" s="769">
        <v>0</v>
      </c>
      <c r="AR382" s="769">
        <v>0</v>
      </c>
      <c r="AS382" s="769">
        <v>44.630390379252894</v>
      </c>
      <c r="AT382" s="769">
        <v>46.808147556280012</v>
      </c>
      <c r="AU382" s="769">
        <v>49.092169237869861</v>
      </c>
      <c r="AV382" s="769">
        <v>51.487640641662466</v>
      </c>
      <c r="AW382" s="769">
        <v>54</v>
      </c>
      <c r="AX382" s="769">
        <v>40.796052674625749</v>
      </c>
      <c r="AY382" s="769">
        <v>42.708333748551141</v>
      </c>
      <c r="AZ382" s="769">
        <v>44.710251409007554</v>
      </c>
      <c r="BA382" s="769">
        <v>46.806007296514515</v>
      </c>
      <c r="BB382" s="769">
        <v>49</v>
      </c>
      <c r="BC382" s="769">
        <v>0</v>
      </c>
      <c r="BD382" s="769">
        <v>0</v>
      </c>
      <c r="BE382" s="769">
        <v>0</v>
      </c>
      <c r="BF382" s="769">
        <v>0</v>
      </c>
      <c r="BG382" s="769">
        <v>0</v>
      </c>
      <c r="BH382" s="771">
        <v>54.499980545192358</v>
      </c>
      <c r="BI382" s="771">
        <v>55.004590359747148</v>
      </c>
      <c r="BJ382" s="771">
        <v>55.513872305601765</v>
      </c>
      <c r="BK382" s="772">
        <v>55.148892951636398</v>
      </c>
      <c r="BL382" s="772">
        <v>54.786313176790415</v>
      </c>
      <c r="BM382" s="772">
        <v>55.179616750178013</v>
      </c>
      <c r="BN382" s="772">
        <v>55.575743797018553</v>
      </c>
      <c r="BO382" s="772">
        <v>55.974714586648197</v>
      </c>
      <c r="BP382" s="772">
        <v>56.376549533913931</v>
      </c>
      <c r="BQ382" s="772">
        <v>56.781269200218183</v>
      </c>
      <c r="BR382" s="772">
        <v>57.100017953757316</v>
      </c>
      <c r="BS382" s="772">
        <v>57.420556043274928</v>
      </c>
      <c r="BT382" s="772">
        <v>57.742893513432222</v>
      </c>
      <c r="BU382" s="772">
        <v>58.067040465277394</v>
      </c>
      <c r="BV382" s="772">
        <v>58.393007056562084</v>
      </c>
      <c r="BW382" s="771">
        <v>49.453686050267144</v>
      </c>
      <c r="BX382" s="771">
        <v>49.911572733844636</v>
      </c>
      <c r="BY382" s="771">
        <v>50.373698943971974</v>
      </c>
      <c r="BZ382" s="772">
        <v>50.042513974633032</v>
      </c>
      <c r="CA382" s="772">
        <v>49.713506401161673</v>
      </c>
      <c r="CB382" s="772">
        <v>50.070392977013384</v>
      </c>
      <c r="CC382" s="772">
        <v>50.429841593590908</v>
      </c>
      <c r="CD382" s="772">
        <v>50.791870643440028</v>
      </c>
      <c r="CE382" s="772">
        <v>51.156498651144119</v>
      </c>
      <c r="CF382" s="772">
        <v>51.523744274272055</v>
      </c>
      <c r="CG382" s="772">
        <v>51.812979254335346</v>
      </c>
      <c r="CH382" s="772">
        <v>52.103837891119838</v>
      </c>
      <c r="CI382" s="772">
        <v>52.396329299225535</v>
      </c>
      <c r="CJ382" s="772">
        <v>52.690462644418375</v>
      </c>
      <c r="CK382" s="772">
        <v>52.986247143917453</v>
      </c>
      <c r="CL382" s="771">
        <v>0</v>
      </c>
      <c r="CM382" s="771">
        <v>0</v>
      </c>
      <c r="CN382" s="771">
        <v>0</v>
      </c>
      <c r="CO382" s="772">
        <v>0</v>
      </c>
      <c r="CP382" s="772">
        <v>0</v>
      </c>
      <c r="CQ382" s="772">
        <v>0</v>
      </c>
      <c r="CR382" s="772">
        <v>0</v>
      </c>
      <c r="CS382" s="772">
        <v>0</v>
      </c>
      <c r="CT382" s="772">
        <v>0</v>
      </c>
      <c r="CU382" s="772">
        <v>0</v>
      </c>
      <c r="CV382" s="772">
        <v>0</v>
      </c>
      <c r="CW382" s="772">
        <v>0</v>
      </c>
      <c r="CX382" s="772">
        <v>0</v>
      </c>
      <c r="CY382" s="772">
        <v>0</v>
      </c>
      <c r="CZ382" s="772">
        <v>0</v>
      </c>
      <c r="DA382" s="773">
        <v>0</v>
      </c>
      <c r="DB382" s="773">
        <v>0</v>
      </c>
      <c r="DC382" s="773">
        <v>0</v>
      </c>
      <c r="DD382" s="774">
        <v>0</v>
      </c>
      <c r="DE382" s="774">
        <v>0</v>
      </c>
      <c r="DF382" s="774">
        <v>0</v>
      </c>
      <c r="DG382" s="774">
        <v>0</v>
      </c>
      <c r="DH382" s="774">
        <v>0</v>
      </c>
      <c r="DI382" s="774">
        <v>0</v>
      </c>
      <c r="DJ382" s="774">
        <v>0</v>
      </c>
      <c r="DK382" s="774">
        <v>0</v>
      </c>
      <c r="DL382" s="774">
        <v>0</v>
      </c>
      <c r="DM382" s="774">
        <v>0</v>
      </c>
      <c r="DN382" s="774">
        <v>0</v>
      </c>
      <c r="DO382" s="774">
        <v>0</v>
      </c>
      <c r="DP382" s="773">
        <v>0</v>
      </c>
      <c r="DQ382" s="773">
        <v>0</v>
      </c>
      <c r="DR382" s="773">
        <v>0</v>
      </c>
      <c r="DS382" s="774">
        <v>0</v>
      </c>
      <c r="DT382" s="774">
        <v>0</v>
      </c>
      <c r="DU382" s="774">
        <v>0</v>
      </c>
      <c r="DV382" s="774">
        <v>0</v>
      </c>
      <c r="DW382" s="774">
        <v>0</v>
      </c>
      <c r="DX382" s="774">
        <v>0</v>
      </c>
      <c r="DY382" s="774">
        <v>0</v>
      </c>
      <c r="DZ382" s="774">
        <v>0</v>
      </c>
      <c r="EA382" s="774">
        <v>0</v>
      </c>
      <c r="EB382" s="774">
        <v>0</v>
      </c>
      <c r="EC382" s="774">
        <v>0</v>
      </c>
      <c r="ED382" s="774">
        <v>0</v>
      </c>
    </row>
    <row r="383" spans="1:134" ht="15" x14ac:dyDescent="0.25">
      <c r="A383" s="766">
        <v>116</v>
      </c>
      <c r="B383" s="766">
        <v>102</v>
      </c>
      <c r="C383" s="766" t="s">
        <v>4054</v>
      </c>
      <c r="D383" s="2">
        <v>99712</v>
      </c>
      <c r="E383" s="2">
        <v>99712</v>
      </c>
      <c r="F383" s="767" t="s">
        <v>3746</v>
      </c>
      <c r="G383" s="114">
        <v>257</v>
      </c>
      <c r="H383" s="114">
        <v>116</v>
      </c>
      <c r="I383" s="114">
        <v>100</v>
      </c>
      <c r="J383" s="114">
        <v>16</v>
      </c>
      <c r="K383" s="114">
        <v>0</v>
      </c>
      <c r="L383" s="114">
        <v>34</v>
      </c>
      <c r="M383" s="114">
        <v>34</v>
      </c>
      <c r="N383" s="114">
        <v>0</v>
      </c>
      <c r="O383" s="114">
        <v>0</v>
      </c>
      <c r="P383" s="114">
        <v>0</v>
      </c>
      <c r="Q383" s="114">
        <v>34</v>
      </c>
      <c r="R383" s="114">
        <v>0</v>
      </c>
      <c r="S383" s="114">
        <v>2770.1176470588234</v>
      </c>
      <c r="T383" s="114">
        <v>2770.1176470588234</v>
      </c>
      <c r="U383" s="114">
        <v>0</v>
      </c>
      <c r="V383" s="114">
        <v>0</v>
      </c>
      <c r="W383" s="114">
        <v>0</v>
      </c>
      <c r="X383" s="114">
        <v>2770.1176470588234</v>
      </c>
      <c r="Y383" s="114">
        <v>0</v>
      </c>
      <c r="Z383" s="114">
        <v>116</v>
      </c>
      <c r="AA383" s="114">
        <v>0</v>
      </c>
      <c r="AB383" s="657">
        <v>0</v>
      </c>
      <c r="AC383" s="657">
        <v>0</v>
      </c>
      <c r="AD383" s="768">
        <v>116</v>
      </c>
      <c r="AE383" s="769">
        <v>0</v>
      </c>
      <c r="AF383" s="769">
        <v>100</v>
      </c>
      <c r="AG383" s="770">
        <v>100</v>
      </c>
      <c r="AH383" s="769">
        <v>0</v>
      </c>
      <c r="AI383" s="769">
        <v>0</v>
      </c>
      <c r="AJ383" s="769">
        <v>105.45725243690563</v>
      </c>
      <c r="AK383" s="769">
        <v>105.45725243690563</v>
      </c>
      <c r="AL383" s="769">
        <v>0</v>
      </c>
      <c r="AM383" s="769">
        <v>0</v>
      </c>
      <c r="AN383" s="769">
        <v>91.24541103879092</v>
      </c>
      <c r="AO383" s="769">
        <v>91.24541103879092</v>
      </c>
      <c r="AP383" s="769">
        <v>0</v>
      </c>
      <c r="AQ383" s="769">
        <v>0</v>
      </c>
      <c r="AR383" s="769">
        <v>0</v>
      </c>
      <c r="AS383" s="769">
        <v>95.872690444321023</v>
      </c>
      <c r="AT383" s="769">
        <v>100.55083549126817</v>
      </c>
      <c r="AU383" s="769">
        <v>105.45725243690563</v>
      </c>
      <c r="AV383" s="769">
        <v>110.60307989690456</v>
      </c>
      <c r="AW383" s="769">
        <v>116</v>
      </c>
      <c r="AX383" s="769">
        <v>83.257250356379089</v>
      </c>
      <c r="AY383" s="769">
        <v>87.159864792961514</v>
      </c>
      <c r="AZ383" s="769">
        <v>91.24541103879092</v>
      </c>
      <c r="BA383" s="769">
        <v>95.52246387043779</v>
      </c>
      <c r="BB383" s="769">
        <v>100</v>
      </c>
      <c r="BC383" s="769">
        <v>0</v>
      </c>
      <c r="BD383" s="769">
        <v>0</v>
      </c>
      <c r="BE383" s="769">
        <v>0</v>
      </c>
      <c r="BF383" s="769">
        <v>0</v>
      </c>
      <c r="BG383" s="769">
        <v>0</v>
      </c>
      <c r="BH383" s="771">
        <v>117.07403228226508</v>
      </c>
      <c r="BI383" s="771">
        <v>118.15800892093833</v>
      </c>
      <c r="BJ383" s="771">
        <v>119.2520219898112</v>
      </c>
      <c r="BK383" s="772">
        <v>118.46799226647818</v>
      </c>
      <c r="BL383" s="772">
        <v>117.68911719458681</v>
      </c>
      <c r="BM383" s="772">
        <v>118.53399153741942</v>
      </c>
      <c r="BN383" s="772">
        <v>119.38493111952133</v>
      </c>
      <c r="BO383" s="772">
        <v>120.24197948242946</v>
      </c>
      <c r="BP383" s="772">
        <v>121.10518048025955</v>
      </c>
      <c r="BQ383" s="772">
        <v>121.97457828195016</v>
      </c>
      <c r="BR383" s="772">
        <v>122.65929782658979</v>
      </c>
      <c r="BS383" s="772">
        <v>123.34786112999798</v>
      </c>
      <c r="BT383" s="772">
        <v>124.04028976959515</v>
      </c>
      <c r="BU383" s="772">
        <v>124.73660544392921</v>
      </c>
      <c r="BV383" s="772">
        <v>125.43682997335559</v>
      </c>
      <c r="BW383" s="771">
        <v>100.92588989850438</v>
      </c>
      <c r="BX383" s="771">
        <v>101.86035251805028</v>
      </c>
      <c r="BY383" s="771">
        <v>102.80346723259586</v>
      </c>
      <c r="BZ383" s="772">
        <v>102.1275795400674</v>
      </c>
      <c r="CA383" s="772">
        <v>101.45613551257485</v>
      </c>
      <c r="CB383" s="772">
        <v>102.18447546329261</v>
      </c>
      <c r="CC383" s="772">
        <v>102.91804406855287</v>
      </c>
      <c r="CD383" s="772">
        <v>103.65687886416333</v>
      </c>
      <c r="CE383" s="772">
        <v>104.40101765539616</v>
      </c>
      <c r="CF383" s="772">
        <v>105.15049851892256</v>
      </c>
      <c r="CG383" s="772">
        <v>105.74077398843949</v>
      </c>
      <c r="CH383" s="772">
        <v>106.33436304310172</v>
      </c>
      <c r="CI383" s="772">
        <v>106.93128428413375</v>
      </c>
      <c r="CJ383" s="772">
        <v>107.53155641718035</v>
      </c>
      <c r="CK383" s="772">
        <v>108.13519825289275</v>
      </c>
      <c r="CL383" s="771">
        <v>0</v>
      </c>
      <c r="CM383" s="771">
        <v>0</v>
      </c>
      <c r="CN383" s="771">
        <v>0</v>
      </c>
      <c r="CO383" s="772">
        <v>0</v>
      </c>
      <c r="CP383" s="772">
        <v>0</v>
      </c>
      <c r="CQ383" s="772">
        <v>0</v>
      </c>
      <c r="CR383" s="772">
        <v>0</v>
      </c>
      <c r="CS383" s="772">
        <v>0</v>
      </c>
      <c r="CT383" s="772">
        <v>0</v>
      </c>
      <c r="CU383" s="772">
        <v>0</v>
      </c>
      <c r="CV383" s="772">
        <v>0</v>
      </c>
      <c r="CW383" s="772">
        <v>0</v>
      </c>
      <c r="CX383" s="772">
        <v>0</v>
      </c>
      <c r="CY383" s="772">
        <v>0</v>
      </c>
      <c r="CZ383" s="772">
        <v>0</v>
      </c>
      <c r="DA383" s="773">
        <v>0</v>
      </c>
      <c r="DB383" s="773">
        <v>0</v>
      </c>
      <c r="DC383" s="773">
        <v>0</v>
      </c>
      <c r="DD383" s="774">
        <v>0</v>
      </c>
      <c r="DE383" s="774">
        <v>0</v>
      </c>
      <c r="DF383" s="774">
        <v>0</v>
      </c>
      <c r="DG383" s="774">
        <v>0</v>
      </c>
      <c r="DH383" s="774">
        <v>0</v>
      </c>
      <c r="DI383" s="774">
        <v>0</v>
      </c>
      <c r="DJ383" s="774">
        <v>0</v>
      </c>
      <c r="DK383" s="774">
        <v>0</v>
      </c>
      <c r="DL383" s="774">
        <v>0</v>
      </c>
      <c r="DM383" s="774">
        <v>0</v>
      </c>
      <c r="DN383" s="774">
        <v>0</v>
      </c>
      <c r="DO383" s="774">
        <v>0</v>
      </c>
      <c r="DP383" s="773">
        <v>0</v>
      </c>
      <c r="DQ383" s="773">
        <v>0</v>
      </c>
      <c r="DR383" s="773">
        <v>0</v>
      </c>
      <c r="DS383" s="774">
        <v>0</v>
      </c>
      <c r="DT383" s="774">
        <v>0</v>
      </c>
      <c r="DU383" s="774">
        <v>0</v>
      </c>
      <c r="DV383" s="774">
        <v>0</v>
      </c>
      <c r="DW383" s="774">
        <v>0</v>
      </c>
      <c r="DX383" s="774">
        <v>0</v>
      </c>
      <c r="DY383" s="774">
        <v>0</v>
      </c>
      <c r="DZ383" s="774">
        <v>0</v>
      </c>
      <c r="EA383" s="774">
        <v>0</v>
      </c>
      <c r="EB383" s="774">
        <v>0</v>
      </c>
      <c r="EC383" s="774">
        <v>0</v>
      </c>
      <c r="ED383" s="774">
        <v>0</v>
      </c>
    </row>
    <row r="384" spans="1:134" ht="15" x14ac:dyDescent="0.25">
      <c r="A384" s="766">
        <v>91</v>
      </c>
      <c r="B384" s="766">
        <v>103</v>
      </c>
      <c r="C384" s="766" t="s">
        <v>4055</v>
      </c>
      <c r="D384" s="2">
        <v>99709</v>
      </c>
      <c r="E384" s="2">
        <v>99709</v>
      </c>
      <c r="F384" s="767" t="s">
        <v>3676</v>
      </c>
      <c r="G384" s="114">
        <v>14</v>
      </c>
      <c r="H384" s="114">
        <v>9</v>
      </c>
      <c r="I384" s="114">
        <v>7</v>
      </c>
      <c r="J384" s="114">
        <v>2</v>
      </c>
      <c r="K384" s="114">
        <v>0</v>
      </c>
      <c r="L384" s="114">
        <v>11</v>
      </c>
      <c r="M384" s="114">
        <v>11</v>
      </c>
      <c r="N384" s="114">
        <v>0</v>
      </c>
      <c r="O384" s="114">
        <v>0</v>
      </c>
      <c r="P384" s="114">
        <v>0</v>
      </c>
      <c r="Q384" s="114">
        <v>11</v>
      </c>
      <c r="R384" s="114">
        <v>0</v>
      </c>
      <c r="S384" s="114">
        <v>1114.3636363636363</v>
      </c>
      <c r="T384" s="114">
        <v>1114.3636363636363</v>
      </c>
      <c r="U384" s="114">
        <v>0</v>
      </c>
      <c r="V384" s="114">
        <v>0</v>
      </c>
      <c r="W384" s="114">
        <v>0</v>
      </c>
      <c r="X384" s="114">
        <v>1114.3636363636363</v>
      </c>
      <c r="Y384" s="114">
        <v>0</v>
      </c>
      <c r="Z384" s="114">
        <v>9</v>
      </c>
      <c r="AA384" s="114">
        <v>0</v>
      </c>
      <c r="AB384" s="657">
        <v>0</v>
      </c>
      <c r="AC384" s="657">
        <v>0</v>
      </c>
      <c r="AD384" s="768">
        <v>9</v>
      </c>
      <c r="AE384" s="769">
        <v>0</v>
      </c>
      <c r="AF384" s="769">
        <v>7</v>
      </c>
      <c r="AG384" s="770">
        <v>7</v>
      </c>
      <c r="AH384" s="769">
        <v>0</v>
      </c>
      <c r="AI384" s="769">
        <v>0</v>
      </c>
      <c r="AJ384" s="769">
        <v>8.569425555069655</v>
      </c>
      <c r="AK384" s="769">
        <v>8.569425555069655</v>
      </c>
      <c r="AL384" s="769">
        <v>0</v>
      </c>
      <c r="AM384" s="769">
        <v>0</v>
      </c>
      <c r="AN384" s="769">
        <v>6.6776824022858339</v>
      </c>
      <c r="AO384" s="769">
        <v>6.6776824022858339</v>
      </c>
      <c r="AP384" s="769">
        <v>0</v>
      </c>
      <c r="AQ384" s="769">
        <v>0</v>
      </c>
      <c r="AR384" s="769">
        <v>0</v>
      </c>
      <c r="AS384" s="769">
        <v>8.159450482653428</v>
      </c>
      <c r="AT384" s="769">
        <v>8.3619258237188223</v>
      </c>
      <c r="AU384" s="769">
        <v>8.569425555069655</v>
      </c>
      <c r="AV384" s="769">
        <v>8.7820743560748156</v>
      </c>
      <c r="AW384" s="769">
        <v>9</v>
      </c>
      <c r="AX384" s="769">
        <v>6.3702060379711298</v>
      </c>
      <c r="AY384" s="769">
        <v>6.5221325315187197</v>
      </c>
      <c r="AZ384" s="769">
        <v>6.6776824022858339</v>
      </c>
      <c r="BA384" s="769">
        <v>6.8369420661580014</v>
      </c>
      <c r="BB384" s="769">
        <v>7</v>
      </c>
      <c r="BC384" s="769">
        <v>0</v>
      </c>
      <c r="BD384" s="769">
        <v>0</v>
      </c>
      <c r="BE384" s="769">
        <v>0</v>
      </c>
      <c r="BF384" s="769">
        <v>0</v>
      </c>
      <c r="BG384" s="769">
        <v>0</v>
      </c>
      <c r="BH384" s="771">
        <v>9.0461036611005561</v>
      </c>
      <c r="BI384" s="771">
        <v>9.0924434941529881</v>
      </c>
      <c r="BJ384" s="771">
        <v>9.1390207089785882</v>
      </c>
      <c r="BK384" s="772">
        <v>9.0789356575183504</v>
      </c>
      <c r="BL384" s="772">
        <v>9.0192456389094371</v>
      </c>
      <c r="BM384" s="772">
        <v>9.0839935902380251</v>
      </c>
      <c r="BN384" s="772">
        <v>9.1492063584004235</v>
      </c>
      <c r="BO384" s="772">
        <v>9.2148872802541657</v>
      </c>
      <c r="BP384" s="772">
        <v>9.2810397166116321</v>
      </c>
      <c r="BQ384" s="772">
        <v>9.3476670524120262</v>
      </c>
      <c r="BR384" s="772">
        <v>9.4001413500707987</v>
      </c>
      <c r="BS384" s="772">
        <v>9.4529102187599001</v>
      </c>
      <c r="BT384" s="772">
        <v>9.5059753120906354</v>
      </c>
      <c r="BU384" s="772">
        <v>9.5593382929570669</v>
      </c>
      <c r="BV384" s="772">
        <v>9.6130008335881119</v>
      </c>
      <c r="BW384" s="771">
        <v>7.035858403078211</v>
      </c>
      <c r="BX384" s="771">
        <v>7.0719004954523248</v>
      </c>
      <c r="BY384" s="771">
        <v>7.1081272180944568</v>
      </c>
      <c r="BZ384" s="772">
        <v>7.0613944002920501</v>
      </c>
      <c r="CA384" s="772">
        <v>7.0149688302628945</v>
      </c>
      <c r="CB384" s="772">
        <v>7.0653283479629074</v>
      </c>
      <c r="CC384" s="772">
        <v>7.116049389866995</v>
      </c>
      <c r="CD384" s="772">
        <v>7.167134551308795</v>
      </c>
      <c r="CE384" s="772">
        <v>7.2185864462534912</v>
      </c>
      <c r="CF384" s="772">
        <v>7.2704077074315743</v>
      </c>
      <c r="CG384" s="772">
        <v>7.3112210500550656</v>
      </c>
      <c r="CH384" s="772">
        <v>7.3522635034799215</v>
      </c>
      <c r="CI384" s="772">
        <v>7.3935363538482717</v>
      </c>
      <c r="CJ384" s="772">
        <v>7.435040894522162</v>
      </c>
      <c r="CK384" s="772">
        <v>7.4767784261240857</v>
      </c>
      <c r="CL384" s="771">
        <v>0</v>
      </c>
      <c r="CM384" s="771">
        <v>0</v>
      </c>
      <c r="CN384" s="771">
        <v>0</v>
      </c>
      <c r="CO384" s="772">
        <v>0</v>
      </c>
      <c r="CP384" s="772">
        <v>0</v>
      </c>
      <c r="CQ384" s="772">
        <v>0</v>
      </c>
      <c r="CR384" s="772">
        <v>0</v>
      </c>
      <c r="CS384" s="772">
        <v>0</v>
      </c>
      <c r="CT384" s="772">
        <v>0</v>
      </c>
      <c r="CU384" s="772">
        <v>0</v>
      </c>
      <c r="CV384" s="772">
        <v>0</v>
      </c>
      <c r="CW384" s="772">
        <v>0</v>
      </c>
      <c r="CX384" s="772">
        <v>0</v>
      </c>
      <c r="CY384" s="772">
        <v>0</v>
      </c>
      <c r="CZ384" s="772">
        <v>0</v>
      </c>
      <c r="DA384" s="773">
        <v>0</v>
      </c>
      <c r="DB384" s="773">
        <v>0</v>
      </c>
      <c r="DC384" s="773">
        <v>0</v>
      </c>
      <c r="DD384" s="774">
        <v>0</v>
      </c>
      <c r="DE384" s="774">
        <v>0</v>
      </c>
      <c r="DF384" s="774">
        <v>0</v>
      </c>
      <c r="DG384" s="774">
        <v>0</v>
      </c>
      <c r="DH384" s="774">
        <v>0</v>
      </c>
      <c r="DI384" s="774">
        <v>0</v>
      </c>
      <c r="DJ384" s="774">
        <v>0</v>
      </c>
      <c r="DK384" s="774">
        <v>0</v>
      </c>
      <c r="DL384" s="774">
        <v>0</v>
      </c>
      <c r="DM384" s="774">
        <v>0</v>
      </c>
      <c r="DN384" s="774">
        <v>0</v>
      </c>
      <c r="DO384" s="774">
        <v>0</v>
      </c>
      <c r="DP384" s="773">
        <v>0</v>
      </c>
      <c r="DQ384" s="773">
        <v>0</v>
      </c>
      <c r="DR384" s="773">
        <v>0</v>
      </c>
      <c r="DS384" s="774">
        <v>0</v>
      </c>
      <c r="DT384" s="774">
        <v>0</v>
      </c>
      <c r="DU384" s="774">
        <v>0</v>
      </c>
      <c r="DV384" s="774">
        <v>0</v>
      </c>
      <c r="DW384" s="774">
        <v>0</v>
      </c>
      <c r="DX384" s="774">
        <v>0</v>
      </c>
      <c r="DY384" s="774">
        <v>0</v>
      </c>
      <c r="DZ384" s="774">
        <v>0</v>
      </c>
      <c r="EA384" s="774">
        <v>0</v>
      </c>
      <c r="EB384" s="774">
        <v>0</v>
      </c>
      <c r="EC384" s="774">
        <v>0</v>
      </c>
      <c r="ED384" s="774">
        <v>0</v>
      </c>
    </row>
    <row r="385" spans="1:134" ht="15" x14ac:dyDescent="0.25">
      <c r="A385" s="766">
        <v>92</v>
      </c>
      <c r="B385" s="766">
        <v>103</v>
      </c>
      <c r="C385" s="766" t="s">
        <v>4056</v>
      </c>
      <c r="D385" s="2">
        <v>99709</v>
      </c>
      <c r="E385" s="2">
        <v>99709</v>
      </c>
      <c r="F385" s="767" t="s">
        <v>3676</v>
      </c>
      <c r="G385" s="114">
        <v>34</v>
      </c>
      <c r="H385" s="114">
        <v>16</v>
      </c>
      <c r="I385" s="114">
        <v>13</v>
      </c>
      <c r="J385" s="114">
        <v>3</v>
      </c>
      <c r="K385" s="114">
        <v>0</v>
      </c>
      <c r="L385" s="114">
        <v>15</v>
      </c>
      <c r="M385" s="114">
        <v>15</v>
      </c>
      <c r="N385" s="114">
        <v>0</v>
      </c>
      <c r="O385" s="114">
        <v>0</v>
      </c>
      <c r="P385" s="114">
        <v>0</v>
      </c>
      <c r="Q385" s="114">
        <v>15</v>
      </c>
      <c r="R385" s="114">
        <v>0</v>
      </c>
      <c r="S385" s="114">
        <v>1211</v>
      </c>
      <c r="T385" s="114">
        <v>1211</v>
      </c>
      <c r="U385" s="114">
        <v>0</v>
      </c>
      <c r="V385" s="114">
        <v>0</v>
      </c>
      <c r="W385" s="114">
        <v>0</v>
      </c>
      <c r="X385" s="114">
        <v>1211</v>
      </c>
      <c r="Y385" s="114">
        <v>0</v>
      </c>
      <c r="Z385" s="114">
        <v>16</v>
      </c>
      <c r="AA385" s="114">
        <v>0</v>
      </c>
      <c r="AB385" s="657">
        <v>0</v>
      </c>
      <c r="AC385" s="657">
        <v>0</v>
      </c>
      <c r="AD385" s="768">
        <v>16</v>
      </c>
      <c r="AE385" s="769">
        <v>0</v>
      </c>
      <c r="AF385" s="769">
        <v>13</v>
      </c>
      <c r="AG385" s="770">
        <v>13</v>
      </c>
      <c r="AH385" s="769">
        <v>0</v>
      </c>
      <c r="AI385" s="769">
        <v>0</v>
      </c>
      <c r="AJ385" s="769">
        <v>15.23453432012383</v>
      </c>
      <c r="AK385" s="769">
        <v>15.23453432012383</v>
      </c>
      <c r="AL385" s="769">
        <v>0</v>
      </c>
      <c r="AM385" s="769">
        <v>0</v>
      </c>
      <c r="AN385" s="769">
        <v>12.401410175673693</v>
      </c>
      <c r="AO385" s="769">
        <v>12.401410175673693</v>
      </c>
      <c r="AP385" s="769">
        <v>0</v>
      </c>
      <c r="AQ385" s="769">
        <v>0</v>
      </c>
      <c r="AR385" s="769">
        <v>0</v>
      </c>
      <c r="AS385" s="769">
        <v>14.505689746939428</v>
      </c>
      <c r="AT385" s="769">
        <v>14.865645908833462</v>
      </c>
      <c r="AU385" s="769">
        <v>15.23453432012383</v>
      </c>
      <c r="AV385" s="769">
        <v>15.612576633021893</v>
      </c>
      <c r="AW385" s="769">
        <v>16</v>
      </c>
      <c r="AX385" s="769">
        <v>11.830382641946384</v>
      </c>
      <c r="AY385" s="769">
        <v>12.112531844249052</v>
      </c>
      <c r="AZ385" s="769">
        <v>12.401410175673693</v>
      </c>
      <c r="BA385" s="769">
        <v>12.697178122864859</v>
      </c>
      <c r="BB385" s="769">
        <v>13</v>
      </c>
      <c r="BC385" s="769">
        <v>0</v>
      </c>
      <c r="BD385" s="769">
        <v>0</v>
      </c>
      <c r="BE385" s="769">
        <v>0</v>
      </c>
      <c r="BF385" s="769">
        <v>0</v>
      </c>
      <c r="BG385" s="769">
        <v>0</v>
      </c>
      <c r="BH385" s="771">
        <v>16.081962064178768</v>
      </c>
      <c r="BI385" s="771">
        <v>16.164343989605314</v>
      </c>
      <c r="BJ385" s="771">
        <v>16.247147927073044</v>
      </c>
      <c r="BK385" s="772">
        <v>16.140330057810399</v>
      </c>
      <c r="BL385" s="772">
        <v>16.03421446917233</v>
      </c>
      <c r="BM385" s="772">
        <v>16.149321938200931</v>
      </c>
      <c r="BN385" s="772">
        <v>16.265255748267418</v>
      </c>
      <c r="BO385" s="772">
        <v>16.382021831562959</v>
      </c>
      <c r="BP385" s="772">
        <v>16.499626162865123</v>
      </c>
      <c r="BQ385" s="772">
        <v>16.618074759843598</v>
      </c>
      <c r="BR385" s="772">
        <v>16.711362400125864</v>
      </c>
      <c r="BS385" s="772">
        <v>16.805173722239822</v>
      </c>
      <c r="BT385" s="772">
        <v>16.899511665938906</v>
      </c>
      <c r="BU385" s="772">
        <v>16.994379187479229</v>
      </c>
      <c r="BV385" s="772">
        <v>17.089779259712195</v>
      </c>
      <c r="BW385" s="771">
        <v>13.066594177145248</v>
      </c>
      <c r="BX385" s="771">
        <v>13.133529491554317</v>
      </c>
      <c r="BY385" s="771">
        <v>13.200807690746849</v>
      </c>
      <c r="BZ385" s="772">
        <v>13.114018171970951</v>
      </c>
      <c r="CA385" s="772">
        <v>13.02779925620252</v>
      </c>
      <c r="CB385" s="772">
        <v>13.121324074788257</v>
      </c>
      <c r="CC385" s="772">
        <v>13.215520295467277</v>
      </c>
      <c r="CD385" s="772">
        <v>13.310392738144905</v>
      </c>
      <c r="CE385" s="772">
        <v>13.405946257327914</v>
      </c>
      <c r="CF385" s="772">
        <v>13.502185742372925</v>
      </c>
      <c r="CG385" s="772">
        <v>13.577981950102265</v>
      </c>
      <c r="CH385" s="772">
        <v>13.654203649319856</v>
      </c>
      <c r="CI385" s="772">
        <v>13.730853228575363</v>
      </c>
      <c r="CJ385" s="772">
        <v>13.807933089826873</v>
      </c>
      <c r="CK385" s="772">
        <v>13.885445648516161</v>
      </c>
      <c r="CL385" s="771">
        <v>0</v>
      </c>
      <c r="CM385" s="771">
        <v>0</v>
      </c>
      <c r="CN385" s="771">
        <v>0</v>
      </c>
      <c r="CO385" s="772">
        <v>0</v>
      </c>
      <c r="CP385" s="772">
        <v>0</v>
      </c>
      <c r="CQ385" s="772">
        <v>0</v>
      </c>
      <c r="CR385" s="772">
        <v>0</v>
      </c>
      <c r="CS385" s="772">
        <v>0</v>
      </c>
      <c r="CT385" s="772">
        <v>0</v>
      </c>
      <c r="CU385" s="772">
        <v>0</v>
      </c>
      <c r="CV385" s="772">
        <v>0</v>
      </c>
      <c r="CW385" s="772">
        <v>0</v>
      </c>
      <c r="CX385" s="772">
        <v>0</v>
      </c>
      <c r="CY385" s="772">
        <v>0</v>
      </c>
      <c r="CZ385" s="772">
        <v>0</v>
      </c>
      <c r="DA385" s="773">
        <v>0</v>
      </c>
      <c r="DB385" s="773">
        <v>0</v>
      </c>
      <c r="DC385" s="773">
        <v>0</v>
      </c>
      <c r="DD385" s="774">
        <v>0</v>
      </c>
      <c r="DE385" s="774">
        <v>0</v>
      </c>
      <c r="DF385" s="774">
        <v>0</v>
      </c>
      <c r="DG385" s="774">
        <v>0</v>
      </c>
      <c r="DH385" s="774">
        <v>0</v>
      </c>
      <c r="DI385" s="774">
        <v>0</v>
      </c>
      <c r="DJ385" s="774">
        <v>0</v>
      </c>
      <c r="DK385" s="774">
        <v>0</v>
      </c>
      <c r="DL385" s="774">
        <v>0</v>
      </c>
      <c r="DM385" s="774">
        <v>0</v>
      </c>
      <c r="DN385" s="774">
        <v>0</v>
      </c>
      <c r="DO385" s="774">
        <v>0</v>
      </c>
      <c r="DP385" s="773">
        <v>0</v>
      </c>
      <c r="DQ385" s="773">
        <v>0</v>
      </c>
      <c r="DR385" s="773">
        <v>0</v>
      </c>
      <c r="DS385" s="774">
        <v>0</v>
      </c>
      <c r="DT385" s="774">
        <v>0</v>
      </c>
      <c r="DU385" s="774">
        <v>0</v>
      </c>
      <c r="DV385" s="774">
        <v>0</v>
      </c>
      <c r="DW385" s="774">
        <v>0</v>
      </c>
      <c r="DX385" s="774">
        <v>0</v>
      </c>
      <c r="DY385" s="774">
        <v>0</v>
      </c>
      <c r="DZ385" s="774">
        <v>0</v>
      </c>
      <c r="EA385" s="774">
        <v>0</v>
      </c>
      <c r="EB385" s="774">
        <v>0</v>
      </c>
      <c r="EC385" s="774">
        <v>0</v>
      </c>
      <c r="ED385" s="774">
        <v>0</v>
      </c>
    </row>
    <row r="386" spans="1:134" ht="15" x14ac:dyDescent="0.25">
      <c r="A386" s="766">
        <v>101</v>
      </c>
      <c r="B386" s="766">
        <v>103</v>
      </c>
      <c r="C386" s="766" t="s">
        <v>4057</v>
      </c>
      <c r="D386" s="2">
        <v>99709</v>
      </c>
      <c r="E386" s="2">
        <v>99709</v>
      </c>
      <c r="F386" s="767" t="s">
        <v>3746</v>
      </c>
      <c r="G386" s="114">
        <v>632</v>
      </c>
      <c r="H386" s="114">
        <v>325</v>
      </c>
      <c r="I386" s="114">
        <v>271</v>
      </c>
      <c r="J386" s="114">
        <v>54</v>
      </c>
      <c r="K386" s="114">
        <v>0</v>
      </c>
      <c r="L386" s="114">
        <v>0</v>
      </c>
      <c r="M386" s="114">
        <v>0</v>
      </c>
      <c r="N386" s="114">
        <v>0</v>
      </c>
      <c r="O386" s="114">
        <v>0</v>
      </c>
      <c r="P386" s="114">
        <v>0</v>
      </c>
      <c r="Q386" s="114">
        <v>0</v>
      </c>
      <c r="R386" s="114">
        <v>0</v>
      </c>
      <c r="S386" s="114">
        <v>834.49503068156923</v>
      </c>
      <c r="T386" s="114">
        <v>834.49503068156923</v>
      </c>
      <c r="U386" s="114">
        <v>1408.3846153846155</v>
      </c>
      <c r="V386" s="114">
        <v>0</v>
      </c>
      <c r="W386" s="114">
        <v>0</v>
      </c>
      <c r="X386" s="114">
        <v>1365.173957061457</v>
      </c>
      <c r="Y386" s="114">
        <v>7.4465090090090094</v>
      </c>
      <c r="Z386" s="114">
        <v>317.13119369369372</v>
      </c>
      <c r="AA386" s="114">
        <v>0.42229729729729731</v>
      </c>
      <c r="AB386" s="657">
        <v>0</v>
      </c>
      <c r="AC386" s="657">
        <v>0</v>
      </c>
      <c r="AD386" s="768">
        <v>325</v>
      </c>
      <c r="AE386" s="769">
        <v>6.2092428967428974</v>
      </c>
      <c r="AF386" s="769">
        <v>264.43862612612611</v>
      </c>
      <c r="AG386" s="770">
        <v>270.64786902286903</v>
      </c>
      <c r="AH386" s="769">
        <v>0.35213097713097719</v>
      </c>
      <c r="AI386" s="769">
        <v>7.0902560664286902</v>
      </c>
      <c r="AJ386" s="769">
        <v>301.95912839427592</v>
      </c>
      <c r="AK386" s="769">
        <v>309.04938446070463</v>
      </c>
      <c r="AL386" s="769">
        <v>0.40209391681070078</v>
      </c>
      <c r="AM386" s="769">
        <v>5.9233360032997657</v>
      </c>
      <c r="AN386" s="769">
        <v>252.26245145243934</v>
      </c>
      <c r="AO386" s="769">
        <v>258.1857874557391</v>
      </c>
      <c r="AP386" s="769">
        <v>0.33591697561246314</v>
      </c>
      <c r="AQ386" s="769">
        <v>0</v>
      </c>
      <c r="AR386" s="769">
        <v>0</v>
      </c>
      <c r="AS386" s="769">
        <v>294.26396588623425</v>
      </c>
      <c r="AT386" s="769">
        <v>301.56607489256226</v>
      </c>
      <c r="AU386" s="769">
        <v>309.04938446070457</v>
      </c>
      <c r="AV386" s="769">
        <v>316.71839105100895</v>
      </c>
      <c r="AW386" s="769">
        <v>324.57770270270271</v>
      </c>
      <c r="AX386" s="769">
        <v>246.2975270590714</v>
      </c>
      <c r="AY386" s="769">
        <v>252.17161016289597</v>
      </c>
      <c r="AZ386" s="769">
        <v>258.1857874557391</v>
      </c>
      <c r="BA386" s="769">
        <v>264.34340011978202</v>
      </c>
      <c r="BB386" s="769">
        <v>270.64786902286903</v>
      </c>
      <c r="BC386" s="769">
        <v>0</v>
      </c>
      <c r="BD386" s="769">
        <v>0</v>
      </c>
      <c r="BE386" s="769">
        <v>0</v>
      </c>
      <c r="BF386" s="769">
        <v>0</v>
      </c>
      <c r="BG386" s="769">
        <v>0</v>
      </c>
      <c r="BH386" s="771">
        <v>326.24039385894747</v>
      </c>
      <c r="BI386" s="771">
        <v>327.91160236514582</v>
      </c>
      <c r="BJ386" s="771">
        <v>329.59137185252172</v>
      </c>
      <c r="BK386" s="772">
        <v>327.42445318921756</v>
      </c>
      <c r="BL386" s="772">
        <v>325.27178106539947</v>
      </c>
      <c r="BM386" s="772">
        <v>327.60686343172603</v>
      </c>
      <c r="BN386" s="772">
        <v>329.95870904028556</v>
      </c>
      <c r="BO386" s="772">
        <v>332.32743823213923</v>
      </c>
      <c r="BP386" s="772">
        <v>334.7131722122607</v>
      </c>
      <c r="BQ386" s="772">
        <v>337.11603305573772</v>
      </c>
      <c r="BR386" s="772">
        <v>339.00847605407358</v>
      </c>
      <c r="BS386" s="772">
        <v>340.91154251777681</v>
      </c>
      <c r="BT386" s="772">
        <v>342.82529208299843</v>
      </c>
      <c r="BU386" s="772">
        <v>344.74978472066448</v>
      </c>
      <c r="BV386" s="772">
        <v>346.68508073835505</v>
      </c>
      <c r="BW386" s="771">
        <v>272.03429764853774</v>
      </c>
      <c r="BX386" s="771">
        <v>273.42782843370622</v>
      </c>
      <c r="BY386" s="771">
        <v>274.82849776010272</v>
      </c>
      <c r="BZ386" s="772">
        <v>273.02162096700908</v>
      </c>
      <c r="CA386" s="772">
        <v>271.22662359607153</v>
      </c>
      <c r="CB386" s="772">
        <v>273.17372304614696</v>
      </c>
      <c r="CC386" s="772">
        <v>275.13480046128427</v>
      </c>
      <c r="CD386" s="772">
        <v>277.10995618741458</v>
      </c>
      <c r="CE386" s="772">
        <v>279.09929129083895</v>
      </c>
      <c r="CF386" s="772">
        <v>281.10290756339975</v>
      </c>
      <c r="CG386" s="772">
        <v>282.6809138789352</v>
      </c>
      <c r="CH386" s="772">
        <v>284.26777853020775</v>
      </c>
      <c r="CI386" s="772">
        <v>285.86355124459254</v>
      </c>
      <c r="CJ386" s="772">
        <v>287.46828202861559</v>
      </c>
      <c r="CK386" s="772">
        <v>289.08202116952066</v>
      </c>
      <c r="CL386" s="771">
        <v>0</v>
      </c>
      <c r="CM386" s="771">
        <v>0</v>
      </c>
      <c r="CN386" s="771">
        <v>0</v>
      </c>
      <c r="CO386" s="772">
        <v>0</v>
      </c>
      <c r="CP386" s="772">
        <v>0</v>
      </c>
      <c r="CQ386" s="772">
        <v>0</v>
      </c>
      <c r="CR386" s="772">
        <v>0</v>
      </c>
      <c r="CS386" s="772">
        <v>0</v>
      </c>
      <c r="CT386" s="772">
        <v>0</v>
      </c>
      <c r="CU386" s="772">
        <v>0</v>
      </c>
      <c r="CV386" s="772">
        <v>0</v>
      </c>
      <c r="CW386" s="772">
        <v>0</v>
      </c>
      <c r="CX386" s="772">
        <v>0</v>
      </c>
      <c r="CY386" s="772">
        <v>0</v>
      </c>
      <c r="CZ386" s="772">
        <v>0</v>
      </c>
      <c r="DA386" s="773">
        <v>0.42446056968377238</v>
      </c>
      <c r="DB386" s="773">
        <v>0.42663492371213352</v>
      </c>
      <c r="DC386" s="773">
        <v>0.42882041614952082</v>
      </c>
      <c r="DD386" s="774">
        <v>0.42600111005622893</v>
      </c>
      <c r="DE386" s="774">
        <v>0.42320033966354337</v>
      </c>
      <c r="DF386" s="774">
        <v>0.4262384379803878</v>
      </c>
      <c r="DG386" s="774">
        <v>0.42929834639641623</v>
      </c>
      <c r="DH386" s="774">
        <v>0.43238022148339739</v>
      </c>
      <c r="DI386" s="774">
        <v>0.43548422093710737</v>
      </c>
      <c r="DJ386" s="774">
        <v>0.43861050358539905</v>
      </c>
      <c r="DK386" s="774">
        <v>0.44107269848305175</v>
      </c>
      <c r="DL386" s="774">
        <v>0.44354871521958988</v>
      </c>
      <c r="DM386" s="774">
        <v>0.44603863138563421</v>
      </c>
      <c r="DN386" s="774">
        <v>0.44854252500736985</v>
      </c>
      <c r="DO386" s="774">
        <v>0.45106047454899167</v>
      </c>
      <c r="DP386" s="773">
        <v>0</v>
      </c>
      <c r="DQ386" s="773">
        <v>0</v>
      </c>
      <c r="DR386" s="773">
        <v>0</v>
      </c>
      <c r="DS386" s="774">
        <v>0</v>
      </c>
      <c r="DT386" s="774">
        <v>0</v>
      </c>
      <c r="DU386" s="774">
        <v>0</v>
      </c>
      <c r="DV386" s="774">
        <v>0</v>
      </c>
      <c r="DW386" s="774">
        <v>0</v>
      </c>
      <c r="DX386" s="774">
        <v>0</v>
      </c>
      <c r="DY386" s="774">
        <v>0</v>
      </c>
      <c r="DZ386" s="774">
        <v>0</v>
      </c>
      <c r="EA386" s="774">
        <v>0</v>
      </c>
      <c r="EB386" s="774">
        <v>0</v>
      </c>
      <c r="EC386" s="774">
        <v>0</v>
      </c>
      <c r="ED386" s="774">
        <v>0</v>
      </c>
    </row>
    <row r="387" spans="1:134" ht="15" x14ac:dyDescent="0.25">
      <c r="A387" s="766">
        <v>108</v>
      </c>
      <c r="B387" s="766">
        <v>103</v>
      </c>
      <c r="C387" s="766" t="s">
        <v>4058</v>
      </c>
      <c r="D387" s="2">
        <v>99709</v>
      </c>
      <c r="E387" s="2">
        <v>99709</v>
      </c>
      <c r="F387" s="767" t="s">
        <v>3746</v>
      </c>
      <c r="G387" s="114">
        <v>137</v>
      </c>
      <c r="H387" s="114">
        <v>61</v>
      </c>
      <c r="I387" s="114">
        <v>51</v>
      </c>
      <c r="J387" s="114">
        <v>10</v>
      </c>
      <c r="K387" s="114">
        <v>0</v>
      </c>
      <c r="L387" s="114">
        <v>23</v>
      </c>
      <c r="M387" s="114">
        <v>23</v>
      </c>
      <c r="N387" s="114">
        <v>0</v>
      </c>
      <c r="O387" s="114">
        <v>0</v>
      </c>
      <c r="P387" s="114">
        <v>0</v>
      </c>
      <c r="Q387" s="114">
        <v>23</v>
      </c>
      <c r="R387" s="114">
        <v>0</v>
      </c>
      <c r="S387" s="114">
        <v>1345.695652173913</v>
      </c>
      <c r="T387" s="114">
        <v>1345.695652173913</v>
      </c>
      <c r="U387" s="114">
        <v>0</v>
      </c>
      <c r="V387" s="114">
        <v>0</v>
      </c>
      <c r="W387" s="114">
        <v>0</v>
      </c>
      <c r="X387" s="114">
        <v>1345.695652173913</v>
      </c>
      <c r="Y387" s="114">
        <v>0</v>
      </c>
      <c r="Z387" s="114">
        <v>61</v>
      </c>
      <c r="AA387" s="114">
        <v>0</v>
      </c>
      <c r="AB387" s="657">
        <v>0</v>
      </c>
      <c r="AC387" s="657">
        <v>0</v>
      </c>
      <c r="AD387" s="768">
        <v>61</v>
      </c>
      <c r="AE387" s="769">
        <v>0</v>
      </c>
      <c r="AF387" s="769">
        <v>51</v>
      </c>
      <c r="AG387" s="770">
        <v>51</v>
      </c>
      <c r="AH387" s="769">
        <v>0</v>
      </c>
      <c r="AI387" s="769">
        <v>0</v>
      </c>
      <c r="AJ387" s="769">
        <v>58.081662095472097</v>
      </c>
      <c r="AK387" s="769">
        <v>58.081662095472097</v>
      </c>
      <c r="AL387" s="769">
        <v>0</v>
      </c>
      <c r="AM387" s="769">
        <v>0</v>
      </c>
      <c r="AN387" s="769">
        <v>48.651686073796789</v>
      </c>
      <c r="AO387" s="769">
        <v>48.651686073796789</v>
      </c>
      <c r="AP387" s="769">
        <v>0</v>
      </c>
      <c r="AQ387" s="769">
        <v>0</v>
      </c>
      <c r="AR387" s="769">
        <v>0</v>
      </c>
      <c r="AS387" s="769">
        <v>55.302942160206563</v>
      </c>
      <c r="AT387" s="769">
        <v>56.675275027427574</v>
      </c>
      <c r="AU387" s="769">
        <v>58.081662095472097</v>
      </c>
      <c r="AV387" s="769">
        <v>59.522948413395973</v>
      </c>
      <c r="AW387" s="769">
        <v>61</v>
      </c>
      <c r="AX387" s="769">
        <v>46.411501133789656</v>
      </c>
      <c r="AY387" s="769">
        <v>47.518394158207819</v>
      </c>
      <c r="AZ387" s="769">
        <v>48.651686073796789</v>
      </c>
      <c r="BA387" s="769">
        <v>49.812006482008293</v>
      </c>
      <c r="BB387" s="769">
        <v>51</v>
      </c>
      <c r="BC387" s="769">
        <v>0</v>
      </c>
      <c r="BD387" s="769">
        <v>0</v>
      </c>
      <c r="BE387" s="769">
        <v>0</v>
      </c>
      <c r="BF387" s="769">
        <v>0</v>
      </c>
      <c r="BG387" s="769">
        <v>0</v>
      </c>
      <c r="BH387" s="771">
        <v>61.312480369681552</v>
      </c>
      <c r="BI387" s="771">
        <v>61.626561460370262</v>
      </c>
      <c r="BJ387" s="771">
        <v>61.942251471965982</v>
      </c>
      <c r="BK387" s="772">
        <v>61.535008345402147</v>
      </c>
      <c r="BL387" s="772">
        <v>61.130442663719514</v>
      </c>
      <c r="BM387" s="772">
        <v>61.569289889391051</v>
      </c>
      <c r="BN387" s="772">
        <v>62.011287540269528</v>
      </c>
      <c r="BO387" s="772">
        <v>62.456458232833789</v>
      </c>
      <c r="BP387" s="772">
        <v>62.904824745923278</v>
      </c>
      <c r="BQ387" s="772">
        <v>63.35641002190372</v>
      </c>
      <c r="BR387" s="772">
        <v>63.712069150479856</v>
      </c>
      <c r="BS387" s="772">
        <v>64.069724816039326</v>
      </c>
      <c r="BT387" s="772">
        <v>64.429388226392078</v>
      </c>
      <c r="BU387" s="772">
        <v>64.791070652264551</v>
      </c>
      <c r="BV387" s="772">
        <v>65.154783427652745</v>
      </c>
      <c r="BW387" s="771">
        <v>51.261254079569824</v>
      </c>
      <c r="BX387" s="771">
        <v>51.523846466866935</v>
      </c>
      <c r="BY387" s="771">
        <v>51.787784017545327</v>
      </c>
      <c r="BZ387" s="772">
        <v>51.447302059270648</v>
      </c>
      <c r="CA387" s="772">
        <v>51.109058620486806</v>
      </c>
      <c r="CB387" s="772">
        <v>51.475963678015468</v>
      </c>
      <c r="CC387" s="772">
        <v>51.845502697602392</v>
      </c>
      <c r="CD387" s="772">
        <v>52.217694588106937</v>
      </c>
      <c r="CE387" s="772">
        <v>52.592558394132581</v>
      </c>
      <c r="CF387" s="772">
        <v>52.970113297001468</v>
      </c>
      <c r="CG387" s="772">
        <v>53.267467650401187</v>
      </c>
      <c r="CH387" s="772">
        <v>53.566491239639433</v>
      </c>
      <c r="CI387" s="772">
        <v>53.867193435180269</v>
      </c>
      <c r="CJ387" s="772">
        <v>54.169583660090041</v>
      </c>
      <c r="CK387" s="772">
        <v>54.473671390332626</v>
      </c>
      <c r="CL387" s="771">
        <v>0</v>
      </c>
      <c r="CM387" s="771">
        <v>0</v>
      </c>
      <c r="CN387" s="771">
        <v>0</v>
      </c>
      <c r="CO387" s="772">
        <v>0</v>
      </c>
      <c r="CP387" s="772">
        <v>0</v>
      </c>
      <c r="CQ387" s="772">
        <v>0</v>
      </c>
      <c r="CR387" s="772">
        <v>0</v>
      </c>
      <c r="CS387" s="772">
        <v>0</v>
      </c>
      <c r="CT387" s="772">
        <v>0</v>
      </c>
      <c r="CU387" s="772">
        <v>0</v>
      </c>
      <c r="CV387" s="772">
        <v>0</v>
      </c>
      <c r="CW387" s="772">
        <v>0</v>
      </c>
      <c r="CX387" s="772">
        <v>0</v>
      </c>
      <c r="CY387" s="772">
        <v>0</v>
      </c>
      <c r="CZ387" s="772">
        <v>0</v>
      </c>
      <c r="DA387" s="773">
        <v>0</v>
      </c>
      <c r="DB387" s="773">
        <v>0</v>
      </c>
      <c r="DC387" s="773">
        <v>0</v>
      </c>
      <c r="DD387" s="774">
        <v>0</v>
      </c>
      <c r="DE387" s="774">
        <v>0</v>
      </c>
      <c r="DF387" s="774">
        <v>0</v>
      </c>
      <c r="DG387" s="774">
        <v>0</v>
      </c>
      <c r="DH387" s="774">
        <v>0</v>
      </c>
      <c r="DI387" s="774">
        <v>0</v>
      </c>
      <c r="DJ387" s="774">
        <v>0</v>
      </c>
      <c r="DK387" s="774">
        <v>0</v>
      </c>
      <c r="DL387" s="774">
        <v>0</v>
      </c>
      <c r="DM387" s="774">
        <v>0</v>
      </c>
      <c r="DN387" s="774">
        <v>0</v>
      </c>
      <c r="DO387" s="774">
        <v>0</v>
      </c>
      <c r="DP387" s="773">
        <v>0</v>
      </c>
      <c r="DQ387" s="773">
        <v>0</v>
      </c>
      <c r="DR387" s="773">
        <v>0</v>
      </c>
      <c r="DS387" s="774">
        <v>0</v>
      </c>
      <c r="DT387" s="774">
        <v>0</v>
      </c>
      <c r="DU387" s="774">
        <v>0</v>
      </c>
      <c r="DV387" s="774">
        <v>0</v>
      </c>
      <c r="DW387" s="774">
        <v>0</v>
      </c>
      <c r="DX387" s="774">
        <v>0</v>
      </c>
      <c r="DY387" s="774">
        <v>0</v>
      </c>
      <c r="DZ387" s="774">
        <v>0</v>
      </c>
      <c r="EA387" s="774">
        <v>0</v>
      </c>
      <c r="EB387" s="774">
        <v>0</v>
      </c>
      <c r="EC387" s="774">
        <v>0</v>
      </c>
      <c r="ED387" s="774">
        <v>0</v>
      </c>
    </row>
    <row r="388" spans="1:134" ht="15" x14ac:dyDescent="0.25">
      <c r="A388" s="766">
        <v>111</v>
      </c>
      <c r="B388" s="766">
        <v>103</v>
      </c>
      <c r="C388" s="766" t="s">
        <v>4059</v>
      </c>
      <c r="D388" s="2">
        <v>99709</v>
      </c>
      <c r="E388" s="2">
        <v>99712</v>
      </c>
      <c r="F388" s="767" t="s">
        <v>3746</v>
      </c>
      <c r="G388" s="114">
        <v>4</v>
      </c>
      <c r="H388" s="114">
        <v>4</v>
      </c>
      <c r="I388" s="114">
        <v>4</v>
      </c>
      <c r="J388" s="114">
        <v>0</v>
      </c>
      <c r="K388" s="114">
        <v>0</v>
      </c>
      <c r="L388" s="114">
        <v>3</v>
      </c>
      <c r="M388" s="114">
        <v>3</v>
      </c>
      <c r="N388" s="114">
        <v>3</v>
      </c>
      <c r="O388" s="114">
        <v>0</v>
      </c>
      <c r="P388" s="114">
        <v>0</v>
      </c>
      <c r="Q388" s="114">
        <v>6</v>
      </c>
      <c r="R388" s="114">
        <v>0</v>
      </c>
      <c r="S388" s="114">
        <v>1512</v>
      </c>
      <c r="T388" s="114">
        <v>1512</v>
      </c>
      <c r="U388" s="114">
        <v>3873.3333333333335</v>
      </c>
      <c r="V388" s="114">
        <v>0</v>
      </c>
      <c r="W388" s="114">
        <v>0</v>
      </c>
      <c r="X388" s="114">
        <v>2692.6666666666665</v>
      </c>
      <c r="Y388" s="114">
        <v>0</v>
      </c>
      <c r="Z388" s="114">
        <v>4</v>
      </c>
      <c r="AA388" s="114">
        <v>0</v>
      </c>
      <c r="AB388" s="657">
        <v>3</v>
      </c>
      <c r="AC388" s="657">
        <v>0</v>
      </c>
      <c r="AD388" s="768">
        <v>7</v>
      </c>
      <c r="AE388" s="769">
        <v>0</v>
      </c>
      <c r="AF388" s="769">
        <v>4</v>
      </c>
      <c r="AG388" s="770">
        <v>4</v>
      </c>
      <c r="AH388" s="769">
        <v>0</v>
      </c>
      <c r="AI388" s="769">
        <v>0</v>
      </c>
      <c r="AJ388" s="769">
        <v>3.8086335800309574</v>
      </c>
      <c r="AK388" s="769">
        <v>3.8086335800309574</v>
      </c>
      <c r="AL388" s="769">
        <v>0</v>
      </c>
      <c r="AM388" s="769">
        <v>0</v>
      </c>
      <c r="AN388" s="769">
        <v>3.8158185155919053</v>
      </c>
      <c r="AO388" s="769">
        <v>3.8158185155919053</v>
      </c>
      <c r="AP388" s="769">
        <v>0</v>
      </c>
      <c r="AQ388" s="769">
        <v>2.8789972155037225</v>
      </c>
      <c r="AR388" s="769">
        <v>0</v>
      </c>
      <c r="AS388" s="769">
        <v>3.626422436734857</v>
      </c>
      <c r="AT388" s="769">
        <v>3.7164114772083656</v>
      </c>
      <c r="AU388" s="769">
        <v>3.8086335800309574</v>
      </c>
      <c r="AV388" s="769">
        <v>3.9031441582554733</v>
      </c>
      <c r="AW388" s="769">
        <v>4</v>
      </c>
      <c r="AX388" s="769">
        <v>3.6401177359835026</v>
      </c>
      <c r="AY388" s="769">
        <v>3.7269328751535542</v>
      </c>
      <c r="AZ388" s="769">
        <v>3.8158185155919053</v>
      </c>
      <c r="BA388" s="769">
        <v>3.9068240378045722</v>
      </c>
      <c r="BB388" s="769">
        <v>4</v>
      </c>
      <c r="BC388" s="769">
        <v>2.7628749889593962</v>
      </c>
      <c r="BD388" s="769">
        <v>2.8203385257800138</v>
      </c>
      <c r="BE388" s="769">
        <v>2.8789972155037225</v>
      </c>
      <c r="BF388" s="769">
        <v>2.9388759154668591</v>
      </c>
      <c r="BG388" s="769">
        <v>3</v>
      </c>
      <c r="BH388" s="771">
        <v>4.020490516044692</v>
      </c>
      <c r="BI388" s="771">
        <v>4.0410859974013285</v>
      </c>
      <c r="BJ388" s="771">
        <v>4.061786981768261</v>
      </c>
      <c r="BK388" s="772">
        <v>4.0350825144525997</v>
      </c>
      <c r="BL388" s="772">
        <v>4.0085536172930825</v>
      </c>
      <c r="BM388" s="772">
        <v>4.0373304845502327</v>
      </c>
      <c r="BN388" s="772">
        <v>4.0663139370668544</v>
      </c>
      <c r="BO388" s="772">
        <v>4.0955054578907397</v>
      </c>
      <c r="BP388" s="772">
        <v>4.1249065407162808</v>
      </c>
      <c r="BQ388" s="772">
        <v>4.1545186899608995</v>
      </c>
      <c r="BR388" s="772">
        <v>4.1778406000314661</v>
      </c>
      <c r="BS388" s="772">
        <v>4.2012934305599554</v>
      </c>
      <c r="BT388" s="772">
        <v>4.2248779164847265</v>
      </c>
      <c r="BU388" s="772">
        <v>4.2485947968698072</v>
      </c>
      <c r="BV388" s="772">
        <v>4.2724448149280487</v>
      </c>
      <c r="BW388" s="771">
        <v>4.020490516044692</v>
      </c>
      <c r="BX388" s="771">
        <v>4.0410859974013285</v>
      </c>
      <c r="BY388" s="771">
        <v>4.061786981768261</v>
      </c>
      <c r="BZ388" s="772">
        <v>4.0350825144525997</v>
      </c>
      <c r="CA388" s="772">
        <v>4.0085536172930825</v>
      </c>
      <c r="CB388" s="772">
        <v>4.0373304845502327</v>
      </c>
      <c r="CC388" s="772">
        <v>4.0663139370668544</v>
      </c>
      <c r="CD388" s="772">
        <v>4.0955054578907397</v>
      </c>
      <c r="CE388" s="772">
        <v>4.1249065407162808</v>
      </c>
      <c r="CF388" s="772">
        <v>4.1545186899608995</v>
      </c>
      <c r="CG388" s="772">
        <v>4.1778406000314661</v>
      </c>
      <c r="CH388" s="772">
        <v>4.2012934305599554</v>
      </c>
      <c r="CI388" s="772">
        <v>4.2248779164847265</v>
      </c>
      <c r="CJ388" s="772">
        <v>4.2485947968698072</v>
      </c>
      <c r="CK388" s="772">
        <v>4.2724448149280487</v>
      </c>
      <c r="CL388" s="771">
        <v>3.015367887033519</v>
      </c>
      <c r="CM388" s="771">
        <v>3.0308144980509963</v>
      </c>
      <c r="CN388" s="771">
        <v>3.0463402363261958</v>
      </c>
      <c r="CO388" s="772">
        <v>3.02631188583945</v>
      </c>
      <c r="CP388" s="772">
        <v>3.0064152129698121</v>
      </c>
      <c r="CQ388" s="772">
        <v>3.0279978634126747</v>
      </c>
      <c r="CR388" s="772">
        <v>3.049735452800141</v>
      </c>
      <c r="CS388" s="772">
        <v>3.0716290934180548</v>
      </c>
      <c r="CT388" s="772">
        <v>3.0936799055372104</v>
      </c>
      <c r="CU388" s="772">
        <v>3.1158890174706748</v>
      </c>
      <c r="CV388" s="772">
        <v>3.1333804500235996</v>
      </c>
      <c r="CW388" s="772">
        <v>3.1509700729199666</v>
      </c>
      <c r="CX388" s="772">
        <v>3.1686584373635451</v>
      </c>
      <c r="CY388" s="772">
        <v>3.1864460976523552</v>
      </c>
      <c r="CZ388" s="772">
        <v>3.204333611196037</v>
      </c>
      <c r="DA388" s="773">
        <v>0</v>
      </c>
      <c r="DB388" s="773">
        <v>0</v>
      </c>
      <c r="DC388" s="773">
        <v>0</v>
      </c>
      <c r="DD388" s="774">
        <v>0</v>
      </c>
      <c r="DE388" s="774">
        <v>0</v>
      </c>
      <c r="DF388" s="774">
        <v>0</v>
      </c>
      <c r="DG388" s="774">
        <v>0</v>
      </c>
      <c r="DH388" s="774">
        <v>0</v>
      </c>
      <c r="DI388" s="774">
        <v>0</v>
      </c>
      <c r="DJ388" s="774">
        <v>0</v>
      </c>
      <c r="DK388" s="774">
        <v>0</v>
      </c>
      <c r="DL388" s="774">
        <v>0</v>
      </c>
      <c r="DM388" s="774">
        <v>0</v>
      </c>
      <c r="DN388" s="774">
        <v>0</v>
      </c>
      <c r="DO388" s="774">
        <v>0</v>
      </c>
      <c r="DP388" s="773">
        <v>0</v>
      </c>
      <c r="DQ388" s="773">
        <v>0</v>
      </c>
      <c r="DR388" s="773">
        <v>0</v>
      </c>
      <c r="DS388" s="774">
        <v>0</v>
      </c>
      <c r="DT388" s="774">
        <v>0</v>
      </c>
      <c r="DU388" s="774">
        <v>0</v>
      </c>
      <c r="DV388" s="774">
        <v>0</v>
      </c>
      <c r="DW388" s="774">
        <v>0</v>
      </c>
      <c r="DX388" s="774">
        <v>0</v>
      </c>
      <c r="DY388" s="774">
        <v>0</v>
      </c>
      <c r="DZ388" s="774">
        <v>0</v>
      </c>
      <c r="EA388" s="774">
        <v>0</v>
      </c>
      <c r="EB388" s="774">
        <v>0</v>
      </c>
      <c r="EC388" s="774">
        <v>0</v>
      </c>
      <c r="ED388" s="774">
        <v>0</v>
      </c>
    </row>
    <row r="389" spans="1:134" ht="15" x14ac:dyDescent="0.25">
      <c r="A389" s="766">
        <v>112</v>
      </c>
      <c r="B389" s="766">
        <v>103</v>
      </c>
      <c r="C389" s="766" t="s">
        <v>4060</v>
      </c>
      <c r="D389" s="2">
        <v>99712</v>
      </c>
      <c r="E389" s="2">
        <v>99712</v>
      </c>
      <c r="F389" s="767" t="s">
        <v>3746</v>
      </c>
      <c r="G389" s="114">
        <v>75</v>
      </c>
      <c r="H389" s="114">
        <v>34</v>
      </c>
      <c r="I389" s="114">
        <v>33</v>
      </c>
      <c r="J389" s="114">
        <v>1</v>
      </c>
      <c r="K389" s="114">
        <v>0</v>
      </c>
      <c r="L389" s="114">
        <v>20</v>
      </c>
      <c r="M389" s="114">
        <v>20</v>
      </c>
      <c r="N389" s="114">
        <v>7</v>
      </c>
      <c r="O389" s="114">
        <v>0</v>
      </c>
      <c r="P389" s="114">
        <v>0</v>
      </c>
      <c r="Q389" s="114">
        <v>27</v>
      </c>
      <c r="R389" s="114">
        <v>0</v>
      </c>
      <c r="S389" s="114">
        <v>1558.5</v>
      </c>
      <c r="T389" s="114">
        <v>1558.5</v>
      </c>
      <c r="U389" s="114">
        <v>3936.2857142857142</v>
      </c>
      <c r="V389" s="114">
        <v>0</v>
      </c>
      <c r="W389" s="114">
        <v>0</v>
      </c>
      <c r="X389" s="114">
        <v>2174.962962962963</v>
      </c>
      <c r="Y389" s="114">
        <v>0</v>
      </c>
      <c r="Z389" s="114">
        <v>34</v>
      </c>
      <c r="AA389" s="114">
        <v>0</v>
      </c>
      <c r="AB389" s="657">
        <v>7</v>
      </c>
      <c r="AC389" s="657">
        <v>0</v>
      </c>
      <c r="AD389" s="768">
        <v>41</v>
      </c>
      <c r="AE389" s="769">
        <v>0</v>
      </c>
      <c r="AF389" s="769">
        <v>33</v>
      </c>
      <c r="AG389" s="770">
        <v>33</v>
      </c>
      <c r="AH389" s="769">
        <v>0</v>
      </c>
      <c r="AI389" s="769">
        <v>0</v>
      </c>
      <c r="AJ389" s="769">
        <v>30.909884334955098</v>
      </c>
      <c r="AK389" s="769">
        <v>30.909884334955098</v>
      </c>
      <c r="AL389" s="769">
        <v>0</v>
      </c>
      <c r="AM389" s="769">
        <v>0</v>
      </c>
      <c r="AN389" s="769">
        <v>30.110985642801005</v>
      </c>
      <c r="AO389" s="769">
        <v>30.110985642801005</v>
      </c>
      <c r="AP389" s="769">
        <v>0</v>
      </c>
      <c r="AQ389" s="769">
        <v>6.5088894556968713</v>
      </c>
      <c r="AR389" s="769">
        <v>0</v>
      </c>
      <c r="AS389" s="769">
        <v>28.100616164714783</v>
      </c>
      <c r="AT389" s="769">
        <v>29.471796609509639</v>
      </c>
      <c r="AU389" s="769">
        <v>30.909884334955098</v>
      </c>
      <c r="AV389" s="769">
        <v>32.41814410771341</v>
      </c>
      <c r="AW389" s="769">
        <v>34</v>
      </c>
      <c r="AX389" s="769">
        <v>27.474892617605096</v>
      </c>
      <c r="AY389" s="769">
        <v>28.762755381677298</v>
      </c>
      <c r="AZ389" s="769">
        <v>30.110985642801005</v>
      </c>
      <c r="BA389" s="769">
        <v>31.522413077244472</v>
      </c>
      <c r="BB389" s="769">
        <v>33</v>
      </c>
      <c r="BC389" s="769">
        <v>6.0522345637831299</v>
      </c>
      <c r="BD389" s="769">
        <v>6.2764102587077728</v>
      </c>
      <c r="BE389" s="769">
        <v>6.5088894556968713</v>
      </c>
      <c r="BF389" s="769">
        <v>6.7499797177382765</v>
      </c>
      <c r="BG389" s="769">
        <v>7</v>
      </c>
      <c r="BH389" s="771">
        <v>34.455824585999579</v>
      </c>
      <c r="BI389" s="771">
        <v>34.917760232387451</v>
      </c>
      <c r="BJ389" s="771">
        <v>35.385888867739233</v>
      </c>
      <c r="BK389" s="772">
        <v>35.153242173822072</v>
      </c>
      <c r="BL389" s="772">
        <v>34.922125029844793</v>
      </c>
      <c r="BM389" s="772">
        <v>35.172826268312967</v>
      </c>
      <c r="BN389" s="772">
        <v>35.425327257252093</v>
      </c>
      <c r="BO389" s="772">
        <v>35.679640916828752</v>
      </c>
      <c r="BP389" s="772">
        <v>35.935780259961625</v>
      </c>
      <c r="BQ389" s="772">
        <v>36.193758392987405</v>
      </c>
      <c r="BR389" s="772">
        <v>36.396936580727129</v>
      </c>
      <c r="BS389" s="772">
        <v>36.601255334625385</v>
      </c>
      <c r="BT389" s="772">
        <v>36.806721057392906</v>
      </c>
      <c r="BU389" s="772">
        <v>37.013340187682829</v>
      </c>
      <c r="BV389" s="772">
        <v>37.221119200292478</v>
      </c>
      <c r="BW389" s="771">
        <v>33.442417980529008</v>
      </c>
      <c r="BX389" s="771">
        <v>33.890767284376054</v>
      </c>
      <c r="BY389" s="771">
        <v>34.345127430452784</v>
      </c>
      <c r="BZ389" s="772">
        <v>34.119323286356718</v>
      </c>
      <c r="CA389" s="772">
        <v>33.895003705437595</v>
      </c>
      <c r="CB389" s="772">
        <v>34.138331378068465</v>
      </c>
      <c r="CC389" s="772">
        <v>34.383405867332918</v>
      </c>
      <c r="CD389" s="772">
        <v>34.630239713392612</v>
      </c>
      <c r="CE389" s="772">
        <v>34.87884554643334</v>
      </c>
      <c r="CF389" s="772">
        <v>35.129236087311305</v>
      </c>
      <c r="CG389" s="772">
        <v>35.326438445999855</v>
      </c>
      <c r="CH389" s="772">
        <v>35.524747824783461</v>
      </c>
      <c r="CI389" s="772">
        <v>35.724170438057818</v>
      </c>
      <c r="CJ389" s="772">
        <v>35.924712535103922</v>
      </c>
      <c r="CK389" s="772">
        <v>36.126380400283878</v>
      </c>
      <c r="CL389" s="771">
        <v>7.0938462382940317</v>
      </c>
      <c r="CM389" s="771">
        <v>7.1889506360797686</v>
      </c>
      <c r="CN389" s="771">
        <v>7.2853300610051361</v>
      </c>
      <c r="CO389" s="772">
        <v>7.2374322122574846</v>
      </c>
      <c r="CP389" s="772">
        <v>7.1898492708503987</v>
      </c>
      <c r="CQ389" s="772">
        <v>7.2414642317114923</v>
      </c>
      <c r="CR389" s="772">
        <v>7.2934497294342551</v>
      </c>
      <c r="CS389" s="772">
        <v>7.3458084240529784</v>
      </c>
      <c r="CT389" s="772">
        <v>7.3985429946979817</v>
      </c>
      <c r="CU389" s="772">
        <v>7.4516561397327017</v>
      </c>
      <c r="CV389" s="772">
        <v>7.493486943090879</v>
      </c>
      <c r="CW389" s="772">
        <v>7.5355525688934613</v>
      </c>
      <c r="CX389" s="772">
        <v>7.5778543353455978</v>
      </c>
      <c r="CY389" s="772">
        <v>7.6203935680523474</v>
      </c>
      <c r="CZ389" s="772">
        <v>7.6631716000602168</v>
      </c>
      <c r="DA389" s="773">
        <v>0</v>
      </c>
      <c r="DB389" s="773">
        <v>0</v>
      </c>
      <c r="DC389" s="773">
        <v>0</v>
      </c>
      <c r="DD389" s="774">
        <v>0</v>
      </c>
      <c r="DE389" s="774">
        <v>0</v>
      </c>
      <c r="DF389" s="774">
        <v>0</v>
      </c>
      <c r="DG389" s="774">
        <v>0</v>
      </c>
      <c r="DH389" s="774">
        <v>0</v>
      </c>
      <c r="DI389" s="774">
        <v>0</v>
      </c>
      <c r="DJ389" s="774">
        <v>0</v>
      </c>
      <c r="DK389" s="774">
        <v>0</v>
      </c>
      <c r="DL389" s="774">
        <v>0</v>
      </c>
      <c r="DM389" s="774">
        <v>0</v>
      </c>
      <c r="DN389" s="774">
        <v>0</v>
      </c>
      <c r="DO389" s="774">
        <v>0</v>
      </c>
      <c r="DP389" s="773">
        <v>0</v>
      </c>
      <c r="DQ389" s="773">
        <v>0</v>
      </c>
      <c r="DR389" s="773">
        <v>0</v>
      </c>
      <c r="DS389" s="774">
        <v>0</v>
      </c>
      <c r="DT389" s="774">
        <v>0</v>
      </c>
      <c r="DU389" s="774">
        <v>0</v>
      </c>
      <c r="DV389" s="774">
        <v>0</v>
      </c>
      <c r="DW389" s="774">
        <v>0</v>
      </c>
      <c r="DX389" s="774">
        <v>0</v>
      </c>
      <c r="DY389" s="774">
        <v>0</v>
      </c>
      <c r="DZ389" s="774">
        <v>0</v>
      </c>
      <c r="EA389" s="774">
        <v>0</v>
      </c>
      <c r="EB389" s="774">
        <v>0</v>
      </c>
      <c r="EC389" s="774">
        <v>0</v>
      </c>
      <c r="ED389" s="774">
        <v>0</v>
      </c>
    </row>
    <row r="390" spans="1:134" ht="15" x14ac:dyDescent="0.25">
      <c r="A390" s="766">
        <v>113</v>
      </c>
      <c r="B390" s="766">
        <v>103</v>
      </c>
      <c r="C390" s="766" t="s">
        <v>4061</v>
      </c>
      <c r="D390" s="2">
        <v>99712</v>
      </c>
      <c r="E390" s="2">
        <v>99712</v>
      </c>
      <c r="F390" s="767" t="s">
        <v>3746</v>
      </c>
      <c r="G390" s="114">
        <v>33</v>
      </c>
      <c r="H390" s="114">
        <v>21</v>
      </c>
      <c r="I390" s="114">
        <v>15</v>
      </c>
      <c r="J390" s="114">
        <v>6</v>
      </c>
      <c r="K390" s="114">
        <v>0</v>
      </c>
      <c r="L390" s="114">
        <v>12</v>
      </c>
      <c r="M390" s="114">
        <v>12</v>
      </c>
      <c r="N390" s="114">
        <v>4</v>
      </c>
      <c r="O390" s="114">
        <v>0</v>
      </c>
      <c r="P390" s="114">
        <v>0</v>
      </c>
      <c r="Q390" s="114">
        <v>16</v>
      </c>
      <c r="R390" s="114">
        <v>0</v>
      </c>
      <c r="S390" s="114">
        <v>2071.0833333333335</v>
      </c>
      <c r="T390" s="114">
        <v>2071.0833333333335</v>
      </c>
      <c r="U390" s="114">
        <v>4285.75</v>
      </c>
      <c r="V390" s="114">
        <v>0</v>
      </c>
      <c r="W390" s="114">
        <v>0</v>
      </c>
      <c r="X390" s="114">
        <v>2624.75</v>
      </c>
      <c r="Y390" s="114">
        <v>0</v>
      </c>
      <c r="Z390" s="114">
        <v>21</v>
      </c>
      <c r="AA390" s="114">
        <v>0</v>
      </c>
      <c r="AB390" s="657">
        <v>4</v>
      </c>
      <c r="AC390" s="657">
        <v>0</v>
      </c>
      <c r="AD390" s="768">
        <v>25</v>
      </c>
      <c r="AE390" s="769">
        <v>0</v>
      </c>
      <c r="AF390" s="769">
        <v>15</v>
      </c>
      <c r="AG390" s="770">
        <v>15</v>
      </c>
      <c r="AH390" s="769">
        <v>0</v>
      </c>
      <c r="AI390" s="769">
        <v>0</v>
      </c>
      <c r="AJ390" s="769">
        <v>19.091399148060503</v>
      </c>
      <c r="AK390" s="769">
        <v>19.091399148060503</v>
      </c>
      <c r="AL390" s="769">
        <v>0</v>
      </c>
      <c r="AM390" s="769">
        <v>0</v>
      </c>
      <c r="AN390" s="769">
        <v>13.686811655818639</v>
      </c>
      <c r="AO390" s="769">
        <v>13.686811655818639</v>
      </c>
      <c r="AP390" s="769">
        <v>0</v>
      </c>
      <c r="AQ390" s="769">
        <v>3.7193654032553547</v>
      </c>
      <c r="AR390" s="769">
        <v>0</v>
      </c>
      <c r="AS390" s="769">
        <v>17.356262925265014</v>
      </c>
      <c r="AT390" s="769">
        <v>18.203168494108894</v>
      </c>
      <c r="AU390" s="769">
        <v>19.091399148060503</v>
      </c>
      <c r="AV390" s="769">
        <v>20.022971360646515</v>
      </c>
      <c r="AW390" s="769">
        <v>21</v>
      </c>
      <c r="AX390" s="769">
        <v>12.488587553456863</v>
      </c>
      <c r="AY390" s="769">
        <v>13.073979718944226</v>
      </c>
      <c r="AZ390" s="769">
        <v>13.686811655818639</v>
      </c>
      <c r="BA390" s="769">
        <v>14.328369580565669</v>
      </c>
      <c r="BB390" s="769">
        <v>15</v>
      </c>
      <c r="BC390" s="769">
        <v>3.4584197507332171</v>
      </c>
      <c r="BD390" s="769">
        <v>3.5865201478330131</v>
      </c>
      <c r="BE390" s="769">
        <v>3.7193654032553547</v>
      </c>
      <c r="BF390" s="769">
        <v>3.8571312672790152</v>
      </c>
      <c r="BG390" s="769">
        <v>4</v>
      </c>
      <c r="BH390" s="771">
        <v>21.19443687868592</v>
      </c>
      <c r="BI390" s="771">
        <v>21.39067402879056</v>
      </c>
      <c r="BJ390" s="771">
        <v>21.588728118845129</v>
      </c>
      <c r="BK390" s="772">
        <v>21.446791703414153</v>
      </c>
      <c r="BL390" s="772">
        <v>21.305788457640716</v>
      </c>
      <c r="BM390" s="772">
        <v>21.458739847291447</v>
      </c>
      <c r="BN390" s="772">
        <v>21.612789254396102</v>
      </c>
      <c r="BO390" s="772">
        <v>21.767944561474295</v>
      </c>
      <c r="BP390" s="772">
        <v>21.924213707633193</v>
      </c>
      <c r="BQ390" s="772">
        <v>22.081604688973734</v>
      </c>
      <c r="BR390" s="772">
        <v>22.205562537572288</v>
      </c>
      <c r="BS390" s="772">
        <v>22.330216239051357</v>
      </c>
      <c r="BT390" s="772">
        <v>22.455569699668086</v>
      </c>
      <c r="BU390" s="772">
        <v>22.581626847607872</v>
      </c>
      <c r="BV390" s="772">
        <v>22.708391633107475</v>
      </c>
      <c r="BW390" s="771">
        <v>15.138883484775656</v>
      </c>
      <c r="BX390" s="771">
        <v>15.279052877707542</v>
      </c>
      <c r="BY390" s="771">
        <v>15.420520084889379</v>
      </c>
      <c r="BZ390" s="772">
        <v>15.31913693101011</v>
      </c>
      <c r="CA390" s="772">
        <v>15.218420326886227</v>
      </c>
      <c r="CB390" s="772">
        <v>15.327671319493891</v>
      </c>
      <c r="CC390" s="772">
        <v>15.43770661028293</v>
      </c>
      <c r="CD390" s="772">
        <v>15.548531829624498</v>
      </c>
      <c r="CE390" s="772">
        <v>15.660152648309424</v>
      </c>
      <c r="CF390" s="772">
        <v>15.772574777838383</v>
      </c>
      <c r="CG390" s="772">
        <v>15.861116098265923</v>
      </c>
      <c r="CH390" s="772">
        <v>15.950154456465256</v>
      </c>
      <c r="CI390" s="772">
        <v>16.039692642620061</v>
      </c>
      <c r="CJ390" s="772">
        <v>16.129733462577054</v>
      </c>
      <c r="CK390" s="772">
        <v>16.220279737933911</v>
      </c>
      <c r="CL390" s="771">
        <v>4.0370355959401749</v>
      </c>
      <c r="CM390" s="771">
        <v>4.0744141007220112</v>
      </c>
      <c r="CN390" s="771">
        <v>4.1121386893038343</v>
      </c>
      <c r="CO390" s="772">
        <v>4.0851031816026957</v>
      </c>
      <c r="CP390" s="772">
        <v>4.0582454205029936</v>
      </c>
      <c r="CQ390" s="772">
        <v>4.0873790185317045</v>
      </c>
      <c r="CR390" s="772">
        <v>4.1167217627421149</v>
      </c>
      <c r="CS390" s="772">
        <v>4.1462751545665331</v>
      </c>
      <c r="CT390" s="772">
        <v>4.1760407062158462</v>
      </c>
      <c r="CU390" s="772">
        <v>4.2060199407569021</v>
      </c>
      <c r="CV390" s="772">
        <v>4.2296309595375794</v>
      </c>
      <c r="CW390" s="772">
        <v>4.2533745217240684</v>
      </c>
      <c r="CX390" s="772">
        <v>4.2772513713653497</v>
      </c>
      <c r="CY390" s="772">
        <v>4.3012622566872141</v>
      </c>
      <c r="CZ390" s="772">
        <v>4.32540793011571</v>
      </c>
      <c r="DA390" s="773">
        <v>0</v>
      </c>
      <c r="DB390" s="773">
        <v>0</v>
      </c>
      <c r="DC390" s="773">
        <v>0</v>
      </c>
      <c r="DD390" s="774">
        <v>0</v>
      </c>
      <c r="DE390" s="774">
        <v>0</v>
      </c>
      <c r="DF390" s="774">
        <v>0</v>
      </c>
      <c r="DG390" s="774">
        <v>0</v>
      </c>
      <c r="DH390" s="774">
        <v>0</v>
      </c>
      <c r="DI390" s="774">
        <v>0</v>
      </c>
      <c r="DJ390" s="774">
        <v>0</v>
      </c>
      <c r="DK390" s="774">
        <v>0</v>
      </c>
      <c r="DL390" s="774">
        <v>0</v>
      </c>
      <c r="DM390" s="774">
        <v>0</v>
      </c>
      <c r="DN390" s="774">
        <v>0</v>
      </c>
      <c r="DO390" s="774">
        <v>0</v>
      </c>
      <c r="DP390" s="773">
        <v>0</v>
      </c>
      <c r="DQ390" s="773">
        <v>0</v>
      </c>
      <c r="DR390" s="773">
        <v>0</v>
      </c>
      <c r="DS390" s="774">
        <v>0</v>
      </c>
      <c r="DT390" s="774">
        <v>0</v>
      </c>
      <c r="DU390" s="774">
        <v>0</v>
      </c>
      <c r="DV390" s="774">
        <v>0</v>
      </c>
      <c r="DW390" s="774">
        <v>0</v>
      </c>
      <c r="DX390" s="774">
        <v>0</v>
      </c>
      <c r="DY390" s="774">
        <v>0</v>
      </c>
      <c r="DZ390" s="774">
        <v>0</v>
      </c>
      <c r="EA390" s="774">
        <v>0</v>
      </c>
      <c r="EB390" s="774">
        <v>0</v>
      </c>
      <c r="EC390" s="774">
        <v>0</v>
      </c>
      <c r="ED390" s="774">
        <v>0</v>
      </c>
    </row>
    <row r="391" spans="1:134" ht="15" x14ac:dyDescent="0.25">
      <c r="A391" s="766">
        <v>114</v>
      </c>
      <c r="B391" s="766">
        <v>103</v>
      </c>
      <c r="C391" s="766" t="s">
        <v>4062</v>
      </c>
      <c r="D391" s="2">
        <v>99712</v>
      </c>
      <c r="E391" s="2">
        <v>99712</v>
      </c>
      <c r="F391" s="767" t="s">
        <v>3746</v>
      </c>
      <c r="G391" s="114">
        <v>415</v>
      </c>
      <c r="H391" s="114">
        <v>177</v>
      </c>
      <c r="I391" s="114">
        <v>164</v>
      </c>
      <c r="J391" s="114">
        <v>13</v>
      </c>
      <c r="K391" s="114">
        <v>0</v>
      </c>
      <c r="L391" s="114">
        <v>0</v>
      </c>
      <c r="M391" s="114">
        <v>0</v>
      </c>
      <c r="N391" s="114">
        <v>0</v>
      </c>
      <c r="O391" s="114">
        <v>0</v>
      </c>
      <c r="P391" s="114">
        <v>0</v>
      </c>
      <c r="Q391" s="114">
        <v>0</v>
      </c>
      <c r="R391" s="114">
        <v>0</v>
      </c>
      <c r="S391" s="114">
        <v>834.49503068156923</v>
      </c>
      <c r="T391" s="114">
        <v>834.49503068156923</v>
      </c>
      <c r="U391" s="114">
        <v>1408.3846153846155</v>
      </c>
      <c r="V391" s="114">
        <v>0</v>
      </c>
      <c r="W391" s="114">
        <v>0</v>
      </c>
      <c r="X391" s="114">
        <v>1365.173957061457</v>
      </c>
      <c r="Y391" s="114">
        <v>4.0554833679833679</v>
      </c>
      <c r="Z391" s="114">
        <v>172.71452702702703</v>
      </c>
      <c r="AA391" s="114">
        <v>0.229989604989605</v>
      </c>
      <c r="AB391" s="657">
        <v>0</v>
      </c>
      <c r="AC391" s="657">
        <v>0</v>
      </c>
      <c r="AD391" s="768">
        <v>177</v>
      </c>
      <c r="AE391" s="769">
        <v>3.7576230076230077</v>
      </c>
      <c r="AF391" s="769">
        <v>160.02927927927928</v>
      </c>
      <c r="AG391" s="770">
        <v>163.78690228690229</v>
      </c>
      <c r="AH391" s="769">
        <v>0.21309771309771308</v>
      </c>
      <c r="AI391" s="769">
        <v>3.6868977007852957</v>
      </c>
      <c r="AJ391" s="769">
        <v>157.01723686387888</v>
      </c>
      <c r="AK391" s="769">
        <v>160.70413456466417</v>
      </c>
      <c r="AL391" s="769">
        <v>0.20908682613149127</v>
      </c>
      <c r="AM391" s="769">
        <v>3.4286585585937916</v>
      </c>
      <c r="AN391" s="769">
        <v>146.01937366079306</v>
      </c>
      <c r="AO391" s="769">
        <v>149.44803221938685</v>
      </c>
      <c r="AP391" s="769">
        <v>0.1944418842302717</v>
      </c>
      <c r="AQ391" s="769">
        <v>0</v>
      </c>
      <c r="AR391" s="769">
        <v>0</v>
      </c>
      <c r="AS391" s="769">
        <v>146.09841798655381</v>
      </c>
      <c r="AT391" s="769">
        <v>153.22734685360737</v>
      </c>
      <c r="AU391" s="769">
        <v>160.70413456466417</v>
      </c>
      <c r="AV391" s="769">
        <v>168.54575502668951</v>
      </c>
      <c r="AW391" s="769">
        <v>176.77001039501039</v>
      </c>
      <c r="AX391" s="769">
        <v>136.36447128796422</v>
      </c>
      <c r="AY391" s="769">
        <v>142.75644258184403</v>
      </c>
      <c r="AZ391" s="769">
        <v>149.44803221938685</v>
      </c>
      <c r="BA391" s="769">
        <v>156.45328456151549</v>
      </c>
      <c r="BB391" s="769">
        <v>163.78690228690229</v>
      </c>
      <c r="BC391" s="769">
        <v>0</v>
      </c>
      <c r="BD391" s="769">
        <v>0</v>
      </c>
      <c r="BE391" s="769">
        <v>0</v>
      </c>
      <c r="BF391" s="769">
        <v>0</v>
      </c>
      <c r="BG391" s="769">
        <v>0</v>
      </c>
      <c r="BH391" s="771">
        <v>178.40670606484292</v>
      </c>
      <c r="BI391" s="771">
        <v>180.0585557345517</v>
      </c>
      <c r="BJ391" s="771">
        <v>181.7256997134908</v>
      </c>
      <c r="BK391" s="772">
        <v>180.53093296914963</v>
      </c>
      <c r="BL391" s="772">
        <v>179.34402129195436</v>
      </c>
      <c r="BM391" s="772">
        <v>180.63150789854919</v>
      </c>
      <c r="BN391" s="772">
        <v>181.92823719832228</v>
      </c>
      <c r="BO391" s="772">
        <v>183.23427554332483</v>
      </c>
      <c r="BP391" s="772">
        <v>184.54968976194041</v>
      </c>
      <c r="BQ391" s="772">
        <v>185.87454716230465</v>
      </c>
      <c r="BR391" s="772">
        <v>186.91797717112891</v>
      </c>
      <c r="BS391" s="772">
        <v>187.96726460475898</v>
      </c>
      <c r="BT391" s="772">
        <v>189.02244234458132</v>
      </c>
      <c r="BU391" s="772">
        <v>190.08354345656616</v>
      </c>
      <c r="BV391" s="772">
        <v>191.15060119230361</v>
      </c>
      <c r="BW391" s="771">
        <v>165.30338867024994</v>
      </c>
      <c r="BX391" s="771">
        <v>166.83391604783321</v>
      </c>
      <c r="BY391" s="771">
        <v>168.37861442379941</v>
      </c>
      <c r="BZ391" s="772">
        <v>167.27159890926862</v>
      </c>
      <c r="CA391" s="772">
        <v>166.17186153604814</v>
      </c>
      <c r="CB391" s="772">
        <v>167.36478697944673</v>
      </c>
      <c r="CC391" s="772">
        <v>168.56627627415173</v>
      </c>
      <c r="CD391" s="772">
        <v>169.77639089889988</v>
      </c>
      <c r="CE391" s="772">
        <v>170.99519277377533</v>
      </c>
      <c r="CF391" s="772">
        <v>172.22274426337833</v>
      </c>
      <c r="CG391" s="772">
        <v>173.18953816985956</v>
      </c>
      <c r="CH391" s="772">
        <v>174.16175929480494</v>
      </c>
      <c r="CI391" s="772">
        <v>175.13943810458386</v>
      </c>
      <c r="CJ391" s="772">
        <v>176.12260523659239</v>
      </c>
      <c r="CK391" s="772">
        <v>177.11129150021353</v>
      </c>
      <c r="CL391" s="771">
        <v>0</v>
      </c>
      <c r="CM391" s="771">
        <v>0</v>
      </c>
      <c r="CN391" s="771">
        <v>0</v>
      </c>
      <c r="CO391" s="772">
        <v>0</v>
      </c>
      <c r="CP391" s="772">
        <v>0</v>
      </c>
      <c r="CQ391" s="772">
        <v>0</v>
      </c>
      <c r="CR391" s="772">
        <v>0</v>
      </c>
      <c r="CS391" s="772">
        <v>0</v>
      </c>
      <c r="CT391" s="772">
        <v>0</v>
      </c>
      <c r="CU391" s="772">
        <v>0</v>
      </c>
      <c r="CV391" s="772">
        <v>0</v>
      </c>
      <c r="CW391" s="772">
        <v>0</v>
      </c>
      <c r="CX391" s="772">
        <v>0</v>
      </c>
      <c r="CY391" s="772">
        <v>0</v>
      </c>
      <c r="CZ391" s="772">
        <v>0</v>
      </c>
      <c r="DA391" s="773">
        <v>0.23211905550981385</v>
      </c>
      <c r="DB391" s="773">
        <v>0.23426822239728301</v>
      </c>
      <c r="DC391" s="773">
        <v>0.23643728820386523</v>
      </c>
      <c r="DD391" s="774">
        <v>0.23488281676964567</v>
      </c>
      <c r="DE391" s="774">
        <v>0.23333856530308922</v>
      </c>
      <c r="DF391" s="774">
        <v>0.23501367147872651</v>
      </c>
      <c r="DG391" s="774">
        <v>0.23670080301629234</v>
      </c>
      <c r="DH391" s="774">
        <v>0.23840004624424257</v>
      </c>
      <c r="DI391" s="774">
        <v>0.2401114881107734</v>
      </c>
      <c r="DJ391" s="774">
        <v>0.24183521618827045</v>
      </c>
      <c r="DK391" s="774">
        <v>0.24319278840896294</v>
      </c>
      <c r="DL391" s="774">
        <v>0.24455798153104213</v>
      </c>
      <c r="DM391" s="774">
        <v>0.24593083833539076</v>
      </c>
      <c r="DN391" s="774">
        <v>0.24731140184304734</v>
      </c>
      <c r="DO391" s="774">
        <v>0.24869971531655427</v>
      </c>
      <c r="DP391" s="773">
        <v>0</v>
      </c>
      <c r="DQ391" s="773">
        <v>0</v>
      </c>
      <c r="DR391" s="773">
        <v>0</v>
      </c>
      <c r="DS391" s="774">
        <v>0</v>
      </c>
      <c r="DT391" s="774">
        <v>0</v>
      </c>
      <c r="DU391" s="774">
        <v>0</v>
      </c>
      <c r="DV391" s="774">
        <v>0</v>
      </c>
      <c r="DW391" s="774">
        <v>0</v>
      </c>
      <c r="DX391" s="774">
        <v>0</v>
      </c>
      <c r="DY391" s="774">
        <v>0</v>
      </c>
      <c r="DZ391" s="774">
        <v>0</v>
      </c>
      <c r="EA391" s="774">
        <v>0</v>
      </c>
      <c r="EB391" s="774">
        <v>0</v>
      </c>
      <c r="EC391" s="774">
        <v>0</v>
      </c>
      <c r="ED391" s="774">
        <v>0</v>
      </c>
    </row>
    <row r="392" spans="1:134" ht="15" x14ac:dyDescent="0.25">
      <c r="A392" s="766">
        <v>107</v>
      </c>
      <c r="B392" s="766">
        <v>104</v>
      </c>
      <c r="C392" s="766" t="s">
        <v>4063</v>
      </c>
      <c r="D392" s="2">
        <v>99709</v>
      </c>
      <c r="E392" s="2">
        <v>99709</v>
      </c>
      <c r="F392" s="767" t="s">
        <v>3746</v>
      </c>
      <c r="G392" s="114">
        <v>638</v>
      </c>
      <c r="H392" s="114">
        <v>289</v>
      </c>
      <c r="I392" s="114">
        <v>262</v>
      </c>
      <c r="J392" s="114">
        <v>27</v>
      </c>
      <c r="K392" s="114">
        <v>0</v>
      </c>
      <c r="L392" s="114">
        <v>2</v>
      </c>
      <c r="M392" s="114">
        <v>2</v>
      </c>
      <c r="N392" s="114">
        <v>0</v>
      </c>
      <c r="O392" s="114">
        <v>0</v>
      </c>
      <c r="P392" s="114">
        <v>0</v>
      </c>
      <c r="Q392" s="114">
        <v>2</v>
      </c>
      <c r="R392" s="114">
        <v>0</v>
      </c>
      <c r="S392" s="114">
        <v>1724.5</v>
      </c>
      <c r="T392" s="114">
        <v>1724.5</v>
      </c>
      <c r="U392" s="114">
        <v>0</v>
      </c>
      <c r="V392" s="114">
        <v>0</v>
      </c>
      <c r="W392" s="114">
        <v>0</v>
      </c>
      <c r="X392" s="114">
        <v>1724.5</v>
      </c>
      <c r="Y392" s="114">
        <v>0</v>
      </c>
      <c r="Z392" s="114">
        <v>289</v>
      </c>
      <c r="AA392" s="114">
        <v>0</v>
      </c>
      <c r="AB392" s="657">
        <v>0</v>
      </c>
      <c r="AC392" s="657">
        <v>0</v>
      </c>
      <c r="AD392" s="768">
        <v>289</v>
      </c>
      <c r="AE392" s="769">
        <v>0</v>
      </c>
      <c r="AF392" s="769">
        <v>262</v>
      </c>
      <c r="AG392" s="770">
        <v>262</v>
      </c>
      <c r="AH392" s="769">
        <v>0</v>
      </c>
      <c r="AI392" s="769">
        <v>0</v>
      </c>
      <c r="AJ392" s="769">
        <v>275.17377615723666</v>
      </c>
      <c r="AK392" s="769">
        <v>275.17377615723666</v>
      </c>
      <c r="AL392" s="769">
        <v>0</v>
      </c>
      <c r="AM392" s="769">
        <v>0</v>
      </c>
      <c r="AN392" s="769">
        <v>249.93611277126979</v>
      </c>
      <c r="AO392" s="769">
        <v>249.93611277126979</v>
      </c>
      <c r="AP392" s="769">
        <v>0</v>
      </c>
      <c r="AQ392" s="769">
        <v>0</v>
      </c>
      <c r="AR392" s="769">
        <v>0</v>
      </c>
      <c r="AS392" s="769">
        <v>262.00902105409341</v>
      </c>
      <c r="AT392" s="769">
        <v>268.5107292283044</v>
      </c>
      <c r="AU392" s="769">
        <v>275.17377615723666</v>
      </c>
      <c r="AV392" s="769">
        <v>282.00216543395794</v>
      </c>
      <c r="AW392" s="769">
        <v>289</v>
      </c>
      <c r="AX392" s="769">
        <v>238.42771170691941</v>
      </c>
      <c r="AY392" s="769">
        <v>244.11410332255781</v>
      </c>
      <c r="AZ392" s="769">
        <v>249.93611277126979</v>
      </c>
      <c r="BA392" s="769">
        <v>255.89697447619946</v>
      </c>
      <c r="BB392" s="769">
        <v>262</v>
      </c>
      <c r="BC392" s="769">
        <v>0</v>
      </c>
      <c r="BD392" s="769">
        <v>0</v>
      </c>
      <c r="BE392" s="769">
        <v>0</v>
      </c>
      <c r="BF392" s="769">
        <v>0</v>
      </c>
      <c r="BG392" s="769">
        <v>0</v>
      </c>
      <c r="BH392" s="771">
        <v>290.48043978422902</v>
      </c>
      <c r="BI392" s="771">
        <v>291.968463312246</v>
      </c>
      <c r="BJ392" s="771">
        <v>293.46410943275686</v>
      </c>
      <c r="BK392" s="772">
        <v>291.53471166920036</v>
      </c>
      <c r="BL392" s="772">
        <v>289.61799884942525</v>
      </c>
      <c r="BM392" s="772">
        <v>291.69712750875431</v>
      </c>
      <c r="BN392" s="772">
        <v>293.79118195308024</v>
      </c>
      <c r="BO392" s="772">
        <v>295.90026933260594</v>
      </c>
      <c r="BP392" s="772">
        <v>298.02449756675128</v>
      </c>
      <c r="BQ392" s="772">
        <v>300.16397534967501</v>
      </c>
      <c r="BR392" s="772">
        <v>301.84898335227342</v>
      </c>
      <c r="BS392" s="772">
        <v>303.54345035795677</v>
      </c>
      <c r="BT392" s="772">
        <v>305.24742946602152</v>
      </c>
      <c r="BU392" s="772">
        <v>306.96097407384354</v>
      </c>
      <c r="BV392" s="772">
        <v>308.68413787855155</v>
      </c>
      <c r="BW392" s="771">
        <v>263.3421288009273</v>
      </c>
      <c r="BX392" s="771">
        <v>264.69113282978702</v>
      </c>
      <c r="BY392" s="771">
        <v>266.04704730582108</v>
      </c>
      <c r="BZ392" s="772">
        <v>264.29790469664528</v>
      </c>
      <c r="CA392" s="772">
        <v>262.5602619326969</v>
      </c>
      <c r="CB392" s="772">
        <v>264.44514673804025</v>
      </c>
      <c r="CC392" s="772">
        <v>266.34356287787892</v>
      </c>
      <c r="CD392" s="772">
        <v>268.25560749184348</v>
      </c>
      <c r="CE392" s="772">
        <v>270.18137841691635</v>
      </c>
      <c r="CF392" s="772">
        <v>272.12097419243889</v>
      </c>
      <c r="CG392" s="772">
        <v>273.64855930206102</v>
      </c>
      <c r="CH392" s="772">
        <v>275.18471970167707</v>
      </c>
      <c r="CI392" s="772">
        <v>276.72950352974959</v>
      </c>
      <c r="CJ392" s="772">
        <v>278.28295919497236</v>
      </c>
      <c r="CK392" s="772">
        <v>279.84513537778719</v>
      </c>
      <c r="CL392" s="771">
        <v>0</v>
      </c>
      <c r="CM392" s="771">
        <v>0</v>
      </c>
      <c r="CN392" s="771">
        <v>0</v>
      </c>
      <c r="CO392" s="772">
        <v>0</v>
      </c>
      <c r="CP392" s="772">
        <v>0</v>
      </c>
      <c r="CQ392" s="772">
        <v>0</v>
      </c>
      <c r="CR392" s="772">
        <v>0</v>
      </c>
      <c r="CS392" s="772">
        <v>0</v>
      </c>
      <c r="CT392" s="772">
        <v>0</v>
      </c>
      <c r="CU392" s="772">
        <v>0</v>
      </c>
      <c r="CV392" s="772">
        <v>0</v>
      </c>
      <c r="CW392" s="772">
        <v>0</v>
      </c>
      <c r="CX392" s="772">
        <v>0</v>
      </c>
      <c r="CY392" s="772">
        <v>0</v>
      </c>
      <c r="CZ392" s="772">
        <v>0</v>
      </c>
      <c r="DA392" s="773">
        <v>0</v>
      </c>
      <c r="DB392" s="773">
        <v>0</v>
      </c>
      <c r="DC392" s="773">
        <v>0</v>
      </c>
      <c r="DD392" s="774">
        <v>0</v>
      </c>
      <c r="DE392" s="774">
        <v>0</v>
      </c>
      <c r="DF392" s="774">
        <v>0</v>
      </c>
      <c r="DG392" s="774">
        <v>0</v>
      </c>
      <c r="DH392" s="774">
        <v>0</v>
      </c>
      <c r="DI392" s="774">
        <v>0</v>
      </c>
      <c r="DJ392" s="774">
        <v>0</v>
      </c>
      <c r="DK392" s="774">
        <v>0</v>
      </c>
      <c r="DL392" s="774">
        <v>0</v>
      </c>
      <c r="DM392" s="774">
        <v>0</v>
      </c>
      <c r="DN392" s="774">
        <v>0</v>
      </c>
      <c r="DO392" s="774">
        <v>0</v>
      </c>
      <c r="DP392" s="773">
        <v>0</v>
      </c>
      <c r="DQ392" s="773">
        <v>0</v>
      </c>
      <c r="DR392" s="773">
        <v>0</v>
      </c>
      <c r="DS392" s="774">
        <v>0</v>
      </c>
      <c r="DT392" s="774">
        <v>0</v>
      </c>
      <c r="DU392" s="774">
        <v>0</v>
      </c>
      <c r="DV392" s="774">
        <v>0</v>
      </c>
      <c r="DW392" s="774">
        <v>0</v>
      </c>
      <c r="DX392" s="774">
        <v>0</v>
      </c>
      <c r="DY392" s="774">
        <v>0</v>
      </c>
      <c r="DZ392" s="774">
        <v>0</v>
      </c>
      <c r="EA392" s="774">
        <v>0</v>
      </c>
      <c r="EB392" s="774">
        <v>0</v>
      </c>
      <c r="EC392" s="774">
        <v>0</v>
      </c>
      <c r="ED392" s="774">
        <v>0</v>
      </c>
    </row>
    <row r="393" spans="1:134" ht="15" x14ac:dyDescent="0.25">
      <c r="A393" s="766">
        <v>108</v>
      </c>
      <c r="B393" s="766">
        <v>104</v>
      </c>
      <c r="C393" s="766" t="s">
        <v>4064</v>
      </c>
      <c r="D393" s="2">
        <v>99709</v>
      </c>
      <c r="E393" s="2">
        <v>99709</v>
      </c>
      <c r="F393" s="767" t="s">
        <v>3746</v>
      </c>
      <c r="G393" s="114">
        <v>45</v>
      </c>
      <c r="H393" s="114">
        <v>21</v>
      </c>
      <c r="I393" s="114">
        <v>20</v>
      </c>
      <c r="J393" s="114">
        <v>1</v>
      </c>
      <c r="K393" s="114">
        <v>0</v>
      </c>
      <c r="L393" s="114">
        <v>36</v>
      </c>
      <c r="M393" s="114">
        <v>36</v>
      </c>
      <c r="N393" s="114">
        <v>0</v>
      </c>
      <c r="O393" s="114">
        <v>0</v>
      </c>
      <c r="P393" s="114">
        <v>0</v>
      </c>
      <c r="Q393" s="114">
        <v>36</v>
      </c>
      <c r="R393" s="114">
        <v>0</v>
      </c>
      <c r="S393" s="114">
        <v>1871.0277777777778</v>
      </c>
      <c r="T393" s="114">
        <v>1871.0277777777778</v>
      </c>
      <c r="U393" s="114">
        <v>0</v>
      </c>
      <c r="V393" s="114">
        <v>0</v>
      </c>
      <c r="W393" s="114">
        <v>0</v>
      </c>
      <c r="X393" s="114">
        <v>1871.0277777777778</v>
      </c>
      <c r="Y393" s="114">
        <v>0</v>
      </c>
      <c r="Z393" s="114">
        <v>21</v>
      </c>
      <c r="AA393" s="114">
        <v>0</v>
      </c>
      <c r="AB393" s="657">
        <v>0</v>
      </c>
      <c r="AC393" s="657">
        <v>0</v>
      </c>
      <c r="AD393" s="768">
        <v>21</v>
      </c>
      <c r="AE393" s="769">
        <v>0</v>
      </c>
      <c r="AF393" s="769">
        <v>20</v>
      </c>
      <c r="AG393" s="770">
        <v>20</v>
      </c>
      <c r="AH393" s="769">
        <v>0</v>
      </c>
      <c r="AI393" s="769">
        <v>0</v>
      </c>
      <c r="AJ393" s="769">
        <v>19.995326295162528</v>
      </c>
      <c r="AK393" s="769">
        <v>19.995326295162528</v>
      </c>
      <c r="AL393" s="769">
        <v>0</v>
      </c>
      <c r="AM393" s="769">
        <v>0</v>
      </c>
      <c r="AN393" s="769">
        <v>19.079092577959525</v>
      </c>
      <c r="AO393" s="769">
        <v>19.079092577959525</v>
      </c>
      <c r="AP393" s="769">
        <v>0</v>
      </c>
      <c r="AQ393" s="769">
        <v>0</v>
      </c>
      <c r="AR393" s="769">
        <v>0</v>
      </c>
      <c r="AS393" s="769">
        <v>19.038717792857998</v>
      </c>
      <c r="AT393" s="769">
        <v>19.511160255343917</v>
      </c>
      <c r="AU393" s="769">
        <v>19.995326295162528</v>
      </c>
      <c r="AV393" s="769">
        <v>20.491506830841235</v>
      </c>
      <c r="AW393" s="769">
        <v>21</v>
      </c>
      <c r="AX393" s="769">
        <v>18.200588679917512</v>
      </c>
      <c r="AY393" s="769">
        <v>18.63466437576777</v>
      </c>
      <c r="AZ393" s="769">
        <v>19.079092577959525</v>
      </c>
      <c r="BA393" s="769">
        <v>19.534120189022861</v>
      </c>
      <c r="BB393" s="769">
        <v>20</v>
      </c>
      <c r="BC393" s="769">
        <v>0</v>
      </c>
      <c r="BD393" s="769">
        <v>0</v>
      </c>
      <c r="BE393" s="769">
        <v>0</v>
      </c>
      <c r="BF393" s="769">
        <v>0</v>
      </c>
      <c r="BG393" s="769">
        <v>0</v>
      </c>
      <c r="BH393" s="771">
        <v>21.107575209234632</v>
      </c>
      <c r="BI393" s="771">
        <v>21.215701486356974</v>
      </c>
      <c r="BJ393" s="771">
        <v>21.324381654283371</v>
      </c>
      <c r="BK393" s="772">
        <v>21.184183200876152</v>
      </c>
      <c r="BL393" s="772">
        <v>21.044906490788687</v>
      </c>
      <c r="BM393" s="772">
        <v>21.195985043888722</v>
      </c>
      <c r="BN393" s="772">
        <v>21.348148169600986</v>
      </c>
      <c r="BO393" s="772">
        <v>21.501403653926385</v>
      </c>
      <c r="BP393" s="772">
        <v>21.655759338760475</v>
      </c>
      <c r="BQ393" s="772">
        <v>21.811223122294724</v>
      </c>
      <c r="BR393" s="772">
        <v>21.933663150165199</v>
      </c>
      <c r="BS393" s="772">
        <v>22.056790510439768</v>
      </c>
      <c r="BT393" s="772">
        <v>22.180609061544818</v>
      </c>
      <c r="BU393" s="772">
        <v>22.305122683566488</v>
      </c>
      <c r="BV393" s="772">
        <v>22.430335278372258</v>
      </c>
      <c r="BW393" s="771">
        <v>20.10245258022346</v>
      </c>
      <c r="BX393" s="771">
        <v>20.205429987006642</v>
      </c>
      <c r="BY393" s="771">
        <v>20.308934908841305</v>
      </c>
      <c r="BZ393" s="772">
        <v>20.175412572262999</v>
      </c>
      <c r="CA393" s="772">
        <v>20.042768086465415</v>
      </c>
      <c r="CB393" s="772">
        <v>20.186652422751163</v>
      </c>
      <c r="CC393" s="772">
        <v>20.331569685334273</v>
      </c>
      <c r="CD393" s="772">
        <v>20.4775272894537</v>
      </c>
      <c r="CE393" s="772">
        <v>20.624532703581405</v>
      </c>
      <c r="CF393" s="772">
        <v>20.7725934498045</v>
      </c>
      <c r="CG393" s="772">
        <v>20.88920300015733</v>
      </c>
      <c r="CH393" s="772">
        <v>21.006467152799775</v>
      </c>
      <c r="CI393" s="772">
        <v>21.124389582423635</v>
      </c>
      <c r="CJ393" s="772">
        <v>21.242973984349035</v>
      </c>
      <c r="CK393" s="772">
        <v>21.362224074640245</v>
      </c>
      <c r="CL393" s="771">
        <v>0</v>
      </c>
      <c r="CM393" s="771">
        <v>0</v>
      </c>
      <c r="CN393" s="771">
        <v>0</v>
      </c>
      <c r="CO393" s="772">
        <v>0</v>
      </c>
      <c r="CP393" s="772">
        <v>0</v>
      </c>
      <c r="CQ393" s="772">
        <v>0</v>
      </c>
      <c r="CR393" s="772">
        <v>0</v>
      </c>
      <c r="CS393" s="772">
        <v>0</v>
      </c>
      <c r="CT393" s="772">
        <v>0</v>
      </c>
      <c r="CU393" s="772">
        <v>0</v>
      </c>
      <c r="CV393" s="772">
        <v>0</v>
      </c>
      <c r="CW393" s="772">
        <v>0</v>
      </c>
      <c r="CX393" s="772">
        <v>0</v>
      </c>
      <c r="CY393" s="772">
        <v>0</v>
      </c>
      <c r="CZ393" s="772">
        <v>0</v>
      </c>
      <c r="DA393" s="773">
        <v>0</v>
      </c>
      <c r="DB393" s="773">
        <v>0</v>
      </c>
      <c r="DC393" s="773">
        <v>0</v>
      </c>
      <c r="DD393" s="774">
        <v>0</v>
      </c>
      <c r="DE393" s="774">
        <v>0</v>
      </c>
      <c r="DF393" s="774">
        <v>0</v>
      </c>
      <c r="DG393" s="774">
        <v>0</v>
      </c>
      <c r="DH393" s="774">
        <v>0</v>
      </c>
      <c r="DI393" s="774">
        <v>0</v>
      </c>
      <c r="DJ393" s="774">
        <v>0</v>
      </c>
      <c r="DK393" s="774">
        <v>0</v>
      </c>
      <c r="DL393" s="774">
        <v>0</v>
      </c>
      <c r="DM393" s="774">
        <v>0</v>
      </c>
      <c r="DN393" s="774">
        <v>0</v>
      </c>
      <c r="DO393" s="774">
        <v>0</v>
      </c>
      <c r="DP393" s="773">
        <v>0</v>
      </c>
      <c r="DQ393" s="773">
        <v>0</v>
      </c>
      <c r="DR393" s="773">
        <v>0</v>
      </c>
      <c r="DS393" s="774">
        <v>0</v>
      </c>
      <c r="DT393" s="774">
        <v>0</v>
      </c>
      <c r="DU393" s="774">
        <v>0</v>
      </c>
      <c r="DV393" s="774">
        <v>0</v>
      </c>
      <c r="DW393" s="774">
        <v>0</v>
      </c>
      <c r="DX393" s="774">
        <v>0</v>
      </c>
      <c r="DY393" s="774">
        <v>0</v>
      </c>
      <c r="DZ393" s="774">
        <v>0</v>
      </c>
      <c r="EA393" s="774">
        <v>0</v>
      </c>
      <c r="EB393" s="774">
        <v>0</v>
      </c>
      <c r="EC393" s="774">
        <v>0</v>
      </c>
      <c r="ED393" s="774">
        <v>0</v>
      </c>
    </row>
    <row r="394" spans="1:134" ht="15" x14ac:dyDescent="0.25">
      <c r="A394" s="766">
        <v>112</v>
      </c>
      <c r="B394" s="766">
        <v>104</v>
      </c>
      <c r="C394" s="766" t="s">
        <v>4065</v>
      </c>
      <c r="D394" s="2">
        <v>99712</v>
      </c>
      <c r="E394" s="2">
        <v>99712</v>
      </c>
      <c r="F394" s="767" t="s">
        <v>3746</v>
      </c>
      <c r="G394" s="114">
        <v>1</v>
      </c>
      <c r="H394" s="114">
        <v>1</v>
      </c>
      <c r="I394" s="114">
        <v>1</v>
      </c>
      <c r="J394" s="114">
        <v>0</v>
      </c>
      <c r="K394" s="114">
        <v>0</v>
      </c>
      <c r="L394" s="114">
        <v>1</v>
      </c>
      <c r="M394" s="114">
        <v>1</v>
      </c>
      <c r="N394" s="114">
        <v>0</v>
      </c>
      <c r="O394" s="114">
        <v>0</v>
      </c>
      <c r="P394" s="114">
        <v>0</v>
      </c>
      <c r="Q394" s="114">
        <v>1</v>
      </c>
      <c r="R394" s="114">
        <v>0</v>
      </c>
      <c r="S394" s="114">
        <v>6285</v>
      </c>
      <c r="T394" s="114">
        <v>6285</v>
      </c>
      <c r="U394" s="114">
        <v>0</v>
      </c>
      <c r="V394" s="114">
        <v>0</v>
      </c>
      <c r="W394" s="114">
        <v>0</v>
      </c>
      <c r="X394" s="114">
        <v>6285</v>
      </c>
      <c r="Y394" s="114">
        <v>0</v>
      </c>
      <c r="Z394" s="114">
        <v>1</v>
      </c>
      <c r="AA394" s="114">
        <v>0</v>
      </c>
      <c r="AB394" s="657">
        <v>0</v>
      </c>
      <c r="AC394" s="657">
        <v>0</v>
      </c>
      <c r="AD394" s="768">
        <v>1</v>
      </c>
      <c r="AE394" s="769">
        <v>0</v>
      </c>
      <c r="AF394" s="769">
        <v>1</v>
      </c>
      <c r="AG394" s="770">
        <v>1</v>
      </c>
      <c r="AH394" s="769">
        <v>0</v>
      </c>
      <c r="AI394" s="769">
        <v>0</v>
      </c>
      <c r="AJ394" s="769">
        <v>0.90911424514573824</v>
      </c>
      <c r="AK394" s="769">
        <v>0.90911424514573824</v>
      </c>
      <c r="AL394" s="769">
        <v>0</v>
      </c>
      <c r="AM394" s="769">
        <v>0</v>
      </c>
      <c r="AN394" s="769">
        <v>0.91245411038790925</v>
      </c>
      <c r="AO394" s="769">
        <v>0.91245411038790925</v>
      </c>
      <c r="AP394" s="769">
        <v>0</v>
      </c>
      <c r="AQ394" s="769">
        <v>0</v>
      </c>
      <c r="AR394" s="769">
        <v>0</v>
      </c>
      <c r="AS394" s="769">
        <v>0.82648871072690544</v>
      </c>
      <c r="AT394" s="769">
        <v>0.86681754733851879</v>
      </c>
      <c r="AU394" s="769">
        <v>0.90911424514573824</v>
      </c>
      <c r="AV394" s="769">
        <v>0.95347482669745309</v>
      </c>
      <c r="AW394" s="769">
        <v>1</v>
      </c>
      <c r="AX394" s="769">
        <v>0.83257250356379087</v>
      </c>
      <c r="AY394" s="769">
        <v>0.87159864792961517</v>
      </c>
      <c r="AZ394" s="769">
        <v>0.91245411038790925</v>
      </c>
      <c r="BA394" s="769">
        <v>0.9552246387043779</v>
      </c>
      <c r="BB394" s="769">
        <v>1</v>
      </c>
      <c r="BC394" s="769">
        <v>0</v>
      </c>
      <c r="BD394" s="769">
        <v>0</v>
      </c>
      <c r="BE394" s="769">
        <v>0</v>
      </c>
      <c r="BF394" s="769">
        <v>0</v>
      </c>
      <c r="BG394" s="769">
        <v>0</v>
      </c>
      <c r="BH394" s="771">
        <v>1.0134066054705759</v>
      </c>
      <c r="BI394" s="771">
        <v>1.0269929480113955</v>
      </c>
      <c r="BJ394" s="771">
        <v>1.040761437286448</v>
      </c>
      <c r="BK394" s="772">
        <v>1.0339188874653549</v>
      </c>
      <c r="BL394" s="772">
        <v>1.0271213244071997</v>
      </c>
      <c r="BM394" s="772">
        <v>1.034494890244499</v>
      </c>
      <c r="BN394" s="772">
        <v>1.0419213899191793</v>
      </c>
      <c r="BO394" s="772">
        <v>1.0494012034361397</v>
      </c>
      <c r="BP394" s="772">
        <v>1.0569347135282832</v>
      </c>
      <c r="BQ394" s="772">
        <v>1.0645223056761002</v>
      </c>
      <c r="BR394" s="772">
        <v>1.0704981347272684</v>
      </c>
      <c r="BS394" s="772">
        <v>1.076507509841923</v>
      </c>
      <c r="BT394" s="772">
        <v>1.0825506193350853</v>
      </c>
      <c r="BU394" s="772">
        <v>1.0886276525789067</v>
      </c>
      <c r="BV394" s="772">
        <v>1.0947388000086022</v>
      </c>
      <c r="BW394" s="771">
        <v>1.0134066054705759</v>
      </c>
      <c r="BX394" s="771">
        <v>1.0269929480113955</v>
      </c>
      <c r="BY394" s="771">
        <v>1.040761437286448</v>
      </c>
      <c r="BZ394" s="772">
        <v>1.0339188874653549</v>
      </c>
      <c r="CA394" s="772">
        <v>1.0271213244071997</v>
      </c>
      <c r="CB394" s="772">
        <v>1.034494890244499</v>
      </c>
      <c r="CC394" s="772">
        <v>1.0419213899191793</v>
      </c>
      <c r="CD394" s="772">
        <v>1.0494012034361397</v>
      </c>
      <c r="CE394" s="772">
        <v>1.0569347135282832</v>
      </c>
      <c r="CF394" s="772">
        <v>1.0645223056761002</v>
      </c>
      <c r="CG394" s="772">
        <v>1.0704981347272684</v>
      </c>
      <c r="CH394" s="772">
        <v>1.076507509841923</v>
      </c>
      <c r="CI394" s="772">
        <v>1.0825506193350853</v>
      </c>
      <c r="CJ394" s="772">
        <v>1.0886276525789067</v>
      </c>
      <c r="CK394" s="772">
        <v>1.0947388000086022</v>
      </c>
      <c r="CL394" s="771">
        <v>0</v>
      </c>
      <c r="CM394" s="771">
        <v>0</v>
      </c>
      <c r="CN394" s="771">
        <v>0</v>
      </c>
      <c r="CO394" s="772">
        <v>0</v>
      </c>
      <c r="CP394" s="772">
        <v>0</v>
      </c>
      <c r="CQ394" s="772">
        <v>0</v>
      </c>
      <c r="CR394" s="772">
        <v>0</v>
      </c>
      <c r="CS394" s="772">
        <v>0</v>
      </c>
      <c r="CT394" s="772">
        <v>0</v>
      </c>
      <c r="CU394" s="772">
        <v>0</v>
      </c>
      <c r="CV394" s="772">
        <v>0</v>
      </c>
      <c r="CW394" s="772">
        <v>0</v>
      </c>
      <c r="CX394" s="772">
        <v>0</v>
      </c>
      <c r="CY394" s="772">
        <v>0</v>
      </c>
      <c r="CZ394" s="772">
        <v>0</v>
      </c>
      <c r="DA394" s="773">
        <v>0</v>
      </c>
      <c r="DB394" s="773">
        <v>0</v>
      </c>
      <c r="DC394" s="773">
        <v>0</v>
      </c>
      <c r="DD394" s="774">
        <v>0</v>
      </c>
      <c r="DE394" s="774">
        <v>0</v>
      </c>
      <c r="DF394" s="774">
        <v>0</v>
      </c>
      <c r="DG394" s="774">
        <v>0</v>
      </c>
      <c r="DH394" s="774">
        <v>0</v>
      </c>
      <c r="DI394" s="774">
        <v>0</v>
      </c>
      <c r="DJ394" s="774">
        <v>0</v>
      </c>
      <c r="DK394" s="774">
        <v>0</v>
      </c>
      <c r="DL394" s="774">
        <v>0</v>
      </c>
      <c r="DM394" s="774">
        <v>0</v>
      </c>
      <c r="DN394" s="774">
        <v>0</v>
      </c>
      <c r="DO394" s="774">
        <v>0</v>
      </c>
      <c r="DP394" s="773">
        <v>0</v>
      </c>
      <c r="DQ394" s="773">
        <v>0</v>
      </c>
      <c r="DR394" s="773">
        <v>0</v>
      </c>
      <c r="DS394" s="774">
        <v>0</v>
      </c>
      <c r="DT394" s="774">
        <v>0</v>
      </c>
      <c r="DU394" s="774">
        <v>0</v>
      </c>
      <c r="DV394" s="774">
        <v>0</v>
      </c>
      <c r="DW394" s="774">
        <v>0</v>
      </c>
      <c r="DX394" s="774">
        <v>0</v>
      </c>
      <c r="DY394" s="774">
        <v>0</v>
      </c>
      <c r="DZ394" s="774">
        <v>0</v>
      </c>
      <c r="EA394" s="774">
        <v>0</v>
      </c>
      <c r="EB394" s="774">
        <v>0</v>
      </c>
      <c r="EC394" s="774">
        <v>0</v>
      </c>
      <c r="ED394" s="774">
        <v>0</v>
      </c>
    </row>
    <row r="395" spans="1:134" ht="15" x14ac:dyDescent="0.25">
      <c r="A395" s="766">
        <v>113</v>
      </c>
      <c r="B395" s="766">
        <v>104</v>
      </c>
      <c r="C395" s="766" t="s">
        <v>4066</v>
      </c>
      <c r="D395" s="2">
        <v>99712</v>
      </c>
      <c r="E395" s="2">
        <v>99712</v>
      </c>
      <c r="F395" s="767" t="s">
        <v>3746</v>
      </c>
      <c r="G395" s="114">
        <v>66</v>
      </c>
      <c r="H395" s="114">
        <v>52</v>
      </c>
      <c r="I395" s="114">
        <v>37</v>
      </c>
      <c r="J395" s="114">
        <v>15</v>
      </c>
      <c r="K395" s="114">
        <v>3</v>
      </c>
      <c r="L395" s="114">
        <v>41</v>
      </c>
      <c r="M395" s="114">
        <v>44</v>
      </c>
      <c r="N395" s="114">
        <v>9</v>
      </c>
      <c r="O395" s="114">
        <v>0</v>
      </c>
      <c r="P395" s="114">
        <v>0</v>
      </c>
      <c r="Q395" s="114">
        <v>53</v>
      </c>
      <c r="R395" s="114">
        <v>2249</v>
      </c>
      <c r="S395" s="114">
        <v>1688.1219512195121</v>
      </c>
      <c r="T395" s="114">
        <v>1726.3636363636363</v>
      </c>
      <c r="U395" s="114">
        <v>7577.8888888888887</v>
      </c>
      <c r="V395" s="114">
        <v>0</v>
      </c>
      <c r="W395" s="114">
        <v>0</v>
      </c>
      <c r="X395" s="114">
        <v>2720.0188679245284</v>
      </c>
      <c r="Y395" s="114">
        <v>3.5454545454545454</v>
      </c>
      <c r="Z395" s="114">
        <v>48.454545454545453</v>
      </c>
      <c r="AA395" s="114">
        <v>0</v>
      </c>
      <c r="AB395" s="657">
        <v>9</v>
      </c>
      <c r="AC395" s="657">
        <v>0</v>
      </c>
      <c r="AD395" s="768">
        <v>61</v>
      </c>
      <c r="AE395" s="769">
        <v>2.5227272727272729</v>
      </c>
      <c r="AF395" s="769">
        <v>34.477272727272727</v>
      </c>
      <c r="AG395" s="770">
        <v>37</v>
      </c>
      <c r="AH395" s="769">
        <v>0</v>
      </c>
      <c r="AI395" s="769">
        <v>3.2232232327894357</v>
      </c>
      <c r="AJ395" s="769">
        <v>44.05071751478895</v>
      </c>
      <c r="AK395" s="769">
        <v>47.273940747578386</v>
      </c>
      <c r="AL395" s="769">
        <v>0</v>
      </c>
      <c r="AM395" s="769">
        <v>2.3018728693876804</v>
      </c>
      <c r="AN395" s="769">
        <v>31.458929214964961</v>
      </c>
      <c r="AO395" s="769">
        <v>33.76080208435264</v>
      </c>
      <c r="AP395" s="769">
        <v>0</v>
      </c>
      <c r="AQ395" s="769">
        <v>8.3685721573245484</v>
      </c>
      <c r="AR395" s="769">
        <v>0</v>
      </c>
      <c r="AS395" s="769">
        <v>42.977412957799082</v>
      </c>
      <c r="AT395" s="769">
        <v>45.074512461602971</v>
      </c>
      <c r="AU395" s="769">
        <v>47.273940747578386</v>
      </c>
      <c r="AV395" s="769">
        <v>49.580690988267563</v>
      </c>
      <c r="AW395" s="769">
        <v>52</v>
      </c>
      <c r="AX395" s="769">
        <v>30.805182631860262</v>
      </c>
      <c r="AY395" s="769">
        <v>32.24914997339576</v>
      </c>
      <c r="AZ395" s="769">
        <v>33.76080208435264</v>
      </c>
      <c r="BA395" s="769">
        <v>35.343311632061983</v>
      </c>
      <c r="BB395" s="769">
        <v>37</v>
      </c>
      <c r="BC395" s="769">
        <v>7.7814444391497384</v>
      </c>
      <c r="BD395" s="769">
        <v>8.0696703326242787</v>
      </c>
      <c r="BE395" s="769">
        <v>8.3685721573245484</v>
      </c>
      <c r="BF395" s="769">
        <v>8.6785453513777835</v>
      </c>
      <c r="BG395" s="769">
        <v>9</v>
      </c>
      <c r="BH395" s="771">
        <v>52.697143484469947</v>
      </c>
      <c r="BI395" s="771">
        <v>53.403633296592567</v>
      </c>
      <c r="BJ395" s="771">
        <v>54.119594738895294</v>
      </c>
      <c r="BK395" s="772">
        <v>53.763782148198459</v>
      </c>
      <c r="BL395" s="772">
        <v>53.410308869174386</v>
      </c>
      <c r="BM395" s="772">
        <v>53.793734292713943</v>
      </c>
      <c r="BN395" s="772">
        <v>54.179912275797321</v>
      </c>
      <c r="BO395" s="772">
        <v>54.568862578679266</v>
      </c>
      <c r="BP395" s="772">
        <v>54.960605103470719</v>
      </c>
      <c r="BQ395" s="772">
        <v>55.355159895157207</v>
      </c>
      <c r="BR395" s="772">
        <v>55.665903005817952</v>
      </c>
      <c r="BS395" s="772">
        <v>55.978390511779992</v>
      </c>
      <c r="BT395" s="772">
        <v>56.292632205424439</v>
      </c>
      <c r="BU395" s="772">
        <v>56.60863793410315</v>
      </c>
      <c r="BV395" s="772">
        <v>56.926417600447316</v>
      </c>
      <c r="BW395" s="771">
        <v>37.496044402411307</v>
      </c>
      <c r="BX395" s="771">
        <v>37.998739076421636</v>
      </c>
      <c r="BY395" s="771">
        <v>38.508173179598579</v>
      </c>
      <c r="BZ395" s="772">
        <v>38.254998836218135</v>
      </c>
      <c r="CA395" s="772">
        <v>38.003489003066399</v>
      </c>
      <c r="CB395" s="772">
        <v>38.276310939046461</v>
      </c>
      <c r="CC395" s="772">
        <v>38.551091427009638</v>
      </c>
      <c r="CD395" s="772">
        <v>38.827844527137174</v>
      </c>
      <c r="CE395" s="772">
        <v>39.106584400546474</v>
      </c>
      <c r="CF395" s="772">
        <v>39.387325310015711</v>
      </c>
      <c r="CG395" s="772">
        <v>39.608430984908935</v>
      </c>
      <c r="CH395" s="772">
        <v>39.830777864151152</v>
      </c>
      <c r="CI395" s="772">
        <v>40.054372915398162</v>
      </c>
      <c r="CJ395" s="772">
        <v>40.279223145419557</v>
      </c>
      <c r="CK395" s="772">
        <v>40.50533560031829</v>
      </c>
      <c r="CL395" s="771">
        <v>9.120659449235184</v>
      </c>
      <c r="CM395" s="771">
        <v>9.2429365321025596</v>
      </c>
      <c r="CN395" s="771">
        <v>9.3668529355780326</v>
      </c>
      <c r="CO395" s="772">
        <v>9.3052699871881952</v>
      </c>
      <c r="CP395" s="772">
        <v>9.2440919196647986</v>
      </c>
      <c r="CQ395" s="772">
        <v>9.3104540122004913</v>
      </c>
      <c r="CR395" s="772">
        <v>9.377292509272614</v>
      </c>
      <c r="CS395" s="772">
        <v>9.4446108309252583</v>
      </c>
      <c r="CT395" s="772">
        <v>9.5124124217545489</v>
      </c>
      <c r="CU395" s="772">
        <v>9.5807007510849029</v>
      </c>
      <c r="CV395" s="772">
        <v>9.6344832125454154</v>
      </c>
      <c r="CW395" s="772">
        <v>9.6885675885773068</v>
      </c>
      <c r="CX395" s="772">
        <v>9.7429555740157685</v>
      </c>
      <c r="CY395" s="772">
        <v>9.7976488732101625</v>
      </c>
      <c r="CZ395" s="772">
        <v>9.8526492000774208</v>
      </c>
      <c r="DA395" s="773">
        <v>0</v>
      </c>
      <c r="DB395" s="773">
        <v>0</v>
      </c>
      <c r="DC395" s="773">
        <v>0</v>
      </c>
      <c r="DD395" s="774">
        <v>0</v>
      </c>
      <c r="DE395" s="774">
        <v>0</v>
      </c>
      <c r="DF395" s="774">
        <v>0</v>
      </c>
      <c r="DG395" s="774">
        <v>0</v>
      </c>
      <c r="DH395" s="774">
        <v>0</v>
      </c>
      <c r="DI395" s="774">
        <v>0</v>
      </c>
      <c r="DJ395" s="774">
        <v>0</v>
      </c>
      <c r="DK395" s="774">
        <v>0</v>
      </c>
      <c r="DL395" s="774">
        <v>0</v>
      </c>
      <c r="DM395" s="774">
        <v>0</v>
      </c>
      <c r="DN395" s="774">
        <v>0</v>
      </c>
      <c r="DO395" s="774">
        <v>0</v>
      </c>
      <c r="DP395" s="773">
        <v>0</v>
      </c>
      <c r="DQ395" s="773">
        <v>0</v>
      </c>
      <c r="DR395" s="773">
        <v>0</v>
      </c>
      <c r="DS395" s="774">
        <v>0</v>
      </c>
      <c r="DT395" s="774">
        <v>0</v>
      </c>
      <c r="DU395" s="774">
        <v>0</v>
      </c>
      <c r="DV395" s="774">
        <v>0</v>
      </c>
      <c r="DW395" s="774">
        <v>0</v>
      </c>
      <c r="DX395" s="774">
        <v>0</v>
      </c>
      <c r="DY395" s="774">
        <v>0</v>
      </c>
      <c r="DZ395" s="774">
        <v>0</v>
      </c>
      <c r="EA395" s="774">
        <v>0</v>
      </c>
      <c r="EB395" s="774">
        <v>0</v>
      </c>
      <c r="EC395" s="774">
        <v>0</v>
      </c>
      <c r="ED395" s="774">
        <v>0</v>
      </c>
    </row>
    <row r="396" spans="1:134" ht="15" x14ac:dyDescent="0.25">
      <c r="A396" s="766">
        <v>114</v>
      </c>
      <c r="B396" s="766">
        <v>104</v>
      </c>
      <c r="C396" s="766" t="s">
        <v>4067</v>
      </c>
      <c r="D396" s="2">
        <v>99712</v>
      </c>
      <c r="E396" s="2">
        <v>99712</v>
      </c>
      <c r="F396" s="767" t="s">
        <v>3746</v>
      </c>
      <c r="G396" s="114">
        <v>33</v>
      </c>
      <c r="H396" s="114">
        <v>21</v>
      </c>
      <c r="I396" s="114">
        <v>19</v>
      </c>
      <c r="J396" s="114">
        <v>2</v>
      </c>
      <c r="K396" s="114">
        <v>0</v>
      </c>
      <c r="L396" s="114">
        <v>8</v>
      </c>
      <c r="M396" s="114">
        <v>8</v>
      </c>
      <c r="N396" s="114">
        <v>5</v>
      </c>
      <c r="O396" s="114">
        <v>0</v>
      </c>
      <c r="P396" s="114">
        <v>0</v>
      </c>
      <c r="Q396" s="114">
        <v>13</v>
      </c>
      <c r="R396" s="114">
        <v>0</v>
      </c>
      <c r="S396" s="114">
        <v>2291.25</v>
      </c>
      <c r="T396" s="114">
        <v>2291.25</v>
      </c>
      <c r="U396" s="114">
        <v>6010.6</v>
      </c>
      <c r="V396" s="114">
        <v>0</v>
      </c>
      <c r="W396" s="114">
        <v>0</v>
      </c>
      <c r="X396" s="114">
        <v>3721.7692307692309</v>
      </c>
      <c r="Y396" s="114">
        <v>0</v>
      </c>
      <c r="Z396" s="114">
        <v>21</v>
      </c>
      <c r="AA396" s="114">
        <v>0</v>
      </c>
      <c r="AB396" s="657">
        <v>5</v>
      </c>
      <c r="AC396" s="657">
        <v>0</v>
      </c>
      <c r="AD396" s="768">
        <v>26</v>
      </c>
      <c r="AE396" s="769">
        <v>0</v>
      </c>
      <c r="AF396" s="769">
        <v>19</v>
      </c>
      <c r="AG396" s="770">
        <v>19</v>
      </c>
      <c r="AH396" s="769">
        <v>0</v>
      </c>
      <c r="AI396" s="769">
        <v>0</v>
      </c>
      <c r="AJ396" s="769">
        <v>19.091399148060503</v>
      </c>
      <c r="AK396" s="769">
        <v>19.091399148060503</v>
      </c>
      <c r="AL396" s="769">
        <v>0</v>
      </c>
      <c r="AM396" s="769">
        <v>0</v>
      </c>
      <c r="AN396" s="769">
        <v>17.336628097370276</v>
      </c>
      <c r="AO396" s="769">
        <v>17.336628097370276</v>
      </c>
      <c r="AP396" s="769">
        <v>0</v>
      </c>
      <c r="AQ396" s="769">
        <v>4.6492067540691933</v>
      </c>
      <c r="AR396" s="769">
        <v>0</v>
      </c>
      <c r="AS396" s="769">
        <v>17.356262925265014</v>
      </c>
      <c r="AT396" s="769">
        <v>18.203168494108894</v>
      </c>
      <c r="AU396" s="769">
        <v>19.091399148060503</v>
      </c>
      <c r="AV396" s="769">
        <v>20.022971360646515</v>
      </c>
      <c r="AW396" s="769">
        <v>21</v>
      </c>
      <c r="AX396" s="769">
        <v>15.818877567712025</v>
      </c>
      <c r="AY396" s="769">
        <v>16.560374310662688</v>
      </c>
      <c r="AZ396" s="769">
        <v>17.336628097370276</v>
      </c>
      <c r="BA396" s="769">
        <v>18.149268135383181</v>
      </c>
      <c r="BB396" s="769">
        <v>19</v>
      </c>
      <c r="BC396" s="769">
        <v>4.3230246884165213</v>
      </c>
      <c r="BD396" s="769">
        <v>4.483150184791266</v>
      </c>
      <c r="BE396" s="769">
        <v>4.6492067540691933</v>
      </c>
      <c r="BF396" s="769">
        <v>4.8214140840987687</v>
      </c>
      <c r="BG396" s="769">
        <v>5</v>
      </c>
      <c r="BH396" s="771">
        <v>21.19443687868592</v>
      </c>
      <c r="BI396" s="771">
        <v>21.39067402879056</v>
      </c>
      <c r="BJ396" s="771">
        <v>21.588728118845129</v>
      </c>
      <c r="BK396" s="772">
        <v>21.446791703414153</v>
      </c>
      <c r="BL396" s="772">
        <v>21.305788457640716</v>
      </c>
      <c r="BM396" s="772">
        <v>21.458739847291447</v>
      </c>
      <c r="BN396" s="772">
        <v>21.612789254396102</v>
      </c>
      <c r="BO396" s="772">
        <v>21.767944561474295</v>
      </c>
      <c r="BP396" s="772">
        <v>21.924213707633193</v>
      </c>
      <c r="BQ396" s="772">
        <v>22.081604688973734</v>
      </c>
      <c r="BR396" s="772">
        <v>22.205562537572288</v>
      </c>
      <c r="BS396" s="772">
        <v>22.330216239051357</v>
      </c>
      <c r="BT396" s="772">
        <v>22.455569699668086</v>
      </c>
      <c r="BU396" s="772">
        <v>22.581626847607872</v>
      </c>
      <c r="BV396" s="772">
        <v>22.708391633107475</v>
      </c>
      <c r="BW396" s="771">
        <v>19.175919080715829</v>
      </c>
      <c r="BX396" s="771">
        <v>19.353466978429552</v>
      </c>
      <c r="BY396" s="771">
        <v>19.532658774193212</v>
      </c>
      <c r="BZ396" s="772">
        <v>19.404240112612804</v>
      </c>
      <c r="CA396" s="772">
        <v>19.27666574738922</v>
      </c>
      <c r="CB396" s="772">
        <v>19.415050338025594</v>
      </c>
      <c r="CC396" s="772">
        <v>19.554428373025043</v>
      </c>
      <c r="CD396" s="772">
        <v>19.694806984191029</v>
      </c>
      <c r="CE396" s="772">
        <v>19.836193354525271</v>
      </c>
      <c r="CF396" s="772">
        <v>19.978594718595286</v>
      </c>
      <c r="CG396" s="772">
        <v>20.090747057803501</v>
      </c>
      <c r="CH396" s="772">
        <v>20.203528978189325</v>
      </c>
      <c r="CI396" s="772">
        <v>20.31694401398541</v>
      </c>
      <c r="CJ396" s="772">
        <v>20.430995719264267</v>
      </c>
      <c r="CK396" s="772">
        <v>20.54568766804962</v>
      </c>
      <c r="CL396" s="771">
        <v>5.0462944949252186</v>
      </c>
      <c r="CM396" s="771">
        <v>5.0930176259025135</v>
      </c>
      <c r="CN396" s="771">
        <v>5.1401733616297927</v>
      </c>
      <c r="CO396" s="772">
        <v>5.1063789770033701</v>
      </c>
      <c r="CP396" s="772">
        <v>5.0728067756287416</v>
      </c>
      <c r="CQ396" s="772">
        <v>5.1092237731646302</v>
      </c>
      <c r="CR396" s="772">
        <v>5.1459022034276432</v>
      </c>
      <c r="CS396" s="772">
        <v>5.1828439432081659</v>
      </c>
      <c r="CT396" s="772">
        <v>5.220050882769808</v>
      </c>
      <c r="CU396" s="772">
        <v>5.257524925946127</v>
      </c>
      <c r="CV396" s="772">
        <v>5.2870386994219736</v>
      </c>
      <c r="CW396" s="772">
        <v>5.3167181521550848</v>
      </c>
      <c r="CX396" s="772">
        <v>5.3465642142066869</v>
      </c>
      <c r="CY396" s="772">
        <v>5.3765778208590174</v>
      </c>
      <c r="CZ396" s="772">
        <v>5.4067599126446373</v>
      </c>
      <c r="DA396" s="773">
        <v>0</v>
      </c>
      <c r="DB396" s="773">
        <v>0</v>
      </c>
      <c r="DC396" s="773">
        <v>0</v>
      </c>
      <c r="DD396" s="774">
        <v>0</v>
      </c>
      <c r="DE396" s="774">
        <v>0</v>
      </c>
      <c r="DF396" s="774">
        <v>0</v>
      </c>
      <c r="DG396" s="774">
        <v>0</v>
      </c>
      <c r="DH396" s="774">
        <v>0</v>
      </c>
      <c r="DI396" s="774">
        <v>0</v>
      </c>
      <c r="DJ396" s="774">
        <v>0</v>
      </c>
      <c r="DK396" s="774">
        <v>0</v>
      </c>
      <c r="DL396" s="774">
        <v>0</v>
      </c>
      <c r="DM396" s="774">
        <v>0</v>
      </c>
      <c r="DN396" s="774">
        <v>0</v>
      </c>
      <c r="DO396" s="774">
        <v>0</v>
      </c>
      <c r="DP396" s="773">
        <v>0</v>
      </c>
      <c r="DQ396" s="773">
        <v>0</v>
      </c>
      <c r="DR396" s="773">
        <v>0</v>
      </c>
      <c r="DS396" s="774">
        <v>0</v>
      </c>
      <c r="DT396" s="774">
        <v>0</v>
      </c>
      <c r="DU396" s="774">
        <v>0</v>
      </c>
      <c r="DV396" s="774">
        <v>0</v>
      </c>
      <c r="DW396" s="774">
        <v>0</v>
      </c>
      <c r="DX396" s="774">
        <v>0</v>
      </c>
      <c r="DY396" s="774">
        <v>0</v>
      </c>
      <c r="DZ396" s="774">
        <v>0</v>
      </c>
      <c r="EA396" s="774">
        <v>0</v>
      </c>
      <c r="EB396" s="774">
        <v>0</v>
      </c>
      <c r="EC396" s="774">
        <v>0</v>
      </c>
      <c r="ED396" s="774">
        <v>0</v>
      </c>
    </row>
    <row r="397" spans="1:134" ht="15" x14ac:dyDescent="0.25">
      <c r="A397" s="766">
        <v>115</v>
      </c>
      <c r="B397" s="766">
        <v>104</v>
      </c>
      <c r="C397" s="766" t="s">
        <v>4068</v>
      </c>
      <c r="D397" s="2">
        <v>99712</v>
      </c>
      <c r="E397" s="2">
        <v>99712</v>
      </c>
      <c r="F397" s="767" t="s">
        <v>3746</v>
      </c>
      <c r="G397" s="114">
        <v>70</v>
      </c>
      <c r="H397" s="114">
        <v>43</v>
      </c>
      <c r="I397" s="114">
        <v>33</v>
      </c>
      <c r="J397" s="114">
        <v>10</v>
      </c>
      <c r="K397" s="114">
        <v>0</v>
      </c>
      <c r="L397" s="114">
        <v>1</v>
      </c>
      <c r="M397" s="114">
        <v>1</v>
      </c>
      <c r="N397" s="114">
        <v>0</v>
      </c>
      <c r="O397" s="114">
        <v>0</v>
      </c>
      <c r="P397" s="114">
        <v>0</v>
      </c>
      <c r="Q397" s="114">
        <v>1</v>
      </c>
      <c r="R397" s="114">
        <v>0</v>
      </c>
      <c r="S397" s="114">
        <v>960</v>
      </c>
      <c r="T397" s="114">
        <v>960</v>
      </c>
      <c r="U397" s="114">
        <v>0</v>
      </c>
      <c r="V397" s="114">
        <v>0</v>
      </c>
      <c r="W397" s="114">
        <v>0</v>
      </c>
      <c r="X397" s="114">
        <v>960</v>
      </c>
      <c r="Y397" s="114">
        <v>0</v>
      </c>
      <c r="Z397" s="114">
        <v>43</v>
      </c>
      <c r="AA397" s="114">
        <v>0</v>
      </c>
      <c r="AB397" s="657">
        <v>0</v>
      </c>
      <c r="AC397" s="657">
        <v>0</v>
      </c>
      <c r="AD397" s="768">
        <v>43</v>
      </c>
      <c r="AE397" s="769">
        <v>0</v>
      </c>
      <c r="AF397" s="769">
        <v>33</v>
      </c>
      <c r="AG397" s="770">
        <v>33</v>
      </c>
      <c r="AH397" s="769">
        <v>0</v>
      </c>
      <c r="AI397" s="769">
        <v>0</v>
      </c>
      <c r="AJ397" s="769">
        <v>39.091912541266744</v>
      </c>
      <c r="AK397" s="769">
        <v>39.091912541266744</v>
      </c>
      <c r="AL397" s="769">
        <v>0</v>
      </c>
      <c r="AM397" s="769">
        <v>0</v>
      </c>
      <c r="AN397" s="769">
        <v>30.110985642801005</v>
      </c>
      <c r="AO397" s="769">
        <v>30.110985642801005</v>
      </c>
      <c r="AP397" s="769">
        <v>0</v>
      </c>
      <c r="AQ397" s="769">
        <v>0</v>
      </c>
      <c r="AR397" s="769">
        <v>0</v>
      </c>
      <c r="AS397" s="769">
        <v>35.539014561256934</v>
      </c>
      <c r="AT397" s="769">
        <v>37.273154535556309</v>
      </c>
      <c r="AU397" s="769">
        <v>39.091912541266744</v>
      </c>
      <c r="AV397" s="769">
        <v>40.999417547990483</v>
      </c>
      <c r="AW397" s="769">
        <v>43</v>
      </c>
      <c r="AX397" s="769">
        <v>27.474892617605096</v>
      </c>
      <c r="AY397" s="769">
        <v>28.762755381677298</v>
      </c>
      <c r="AZ397" s="769">
        <v>30.110985642801005</v>
      </c>
      <c r="BA397" s="769">
        <v>31.522413077244472</v>
      </c>
      <c r="BB397" s="769">
        <v>33</v>
      </c>
      <c r="BC397" s="769">
        <v>0</v>
      </c>
      <c r="BD397" s="769">
        <v>0</v>
      </c>
      <c r="BE397" s="769">
        <v>0</v>
      </c>
      <c r="BF397" s="769">
        <v>0</v>
      </c>
      <c r="BG397" s="769">
        <v>0</v>
      </c>
      <c r="BH397" s="771">
        <v>43.398132656356879</v>
      </c>
      <c r="BI397" s="771">
        <v>43.799951582761622</v>
      </c>
      <c r="BJ397" s="771">
        <v>44.205490910016216</v>
      </c>
      <c r="BK397" s="772">
        <v>43.914859202228982</v>
      </c>
      <c r="BL397" s="772">
        <v>43.626138270407175</v>
      </c>
      <c r="BM397" s="772">
        <v>43.939324449215817</v>
      </c>
      <c r="BN397" s="772">
        <v>44.254758949477733</v>
      </c>
      <c r="BO397" s="772">
        <v>44.572457911590227</v>
      </c>
      <c r="BP397" s="772">
        <v>44.892437591820347</v>
      </c>
      <c r="BQ397" s="772">
        <v>45.214714363136693</v>
      </c>
      <c r="BR397" s="772">
        <v>45.468532815028972</v>
      </c>
      <c r="BS397" s="772">
        <v>45.723776108533734</v>
      </c>
      <c r="BT397" s="772">
        <v>45.980452242177506</v>
      </c>
      <c r="BU397" s="772">
        <v>46.238569259387546</v>
      </c>
      <c r="BV397" s="772">
        <v>46.498135248743878</v>
      </c>
      <c r="BW397" s="771">
        <v>33.305543666506445</v>
      </c>
      <c r="BX397" s="771">
        <v>33.613916330956592</v>
      </c>
      <c r="BY397" s="771">
        <v>33.925144186756633</v>
      </c>
      <c r="BZ397" s="772">
        <v>33.702101248222242</v>
      </c>
      <c r="CA397" s="772">
        <v>33.480524719149699</v>
      </c>
      <c r="CB397" s="772">
        <v>33.720876902886559</v>
      </c>
      <c r="CC397" s="772">
        <v>33.962954542622448</v>
      </c>
      <c r="CD397" s="772">
        <v>34.206770025173896</v>
      </c>
      <c r="CE397" s="772">
        <v>34.452335826280731</v>
      </c>
      <c r="CF397" s="772">
        <v>34.699664511244443</v>
      </c>
      <c r="CG397" s="772">
        <v>34.894455416185025</v>
      </c>
      <c r="CH397" s="772">
        <v>35.090339804223561</v>
      </c>
      <c r="CI397" s="772">
        <v>35.287323813764132</v>
      </c>
      <c r="CJ397" s="772">
        <v>35.485413617669515</v>
      </c>
      <c r="CK397" s="772">
        <v>35.684615423454609</v>
      </c>
      <c r="CL397" s="771">
        <v>0</v>
      </c>
      <c r="CM397" s="771">
        <v>0</v>
      </c>
      <c r="CN397" s="771">
        <v>0</v>
      </c>
      <c r="CO397" s="772">
        <v>0</v>
      </c>
      <c r="CP397" s="772">
        <v>0</v>
      </c>
      <c r="CQ397" s="772">
        <v>0</v>
      </c>
      <c r="CR397" s="772">
        <v>0</v>
      </c>
      <c r="CS397" s="772">
        <v>0</v>
      </c>
      <c r="CT397" s="772">
        <v>0</v>
      </c>
      <c r="CU397" s="772">
        <v>0</v>
      </c>
      <c r="CV397" s="772">
        <v>0</v>
      </c>
      <c r="CW397" s="772">
        <v>0</v>
      </c>
      <c r="CX397" s="772">
        <v>0</v>
      </c>
      <c r="CY397" s="772">
        <v>0</v>
      </c>
      <c r="CZ397" s="772">
        <v>0</v>
      </c>
      <c r="DA397" s="773">
        <v>0</v>
      </c>
      <c r="DB397" s="773">
        <v>0</v>
      </c>
      <c r="DC397" s="773">
        <v>0</v>
      </c>
      <c r="DD397" s="774">
        <v>0</v>
      </c>
      <c r="DE397" s="774">
        <v>0</v>
      </c>
      <c r="DF397" s="774">
        <v>0</v>
      </c>
      <c r="DG397" s="774">
        <v>0</v>
      </c>
      <c r="DH397" s="774">
        <v>0</v>
      </c>
      <c r="DI397" s="774">
        <v>0</v>
      </c>
      <c r="DJ397" s="774">
        <v>0</v>
      </c>
      <c r="DK397" s="774">
        <v>0</v>
      </c>
      <c r="DL397" s="774">
        <v>0</v>
      </c>
      <c r="DM397" s="774">
        <v>0</v>
      </c>
      <c r="DN397" s="774">
        <v>0</v>
      </c>
      <c r="DO397" s="774">
        <v>0</v>
      </c>
      <c r="DP397" s="773">
        <v>0</v>
      </c>
      <c r="DQ397" s="773">
        <v>0</v>
      </c>
      <c r="DR397" s="773">
        <v>0</v>
      </c>
      <c r="DS397" s="774">
        <v>0</v>
      </c>
      <c r="DT397" s="774">
        <v>0</v>
      </c>
      <c r="DU397" s="774">
        <v>0</v>
      </c>
      <c r="DV397" s="774">
        <v>0</v>
      </c>
      <c r="DW397" s="774">
        <v>0</v>
      </c>
      <c r="DX397" s="774">
        <v>0</v>
      </c>
      <c r="DY397" s="774">
        <v>0</v>
      </c>
      <c r="DZ397" s="774">
        <v>0</v>
      </c>
      <c r="EA397" s="774">
        <v>0</v>
      </c>
      <c r="EB397" s="774">
        <v>0</v>
      </c>
      <c r="EC397" s="774">
        <v>0</v>
      </c>
      <c r="ED397" s="774">
        <v>0</v>
      </c>
    </row>
    <row r="398" spans="1:134" ht="15" x14ac:dyDescent="0.25">
      <c r="A398" s="766">
        <v>104</v>
      </c>
      <c r="B398" s="766">
        <v>105</v>
      </c>
      <c r="C398" s="766" t="s">
        <v>4069</v>
      </c>
      <c r="D398" s="2">
        <v>99709</v>
      </c>
      <c r="E398" s="2">
        <v>99709</v>
      </c>
      <c r="F398" s="767" t="s">
        <v>3676</v>
      </c>
      <c r="G398" s="114">
        <v>34</v>
      </c>
      <c r="H398" s="114">
        <v>16</v>
      </c>
      <c r="I398" s="114">
        <v>14</v>
      </c>
      <c r="J398" s="114">
        <v>2</v>
      </c>
      <c r="K398" s="114">
        <v>0</v>
      </c>
      <c r="L398" s="114">
        <v>10</v>
      </c>
      <c r="M398" s="114">
        <v>10</v>
      </c>
      <c r="N398" s="114">
        <v>0</v>
      </c>
      <c r="O398" s="114">
        <v>0</v>
      </c>
      <c r="P398" s="114">
        <v>0</v>
      </c>
      <c r="Q398" s="114">
        <v>10</v>
      </c>
      <c r="R398" s="114">
        <v>0</v>
      </c>
      <c r="S398" s="114">
        <v>1125.7</v>
      </c>
      <c r="T398" s="114">
        <v>1125.7</v>
      </c>
      <c r="U398" s="114">
        <v>0</v>
      </c>
      <c r="V398" s="114">
        <v>0</v>
      </c>
      <c r="W398" s="114">
        <v>0</v>
      </c>
      <c r="X398" s="114">
        <v>1125.7</v>
      </c>
      <c r="Y398" s="114">
        <v>0</v>
      </c>
      <c r="Z398" s="114">
        <v>16</v>
      </c>
      <c r="AA398" s="114">
        <v>0</v>
      </c>
      <c r="AB398" s="657">
        <v>0</v>
      </c>
      <c r="AC398" s="657">
        <v>0</v>
      </c>
      <c r="AD398" s="768">
        <v>16</v>
      </c>
      <c r="AE398" s="769">
        <v>0</v>
      </c>
      <c r="AF398" s="769">
        <v>14</v>
      </c>
      <c r="AG398" s="770">
        <v>14</v>
      </c>
      <c r="AH398" s="769">
        <v>0</v>
      </c>
      <c r="AI398" s="769">
        <v>0</v>
      </c>
      <c r="AJ398" s="769">
        <v>15.23453432012383</v>
      </c>
      <c r="AK398" s="769">
        <v>15.23453432012383</v>
      </c>
      <c r="AL398" s="769">
        <v>0</v>
      </c>
      <c r="AM398" s="769">
        <v>0</v>
      </c>
      <c r="AN398" s="769">
        <v>13.355364804571668</v>
      </c>
      <c r="AO398" s="769">
        <v>13.355364804571668</v>
      </c>
      <c r="AP398" s="769">
        <v>0</v>
      </c>
      <c r="AQ398" s="769">
        <v>0</v>
      </c>
      <c r="AR398" s="769">
        <v>0</v>
      </c>
      <c r="AS398" s="769">
        <v>14.505689746939428</v>
      </c>
      <c r="AT398" s="769">
        <v>14.865645908833462</v>
      </c>
      <c r="AU398" s="769">
        <v>15.23453432012383</v>
      </c>
      <c r="AV398" s="769">
        <v>15.612576633021893</v>
      </c>
      <c r="AW398" s="769">
        <v>16</v>
      </c>
      <c r="AX398" s="769">
        <v>12.74041207594226</v>
      </c>
      <c r="AY398" s="769">
        <v>13.044265063037439</v>
      </c>
      <c r="AZ398" s="769">
        <v>13.355364804571668</v>
      </c>
      <c r="BA398" s="769">
        <v>13.673884132316003</v>
      </c>
      <c r="BB398" s="769">
        <v>14</v>
      </c>
      <c r="BC398" s="769">
        <v>0</v>
      </c>
      <c r="BD398" s="769">
        <v>0</v>
      </c>
      <c r="BE398" s="769">
        <v>0</v>
      </c>
      <c r="BF398" s="769">
        <v>0</v>
      </c>
      <c r="BG398" s="769">
        <v>0</v>
      </c>
      <c r="BH398" s="771">
        <v>16.081962064178768</v>
      </c>
      <c r="BI398" s="771">
        <v>16.164343989605314</v>
      </c>
      <c r="BJ398" s="771">
        <v>16.247147927073044</v>
      </c>
      <c r="BK398" s="772">
        <v>16.140330057810399</v>
      </c>
      <c r="BL398" s="772">
        <v>16.03421446917233</v>
      </c>
      <c r="BM398" s="772">
        <v>16.149321938200931</v>
      </c>
      <c r="BN398" s="772">
        <v>16.265255748267418</v>
      </c>
      <c r="BO398" s="772">
        <v>16.382021831562959</v>
      </c>
      <c r="BP398" s="772">
        <v>16.499626162865123</v>
      </c>
      <c r="BQ398" s="772">
        <v>16.618074759843598</v>
      </c>
      <c r="BR398" s="772">
        <v>16.711362400125864</v>
      </c>
      <c r="BS398" s="772">
        <v>16.805173722239822</v>
      </c>
      <c r="BT398" s="772">
        <v>16.899511665938906</v>
      </c>
      <c r="BU398" s="772">
        <v>16.994379187479229</v>
      </c>
      <c r="BV398" s="772">
        <v>17.089779259712195</v>
      </c>
      <c r="BW398" s="771">
        <v>14.071716806156422</v>
      </c>
      <c r="BX398" s="771">
        <v>14.14380099090465</v>
      </c>
      <c r="BY398" s="771">
        <v>14.216254436188914</v>
      </c>
      <c r="BZ398" s="772">
        <v>14.1227888005841</v>
      </c>
      <c r="CA398" s="772">
        <v>14.029937660525789</v>
      </c>
      <c r="CB398" s="772">
        <v>14.130656695925815</v>
      </c>
      <c r="CC398" s="772">
        <v>14.23209877973399</v>
      </c>
      <c r="CD398" s="772">
        <v>14.33426910261759</v>
      </c>
      <c r="CE398" s="772">
        <v>14.437172892506982</v>
      </c>
      <c r="CF398" s="772">
        <v>14.540815414863149</v>
      </c>
      <c r="CG398" s="772">
        <v>14.622442100110131</v>
      </c>
      <c r="CH398" s="772">
        <v>14.704527006959843</v>
      </c>
      <c r="CI398" s="772">
        <v>14.787072707696543</v>
      </c>
      <c r="CJ398" s="772">
        <v>14.870081789044324</v>
      </c>
      <c r="CK398" s="772">
        <v>14.953556852248171</v>
      </c>
      <c r="CL398" s="771">
        <v>0</v>
      </c>
      <c r="CM398" s="771">
        <v>0</v>
      </c>
      <c r="CN398" s="771">
        <v>0</v>
      </c>
      <c r="CO398" s="772">
        <v>0</v>
      </c>
      <c r="CP398" s="772">
        <v>0</v>
      </c>
      <c r="CQ398" s="772">
        <v>0</v>
      </c>
      <c r="CR398" s="772">
        <v>0</v>
      </c>
      <c r="CS398" s="772">
        <v>0</v>
      </c>
      <c r="CT398" s="772">
        <v>0</v>
      </c>
      <c r="CU398" s="772">
        <v>0</v>
      </c>
      <c r="CV398" s="772">
        <v>0</v>
      </c>
      <c r="CW398" s="772">
        <v>0</v>
      </c>
      <c r="CX398" s="772">
        <v>0</v>
      </c>
      <c r="CY398" s="772">
        <v>0</v>
      </c>
      <c r="CZ398" s="772">
        <v>0</v>
      </c>
      <c r="DA398" s="773">
        <v>0</v>
      </c>
      <c r="DB398" s="773">
        <v>0</v>
      </c>
      <c r="DC398" s="773">
        <v>0</v>
      </c>
      <c r="DD398" s="774">
        <v>0</v>
      </c>
      <c r="DE398" s="774">
        <v>0</v>
      </c>
      <c r="DF398" s="774">
        <v>0</v>
      </c>
      <c r="DG398" s="774">
        <v>0</v>
      </c>
      <c r="DH398" s="774">
        <v>0</v>
      </c>
      <c r="DI398" s="774">
        <v>0</v>
      </c>
      <c r="DJ398" s="774">
        <v>0</v>
      </c>
      <c r="DK398" s="774">
        <v>0</v>
      </c>
      <c r="DL398" s="774">
        <v>0</v>
      </c>
      <c r="DM398" s="774">
        <v>0</v>
      </c>
      <c r="DN398" s="774">
        <v>0</v>
      </c>
      <c r="DO398" s="774">
        <v>0</v>
      </c>
      <c r="DP398" s="773">
        <v>0</v>
      </c>
      <c r="DQ398" s="773">
        <v>0</v>
      </c>
      <c r="DR398" s="773">
        <v>0</v>
      </c>
      <c r="DS398" s="774">
        <v>0</v>
      </c>
      <c r="DT398" s="774">
        <v>0</v>
      </c>
      <c r="DU398" s="774">
        <v>0</v>
      </c>
      <c r="DV398" s="774">
        <v>0</v>
      </c>
      <c r="DW398" s="774">
        <v>0</v>
      </c>
      <c r="DX398" s="774">
        <v>0</v>
      </c>
      <c r="DY398" s="774">
        <v>0</v>
      </c>
      <c r="DZ398" s="774">
        <v>0</v>
      </c>
      <c r="EA398" s="774">
        <v>0</v>
      </c>
      <c r="EB398" s="774">
        <v>0</v>
      </c>
      <c r="EC398" s="774">
        <v>0</v>
      </c>
      <c r="ED398" s="774">
        <v>0</v>
      </c>
    </row>
    <row r="399" spans="1:134" ht="15" x14ac:dyDescent="0.25">
      <c r="A399" s="766">
        <v>112</v>
      </c>
      <c r="B399" s="766">
        <v>105</v>
      </c>
      <c r="C399" s="766" t="s">
        <v>4070</v>
      </c>
      <c r="D399" s="2">
        <v>99712</v>
      </c>
      <c r="E399" s="2">
        <v>99712</v>
      </c>
      <c r="F399" s="767" t="s">
        <v>3676</v>
      </c>
      <c r="G399" s="114">
        <v>16</v>
      </c>
      <c r="H399" s="114">
        <v>10</v>
      </c>
      <c r="I399" s="114">
        <v>9</v>
      </c>
      <c r="J399" s="114">
        <v>1</v>
      </c>
      <c r="K399" s="114">
        <v>0</v>
      </c>
      <c r="L399" s="114">
        <v>1</v>
      </c>
      <c r="M399" s="114">
        <v>1</v>
      </c>
      <c r="N399" s="114">
        <v>1</v>
      </c>
      <c r="O399" s="114">
        <v>0</v>
      </c>
      <c r="P399" s="114">
        <v>0</v>
      </c>
      <c r="Q399" s="114">
        <v>2</v>
      </c>
      <c r="R399" s="114">
        <v>0</v>
      </c>
      <c r="S399" s="114">
        <v>4354</v>
      </c>
      <c r="T399" s="114">
        <v>4354</v>
      </c>
      <c r="U399" s="114">
        <v>8310</v>
      </c>
      <c r="V399" s="114">
        <v>0</v>
      </c>
      <c r="W399" s="114">
        <v>0</v>
      </c>
      <c r="X399" s="114">
        <v>6332</v>
      </c>
      <c r="Y399" s="114">
        <v>0</v>
      </c>
      <c r="Z399" s="114">
        <v>10</v>
      </c>
      <c r="AA399" s="114">
        <v>0</v>
      </c>
      <c r="AB399" s="657">
        <v>1</v>
      </c>
      <c r="AC399" s="657">
        <v>0</v>
      </c>
      <c r="AD399" s="768">
        <v>11</v>
      </c>
      <c r="AE399" s="769">
        <v>0</v>
      </c>
      <c r="AF399" s="769">
        <v>9</v>
      </c>
      <c r="AG399" s="770">
        <v>9</v>
      </c>
      <c r="AH399" s="769">
        <v>0</v>
      </c>
      <c r="AI399" s="769">
        <v>0</v>
      </c>
      <c r="AJ399" s="769">
        <v>9.0911424514573813</v>
      </c>
      <c r="AK399" s="769">
        <v>9.0911424514573813</v>
      </c>
      <c r="AL399" s="769">
        <v>0</v>
      </c>
      <c r="AM399" s="769">
        <v>0</v>
      </c>
      <c r="AN399" s="769">
        <v>8.2120869934911838</v>
      </c>
      <c r="AO399" s="769">
        <v>8.2120869934911838</v>
      </c>
      <c r="AP399" s="769">
        <v>0</v>
      </c>
      <c r="AQ399" s="769">
        <v>0.92984135081383867</v>
      </c>
      <c r="AR399" s="769">
        <v>0</v>
      </c>
      <c r="AS399" s="769">
        <v>8.264887107269054</v>
      </c>
      <c r="AT399" s="769">
        <v>8.6681754733851868</v>
      </c>
      <c r="AU399" s="769">
        <v>9.0911424514573813</v>
      </c>
      <c r="AV399" s="769">
        <v>9.5347482669745318</v>
      </c>
      <c r="AW399" s="769">
        <v>10</v>
      </c>
      <c r="AX399" s="769">
        <v>7.4931525320741175</v>
      </c>
      <c r="AY399" s="769">
        <v>7.8443878313665358</v>
      </c>
      <c r="AZ399" s="769">
        <v>8.2120869934911838</v>
      </c>
      <c r="BA399" s="769">
        <v>8.5970217483394009</v>
      </c>
      <c r="BB399" s="769">
        <v>9</v>
      </c>
      <c r="BC399" s="769">
        <v>0.86460493768330426</v>
      </c>
      <c r="BD399" s="769">
        <v>0.89663003695825327</v>
      </c>
      <c r="BE399" s="769">
        <v>0.92984135081383867</v>
      </c>
      <c r="BF399" s="769">
        <v>0.96428281681975381</v>
      </c>
      <c r="BG399" s="769">
        <v>1</v>
      </c>
      <c r="BH399" s="771">
        <v>10.134066054705759</v>
      </c>
      <c r="BI399" s="771">
        <v>10.269929480113955</v>
      </c>
      <c r="BJ399" s="771">
        <v>10.407614372864479</v>
      </c>
      <c r="BK399" s="772">
        <v>10.33918887465355</v>
      </c>
      <c r="BL399" s="772">
        <v>10.271213244071998</v>
      </c>
      <c r="BM399" s="772">
        <v>10.344948902444989</v>
      </c>
      <c r="BN399" s="772">
        <v>10.419213899191792</v>
      </c>
      <c r="BO399" s="772">
        <v>10.494012034361397</v>
      </c>
      <c r="BP399" s="772">
        <v>10.569347135282831</v>
      </c>
      <c r="BQ399" s="772">
        <v>10.645223056761001</v>
      </c>
      <c r="BR399" s="772">
        <v>10.704981347272684</v>
      </c>
      <c r="BS399" s="772">
        <v>10.76507509841923</v>
      </c>
      <c r="BT399" s="772">
        <v>10.825506193350853</v>
      </c>
      <c r="BU399" s="772">
        <v>10.886276525789068</v>
      </c>
      <c r="BV399" s="772">
        <v>10.947388000086022</v>
      </c>
      <c r="BW399" s="771">
        <v>9.120659449235184</v>
      </c>
      <c r="BX399" s="771">
        <v>9.2429365321025596</v>
      </c>
      <c r="BY399" s="771">
        <v>9.3668529355780326</v>
      </c>
      <c r="BZ399" s="772">
        <v>9.3052699871881952</v>
      </c>
      <c r="CA399" s="772">
        <v>9.2440919196647986</v>
      </c>
      <c r="CB399" s="772">
        <v>9.3104540122004913</v>
      </c>
      <c r="CC399" s="772">
        <v>9.377292509272614</v>
      </c>
      <c r="CD399" s="772">
        <v>9.4446108309252583</v>
      </c>
      <c r="CE399" s="772">
        <v>9.5124124217545489</v>
      </c>
      <c r="CF399" s="772">
        <v>9.5807007510849029</v>
      </c>
      <c r="CG399" s="772">
        <v>9.6344832125454154</v>
      </c>
      <c r="CH399" s="772">
        <v>9.6885675885773068</v>
      </c>
      <c r="CI399" s="772">
        <v>9.7429555740157685</v>
      </c>
      <c r="CJ399" s="772">
        <v>9.7976488732101625</v>
      </c>
      <c r="CK399" s="772">
        <v>9.8526492000774208</v>
      </c>
      <c r="CL399" s="771">
        <v>1.0134066054705759</v>
      </c>
      <c r="CM399" s="771">
        <v>1.0269929480113955</v>
      </c>
      <c r="CN399" s="771">
        <v>1.040761437286448</v>
      </c>
      <c r="CO399" s="772">
        <v>1.0339188874653549</v>
      </c>
      <c r="CP399" s="772">
        <v>1.0271213244071997</v>
      </c>
      <c r="CQ399" s="772">
        <v>1.034494890244499</v>
      </c>
      <c r="CR399" s="772">
        <v>1.0419213899191793</v>
      </c>
      <c r="CS399" s="772">
        <v>1.0494012034361397</v>
      </c>
      <c r="CT399" s="772">
        <v>1.0569347135282832</v>
      </c>
      <c r="CU399" s="772">
        <v>1.0645223056761002</v>
      </c>
      <c r="CV399" s="772">
        <v>1.0704981347272684</v>
      </c>
      <c r="CW399" s="772">
        <v>1.076507509841923</v>
      </c>
      <c r="CX399" s="772">
        <v>1.0825506193350853</v>
      </c>
      <c r="CY399" s="772">
        <v>1.0886276525789067</v>
      </c>
      <c r="CZ399" s="772">
        <v>1.0947388000086022</v>
      </c>
      <c r="DA399" s="773">
        <v>0</v>
      </c>
      <c r="DB399" s="773">
        <v>0</v>
      </c>
      <c r="DC399" s="773">
        <v>0</v>
      </c>
      <c r="DD399" s="774">
        <v>0</v>
      </c>
      <c r="DE399" s="774">
        <v>0</v>
      </c>
      <c r="DF399" s="774">
        <v>0</v>
      </c>
      <c r="DG399" s="774">
        <v>0</v>
      </c>
      <c r="DH399" s="774">
        <v>0</v>
      </c>
      <c r="DI399" s="774">
        <v>0</v>
      </c>
      <c r="DJ399" s="774">
        <v>0</v>
      </c>
      <c r="DK399" s="774">
        <v>0</v>
      </c>
      <c r="DL399" s="774">
        <v>0</v>
      </c>
      <c r="DM399" s="774">
        <v>0</v>
      </c>
      <c r="DN399" s="774">
        <v>0</v>
      </c>
      <c r="DO399" s="774">
        <v>0</v>
      </c>
      <c r="DP399" s="773">
        <v>0</v>
      </c>
      <c r="DQ399" s="773">
        <v>0</v>
      </c>
      <c r="DR399" s="773">
        <v>0</v>
      </c>
      <c r="DS399" s="774">
        <v>0</v>
      </c>
      <c r="DT399" s="774">
        <v>0</v>
      </c>
      <c r="DU399" s="774">
        <v>0</v>
      </c>
      <c r="DV399" s="774">
        <v>0</v>
      </c>
      <c r="DW399" s="774">
        <v>0</v>
      </c>
      <c r="DX399" s="774">
        <v>0</v>
      </c>
      <c r="DY399" s="774">
        <v>0</v>
      </c>
      <c r="DZ399" s="774">
        <v>0</v>
      </c>
      <c r="EA399" s="774">
        <v>0</v>
      </c>
      <c r="EB399" s="774">
        <v>0</v>
      </c>
      <c r="EC399" s="774">
        <v>0</v>
      </c>
      <c r="ED399" s="774">
        <v>0</v>
      </c>
    </row>
    <row r="400" spans="1:134" ht="15" x14ac:dyDescent="0.25">
      <c r="A400" s="766">
        <v>114</v>
      </c>
      <c r="B400" s="766">
        <v>105</v>
      </c>
      <c r="C400" s="766" t="s">
        <v>4071</v>
      </c>
      <c r="D400" s="2">
        <v>99712</v>
      </c>
      <c r="E400" s="2">
        <v>99712</v>
      </c>
      <c r="F400" s="767" t="s">
        <v>3676</v>
      </c>
      <c r="G400" s="114">
        <v>27</v>
      </c>
      <c r="H400" s="114">
        <v>10</v>
      </c>
      <c r="I400" s="114">
        <v>9</v>
      </c>
      <c r="J400" s="114">
        <v>1</v>
      </c>
      <c r="K400" s="114">
        <v>0</v>
      </c>
      <c r="L400" s="114">
        <v>1</v>
      </c>
      <c r="M400" s="114">
        <v>1</v>
      </c>
      <c r="N400" s="114">
        <v>0</v>
      </c>
      <c r="O400" s="114">
        <v>0</v>
      </c>
      <c r="P400" s="114">
        <v>0</v>
      </c>
      <c r="Q400" s="114">
        <v>1</v>
      </c>
      <c r="R400" s="114">
        <v>0</v>
      </c>
      <c r="S400" s="114">
        <v>4117</v>
      </c>
      <c r="T400" s="114">
        <v>4117</v>
      </c>
      <c r="U400" s="114">
        <v>0</v>
      </c>
      <c r="V400" s="114">
        <v>0</v>
      </c>
      <c r="W400" s="114">
        <v>0</v>
      </c>
      <c r="X400" s="114">
        <v>4117</v>
      </c>
      <c r="Y400" s="114">
        <v>0</v>
      </c>
      <c r="Z400" s="114">
        <v>10</v>
      </c>
      <c r="AA400" s="114">
        <v>0</v>
      </c>
      <c r="AB400" s="657">
        <v>0</v>
      </c>
      <c r="AC400" s="657">
        <v>0</v>
      </c>
      <c r="AD400" s="768">
        <v>10</v>
      </c>
      <c r="AE400" s="769">
        <v>0</v>
      </c>
      <c r="AF400" s="769">
        <v>9</v>
      </c>
      <c r="AG400" s="770">
        <v>9</v>
      </c>
      <c r="AH400" s="769">
        <v>0</v>
      </c>
      <c r="AI400" s="769">
        <v>0</v>
      </c>
      <c r="AJ400" s="769">
        <v>9.0911424514573813</v>
      </c>
      <c r="AK400" s="769">
        <v>9.0911424514573813</v>
      </c>
      <c r="AL400" s="769">
        <v>0</v>
      </c>
      <c r="AM400" s="769">
        <v>0</v>
      </c>
      <c r="AN400" s="769">
        <v>8.2120869934911838</v>
      </c>
      <c r="AO400" s="769">
        <v>8.2120869934911838</v>
      </c>
      <c r="AP400" s="769">
        <v>0</v>
      </c>
      <c r="AQ400" s="769">
        <v>0</v>
      </c>
      <c r="AR400" s="769">
        <v>0</v>
      </c>
      <c r="AS400" s="769">
        <v>8.264887107269054</v>
      </c>
      <c r="AT400" s="769">
        <v>8.6681754733851868</v>
      </c>
      <c r="AU400" s="769">
        <v>9.0911424514573813</v>
      </c>
      <c r="AV400" s="769">
        <v>9.5347482669745318</v>
      </c>
      <c r="AW400" s="769">
        <v>10</v>
      </c>
      <c r="AX400" s="769">
        <v>7.4931525320741175</v>
      </c>
      <c r="AY400" s="769">
        <v>7.8443878313665358</v>
      </c>
      <c r="AZ400" s="769">
        <v>8.2120869934911838</v>
      </c>
      <c r="BA400" s="769">
        <v>8.5970217483394009</v>
      </c>
      <c r="BB400" s="769">
        <v>9</v>
      </c>
      <c r="BC400" s="769">
        <v>0</v>
      </c>
      <c r="BD400" s="769">
        <v>0</v>
      </c>
      <c r="BE400" s="769">
        <v>0</v>
      </c>
      <c r="BF400" s="769">
        <v>0</v>
      </c>
      <c r="BG400" s="769">
        <v>0</v>
      </c>
      <c r="BH400" s="771">
        <v>10.134066054705759</v>
      </c>
      <c r="BI400" s="771">
        <v>10.269929480113955</v>
      </c>
      <c r="BJ400" s="771">
        <v>10.407614372864479</v>
      </c>
      <c r="BK400" s="772">
        <v>10.33918887465355</v>
      </c>
      <c r="BL400" s="772">
        <v>10.271213244071998</v>
      </c>
      <c r="BM400" s="772">
        <v>10.344948902444989</v>
      </c>
      <c r="BN400" s="772">
        <v>10.419213899191792</v>
      </c>
      <c r="BO400" s="772">
        <v>10.494012034361397</v>
      </c>
      <c r="BP400" s="772">
        <v>10.569347135282831</v>
      </c>
      <c r="BQ400" s="772">
        <v>10.645223056761001</v>
      </c>
      <c r="BR400" s="772">
        <v>10.704981347272684</v>
      </c>
      <c r="BS400" s="772">
        <v>10.76507509841923</v>
      </c>
      <c r="BT400" s="772">
        <v>10.825506193350853</v>
      </c>
      <c r="BU400" s="772">
        <v>10.886276525789068</v>
      </c>
      <c r="BV400" s="772">
        <v>10.947388000086022</v>
      </c>
      <c r="BW400" s="771">
        <v>9.120659449235184</v>
      </c>
      <c r="BX400" s="771">
        <v>9.2429365321025596</v>
      </c>
      <c r="BY400" s="771">
        <v>9.3668529355780326</v>
      </c>
      <c r="BZ400" s="772">
        <v>9.3052699871881952</v>
      </c>
      <c r="CA400" s="772">
        <v>9.2440919196647986</v>
      </c>
      <c r="CB400" s="772">
        <v>9.3104540122004913</v>
      </c>
      <c r="CC400" s="772">
        <v>9.377292509272614</v>
      </c>
      <c r="CD400" s="772">
        <v>9.4446108309252583</v>
      </c>
      <c r="CE400" s="772">
        <v>9.5124124217545489</v>
      </c>
      <c r="CF400" s="772">
        <v>9.5807007510849029</v>
      </c>
      <c r="CG400" s="772">
        <v>9.6344832125454154</v>
      </c>
      <c r="CH400" s="772">
        <v>9.6885675885773068</v>
      </c>
      <c r="CI400" s="772">
        <v>9.7429555740157685</v>
      </c>
      <c r="CJ400" s="772">
        <v>9.7976488732101625</v>
      </c>
      <c r="CK400" s="772">
        <v>9.8526492000774208</v>
      </c>
      <c r="CL400" s="771">
        <v>0</v>
      </c>
      <c r="CM400" s="771">
        <v>0</v>
      </c>
      <c r="CN400" s="771">
        <v>0</v>
      </c>
      <c r="CO400" s="772">
        <v>0</v>
      </c>
      <c r="CP400" s="772">
        <v>0</v>
      </c>
      <c r="CQ400" s="772">
        <v>0</v>
      </c>
      <c r="CR400" s="772">
        <v>0</v>
      </c>
      <c r="CS400" s="772">
        <v>0</v>
      </c>
      <c r="CT400" s="772">
        <v>0</v>
      </c>
      <c r="CU400" s="772">
        <v>0</v>
      </c>
      <c r="CV400" s="772">
        <v>0</v>
      </c>
      <c r="CW400" s="772">
        <v>0</v>
      </c>
      <c r="CX400" s="772">
        <v>0</v>
      </c>
      <c r="CY400" s="772">
        <v>0</v>
      </c>
      <c r="CZ400" s="772">
        <v>0</v>
      </c>
      <c r="DA400" s="773">
        <v>0</v>
      </c>
      <c r="DB400" s="773">
        <v>0</v>
      </c>
      <c r="DC400" s="773">
        <v>0</v>
      </c>
      <c r="DD400" s="774">
        <v>0</v>
      </c>
      <c r="DE400" s="774">
        <v>0</v>
      </c>
      <c r="DF400" s="774">
        <v>0</v>
      </c>
      <c r="DG400" s="774">
        <v>0</v>
      </c>
      <c r="DH400" s="774">
        <v>0</v>
      </c>
      <c r="DI400" s="774">
        <v>0</v>
      </c>
      <c r="DJ400" s="774">
        <v>0</v>
      </c>
      <c r="DK400" s="774">
        <v>0</v>
      </c>
      <c r="DL400" s="774">
        <v>0</v>
      </c>
      <c r="DM400" s="774">
        <v>0</v>
      </c>
      <c r="DN400" s="774">
        <v>0</v>
      </c>
      <c r="DO400" s="774">
        <v>0</v>
      </c>
      <c r="DP400" s="773">
        <v>0</v>
      </c>
      <c r="DQ400" s="773">
        <v>0</v>
      </c>
      <c r="DR400" s="773">
        <v>0</v>
      </c>
      <c r="DS400" s="774">
        <v>0</v>
      </c>
      <c r="DT400" s="774">
        <v>0</v>
      </c>
      <c r="DU400" s="774">
        <v>0</v>
      </c>
      <c r="DV400" s="774">
        <v>0</v>
      </c>
      <c r="DW400" s="774">
        <v>0</v>
      </c>
      <c r="DX400" s="774">
        <v>0</v>
      </c>
      <c r="DY400" s="774">
        <v>0</v>
      </c>
      <c r="DZ400" s="774">
        <v>0</v>
      </c>
      <c r="EA400" s="774">
        <v>0</v>
      </c>
      <c r="EB400" s="774">
        <v>0</v>
      </c>
      <c r="EC400" s="774">
        <v>0</v>
      </c>
      <c r="ED400" s="774">
        <v>0</v>
      </c>
    </row>
    <row r="401" spans="1:134" ht="15" x14ac:dyDescent="0.25">
      <c r="A401" s="766">
        <v>115</v>
      </c>
      <c r="B401" s="766">
        <v>105</v>
      </c>
      <c r="C401" s="766" t="s">
        <v>4072</v>
      </c>
      <c r="D401" s="2">
        <v>99712</v>
      </c>
      <c r="E401" s="2">
        <v>99712</v>
      </c>
      <c r="F401" s="767" t="s">
        <v>3676</v>
      </c>
      <c r="G401" s="114">
        <v>61</v>
      </c>
      <c r="H401" s="114">
        <v>26</v>
      </c>
      <c r="I401" s="114">
        <v>25</v>
      </c>
      <c r="J401" s="114">
        <v>1</v>
      </c>
      <c r="K401" s="114">
        <v>1</v>
      </c>
      <c r="L401" s="114">
        <v>28</v>
      </c>
      <c r="M401" s="114">
        <v>29</v>
      </c>
      <c r="N401" s="114">
        <v>1</v>
      </c>
      <c r="O401" s="114">
        <v>0</v>
      </c>
      <c r="P401" s="114">
        <v>0</v>
      </c>
      <c r="Q401" s="114">
        <v>30</v>
      </c>
      <c r="R401" s="114">
        <v>7920</v>
      </c>
      <c r="S401" s="114">
        <v>1929.7142857142858</v>
      </c>
      <c r="T401" s="114">
        <v>2136.2758620689656</v>
      </c>
      <c r="U401" s="114">
        <v>5797</v>
      </c>
      <c r="V401" s="114">
        <v>0</v>
      </c>
      <c r="W401" s="114">
        <v>0</v>
      </c>
      <c r="X401" s="114">
        <v>2258.3000000000002</v>
      </c>
      <c r="Y401" s="114">
        <v>0.89655172413793105</v>
      </c>
      <c r="Z401" s="114">
        <v>25.103448275862068</v>
      </c>
      <c r="AA401" s="114">
        <v>0</v>
      </c>
      <c r="AB401" s="657">
        <v>1</v>
      </c>
      <c r="AC401" s="657">
        <v>0</v>
      </c>
      <c r="AD401" s="768">
        <v>27</v>
      </c>
      <c r="AE401" s="769">
        <v>0.86206896551724144</v>
      </c>
      <c r="AF401" s="769">
        <v>24.137931034482758</v>
      </c>
      <c r="AG401" s="770">
        <v>25</v>
      </c>
      <c r="AH401" s="769">
        <v>0</v>
      </c>
      <c r="AI401" s="769">
        <v>0.81506794392376536</v>
      </c>
      <c r="AJ401" s="769">
        <v>22.821902429865428</v>
      </c>
      <c r="AK401" s="769">
        <v>23.636970373789193</v>
      </c>
      <c r="AL401" s="769">
        <v>0</v>
      </c>
      <c r="AM401" s="769">
        <v>0.78659837102405972</v>
      </c>
      <c r="AN401" s="769">
        <v>22.024754388673671</v>
      </c>
      <c r="AO401" s="769">
        <v>22.81135275969773</v>
      </c>
      <c r="AP401" s="769">
        <v>0</v>
      </c>
      <c r="AQ401" s="769">
        <v>0.92984135081383867</v>
      </c>
      <c r="AR401" s="769">
        <v>0</v>
      </c>
      <c r="AS401" s="769">
        <v>21.488706478899541</v>
      </c>
      <c r="AT401" s="769">
        <v>22.537256230801486</v>
      </c>
      <c r="AU401" s="769">
        <v>23.636970373789193</v>
      </c>
      <c r="AV401" s="769">
        <v>24.790345494133781</v>
      </c>
      <c r="AW401" s="769">
        <v>26</v>
      </c>
      <c r="AX401" s="769">
        <v>20.814312589094772</v>
      </c>
      <c r="AY401" s="769">
        <v>21.789966198240379</v>
      </c>
      <c r="AZ401" s="769">
        <v>22.81135275969773</v>
      </c>
      <c r="BA401" s="769">
        <v>23.880615967609447</v>
      </c>
      <c r="BB401" s="769">
        <v>25</v>
      </c>
      <c r="BC401" s="769">
        <v>0.86460493768330426</v>
      </c>
      <c r="BD401" s="769">
        <v>0.89663003695825327</v>
      </c>
      <c r="BE401" s="769">
        <v>0.92984135081383867</v>
      </c>
      <c r="BF401" s="769">
        <v>0.96428281681975381</v>
      </c>
      <c r="BG401" s="769">
        <v>1</v>
      </c>
      <c r="BH401" s="771">
        <v>26.348571742234974</v>
      </c>
      <c r="BI401" s="771">
        <v>26.701816648296283</v>
      </c>
      <c r="BJ401" s="771">
        <v>27.059797369447647</v>
      </c>
      <c r="BK401" s="772">
        <v>26.881891074099229</v>
      </c>
      <c r="BL401" s="772">
        <v>26.705154434587193</v>
      </c>
      <c r="BM401" s="772">
        <v>26.896867146356971</v>
      </c>
      <c r="BN401" s="772">
        <v>27.08995613789866</v>
      </c>
      <c r="BO401" s="772">
        <v>27.284431289339633</v>
      </c>
      <c r="BP401" s="772">
        <v>27.48030255173536</v>
      </c>
      <c r="BQ401" s="772">
        <v>27.677579947578604</v>
      </c>
      <c r="BR401" s="772">
        <v>27.832951502908976</v>
      </c>
      <c r="BS401" s="772">
        <v>27.989195255889996</v>
      </c>
      <c r="BT401" s="772">
        <v>28.14631610271222</v>
      </c>
      <c r="BU401" s="772">
        <v>28.304318967051575</v>
      </c>
      <c r="BV401" s="772">
        <v>28.463208800223658</v>
      </c>
      <c r="BW401" s="771">
        <v>25.335165136764399</v>
      </c>
      <c r="BX401" s="771">
        <v>25.67482370028489</v>
      </c>
      <c r="BY401" s="771">
        <v>26.019035932161199</v>
      </c>
      <c r="BZ401" s="772">
        <v>25.847972186633871</v>
      </c>
      <c r="CA401" s="772">
        <v>25.678033110179996</v>
      </c>
      <c r="CB401" s="772">
        <v>25.862372256112472</v>
      </c>
      <c r="CC401" s="772">
        <v>26.048034747979479</v>
      </c>
      <c r="CD401" s="772">
        <v>26.235030085903492</v>
      </c>
      <c r="CE401" s="772">
        <v>26.423367838207074</v>
      </c>
      <c r="CF401" s="772">
        <v>26.613057641902504</v>
      </c>
      <c r="CG401" s="772">
        <v>26.76245336818171</v>
      </c>
      <c r="CH401" s="772">
        <v>26.912687746048075</v>
      </c>
      <c r="CI401" s="772">
        <v>27.063765483377132</v>
      </c>
      <c r="CJ401" s="772">
        <v>27.215691314472668</v>
      </c>
      <c r="CK401" s="772">
        <v>27.368470000215055</v>
      </c>
      <c r="CL401" s="771">
        <v>1.0134066054705759</v>
      </c>
      <c r="CM401" s="771">
        <v>1.0269929480113955</v>
      </c>
      <c r="CN401" s="771">
        <v>1.040761437286448</v>
      </c>
      <c r="CO401" s="772">
        <v>1.0339188874653549</v>
      </c>
      <c r="CP401" s="772">
        <v>1.0271213244071997</v>
      </c>
      <c r="CQ401" s="772">
        <v>1.034494890244499</v>
      </c>
      <c r="CR401" s="772">
        <v>1.0419213899191793</v>
      </c>
      <c r="CS401" s="772">
        <v>1.0494012034361397</v>
      </c>
      <c r="CT401" s="772">
        <v>1.0569347135282832</v>
      </c>
      <c r="CU401" s="772">
        <v>1.0645223056761002</v>
      </c>
      <c r="CV401" s="772">
        <v>1.0704981347272684</v>
      </c>
      <c r="CW401" s="772">
        <v>1.076507509841923</v>
      </c>
      <c r="CX401" s="772">
        <v>1.0825506193350853</v>
      </c>
      <c r="CY401" s="772">
        <v>1.0886276525789067</v>
      </c>
      <c r="CZ401" s="772">
        <v>1.0947388000086022</v>
      </c>
      <c r="DA401" s="773">
        <v>0</v>
      </c>
      <c r="DB401" s="773">
        <v>0</v>
      </c>
      <c r="DC401" s="773">
        <v>0</v>
      </c>
      <c r="DD401" s="774">
        <v>0</v>
      </c>
      <c r="DE401" s="774">
        <v>0</v>
      </c>
      <c r="DF401" s="774">
        <v>0</v>
      </c>
      <c r="DG401" s="774">
        <v>0</v>
      </c>
      <c r="DH401" s="774">
        <v>0</v>
      </c>
      <c r="DI401" s="774">
        <v>0</v>
      </c>
      <c r="DJ401" s="774">
        <v>0</v>
      </c>
      <c r="DK401" s="774">
        <v>0</v>
      </c>
      <c r="DL401" s="774">
        <v>0</v>
      </c>
      <c r="DM401" s="774">
        <v>0</v>
      </c>
      <c r="DN401" s="774">
        <v>0</v>
      </c>
      <c r="DO401" s="774">
        <v>0</v>
      </c>
      <c r="DP401" s="773">
        <v>0</v>
      </c>
      <c r="DQ401" s="773">
        <v>0</v>
      </c>
      <c r="DR401" s="773">
        <v>0</v>
      </c>
      <c r="DS401" s="774">
        <v>0</v>
      </c>
      <c r="DT401" s="774">
        <v>0</v>
      </c>
      <c r="DU401" s="774">
        <v>0</v>
      </c>
      <c r="DV401" s="774">
        <v>0</v>
      </c>
      <c r="DW401" s="774">
        <v>0</v>
      </c>
      <c r="DX401" s="774">
        <v>0</v>
      </c>
      <c r="DY401" s="774">
        <v>0</v>
      </c>
      <c r="DZ401" s="774">
        <v>0</v>
      </c>
      <c r="EA401" s="774">
        <v>0</v>
      </c>
      <c r="EB401" s="774">
        <v>0</v>
      </c>
      <c r="EC401" s="774">
        <v>0</v>
      </c>
      <c r="ED401" s="774">
        <v>0</v>
      </c>
    </row>
    <row r="402" spans="1:134" ht="15" x14ac:dyDescent="0.25">
      <c r="A402" s="766">
        <v>148</v>
      </c>
      <c r="B402" s="766">
        <v>105</v>
      </c>
      <c r="C402" s="766" t="s">
        <v>4073</v>
      </c>
      <c r="D402" s="2">
        <v>99712</v>
      </c>
      <c r="E402" s="2">
        <v>99712</v>
      </c>
      <c r="F402" s="767" t="s">
        <v>3676</v>
      </c>
      <c r="G402" s="114">
        <v>0</v>
      </c>
      <c r="H402" s="114">
        <v>2</v>
      </c>
      <c r="I402" s="114">
        <v>0</v>
      </c>
      <c r="J402" s="114">
        <v>2</v>
      </c>
      <c r="K402" s="114">
        <v>0</v>
      </c>
      <c r="L402" s="114">
        <v>0</v>
      </c>
      <c r="M402" s="114">
        <v>0</v>
      </c>
      <c r="N402" s="114">
        <v>0</v>
      </c>
      <c r="O402" s="114">
        <v>0</v>
      </c>
      <c r="P402" s="114">
        <v>0</v>
      </c>
      <c r="Q402" s="114">
        <v>0</v>
      </c>
      <c r="R402" s="114">
        <v>0</v>
      </c>
      <c r="S402" s="114">
        <v>834.49503068156923</v>
      </c>
      <c r="T402" s="114">
        <v>834.49503068156923</v>
      </c>
      <c r="U402" s="114">
        <v>1408.3846153846155</v>
      </c>
      <c r="V402" s="114">
        <v>0</v>
      </c>
      <c r="W402" s="114">
        <v>0</v>
      </c>
      <c r="X402" s="114">
        <v>1365.173957061457</v>
      </c>
      <c r="Y402" s="114">
        <v>4.5824670824670823E-2</v>
      </c>
      <c r="Z402" s="114">
        <v>1.9515765765765767</v>
      </c>
      <c r="AA402" s="114">
        <v>2.5987525987525989E-3</v>
      </c>
      <c r="AB402" s="657">
        <v>0</v>
      </c>
      <c r="AC402" s="657">
        <v>0</v>
      </c>
      <c r="AD402" s="768">
        <v>2</v>
      </c>
      <c r="AE402" s="769">
        <v>0</v>
      </c>
      <c r="AF402" s="769">
        <v>0</v>
      </c>
      <c r="AG402" s="770">
        <v>0</v>
      </c>
      <c r="AH402" s="769">
        <v>0</v>
      </c>
      <c r="AI402" s="769">
        <v>4.1659861025822545E-2</v>
      </c>
      <c r="AJ402" s="769">
        <v>1.7742060662585184</v>
      </c>
      <c r="AK402" s="769">
        <v>1.8158659272843409</v>
      </c>
      <c r="AL402" s="769">
        <v>2.3625630071354943E-3</v>
      </c>
      <c r="AM402" s="769">
        <v>0</v>
      </c>
      <c r="AN402" s="769">
        <v>0</v>
      </c>
      <c r="AO402" s="769">
        <v>0</v>
      </c>
      <c r="AP402" s="769">
        <v>0</v>
      </c>
      <c r="AQ402" s="769">
        <v>0</v>
      </c>
      <c r="AR402" s="769">
        <v>0</v>
      </c>
      <c r="AS402" s="769">
        <v>1.6508295817689698</v>
      </c>
      <c r="AT402" s="769">
        <v>1.7313824503232471</v>
      </c>
      <c r="AU402" s="769">
        <v>1.8158659272843409</v>
      </c>
      <c r="AV402" s="769">
        <v>1.9044718082111811</v>
      </c>
      <c r="AW402" s="769">
        <v>1.9974012474012475</v>
      </c>
      <c r="AX402" s="769">
        <v>0</v>
      </c>
      <c r="AY402" s="769">
        <v>0</v>
      </c>
      <c r="AZ402" s="769">
        <v>0</v>
      </c>
      <c r="BA402" s="769">
        <v>0</v>
      </c>
      <c r="BB402" s="769">
        <v>0</v>
      </c>
      <c r="BC402" s="769">
        <v>0</v>
      </c>
      <c r="BD402" s="769">
        <v>0</v>
      </c>
      <c r="BE402" s="769">
        <v>0</v>
      </c>
      <c r="BF402" s="769">
        <v>0</v>
      </c>
      <c r="BG402" s="769">
        <v>0</v>
      </c>
      <c r="BH402" s="771">
        <v>2.022683901545177</v>
      </c>
      <c r="BI402" s="771">
        <v>2.0482865778185571</v>
      </c>
      <c r="BJ402" s="771">
        <v>2.0742133269892693</v>
      </c>
      <c r="BK402" s="772">
        <v>2.0605762844154167</v>
      </c>
      <c r="BL402" s="772">
        <v>2.0470288994133008</v>
      </c>
      <c r="BM402" s="772">
        <v>2.0617242445512174</v>
      </c>
      <c r="BN402" s="772">
        <v>2.076525085595315</v>
      </c>
      <c r="BO402" s="772">
        <v>2.0914321798865152</v>
      </c>
      <c r="BP402" s="772">
        <v>2.1064462902025864</v>
      </c>
      <c r="BQ402" s="772">
        <v>2.1215681847971783</v>
      </c>
      <c r="BR402" s="772">
        <v>2.1334778730443333</v>
      </c>
      <c r="BS402" s="772">
        <v>2.145454417815432</v>
      </c>
      <c r="BT402" s="772">
        <v>2.1574981944179301</v>
      </c>
      <c r="BU402" s="772">
        <v>2.1696095802661186</v>
      </c>
      <c r="BV402" s="772">
        <v>2.1817889548929497</v>
      </c>
      <c r="BW402" s="771">
        <v>0</v>
      </c>
      <c r="BX402" s="771">
        <v>0</v>
      </c>
      <c r="BY402" s="771">
        <v>0</v>
      </c>
      <c r="BZ402" s="772">
        <v>0</v>
      </c>
      <c r="CA402" s="772">
        <v>0</v>
      </c>
      <c r="CB402" s="772">
        <v>0</v>
      </c>
      <c r="CC402" s="772">
        <v>0</v>
      </c>
      <c r="CD402" s="772">
        <v>0</v>
      </c>
      <c r="CE402" s="772">
        <v>0</v>
      </c>
      <c r="CF402" s="772">
        <v>0</v>
      </c>
      <c r="CG402" s="772">
        <v>0</v>
      </c>
      <c r="CH402" s="772">
        <v>0</v>
      </c>
      <c r="CI402" s="772">
        <v>0</v>
      </c>
      <c r="CJ402" s="772">
        <v>0</v>
      </c>
      <c r="CK402" s="772">
        <v>0</v>
      </c>
      <c r="CL402" s="771">
        <v>0</v>
      </c>
      <c r="CM402" s="771">
        <v>0</v>
      </c>
      <c r="CN402" s="771">
        <v>0</v>
      </c>
      <c r="CO402" s="772">
        <v>0</v>
      </c>
      <c r="CP402" s="772">
        <v>0</v>
      </c>
      <c r="CQ402" s="772">
        <v>0</v>
      </c>
      <c r="CR402" s="772">
        <v>0</v>
      </c>
      <c r="CS402" s="772">
        <v>0</v>
      </c>
      <c r="CT402" s="772">
        <v>0</v>
      </c>
      <c r="CU402" s="772">
        <v>0</v>
      </c>
      <c r="CV402" s="772">
        <v>0</v>
      </c>
      <c r="CW402" s="772">
        <v>0</v>
      </c>
      <c r="CX402" s="772">
        <v>0</v>
      </c>
      <c r="CY402" s="772">
        <v>0</v>
      </c>
      <c r="CZ402" s="772">
        <v>0</v>
      </c>
      <c r="DA402" s="773">
        <v>2.6316470225672354E-3</v>
      </c>
      <c r="DB402" s="773">
        <v>2.6649578165737148E-3</v>
      </c>
      <c r="DC402" s="773">
        <v>2.6986902510919455E-3</v>
      </c>
      <c r="DD402" s="774">
        <v>2.6809475467283591E-3</v>
      </c>
      <c r="DE402" s="774">
        <v>2.6633214928614372E-3</v>
      </c>
      <c r="DF402" s="774">
        <v>2.6824411196346831E-3</v>
      </c>
      <c r="DG402" s="774">
        <v>2.7016980036368918E-3</v>
      </c>
      <c r="DH402" s="774">
        <v>2.7210931302192494E-3</v>
      </c>
      <c r="DI402" s="774">
        <v>2.7406274918066438E-3</v>
      </c>
      <c r="DJ402" s="774">
        <v>2.7603020879484494E-3</v>
      </c>
      <c r="DK402" s="774">
        <v>2.775797388816463E-3</v>
      </c>
      <c r="DL402" s="774">
        <v>2.7913796744931463E-3</v>
      </c>
      <c r="DM402" s="774">
        <v>2.8070494332785977E-3</v>
      </c>
      <c r="DN402" s="774">
        <v>2.8228071562140496E-3</v>
      </c>
      <c r="DO402" s="774">
        <v>2.8386533370972542E-3</v>
      </c>
      <c r="DP402" s="773">
        <v>0</v>
      </c>
      <c r="DQ402" s="773">
        <v>0</v>
      </c>
      <c r="DR402" s="773">
        <v>0</v>
      </c>
      <c r="DS402" s="774">
        <v>0</v>
      </c>
      <c r="DT402" s="774">
        <v>0</v>
      </c>
      <c r="DU402" s="774">
        <v>0</v>
      </c>
      <c r="DV402" s="774">
        <v>0</v>
      </c>
      <c r="DW402" s="774">
        <v>0</v>
      </c>
      <c r="DX402" s="774">
        <v>0</v>
      </c>
      <c r="DY402" s="774">
        <v>0</v>
      </c>
      <c r="DZ402" s="774">
        <v>0</v>
      </c>
      <c r="EA402" s="774">
        <v>0</v>
      </c>
      <c r="EB402" s="774">
        <v>0</v>
      </c>
      <c r="EC402" s="774">
        <v>0</v>
      </c>
      <c r="ED402" s="774">
        <v>0</v>
      </c>
    </row>
    <row r="403" spans="1:134" ht="15" x14ac:dyDescent="0.25">
      <c r="A403" s="766">
        <v>91</v>
      </c>
      <c r="B403" s="766">
        <v>106</v>
      </c>
      <c r="C403" s="766" t="s">
        <v>4074</v>
      </c>
      <c r="D403" s="2">
        <v>99709</v>
      </c>
      <c r="E403" s="2">
        <v>99709</v>
      </c>
      <c r="F403" s="767" t="s">
        <v>3676</v>
      </c>
      <c r="G403" s="114">
        <v>41</v>
      </c>
      <c r="H403" s="114">
        <v>60</v>
      </c>
      <c r="I403" s="114">
        <v>23</v>
      </c>
      <c r="J403" s="114">
        <v>37</v>
      </c>
      <c r="K403" s="114">
        <v>0</v>
      </c>
      <c r="L403" s="114">
        <v>0</v>
      </c>
      <c r="M403" s="114">
        <v>0</v>
      </c>
      <c r="N403" s="114">
        <v>0</v>
      </c>
      <c r="O403" s="114">
        <v>0</v>
      </c>
      <c r="P403" s="114">
        <v>0</v>
      </c>
      <c r="Q403" s="114">
        <v>0</v>
      </c>
      <c r="R403" s="114">
        <v>0</v>
      </c>
      <c r="S403" s="114">
        <v>834.49503068156923</v>
      </c>
      <c r="T403" s="114">
        <v>834.49503068156923</v>
      </c>
      <c r="U403" s="114">
        <v>1408.3846153846155</v>
      </c>
      <c r="V403" s="114">
        <v>0</v>
      </c>
      <c r="W403" s="114">
        <v>0</v>
      </c>
      <c r="X403" s="114">
        <v>1365.173957061457</v>
      </c>
      <c r="Y403" s="114">
        <v>1.3747401247401247</v>
      </c>
      <c r="Z403" s="114">
        <v>58.547297297297298</v>
      </c>
      <c r="AA403" s="114">
        <v>7.7962577962577967E-2</v>
      </c>
      <c r="AB403" s="657">
        <v>0</v>
      </c>
      <c r="AC403" s="657">
        <v>0</v>
      </c>
      <c r="AD403" s="768">
        <v>60</v>
      </c>
      <c r="AE403" s="769">
        <v>0.5269837144837145</v>
      </c>
      <c r="AF403" s="769">
        <v>22.44313063063063</v>
      </c>
      <c r="AG403" s="770">
        <v>22.970114345114347</v>
      </c>
      <c r="AH403" s="769">
        <v>2.9885654885654887E-2</v>
      </c>
      <c r="AI403" s="769">
        <v>1.3089703507252965</v>
      </c>
      <c r="AJ403" s="769">
        <v>55.746300626635552</v>
      </c>
      <c r="AK403" s="769">
        <v>57.055270977360848</v>
      </c>
      <c r="AL403" s="769">
        <v>7.423272310351399E-2</v>
      </c>
      <c r="AM403" s="769">
        <v>0.50271855378558894</v>
      </c>
      <c r="AN403" s="769">
        <v>21.409728352052049</v>
      </c>
      <c r="AO403" s="769">
        <v>21.912446905837637</v>
      </c>
      <c r="AP403" s="769">
        <v>2.85095588158179E-2</v>
      </c>
      <c r="AQ403" s="769">
        <v>0</v>
      </c>
      <c r="AR403" s="769">
        <v>0</v>
      </c>
      <c r="AS403" s="769">
        <v>54.325655240535554</v>
      </c>
      <c r="AT403" s="769">
        <v>55.673736903242258</v>
      </c>
      <c r="AU403" s="769">
        <v>57.055270977360841</v>
      </c>
      <c r="AV403" s="769">
        <v>58.471087578647804</v>
      </c>
      <c r="AW403" s="769">
        <v>59.92203742203742</v>
      </c>
      <c r="AX403" s="769">
        <v>20.903480156304951</v>
      </c>
      <c r="AY403" s="769">
        <v>21.402018574710727</v>
      </c>
      <c r="AZ403" s="769">
        <v>21.912446905837637</v>
      </c>
      <c r="BA403" s="769">
        <v>22.435048718653089</v>
      </c>
      <c r="BB403" s="769">
        <v>22.970114345114347</v>
      </c>
      <c r="BC403" s="769">
        <v>0</v>
      </c>
      <c r="BD403" s="769">
        <v>0</v>
      </c>
      <c r="BE403" s="769">
        <v>0</v>
      </c>
      <c r="BF403" s="769">
        <v>0</v>
      </c>
      <c r="BG403" s="769">
        <v>0</v>
      </c>
      <c r="BH403" s="771">
        <v>60.22899578934414</v>
      </c>
      <c r="BI403" s="771">
        <v>60.537526590488454</v>
      </c>
      <c r="BJ403" s="771">
        <v>60.847637880465541</v>
      </c>
      <c r="BK403" s="772">
        <v>60.44759135800939</v>
      </c>
      <c r="BL403" s="772">
        <v>60.050174965919894</v>
      </c>
      <c r="BM403" s="772">
        <v>60.48126709508788</v>
      </c>
      <c r="BN403" s="772">
        <v>60.91545397666809</v>
      </c>
      <c r="BO403" s="772">
        <v>61.352757827471855</v>
      </c>
      <c r="BP403" s="772">
        <v>61.793201023801977</v>
      </c>
      <c r="BQ403" s="772">
        <v>62.236806102597733</v>
      </c>
      <c r="BR403" s="772">
        <v>62.586180194598192</v>
      </c>
      <c r="BS403" s="772">
        <v>62.937515541743402</v>
      </c>
      <c r="BT403" s="772">
        <v>63.290823153784324</v>
      </c>
      <c r="BU403" s="772">
        <v>63.646114102276513</v>
      </c>
      <c r="BV403" s="772">
        <v>64.003399520927076</v>
      </c>
      <c r="BW403" s="771">
        <v>23.087781719248589</v>
      </c>
      <c r="BX403" s="771">
        <v>23.206051859687243</v>
      </c>
      <c r="BY403" s="771">
        <v>23.324927854178458</v>
      </c>
      <c r="BZ403" s="772">
        <v>23.171576687236932</v>
      </c>
      <c r="CA403" s="772">
        <v>23.019233736935959</v>
      </c>
      <c r="CB403" s="772">
        <v>23.184485719783687</v>
      </c>
      <c r="CC403" s="772">
        <v>23.350924024389435</v>
      </c>
      <c r="CD403" s="772">
        <v>23.518557167197546</v>
      </c>
      <c r="CE403" s="772">
        <v>23.687393725790759</v>
      </c>
      <c r="CF403" s="772">
        <v>23.857442339329129</v>
      </c>
      <c r="CG403" s="772">
        <v>23.991369074595976</v>
      </c>
      <c r="CH403" s="772">
        <v>24.126047624334973</v>
      </c>
      <c r="CI403" s="772">
        <v>24.261482208950657</v>
      </c>
      <c r="CJ403" s="772">
        <v>24.397677072539331</v>
      </c>
      <c r="CK403" s="772">
        <v>24.534636483022048</v>
      </c>
      <c r="CL403" s="771">
        <v>0</v>
      </c>
      <c r="CM403" s="771">
        <v>0</v>
      </c>
      <c r="CN403" s="771">
        <v>0</v>
      </c>
      <c r="CO403" s="772">
        <v>0</v>
      </c>
      <c r="CP403" s="772">
        <v>0</v>
      </c>
      <c r="CQ403" s="772">
        <v>0</v>
      </c>
      <c r="CR403" s="772">
        <v>0</v>
      </c>
      <c r="CS403" s="772">
        <v>0</v>
      </c>
      <c r="CT403" s="772">
        <v>0</v>
      </c>
      <c r="CU403" s="772">
        <v>0</v>
      </c>
      <c r="CV403" s="772">
        <v>0</v>
      </c>
      <c r="CW403" s="772">
        <v>0</v>
      </c>
      <c r="CX403" s="772">
        <v>0</v>
      </c>
      <c r="CY403" s="772">
        <v>0</v>
      </c>
      <c r="CZ403" s="772">
        <v>0</v>
      </c>
      <c r="DA403" s="773">
        <v>7.8361951326234899E-2</v>
      </c>
      <c r="DB403" s="773">
        <v>7.8763370531470797E-2</v>
      </c>
      <c r="DC403" s="773">
        <v>7.9166846058373069E-2</v>
      </c>
      <c r="DD403" s="774">
        <v>7.8646358779611486E-2</v>
      </c>
      <c r="DE403" s="774">
        <v>7.8129293476346465E-2</v>
      </c>
      <c r="DF403" s="774">
        <v>7.8690173165610042E-2</v>
      </c>
      <c r="DG403" s="774">
        <v>7.9255079334722991E-2</v>
      </c>
      <c r="DH403" s="774">
        <v>7.9824040889242595E-2</v>
      </c>
      <c r="DI403" s="774">
        <v>8.0397086942235199E-2</v>
      </c>
      <c r="DJ403" s="774">
        <v>8.0974246815765982E-2</v>
      </c>
      <c r="DK403" s="774">
        <v>8.1428805873794169E-2</v>
      </c>
      <c r="DL403" s="774">
        <v>8.188591665592429E-2</v>
      </c>
      <c r="DM403" s="774">
        <v>8.2345593486578619E-2</v>
      </c>
      <c r="DN403" s="774">
        <v>8.2807850770591357E-2</v>
      </c>
      <c r="DO403" s="774">
        <v>8.3272702993660005E-2</v>
      </c>
      <c r="DP403" s="773">
        <v>0</v>
      </c>
      <c r="DQ403" s="773">
        <v>0</v>
      </c>
      <c r="DR403" s="773">
        <v>0</v>
      </c>
      <c r="DS403" s="774">
        <v>0</v>
      </c>
      <c r="DT403" s="774">
        <v>0</v>
      </c>
      <c r="DU403" s="774">
        <v>0</v>
      </c>
      <c r="DV403" s="774">
        <v>0</v>
      </c>
      <c r="DW403" s="774">
        <v>0</v>
      </c>
      <c r="DX403" s="774">
        <v>0</v>
      </c>
      <c r="DY403" s="774">
        <v>0</v>
      </c>
      <c r="DZ403" s="774">
        <v>0</v>
      </c>
      <c r="EA403" s="774">
        <v>0</v>
      </c>
      <c r="EB403" s="774">
        <v>0</v>
      </c>
      <c r="EC403" s="774">
        <v>0</v>
      </c>
      <c r="ED403" s="774">
        <v>0</v>
      </c>
    </row>
    <row r="404" spans="1:134" ht="15" x14ac:dyDescent="0.25">
      <c r="A404" s="766">
        <v>114</v>
      </c>
      <c r="B404" s="766">
        <v>106</v>
      </c>
      <c r="C404" s="766" t="s">
        <v>4075</v>
      </c>
      <c r="D404" s="2">
        <v>99712</v>
      </c>
      <c r="E404" s="2">
        <v>99712</v>
      </c>
      <c r="F404" s="767" t="s">
        <v>3676</v>
      </c>
      <c r="G404" s="114">
        <v>9</v>
      </c>
      <c r="H404" s="114">
        <v>2</v>
      </c>
      <c r="I404" s="114">
        <v>2</v>
      </c>
      <c r="J404" s="114">
        <v>0</v>
      </c>
      <c r="K404" s="114">
        <v>0</v>
      </c>
      <c r="L404" s="114">
        <v>0</v>
      </c>
      <c r="M404" s="114">
        <v>0</v>
      </c>
      <c r="N404" s="114">
        <v>0</v>
      </c>
      <c r="O404" s="114">
        <v>0</v>
      </c>
      <c r="P404" s="114">
        <v>0</v>
      </c>
      <c r="Q404" s="114">
        <v>0</v>
      </c>
      <c r="R404" s="114">
        <v>0</v>
      </c>
      <c r="S404" s="114">
        <v>834.49503068156923</v>
      </c>
      <c r="T404" s="114">
        <v>834.49503068156923</v>
      </c>
      <c r="U404" s="114">
        <v>1408.3846153846155</v>
      </c>
      <c r="V404" s="114">
        <v>0</v>
      </c>
      <c r="W404" s="114">
        <v>0</v>
      </c>
      <c r="X404" s="114">
        <v>1365.173957061457</v>
      </c>
      <c r="Y404" s="114">
        <v>4.5824670824670823E-2</v>
      </c>
      <c r="Z404" s="114">
        <v>1.9515765765765767</v>
      </c>
      <c r="AA404" s="114">
        <v>2.5987525987525989E-3</v>
      </c>
      <c r="AB404" s="657">
        <v>0</v>
      </c>
      <c r="AC404" s="657">
        <v>0</v>
      </c>
      <c r="AD404" s="768">
        <v>2</v>
      </c>
      <c r="AE404" s="769">
        <v>4.5824670824670823E-2</v>
      </c>
      <c r="AF404" s="769">
        <v>1.9515765765765767</v>
      </c>
      <c r="AG404" s="770">
        <v>1.9974012474012475</v>
      </c>
      <c r="AH404" s="769">
        <v>2.5987525987525989E-3</v>
      </c>
      <c r="AI404" s="769">
        <v>4.1659861025822545E-2</v>
      </c>
      <c r="AJ404" s="769">
        <v>1.7742060662585184</v>
      </c>
      <c r="AK404" s="769">
        <v>1.8158659272843409</v>
      </c>
      <c r="AL404" s="769">
        <v>2.3625630071354943E-3</v>
      </c>
      <c r="AM404" s="769">
        <v>4.1812909251143796E-2</v>
      </c>
      <c r="AN404" s="769">
        <v>1.7807240690340618</v>
      </c>
      <c r="AO404" s="769">
        <v>1.8225369782852057</v>
      </c>
      <c r="AP404" s="769">
        <v>2.3712424906130701E-3</v>
      </c>
      <c r="AQ404" s="769">
        <v>0</v>
      </c>
      <c r="AR404" s="769">
        <v>0</v>
      </c>
      <c r="AS404" s="769">
        <v>1.6508295817689698</v>
      </c>
      <c r="AT404" s="769">
        <v>1.7313824503232471</v>
      </c>
      <c r="AU404" s="769">
        <v>1.8158659272843409</v>
      </c>
      <c r="AV404" s="769">
        <v>1.9044718082111811</v>
      </c>
      <c r="AW404" s="769">
        <v>1.9974012474012475</v>
      </c>
      <c r="AX404" s="769">
        <v>1.6629813571702954</v>
      </c>
      <c r="AY404" s="769">
        <v>1.740932226607854</v>
      </c>
      <c r="AZ404" s="769">
        <v>1.8225369782852054</v>
      </c>
      <c r="BA404" s="769">
        <v>1.9079668848965303</v>
      </c>
      <c r="BB404" s="769">
        <v>1.9974012474012475</v>
      </c>
      <c r="BC404" s="769">
        <v>0</v>
      </c>
      <c r="BD404" s="769">
        <v>0</v>
      </c>
      <c r="BE404" s="769">
        <v>0</v>
      </c>
      <c r="BF404" s="769">
        <v>0</v>
      </c>
      <c r="BG404" s="769">
        <v>0</v>
      </c>
      <c r="BH404" s="771">
        <v>2.0241796178915923</v>
      </c>
      <c r="BI404" s="771">
        <v>2.0513169954302457</v>
      </c>
      <c r="BJ404" s="771">
        <v>2.0788181930830665</v>
      </c>
      <c r="BK404" s="772">
        <v>2.0651508755350103</v>
      </c>
      <c r="BL404" s="772">
        <v>2.0515734146033622</v>
      </c>
      <c r="BM404" s="772">
        <v>2.066301384204579</v>
      </c>
      <c r="BN404" s="772">
        <v>2.08113508391861</v>
      </c>
      <c r="BO404" s="772">
        <v>2.0960752727677159</v>
      </c>
      <c r="BP404" s="772">
        <v>2.1111227152230727</v>
      </c>
      <c r="BQ404" s="772">
        <v>2.1262781812438947</v>
      </c>
      <c r="BR404" s="772">
        <v>2.1382143096449546</v>
      </c>
      <c r="BS404" s="772">
        <v>2.1502174429950678</v>
      </c>
      <c r="BT404" s="772">
        <v>2.1622879574348928</v>
      </c>
      <c r="BU404" s="772">
        <v>2.1744262312166005</v>
      </c>
      <c r="BV404" s="772">
        <v>2.1866326447157269</v>
      </c>
      <c r="BW404" s="771">
        <v>2.0241796178915923</v>
      </c>
      <c r="BX404" s="771">
        <v>2.0513169954302457</v>
      </c>
      <c r="BY404" s="771">
        <v>2.0788181930830665</v>
      </c>
      <c r="BZ404" s="772">
        <v>2.0651508755350103</v>
      </c>
      <c r="CA404" s="772">
        <v>2.0515734146033622</v>
      </c>
      <c r="CB404" s="772">
        <v>2.066301384204579</v>
      </c>
      <c r="CC404" s="772">
        <v>2.08113508391861</v>
      </c>
      <c r="CD404" s="772">
        <v>2.0960752727677159</v>
      </c>
      <c r="CE404" s="772">
        <v>2.1111227152230727</v>
      </c>
      <c r="CF404" s="772">
        <v>2.1262781812438947</v>
      </c>
      <c r="CG404" s="772">
        <v>2.1382143096449546</v>
      </c>
      <c r="CH404" s="772">
        <v>2.1502174429950678</v>
      </c>
      <c r="CI404" s="772">
        <v>2.1622879574348928</v>
      </c>
      <c r="CJ404" s="772">
        <v>2.1744262312166005</v>
      </c>
      <c r="CK404" s="772">
        <v>2.1866326447157269</v>
      </c>
      <c r="CL404" s="771">
        <v>0</v>
      </c>
      <c r="CM404" s="771">
        <v>0</v>
      </c>
      <c r="CN404" s="771">
        <v>0</v>
      </c>
      <c r="CO404" s="772">
        <v>0</v>
      </c>
      <c r="CP404" s="772">
        <v>0</v>
      </c>
      <c r="CQ404" s="772">
        <v>0</v>
      </c>
      <c r="CR404" s="772">
        <v>0</v>
      </c>
      <c r="CS404" s="772">
        <v>0</v>
      </c>
      <c r="CT404" s="772">
        <v>0</v>
      </c>
      <c r="CU404" s="772">
        <v>0</v>
      </c>
      <c r="CV404" s="772">
        <v>0</v>
      </c>
      <c r="CW404" s="772">
        <v>0</v>
      </c>
      <c r="CX404" s="772">
        <v>0</v>
      </c>
      <c r="CY404" s="772">
        <v>0</v>
      </c>
      <c r="CZ404" s="772">
        <v>0</v>
      </c>
      <c r="DA404" s="773">
        <v>2.6335930495597088E-3</v>
      </c>
      <c r="DB404" s="773">
        <v>2.6689005925452066E-3</v>
      </c>
      <c r="DC404" s="773">
        <v>2.7046814898296465E-3</v>
      </c>
      <c r="DD404" s="774">
        <v>2.6868993956999871E-3</v>
      </c>
      <c r="DE404" s="774">
        <v>2.6692342110374214E-3</v>
      </c>
      <c r="DF404" s="774">
        <v>2.6883962844191757E-3</v>
      </c>
      <c r="DG404" s="774">
        <v>2.7076959197483868E-3</v>
      </c>
      <c r="DH404" s="774">
        <v>2.7271341045637726E-3</v>
      </c>
      <c r="DI404" s="774">
        <v>2.7467118334934589E-3</v>
      </c>
      <c r="DJ404" s="774">
        <v>2.7664301083058737E-3</v>
      </c>
      <c r="DK404" s="774">
        <v>2.7819598095822984E-3</v>
      </c>
      <c r="DL404" s="774">
        <v>2.7975766887783859E-3</v>
      </c>
      <c r="DM404" s="774">
        <v>2.8132812352782881E-3</v>
      </c>
      <c r="DN404" s="774">
        <v>2.8290739412133751E-3</v>
      </c>
      <c r="DO404" s="774">
        <v>2.8449553014776568E-3</v>
      </c>
      <c r="DP404" s="773">
        <v>0</v>
      </c>
      <c r="DQ404" s="773">
        <v>0</v>
      </c>
      <c r="DR404" s="773">
        <v>0</v>
      </c>
      <c r="DS404" s="774">
        <v>0</v>
      </c>
      <c r="DT404" s="774">
        <v>0</v>
      </c>
      <c r="DU404" s="774">
        <v>0</v>
      </c>
      <c r="DV404" s="774">
        <v>0</v>
      </c>
      <c r="DW404" s="774">
        <v>0</v>
      </c>
      <c r="DX404" s="774">
        <v>0</v>
      </c>
      <c r="DY404" s="774">
        <v>0</v>
      </c>
      <c r="DZ404" s="774">
        <v>0</v>
      </c>
      <c r="EA404" s="774">
        <v>0</v>
      </c>
      <c r="EB404" s="774">
        <v>0</v>
      </c>
      <c r="EC404" s="774">
        <v>0</v>
      </c>
      <c r="ED404" s="774">
        <v>0</v>
      </c>
    </row>
    <row r="405" spans="1:134" ht="15" x14ac:dyDescent="0.25">
      <c r="A405" s="766">
        <v>116</v>
      </c>
      <c r="B405" s="766">
        <v>106</v>
      </c>
      <c r="C405" s="766" t="s">
        <v>4076</v>
      </c>
      <c r="D405" s="2">
        <v>99712</v>
      </c>
      <c r="E405" s="2">
        <v>99712</v>
      </c>
      <c r="F405" s="767" t="s">
        <v>3676</v>
      </c>
      <c r="G405" s="114">
        <v>33</v>
      </c>
      <c r="H405" s="114">
        <v>13</v>
      </c>
      <c r="I405" s="114">
        <v>12</v>
      </c>
      <c r="J405" s="114">
        <v>1</v>
      </c>
      <c r="K405" s="114">
        <v>0</v>
      </c>
      <c r="L405" s="114">
        <v>4</v>
      </c>
      <c r="M405" s="114">
        <v>4</v>
      </c>
      <c r="N405" s="114">
        <v>0</v>
      </c>
      <c r="O405" s="114">
        <v>0</v>
      </c>
      <c r="P405" s="114">
        <v>0</v>
      </c>
      <c r="Q405" s="114">
        <v>4</v>
      </c>
      <c r="R405" s="114">
        <v>0</v>
      </c>
      <c r="S405" s="114">
        <v>2319.5</v>
      </c>
      <c r="T405" s="114">
        <v>2319.5</v>
      </c>
      <c r="U405" s="114">
        <v>0</v>
      </c>
      <c r="V405" s="114">
        <v>0</v>
      </c>
      <c r="W405" s="114">
        <v>0</v>
      </c>
      <c r="X405" s="114">
        <v>2319.5</v>
      </c>
      <c r="Y405" s="114">
        <v>0</v>
      </c>
      <c r="Z405" s="114">
        <v>13</v>
      </c>
      <c r="AA405" s="114">
        <v>0</v>
      </c>
      <c r="AB405" s="657">
        <v>0</v>
      </c>
      <c r="AC405" s="657">
        <v>0</v>
      </c>
      <c r="AD405" s="768">
        <v>13</v>
      </c>
      <c r="AE405" s="769">
        <v>0</v>
      </c>
      <c r="AF405" s="769">
        <v>12</v>
      </c>
      <c r="AG405" s="770">
        <v>12</v>
      </c>
      <c r="AH405" s="769">
        <v>0</v>
      </c>
      <c r="AI405" s="769">
        <v>0</v>
      </c>
      <c r="AJ405" s="769">
        <v>11.818485186894597</v>
      </c>
      <c r="AK405" s="769">
        <v>11.818485186894597</v>
      </c>
      <c r="AL405" s="769">
        <v>0</v>
      </c>
      <c r="AM405" s="769">
        <v>0</v>
      </c>
      <c r="AN405" s="769">
        <v>10.94944932465491</v>
      </c>
      <c r="AO405" s="769">
        <v>10.94944932465491</v>
      </c>
      <c r="AP405" s="769">
        <v>0</v>
      </c>
      <c r="AQ405" s="769">
        <v>0</v>
      </c>
      <c r="AR405" s="769">
        <v>0</v>
      </c>
      <c r="AS405" s="769">
        <v>10.74435323944977</v>
      </c>
      <c r="AT405" s="769">
        <v>11.268628115400743</v>
      </c>
      <c r="AU405" s="769">
        <v>11.818485186894597</v>
      </c>
      <c r="AV405" s="769">
        <v>12.395172747066891</v>
      </c>
      <c r="AW405" s="769">
        <v>13</v>
      </c>
      <c r="AX405" s="769">
        <v>9.99087004276549</v>
      </c>
      <c r="AY405" s="769">
        <v>10.459183775155381</v>
      </c>
      <c r="AZ405" s="769">
        <v>10.94944932465491</v>
      </c>
      <c r="BA405" s="769">
        <v>11.462695664452534</v>
      </c>
      <c r="BB405" s="769">
        <v>12</v>
      </c>
      <c r="BC405" s="769">
        <v>0</v>
      </c>
      <c r="BD405" s="769">
        <v>0</v>
      </c>
      <c r="BE405" s="769">
        <v>0</v>
      </c>
      <c r="BF405" s="769">
        <v>0</v>
      </c>
      <c r="BG405" s="769">
        <v>0</v>
      </c>
      <c r="BH405" s="771">
        <v>13.164551065690336</v>
      </c>
      <c r="BI405" s="771">
        <v>13.331184981628351</v>
      </c>
      <c r="BJ405" s="771">
        <v>13.499928112062348</v>
      </c>
      <c r="BK405" s="772">
        <v>13.411172007753944</v>
      </c>
      <c r="BL405" s="772">
        <v>13.322999435890052</v>
      </c>
      <c r="BM405" s="772">
        <v>13.418643456860538</v>
      </c>
      <c r="BN405" s="772">
        <v>13.514974093393187</v>
      </c>
      <c r="BO405" s="772">
        <v>13.611996274608773</v>
      </c>
      <c r="BP405" s="772">
        <v>13.709714965013555</v>
      </c>
      <c r="BQ405" s="772">
        <v>13.808135164753322</v>
      </c>
      <c r="BR405" s="772">
        <v>13.885648857815474</v>
      </c>
      <c r="BS405" s="772">
        <v>13.963597683684513</v>
      </c>
      <c r="BT405" s="772">
        <v>14.041984085032857</v>
      </c>
      <c r="BU405" s="772">
        <v>14.120810518245161</v>
      </c>
      <c r="BV405" s="772">
        <v>14.200079453495302</v>
      </c>
      <c r="BW405" s="771">
        <v>12.151893291406465</v>
      </c>
      <c r="BX405" s="771">
        <v>12.305709213810786</v>
      </c>
      <c r="BY405" s="771">
        <v>12.461472103442167</v>
      </c>
      <c r="BZ405" s="772">
        <v>12.379543391772872</v>
      </c>
      <c r="CA405" s="772">
        <v>12.298153325436973</v>
      </c>
      <c r="CB405" s="772">
        <v>12.386440114025111</v>
      </c>
      <c r="CC405" s="772">
        <v>12.475360701593711</v>
      </c>
      <c r="CD405" s="772">
        <v>12.564919638100406</v>
      </c>
      <c r="CE405" s="772">
        <v>12.65512150616636</v>
      </c>
      <c r="CF405" s="772">
        <v>12.745970921310759</v>
      </c>
      <c r="CG405" s="772">
        <v>12.817522022598899</v>
      </c>
      <c r="CH405" s="772">
        <v>12.889474784939551</v>
      </c>
      <c r="CI405" s="772">
        <v>12.961831463107252</v>
      </c>
      <c r="CJ405" s="772">
        <v>13.034594324533995</v>
      </c>
      <c r="CK405" s="772">
        <v>13.10776564938028</v>
      </c>
      <c r="CL405" s="771">
        <v>0</v>
      </c>
      <c r="CM405" s="771">
        <v>0</v>
      </c>
      <c r="CN405" s="771">
        <v>0</v>
      </c>
      <c r="CO405" s="772">
        <v>0</v>
      </c>
      <c r="CP405" s="772">
        <v>0</v>
      </c>
      <c r="CQ405" s="772">
        <v>0</v>
      </c>
      <c r="CR405" s="772">
        <v>0</v>
      </c>
      <c r="CS405" s="772">
        <v>0</v>
      </c>
      <c r="CT405" s="772">
        <v>0</v>
      </c>
      <c r="CU405" s="772">
        <v>0</v>
      </c>
      <c r="CV405" s="772">
        <v>0</v>
      </c>
      <c r="CW405" s="772">
        <v>0</v>
      </c>
      <c r="CX405" s="772">
        <v>0</v>
      </c>
      <c r="CY405" s="772">
        <v>0</v>
      </c>
      <c r="CZ405" s="772">
        <v>0</v>
      </c>
      <c r="DA405" s="773">
        <v>0</v>
      </c>
      <c r="DB405" s="773">
        <v>0</v>
      </c>
      <c r="DC405" s="773">
        <v>0</v>
      </c>
      <c r="DD405" s="774">
        <v>0</v>
      </c>
      <c r="DE405" s="774">
        <v>0</v>
      </c>
      <c r="DF405" s="774">
        <v>0</v>
      </c>
      <c r="DG405" s="774">
        <v>0</v>
      </c>
      <c r="DH405" s="774">
        <v>0</v>
      </c>
      <c r="DI405" s="774">
        <v>0</v>
      </c>
      <c r="DJ405" s="774">
        <v>0</v>
      </c>
      <c r="DK405" s="774">
        <v>0</v>
      </c>
      <c r="DL405" s="774">
        <v>0</v>
      </c>
      <c r="DM405" s="774">
        <v>0</v>
      </c>
      <c r="DN405" s="774">
        <v>0</v>
      </c>
      <c r="DO405" s="774">
        <v>0</v>
      </c>
      <c r="DP405" s="773">
        <v>0</v>
      </c>
      <c r="DQ405" s="773">
        <v>0</v>
      </c>
      <c r="DR405" s="773">
        <v>0</v>
      </c>
      <c r="DS405" s="774">
        <v>0</v>
      </c>
      <c r="DT405" s="774">
        <v>0</v>
      </c>
      <c r="DU405" s="774">
        <v>0</v>
      </c>
      <c r="DV405" s="774">
        <v>0</v>
      </c>
      <c r="DW405" s="774">
        <v>0</v>
      </c>
      <c r="DX405" s="774">
        <v>0</v>
      </c>
      <c r="DY405" s="774">
        <v>0</v>
      </c>
      <c r="DZ405" s="774">
        <v>0</v>
      </c>
      <c r="EA405" s="774">
        <v>0</v>
      </c>
      <c r="EB405" s="774">
        <v>0</v>
      </c>
      <c r="EC405" s="774">
        <v>0</v>
      </c>
      <c r="ED405" s="774">
        <v>0</v>
      </c>
    </row>
    <row r="406" spans="1:134" ht="15" x14ac:dyDescent="0.25">
      <c r="A406" s="766">
        <v>116</v>
      </c>
      <c r="B406" s="766">
        <v>107</v>
      </c>
      <c r="C406" s="766" t="s">
        <v>4077</v>
      </c>
      <c r="D406" s="2">
        <v>99712</v>
      </c>
      <c r="E406" s="2">
        <v>99712</v>
      </c>
      <c r="F406" s="767" t="s">
        <v>3676</v>
      </c>
      <c r="G406" s="114">
        <v>7</v>
      </c>
      <c r="H406" s="114">
        <v>5</v>
      </c>
      <c r="I406" s="114">
        <v>5</v>
      </c>
      <c r="J406" s="114">
        <v>0</v>
      </c>
      <c r="K406" s="114">
        <v>0</v>
      </c>
      <c r="L406" s="114">
        <v>1</v>
      </c>
      <c r="M406" s="114">
        <v>1</v>
      </c>
      <c r="N406" s="114">
        <v>0</v>
      </c>
      <c r="O406" s="114">
        <v>0</v>
      </c>
      <c r="P406" s="114">
        <v>0</v>
      </c>
      <c r="Q406" s="114">
        <v>1</v>
      </c>
      <c r="R406" s="114">
        <v>0</v>
      </c>
      <c r="S406" s="114">
        <v>1540</v>
      </c>
      <c r="T406" s="114">
        <v>1540</v>
      </c>
      <c r="U406" s="114">
        <v>0</v>
      </c>
      <c r="V406" s="114">
        <v>0</v>
      </c>
      <c r="W406" s="114">
        <v>0</v>
      </c>
      <c r="X406" s="114">
        <v>1540</v>
      </c>
      <c r="Y406" s="114">
        <v>0</v>
      </c>
      <c r="Z406" s="114">
        <v>5</v>
      </c>
      <c r="AA406" s="114">
        <v>0</v>
      </c>
      <c r="AB406" s="657">
        <v>0</v>
      </c>
      <c r="AC406" s="657">
        <v>0</v>
      </c>
      <c r="AD406" s="768">
        <v>5</v>
      </c>
      <c r="AE406" s="769">
        <v>0</v>
      </c>
      <c r="AF406" s="769">
        <v>5</v>
      </c>
      <c r="AG406" s="770">
        <v>5</v>
      </c>
      <c r="AH406" s="769">
        <v>0</v>
      </c>
      <c r="AI406" s="769">
        <v>0</v>
      </c>
      <c r="AJ406" s="769">
        <v>4.5455712257286907</v>
      </c>
      <c r="AK406" s="769">
        <v>4.5455712257286907</v>
      </c>
      <c r="AL406" s="769">
        <v>0</v>
      </c>
      <c r="AM406" s="769">
        <v>0</v>
      </c>
      <c r="AN406" s="769">
        <v>4.5622705519395463</v>
      </c>
      <c r="AO406" s="769">
        <v>4.5622705519395463</v>
      </c>
      <c r="AP406" s="769">
        <v>0</v>
      </c>
      <c r="AQ406" s="769">
        <v>0</v>
      </c>
      <c r="AR406" s="769">
        <v>0</v>
      </c>
      <c r="AS406" s="769">
        <v>4.132443553634527</v>
      </c>
      <c r="AT406" s="769">
        <v>4.3340877366925934</v>
      </c>
      <c r="AU406" s="769">
        <v>4.5455712257286907</v>
      </c>
      <c r="AV406" s="769">
        <v>4.7673741334872659</v>
      </c>
      <c r="AW406" s="769">
        <v>5</v>
      </c>
      <c r="AX406" s="769">
        <v>4.1628625178189544</v>
      </c>
      <c r="AY406" s="769">
        <v>4.3579932396480761</v>
      </c>
      <c r="AZ406" s="769">
        <v>4.5622705519395463</v>
      </c>
      <c r="BA406" s="769">
        <v>4.7761231935218893</v>
      </c>
      <c r="BB406" s="769">
        <v>5</v>
      </c>
      <c r="BC406" s="769">
        <v>0</v>
      </c>
      <c r="BD406" s="769">
        <v>0</v>
      </c>
      <c r="BE406" s="769">
        <v>0</v>
      </c>
      <c r="BF406" s="769">
        <v>0</v>
      </c>
      <c r="BG406" s="769">
        <v>0</v>
      </c>
      <c r="BH406" s="771">
        <v>5.0670330273528794</v>
      </c>
      <c r="BI406" s="771">
        <v>5.1349647400569776</v>
      </c>
      <c r="BJ406" s="771">
        <v>5.2038071864322397</v>
      </c>
      <c r="BK406" s="772">
        <v>5.1695944373267748</v>
      </c>
      <c r="BL406" s="772">
        <v>5.1356066220359988</v>
      </c>
      <c r="BM406" s="772">
        <v>5.1724744512224943</v>
      </c>
      <c r="BN406" s="772">
        <v>5.2096069495958961</v>
      </c>
      <c r="BO406" s="772">
        <v>5.2470060171806985</v>
      </c>
      <c r="BP406" s="772">
        <v>5.2846735676414154</v>
      </c>
      <c r="BQ406" s="772">
        <v>5.3226115283805004</v>
      </c>
      <c r="BR406" s="772">
        <v>5.3524906736363418</v>
      </c>
      <c r="BS406" s="772">
        <v>5.3825375492096148</v>
      </c>
      <c r="BT406" s="772">
        <v>5.4127530966754263</v>
      </c>
      <c r="BU406" s="772">
        <v>5.443138262894534</v>
      </c>
      <c r="BV406" s="772">
        <v>5.473694000043011</v>
      </c>
      <c r="BW406" s="771">
        <v>5.0670330273528794</v>
      </c>
      <c r="BX406" s="771">
        <v>5.1349647400569776</v>
      </c>
      <c r="BY406" s="771">
        <v>5.2038071864322397</v>
      </c>
      <c r="BZ406" s="772">
        <v>5.1695944373267748</v>
      </c>
      <c r="CA406" s="772">
        <v>5.1356066220359988</v>
      </c>
      <c r="CB406" s="772">
        <v>5.1724744512224943</v>
      </c>
      <c r="CC406" s="772">
        <v>5.2096069495958961</v>
      </c>
      <c r="CD406" s="772">
        <v>5.2470060171806985</v>
      </c>
      <c r="CE406" s="772">
        <v>5.2846735676414154</v>
      </c>
      <c r="CF406" s="772">
        <v>5.3226115283805004</v>
      </c>
      <c r="CG406" s="772">
        <v>5.3524906736363418</v>
      </c>
      <c r="CH406" s="772">
        <v>5.3825375492096148</v>
      </c>
      <c r="CI406" s="772">
        <v>5.4127530966754263</v>
      </c>
      <c r="CJ406" s="772">
        <v>5.443138262894534</v>
      </c>
      <c r="CK406" s="772">
        <v>5.473694000043011</v>
      </c>
      <c r="CL406" s="771">
        <v>0</v>
      </c>
      <c r="CM406" s="771">
        <v>0</v>
      </c>
      <c r="CN406" s="771">
        <v>0</v>
      </c>
      <c r="CO406" s="772">
        <v>0</v>
      </c>
      <c r="CP406" s="772">
        <v>0</v>
      </c>
      <c r="CQ406" s="772">
        <v>0</v>
      </c>
      <c r="CR406" s="772">
        <v>0</v>
      </c>
      <c r="CS406" s="772">
        <v>0</v>
      </c>
      <c r="CT406" s="772">
        <v>0</v>
      </c>
      <c r="CU406" s="772">
        <v>0</v>
      </c>
      <c r="CV406" s="772">
        <v>0</v>
      </c>
      <c r="CW406" s="772">
        <v>0</v>
      </c>
      <c r="CX406" s="772">
        <v>0</v>
      </c>
      <c r="CY406" s="772">
        <v>0</v>
      </c>
      <c r="CZ406" s="772">
        <v>0</v>
      </c>
      <c r="DA406" s="773">
        <v>0</v>
      </c>
      <c r="DB406" s="773">
        <v>0</v>
      </c>
      <c r="DC406" s="773">
        <v>0</v>
      </c>
      <c r="DD406" s="774">
        <v>0</v>
      </c>
      <c r="DE406" s="774">
        <v>0</v>
      </c>
      <c r="DF406" s="774">
        <v>0</v>
      </c>
      <c r="DG406" s="774">
        <v>0</v>
      </c>
      <c r="DH406" s="774">
        <v>0</v>
      </c>
      <c r="DI406" s="774">
        <v>0</v>
      </c>
      <c r="DJ406" s="774">
        <v>0</v>
      </c>
      <c r="DK406" s="774">
        <v>0</v>
      </c>
      <c r="DL406" s="774">
        <v>0</v>
      </c>
      <c r="DM406" s="774">
        <v>0</v>
      </c>
      <c r="DN406" s="774">
        <v>0</v>
      </c>
      <c r="DO406" s="774">
        <v>0</v>
      </c>
      <c r="DP406" s="773">
        <v>0</v>
      </c>
      <c r="DQ406" s="773">
        <v>0</v>
      </c>
      <c r="DR406" s="773">
        <v>0</v>
      </c>
      <c r="DS406" s="774">
        <v>0</v>
      </c>
      <c r="DT406" s="774">
        <v>0</v>
      </c>
      <c r="DU406" s="774">
        <v>0</v>
      </c>
      <c r="DV406" s="774">
        <v>0</v>
      </c>
      <c r="DW406" s="774">
        <v>0</v>
      </c>
      <c r="DX406" s="774">
        <v>0</v>
      </c>
      <c r="DY406" s="774">
        <v>0</v>
      </c>
      <c r="DZ406" s="774">
        <v>0</v>
      </c>
      <c r="EA406" s="774">
        <v>0</v>
      </c>
      <c r="EB406" s="774">
        <v>0</v>
      </c>
      <c r="EC406" s="774">
        <v>0</v>
      </c>
      <c r="ED406" s="774">
        <v>0</v>
      </c>
    </row>
    <row r="407" spans="1:134" ht="15" x14ac:dyDescent="0.25">
      <c r="A407" s="766">
        <v>111</v>
      </c>
      <c r="B407" s="766">
        <v>108</v>
      </c>
      <c r="C407" s="766" t="s">
        <v>4078</v>
      </c>
      <c r="D407" s="2">
        <v>99712</v>
      </c>
      <c r="E407" s="2">
        <v>99712</v>
      </c>
      <c r="F407" s="767" t="s">
        <v>3676</v>
      </c>
      <c r="G407" s="114">
        <v>7</v>
      </c>
      <c r="H407" s="114">
        <v>9</v>
      </c>
      <c r="I407" s="114">
        <v>4</v>
      </c>
      <c r="J407" s="114">
        <v>5</v>
      </c>
      <c r="K407" s="114">
        <v>0</v>
      </c>
      <c r="L407" s="114">
        <v>0</v>
      </c>
      <c r="M407" s="114">
        <v>0</v>
      </c>
      <c r="N407" s="114">
        <v>0</v>
      </c>
      <c r="O407" s="114">
        <v>0</v>
      </c>
      <c r="P407" s="114">
        <v>0</v>
      </c>
      <c r="Q407" s="114">
        <v>0</v>
      </c>
      <c r="R407" s="114">
        <v>0</v>
      </c>
      <c r="S407" s="114">
        <v>834.49503068156923</v>
      </c>
      <c r="T407" s="114">
        <v>834.49503068156923</v>
      </c>
      <c r="U407" s="114">
        <v>1408.3846153846155</v>
      </c>
      <c r="V407" s="114">
        <v>0</v>
      </c>
      <c r="W407" s="114">
        <v>0</v>
      </c>
      <c r="X407" s="114">
        <v>1365.173957061457</v>
      </c>
      <c r="Y407" s="114">
        <v>0.20621101871101871</v>
      </c>
      <c r="Z407" s="114">
        <v>8.7820945945945947</v>
      </c>
      <c r="AA407" s="114">
        <v>1.1694386694386695E-2</v>
      </c>
      <c r="AB407" s="657">
        <v>0</v>
      </c>
      <c r="AC407" s="657">
        <v>0</v>
      </c>
      <c r="AD407" s="768">
        <v>9</v>
      </c>
      <c r="AE407" s="769">
        <v>9.1649341649341645E-2</v>
      </c>
      <c r="AF407" s="769">
        <v>3.9031531531531534</v>
      </c>
      <c r="AG407" s="770">
        <v>3.9948024948024949</v>
      </c>
      <c r="AH407" s="769">
        <v>5.1975051975051978E-3</v>
      </c>
      <c r="AI407" s="769">
        <v>0.18746937461620147</v>
      </c>
      <c r="AJ407" s="769">
        <v>7.9839272981633327</v>
      </c>
      <c r="AK407" s="769">
        <v>8.1713966727795349</v>
      </c>
      <c r="AL407" s="769">
        <v>1.0631533532109725E-2</v>
      </c>
      <c r="AM407" s="769">
        <v>8.3625818502287591E-2</v>
      </c>
      <c r="AN407" s="769">
        <v>3.5614481380681235</v>
      </c>
      <c r="AO407" s="769">
        <v>3.6450739565704113</v>
      </c>
      <c r="AP407" s="769">
        <v>4.7424849812261402E-3</v>
      </c>
      <c r="AQ407" s="769">
        <v>0</v>
      </c>
      <c r="AR407" s="769">
        <v>0</v>
      </c>
      <c r="AS407" s="769">
        <v>7.4287331179603626</v>
      </c>
      <c r="AT407" s="769">
        <v>7.791221026454612</v>
      </c>
      <c r="AU407" s="769">
        <v>8.1713966727795331</v>
      </c>
      <c r="AV407" s="769">
        <v>8.5701231369503148</v>
      </c>
      <c r="AW407" s="769">
        <v>8.988305613305613</v>
      </c>
      <c r="AX407" s="769">
        <v>3.3259627143405908</v>
      </c>
      <c r="AY407" s="769">
        <v>3.4818644532157079</v>
      </c>
      <c r="AZ407" s="769">
        <v>3.6450739565704109</v>
      </c>
      <c r="BA407" s="769">
        <v>3.8159337697930606</v>
      </c>
      <c r="BB407" s="769">
        <v>3.9948024948024949</v>
      </c>
      <c r="BC407" s="769">
        <v>0</v>
      </c>
      <c r="BD407" s="769">
        <v>0</v>
      </c>
      <c r="BE407" s="769">
        <v>0</v>
      </c>
      <c r="BF407" s="769">
        <v>0</v>
      </c>
      <c r="BG407" s="769">
        <v>0</v>
      </c>
      <c r="BH407" s="771">
        <v>9.1088082805121644</v>
      </c>
      <c r="BI407" s="771">
        <v>9.2309264794361052</v>
      </c>
      <c r="BJ407" s="771">
        <v>9.3546818688737989</v>
      </c>
      <c r="BK407" s="772">
        <v>9.2931789399075448</v>
      </c>
      <c r="BL407" s="772">
        <v>9.2320803657151309</v>
      </c>
      <c r="BM407" s="772">
        <v>9.2983562289206052</v>
      </c>
      <c r="BN407" s="772">
        <v>9.3651078776337453</v>
      </c>
      <c r="BO407" s="772">
        <v>9.4323387274547201</v>
      </c>
      <c r="BP407" s="772">
        <v>9.5000522185038268</v>
      </c>
      <c r="BQ407" s="772">
        <v>9.5682518155975256</v>
      </c>
      <c r="BR407" s="772">
        <v>9.6219643934022958</v>
      </c>
      <c r="BS407" s="772">
        <v>9.675978493477805</v>
      </c>
      <c r="BT407" s="772">
        <v>9.7302958084570168</v>
      </c>
      <c r="BU407" s="772">
        <v>9.784918040474702</v>
      </c>
      <c r="BV407" s="772">
        <v>9.8398469012207723</v>
      </c>
      <c r="BW407" s="771">
        <v>4.0483592357831846</v>
      </c>
      <c r="BX407" s="771">
        <v>4.1026339908604914</v>
      </c>
      <c r="BY407" s="771">
        <v>4.157636386166133</v>
      </c>
      <c r="BZ407" s="772">
        <v>4.1303017510700206</v>
      </c>
      <c r="CA407" s="772">
        <v>4.1031468292067244</v>
      </c>
      <c r="CB407" s="772">
        <v>4.132602768409158</v>
      </c>
      <c r="CC407" s="772">
        <v>4.16227016783722</v>
      </c>
      <c r="CD407" s="772">
        <v>4.1921505455354318</v>
      </c>
      <c r="CE407" s="772">
        <v>4.2222454304461454</v>
      </c>
      <c r="CF407" s="772">
        <v>4.2525563624877893</v>
      </c>
      <c r="CG407" s="772">
        <v>4.2764286192899092</v>
      </c>
      <c r="CH407" s="772">
        <v>4.3004348859901356</v>
      </c>
      <c r="CI407" s="772">
        <v>4.3245759148697855</v>
      </c>
      <c r="CJ407" s="772">
        <v>4.348852462433201</v>
      </c>
      <c r="CK407" s="772">
        <v>4.3732652894314539</v>
      </c>
      <c r="CL407" s="771">
        <v>0</v>
      </c>
      <c r="CM407" s="771">
        <v>0</v>
      </c>
      <c r="CN407" s="771">
        <v>0</v>
      </c>
      <c r="CO407" s="772">
        <v>0</v>
      </c>
      <c r="CP407" s="772">
        <v>0</v>
      </c>
      <c r="CQ407" s="772">
        <v>0</v>
      </c>
      <c r="CR407" s="772">
        <v>0</v>
      </c>
      <c r="CS407" s="772">
        <v>0</v>
      </c>
      <c r="CT407" s="772">
        <v>0</v>
      </c>
      <c r="CU407" s="772">
        <v>0</v>
      </c>
      <c r="CV407" s="772">
        <v>0</v>
      </c>
      <c r="CW407" s="772">
        <v>0</v>
      </c>
      <c r="CX407" s="772">
        <v>0</v>
      </c>
      <c r="CY407" s="772">
        <v>0</v>
      </c>
      <c r="CZ407" s="772">
        <v>0</v>
      </c>
      <c r="DA407" s="773">
        <v>1.1851168723018691E-2</v>
      </c>
      <c r="DB407" s="773">
        <v>1.2010052666453431E-2</v>
      </c>
      <c r="DC407" s="773">
        <v>1.2171066704233411E-2</v>
      </c>
      <c r="DD407" s="774">
        <v>1.2091047280649943E-2</v>
      </c>
      <c r="DE407" s="774">
        <v>1.2011553949668399E-2</v>
      </c>
      <c r="DF407" s="774">
        <v>1.2097783279886294E-2</v>
      </c>
      <c r="DG407" s="774">
        <v>1.2184631638867741E-2</v>
      </c>
      <c r="DH407" s="774">
        <v>1.2272103470536979E-2</v>
      </c>
      <c r="DI407" s="774">
        <v>1.2360203250720568E-2</v>
      </c>
      <c r="DJ407" s="774">
        <v>1.2448935487376432E-2</v>
      </c>
      <c r="DK407" s="774">
        <v>1.2518819143120344E-2</v>
      </c>
      <c r="DL407" s="774">
        <v>1.2589095099502739E-2</v>
      </c>
      <c r="DM407" s="774">
        <v>1.26597655587523E-2</v>
      </c>
      <c r="DN407" s="774">
        <v>1.273083273546019E-2</v>
      </c>
      <c r="DO407" s="774">
        <v>1.2802298856649456E-2</v>
      </c>
      <c r="DP407" s="773">
        <v>0</v>
      </c>
      <c r="DQ407" s="773">
        <v>0</v>
      </c>
      <c r="DR407" s="773">
        <v>0</v>
      </c>
      <c r="DS407" s="774">
        <v>0</v>
      </c>
      <c r="DT407" s="774">
        <v>0</v>
      </c>
      <c r="DU407" s="774">
        <v>0</v>
      </c>
      <c r="DV407" s="774">
        <v>0</v>
      </c>
      <c r="DW407" s="774">
        <v>0</v>
      </c>
      <c r="DX407" s="774">
        <v>0</v>
      </c>
      <c r="DY407" s="774">
        <v>0</v>
      </c>
      <c r="DZ407" s="774">
        <v>0</v>
      </c>
      <c r="EA407" s="774">
        <v>0</v>
      </c>
      <c r="EB407" s="774">
        <v>0</v>
      </c>
      <c r="EC407" s="774">
        <v>0</v>
      </c>
      <c r="ED407" s="774">
        <v>0</v>
      </c>
    </row>
    <row r="408" spans="1:134" ht="15" x14ac:dyDescent="0.25">
      <c r="A408" s="766">
        <v>117</v>
      </c>
      <c r="B408" s="766">
        <v>108</v>
      </c>
      <c r="C408" s="766" t="s">
        <v>4079</v>
      </c>
      <c r="D408" s="2">
        <v>99712</v>
      </c>
      <c r="E408" s="2">
        <v>99712</v>
      </c>
      <c r="F408" s="767" t="s">
        <v>3676</v>
      </c>
      <c r="G408" s="114">
        <v>18</v>
      </c>
      <c r="H408" s="114">
        <v>8</v>
      </c>
      <c r="I408" s="114">
        <v>6</v>
      </c>
      <c r="J408" s="114">
        <v>2</v>
      </c>
      <c r="K408" s="114">
        <v>0</v>
      </c>
      <c r="L408" s="114">
        <v>6</v>
      </c>
      <c r="M408" s="114">
        <v>6</v>
      </c>
      <c r="N408" s="114">
        <v>0</v>
      </c>
      <c r="O408" s="114">
        <v>0</v>
      </c>
      <c r="P408" s="114">
        <v>0</v>
      </c>
      <c r="Q408" s="114">
        <v>6</v>
      </c>
      <c r="R408" s="114">
        <v>0</v>
      </c>
      <c r="S408" s="114">
        <v>1739.8333333333333</v>
      </c>
      <c r="T408" s="114">
        <v>1739.8333333333333</v>
      </c>
      <c r="U408" s="114">
        <v>0</v>
      </c>
      <c r="V408" s="114">
        <v>0</v>
      </c>
      <c r="W408" s="114">
        <v>0</v>
      </c>
      <c r="X408" s="114">
        <v>1739.8333333333333</v>
      </c>
      <c r="Y408" s="114">
        <v>0</v>
      </c>
      <c r="Z408" s="114">
        <v>8</v>
      </c>
      <c r="AA408" s="114">
        <v>0</v>
      </c>
      <c r="AB408" s="657">
        <v>0</v>
      </c>
      <c r="AC408" s="657">
        <v>0</v>
      </c>
      <c r="AD408" s="768">
        <v>8</v>
      </c>
      <c r="AE408" s="769">
        <v>0</v>
      </c>
      <c r="AF408" s="769">
        <v>6</v>
      </c>
      <c r="AG408" s="770">
        <v>6</v>
      </c>
      <c r="AH408" s="769">
        <v>0</v>
      </c>
      <c r="AI408" s="769">
        <v>0</v>
      </c>
      <c r="AJ408" s="769">
        <v>7.2729139611659059</v>
      </c>
      <c r="AK408" s="769">
        <v>7.2729139611659059</v>
      </c>
      <c r="AL408" s="769">
        <v>0</v>
      </c>
      <c r="AM408" s="769">
        <v>0</v>
      </c>
      <c r="AN408" s="769">
        <v>5.4747246623274552</v>
      </c>
      <c r="AO408" s="769">
        <v>5.4747246623274552</v>
      </c>
      <c r="AP408" s="769">
        <v>0</v>
      </c>
      <c r="AQ408" s="769">
        <v>0</v>
      </c>
      <c r="AR408" s="769">
        <v>0</v>
      </c>
      <c r="AS408" s="769">
        <v>6.6119096858152435</v>
      </c>
      <c r="AT408" s="769">
        <v>6.9345403787081503</v>
      </c>
      <c r="AU408" s="769">
        <v>7.2729139611659059</v>
      </c>
      <c r="AV408" s="769">
        <v>7.6277986135796247</v>
      </c>
      <c r="AW408" s="769">
        <v>8</v>
      </c>
      <c r="AX408" s="769">
        <v>4.995435021382745</v>
      </c>
      <c r="AY408" s="769">
        <v>5.2295918875776906</v>
      </c>
      <c r="AZ408" s="769">
        <v>5.4747246623274552</v>
      </c>
      <c r="BA408" s="769">
        <v>5.731347832226267</v>
      </c>
      <c r="BB408" s="769">
        <v>6</v>
      </c>
      <c r="BC408" s="769">
        <v>0</v>
      </c>
      <c r="BD408" s="769">
        <v>0</v>
      </c>
      <c r="BE408" s="769">
        <v>0</v>
      </c>
      <c r="BF408" s="769">
        <v>0</v>
      </c>
      <c r="BG408" s="769">
        <v>0</v>
      </c>
      <c r="BH408" s="771">
        <v>8.1072528437646074</v>
      </c>
      <c r="BI408" s="771">
        <v>8.2159435840911641</v>
      </c>
      <c r="BJ408" s="771">
        <v>8.3260914982915839</v>
      </c>
      <c r="BK408" s="772">
        <v>8.271351099722839</v>
      </c>
      <c r="BL408" s="772">
        <v>8.2169705952575978</v>
      </c>
      <c r="BM408" s="772">
        <v>8.2759591219559923</v>
      </c>
      <c r="BN408" s="772">
        <v>8.3353711193534341</v>
      </c>
      <c r="BO408" s="772">
        <v>8.3952096274891179</v>
      </c>
      <c r="BP408" s="772">
        <v>8.4554777082262653</v>
      </c>
      <c r="BQ408" s="772">
        <v>8.5161784454088014</v>
      </c>
      <c r="BR408" s="772">
        <v>8.5639850778181472</v>
      </c>
      <c r="BS408" s="772">
        <v>8.612060078735384</v>
      </c>
      <c r="BT408" s="772">
        <v>8.6604049546806827</v>
      </c>
      <c r="BU408" s="772">
        <v>8.7090212206312536</v>
      </c>
      <c r="BV408" s="772">
        <v>8.7579104000688179</v>
      </c>
      <c r="BW408" s="771">
        <v>6.080439632823456</v>
      </c>
      <c r="BX408" s="771">
        <v>6.1619576880683731</v>
      </c>
      <c r="BY408" s="771">
        <v>6.2445686237186884</v>
      </c>
      <c r="BZ408" s="772">
        <v>6.2035133247921301</v>
      </c>
      <c r="CA408" s="772">
        <v>6.1627279464431997</v>
      </c>
      <c r="CB408" s="772">
        <v>6.2069693414669942</v>
      </c>
      <c r="CC408" s="772">
        <v>6.251528339515076</v>
      </c>
      <c r="CD408" s="772">
        <v>6.2964072206168389</v>
      </c>
      <c r="CE408" s="772">
        <v>6.341608281169699</v>
      </c>
      <c r="CF408" s="772">
        <v>6.3871338340566011</v>
      </c>
      <c r="CG408" s="772">
        <v>6.4229888083636109</v>
      </c>
      <c r="CH408" s="772">
        <v>6.4590450590515385</v>
      </c>
      <c r="CI408" s="772">
        <v>6.4953037160105129</v>
      </c>
      <c r="CJ408" s="772">
        <v>6.5317659154734411</v>
      </c>
      <c r="CK408" s="772">
        <v>6.5684328000516139</v>
      </c>
      <c r="CL408" s="771">
        <v>0</v>
      </c>
      <c r="CM408" s="771">
        <v>0</v>
      </c>
      <c r="CN408" s="771">
        <v>0</v>
      </c>
      <c r="CO408" s="772">
        <v>0</v>
      </c>
      <c r="CP408" s="772">
        <v>0</v>
      </c>
      <c r="CQ408" s="772">
        <v>0</v>
      </c>
      <c r="CR408" s="772">
        <v>0</v>
      </c>
      <c r="CS408" s="772">
        <v>0</v>
      </c>
      <c r="CT408" s="772">
        <v>0</v>
      </c>
      <c r="CU408" s="772">
        <v>0</v>
      </c>
      <c r="CV408" s="772">
        <v>0</v>
      </c>
      <c r="CW408" s="772">
        <v>0</v>
      </c>
      <c r="CX408" s="772">
        <v>0</v>
      </c>
      <c r="CY408" s="772">
        <v>0</v>
      </c>
      <c r="CZ408" s="772">
        <v>0</v>
      </c>
      <c r="DA408" s="773">
        <v>0</v>
      </c>
      <c r="DB408" s="773">
        <v>0</v>
      </c>
      <c r="DC408" s="773">
        <v>0</v>
      </c>
      <c r="DD408" s="774">
        <v>0</v>
      </c>
      <c r="DE408" s="774">
        <v>0</v>
      </c>
      <c r="DF408" s="774">
        <v>0</v>
      </c>
      <c r="DG408" s="774">
        <v>0</v>
      </c>
      <c r="DH408" s="774">
        <v>0</v>
      </c>
      <c r="DI408" s="774">
        <v>0</v>
      </c>
      <c r="DJ408" s="774">
        <v>0</v>
      </c>
      <c r="DK408" s="774">
        <v>0</v>
      </c>
      <c r="DL408" s="774">
        <v>0</v>
      </c>
      <c r="DM408" s="774">
        <v>0</v>
      </c>
      <c r="DN408" s="774">
        <v>0</v>
      </c>
      <c r="DO408" s="774">
        <v>0</v>
      </c>
      <c r="DP408" s="773">
        <v>0</v>
      </c>
      <c r="DQ408" s="773">
        <v>0</v>
      </c>
      <c r="DR408" s="773">
        <v>0</v>
      </c>
      <c r="DS408" s="774">
        <v>0</v>
      </c>
      <c r="DT408" s="774">
        <v>0</v>
      </c>
      <c r="DU408" s="774">
        <v>0</v>
      </c>
      <c r="DV408" s="774">
        <v>0</v>
      </c>
      <c r="DW408" s="774">
        <v>0</v>
      </c>
      <c r="DX408" s="774">
        <v>0</v>
      </c>
      <c r="DY408" s="774">
        <v>0</v>
      </c>
      <c r="DZ408" s="774">
        <v>0</v>
      </c>
      <c r="EA408" s="774">
        <v>0</v>
      </c>
      <c r="EB408" s="774">
        <v>0</v>
      </c>
      <c r="EC408" s="774">
        <v>0</v>
      </c>
      <c r="ED408" s="774">
        <v>0</v>
      </c>
    </row>
    <row r="409" spans="1:134" ht="15" x14ac:dyDescent="0.25">
      <c r="A409" s="766">
        <v>118</v>
      </c>
      <c r="B409" s="766">
        <v>108</v>
      </c>
      <c r="C409" s="766" t="s">
        <v>4080</v>
      </c>
      <c r="D409" s="2">
        <v>99712</v>
      </c>
      <c r="E409" s="2">
        <v>99712</v>
      </c>
      <c r="F409" s="767" t="s">
        <v>3676</v>
      </c>
      <c r="G409" s="114">
        <v>3</v>
      </c>
      <c r="H409" s="114">
        <v>2</v>
      </c>
      <c r="I409" s="114">
        <v>2</v>
      </c>
      <c r="J409" s="114">
        <v>0</v>
      </c>
      <c r="K409" s="114">
        <v>0</v>
      </c>
      <c r="L409" s="114">
        <v>0</v>
      </c>
      <c r="M409" s="114">
        <v>0</v>
      </c>
      <c r="N409" s="114">
        <v>0</v>
      </c>
      <c r="O409" s="114">
        <v>0</v>
      </c>
      <c r="P409" s="114">
        <v>0</v>
      </c>
      <c r="Q409" s="114">
        <v>0</v>
      </c>
      <c r="R409" s="114">
        <v>0</v>
      </c>
      <c r="S409" s="114">
        <v>834.49503068156923</v>
      </c>
      <c r="T409" s="114">
        <v>834.49503068156923</v>
      </c>
      <c r="U409" s="114">
        <v>1408.3846153846155</v>
      </c>
      <c r="V409" s="114">
        <v>0</v>
      </c>
      <c r="W409" s="114">
        <v>0</v>
      </c>
      <c r="X409" s="114">
        <v>1365.173957061457</v>
      </c>
      <c r="Y409" s="114">
        <v>4.5824670824670823E-2</v>
      </c>
      <c r="Z409" s="114">
        <v>1.9515765765765767</v>
      </c>
      <c r="AA409" s="114">
        <v>2.5987525987525989E-3</v>
      </c>
      <c r="AB409" s="657">
        <v>0</v>
      </c>
      <c r="AC409" s="657">
        <v>0</v>
      </c>
      <c r="AD409" s="768">
        <v>2</v>
      </c>
      <c r="AE409" s="769">
        <v>4.5824670824670823E-2</v>
      </c>
      <c r="AF409" s="769">
        <v>1.9515765765765767</v>
      </c>
      <c r="AG409" s="770">
        <v>1.9974012474012475</v>
      </c>
      <c r="AH409" s="769">
        <v>2.5987525987525989E-3</v>
      </c>
      <c r="AI409" s="769">
        <v>4.1659861025822545E-2</v>
      </c>
      <c r="AJ409" s="769">
        <v>1.7742060662585184</v>
      </c>
      <c r="AK409" s="769">
        <v>1.8158659272843409</v>
      </c>
      <c r="AL409" s="769">
        <v>2.3625630071354943E-3</v>
      </c>
      <c r="AM409" s="769">
        <v>4.1812909251143796E-2</v>
      </c>
      <c r="AN409" s="769">
        <v>1.7807240690340618</v>
      </c>
      <c r="AO409" s="769">
        <v>1.8225369782852057</v>
      </c>
      <c r="AP409" s="769">
        <v>2.3712424906130701E-3</v>
      </c>
      <c r="AQ409" s="769">
        <v>0</v>
      </c>
      <c r="AR409" s="769">
        <v>0</v>
      </c>
      <c r="AS409" s="769">
        <v>1.6508295817689698</v>
      </c>
      <c r="AT409" s="769">
        <v>1.7313824503232471</v>
      </c>
      <c r="AU409" s="769">
        <v>1.8158659272843409</v>
      </c>
      <c r="AV409" s="769">
        <v>1.9044718082111811</v>
      </c>
      <c r="AW409" s="769">
        <v>1.9974012474012475</v>
      </c>
      <c r="AX409" s="769">
        <v>1.6629813571702954</v>
      </c>
      <c r="AY409" s="769">
        <v>1.740932226607854</v>
      </c>
      <c r="AZ409" s="769">
        <v>1.8225369782852054</v>
      </c>
      <c r="BA409" s="769">
        <v>1.9079668848965303</v>
      </c>
      <c r="BB409" s="769">
        <v>1.9974012474012475</v>
      </c>
      <c r="BC409" s="769">
        <v>0</v>
      </c>
      <c r="BD409" s="769">
        <v>0</v>
      </c>
      <c r="BE409" s="769">
        <v>0</v>
      </c>
      <c r="BF409" s="769">
        <v>0</v>
      </c>
      <c r="BG409" s="769">
        <v>0</v>
      </c>
      <c r="BH409" s="771">
        <v>2.022683901545177</v>
      </c>
      <c r="BI409" s="771">
        <v>2.0482865778185571</v>
      </c>
      <c r="BJ409" s="771">
        <v>2.0742133269892693</v>
      </c>
      <c r="BK409" s="772">
        <v>2.0605762844154167</v>
      </c>
      <c r="BL409" s="772">
        <v>2.0470288994133008</v>
      </c>
      <c r="BM409" s="772">
        <v>2.0617242445512174</v>
      </c>
      <c r="BN409" s="772">
        <v>2.076525085595315</v>
      </c>
      <c r="BO409" s="772">
        <v>2.0914321798865152</v>
      </c>
      <c r="BP409" s="772">
        <v>2.1064462902025864</v>
      </c>
      <c r="BQ409" s="772">
        <v>2.1215681847971783</v>
      </c>
      <c r="BR409" s="772">
        <v>2.1334778730443333</v>
      </c>
      <c r="BS409" s="772">
        <v>2.145454417815432</v>
      </c>
      <c r="BT409" s="772">
        <v>2.1574981944179301</v>
      </c>
      <c r="BU409" s="772">
        <v>2.1696095802661186</v>
      </c>
      <c r="BV409" s="772">
        <v>2.1817889548929497</v>
      </c>
      <c r="BW409" s="771">
        <v>2.022683901545177</v>
      </c>
      <c r="BX409" s="771">
        <v>2.0482865778185571</v>
      </c>
      <c r="BY409" s="771">
        <v>2.0742133269892693</v>
      </c>
      <c r="BZ409" s="772">
        <v>2.0605762844154167</v>
      </c>
      <c r="CA409" s="772">
        <v>2.0470288994133008</v>
      </c>
      <c r="CB409" s="772">
        <v>2.0617242445512174</v>
      </c>
      <c r="CC409" s="772">
        <v>2.076525085595315</v>
      </c>
      <c r="CD409" s="772">
        <v>2.0914321798865152</v>
      </c>
      <c r="CE409" s="772">
        <v>2.1064462902025864</v>
      </c>
      <c r="CF409" s="772">
        <v>2.1215681847971783</v>
      </c>
      <c r="CG409" s="772">
        <v>2.1334778730443333</v>
      </c>
      <c r="CH409" s="772">
        <v>2.145454417815432</v>
      </c>
      <c r="CI409" s="772">
        <v>2.1574981944179301</v>
      </c>
      <c r="CJ409" s="772">
        <v>2.1696095802661186</v>
      </c>
      <c r="CK409" s="772">
        <v>2.1817889548929497</v>
      </c>
      <c r="CL409" s="771">
        <v>0</v>
      </c>
      <c r="CM409" s="771">
        <v>0</v>
      </c>
      <c r="CN409" s="771">
        <v>0</v>
      </c>
      <c r="CO409" s="772">
        <v>0</v>
      </c>
      <c r="CP409" s="772">
        <v>0</v>
      </c>
      <c r="CQ409" s="772">
        <v>0</v>
      </c>
      <c r="CR409" s="772">
        <v>0</v>
      </c>
      <c r="CS409" s="772">
        <v>0</v>
      </c>
      <c r="CT409" s="772">
        <v>0</v>
      </c>
      <c r="CU409" s="772">
        <v>0</v>
      </c>
      <c r="CV409" s="772">
        <v>0</v>
      </c>
      <c r="CW409" s="772">
        <v>0</v>
      </c>
      <c r="CX409" s="772">
        <v>0</v>
      </c>
      <c r="CY409" s="772">
        <v>0</v>
      </c>
      <c r="CZ409" s="772">
        <v>0</v>
      </c>
      <c r="DA409" s="773">
        <v>2.6316470225672354E-3</v>
      </c>
      <c r="DB409" s="773">
        <v>2.6649578165737148E-3</v>
      </c>
      <c r="DC409" s="773">
        <v>2.6986902510919455E-3</v>
      </c>
      <c r="DD409" s="774">
        <v>2.6809475467283591E-3</v>
      </c>
      <c r="DE409" s="774">
        <v>2.6633214928614372E-3</v>
      </c>
      <c r="DF409" s="774">
        <v>2.6824411196346831E-3</v>
      </c>
      <c r="DG409" s="774">
        <v>2.7016980036368918E-3</v>
      </c>
      <c r="DH409" s="774">
        <v>2.7210931302192494E-3</v>
      </c>
      <c r="DI409" s="774">
        <v>2.7406274918066438E-3</v>
      </c>
      <c r="DJ409" s="774">
        <v>2.7603020879484494E-3</v>
      </c>
      <c r="DK409" s="774">
        <v>2.775797388816463E-3</v>
      </c>
      <c r="DL409" s="774">
        <v>2.7913796744931463E-3</v>
      </c>
      <c r="DM409" s="774">
        <v>2.8070494332785977E-3</v>
      </c>
      <c r="DN409" s="774">
        <v>2.8228071562140496E-3</v>
      </c>
      <c r="DO409" s="774">
        <v>2.8386533370972542E-3</v>
      </c>
      <c r="DP409" s="773">
        <v>0</v>
      </c>
      <c r="DQ409" s="773">
        <v>0</v>
      </c>
      <c r="DR409" s="773">
        <v>0</v>
      </c>
      <c r="DS409" s="774">
        <v>0</v>
      </c>
      <c r="DT409" s="774">
        <v>0</v>
      </c>
      <c r="DU409" s="774">
        <v>0</v>
      </c>
      <c r="DV409" s="774">
        <v>0</v>
      </c>
      <c r="DW409" s="774">
        <v>0</v>
      </c>
      <c r="DX409" s="774">
        <v>0</v>
      </c>
      <c r="DY409" s="774">
        <v>0</v>
      </c>
      <c r="DZ409" s="774">
        <v>0</v>
      </c>
      <c r="EA409" s="774">
        <v>0</v>
      </c>
      <c r="EB409" s="774">
        <v>0</v>
      </c>
      <c r="EC409" s="774">
        <v>0</v>
      </c>
      <c r="ED409" s="774">
        <v>0</v>
      </c>
    </row>
    <row r="410" spans="1:134" ht="15" x14ac:dyDescent="0.25">
      <c r="A410" s="766">
        <v>112</v>
      </c>
      <c r="B410" s="766">
        <v>109</v>
      </c>
      <c r="C410" s="766" t="s">
        <v>4081</v>
      </c>
      <c r="D410" s="2">
        <v>99712</v>
      </c>
      <c r="E410" s="2">
        <v>99712</v>
      </c>
      <c r="F410" s="767" t="s">
        <v>3676</v>
      </c>
      <c r="G410" s="114">
        <v>6</v>
      </c>
      <c r="H410" s="114">
        <v>4</v>
      </c>
      <c r="I410" s="114">
        <v>3</v>
      </c>
      <c r="J410" s="114">
        <v>1</v>
      </c>
      <c r="K410" s="114">
        <v>0</v>
      </c>
      <c r="L410" s="114">
        <v>2</v>
      </c>
      <c r="M410" s="114">
        <v>2</v>
      </c>
      <c r="N410" s="114">
        <v>2</v>
      </c>
      <c r="O410" s="114">
        <v>0</v>
      </c>
      <c r="P410" s="114">
        <v>0</v>
      </c>
      <c r="Q410" s="114">
        <v>4</v>
      </c>
      <c r="R410" s="114">
        <v>0</v>
      </c>
      <c r="S410" s="114">
        <v>2022</v>
      </c>
      <c r="T410" s="114">
        <v>2022</v>
      </c>
      <c r="U410" s="114">
        <v>2057.5</v>
      </c>
      <c r="V410" s="114">
        <v>0</v>
      </c>
      <c r="W410" s="114">
        <v>0</v>
      </c>
      <c r="X410" s="114">
        <v>2039.75</v>
      </c>
      <c r="Y410" s="114">
        <v>0</v>
      </c>
      <c r="Z410" s="114">
        <v>4</v>
      </c>
      <c r="AA410" s="114">
        <v>0</v>
      </c>
      <c r="AB410" s="657">
        <v>2</v>
      </c>
      <c r="AC410" s="657">
        <v>0</v>
      </c>
      <c r="AD410" s="768">
        <v>6</v>
      </c>
      <c r="AE410" s="769">
        <v>0</v>
      </c>
      <c r="AF410" s="769">
        <v>3</v>
      </c>
      <c r="AG410" s="770">
        <v>3</v>
      </c>
      <c r="AH410" s="769">
        <v>0</v>
      </c>
      <c r="AI410" s="769">
        <v>0</v>
      </c>
      <c r="AJ410" s="769">
        <v>3.636456980582953</v>
      </c>
      <c r="AK410" s="769">
        <v>3.636456980582953</v>
      </c>
      <c r="AL410" s="769">
        <v>0</v>
      </c>
      <c r="AM410" s="769">
        <v>0</v>
      </c>
      <c r="AN410" s="769">
        <v>2.7373623311637276</v>
      </c>
      <c r="AO410" s="769">
        <v>2.7373623311637276</v>
      </c>
      <c r="AP410" s="769">
        <v>0</v>
      </c>
      <c r="AQ410" s="769">
        <v>1.8596827016276773</v>
      </c>
      <c r="AR410" s="769">
        <v>0</v>
      </c>
      <c r="AS410" s="769">
        <v>3.3059548429076218</v>
      </c>
      <c r="AT410" s="769">
        <v>3.4672701893540752</v>
      </c>
      <c r="AU410" s="769">
        <v>3.636456980582953</v>
      </c>
      <c r="AV410" s="769">
        <v>3.8138993067898124</v>
      </c>
      <c r="AW410" s="769">
        <v>4</v>
      </c>
      <c r="AX410" s="769">
        <v>2.4977175106913725</v>
      </c>
      <c r="AY410" s="769">
        <v>2.6147959437888453</v>
      </c>
      <c r="AZ410" s="769">
        <v>2.7373623311637276</v>
      </c>
      <c r="BA410" s="769">
        <v>2.8656739161131335</v>
      </c>
      <c r="BB410" s="769">
        <v>3</v>
      </c>
      <c r="BC410" s="769">
        <v>1.7292098753666085</v>
      </c>
      <c r="BD410" s="769">
        <v>1.7932600739165065</v>
      </c>
      <c r="BE410" s="769">
        <v>1.8596827016276773</v>
      </c>
      <c r="BF410" s="769">
        <v>1.9285656336395076</v>
      </c>
      <c r="BG410" s="769">
        <v>2</v>
      </c>
      <c r="BH410" s="771">
        <v>4.0536264218823037</v>
      </c>
      <c r="BI410" s="771">
        <v>4.107971792045582</v>
      </c>
      <c r="BJ410" s="771">
        <v>4.163045749145792</v>
      </c>
      <c r="BK410" s="772">
        <v>4.1356755498614195</v>
      </c>
      <c r="BL410" s="772">
        <v>4.1084852976287989</v>
      </c>
      <c r="BM410" s="772">
        <v>4.1379795609779961</v>
      </c>
      <c r="BN410" s="772">
        <v>4.1676855596767171</v>
      </c>
      <c r="BO410" s="772">
        <v>4.197604813744559</v>
      </c>
      <c r="BP410" s="772">
        <v>4.2277388541131327</v>
      </c>
      <c r="BQ410" s="772">
        <v>4.2580892227044007</v>
      </c>
      <c r="BR410" s="772">
        <v>4.2819925389090736</v>
      </c>
      <c r="BS410" s="772">
        <v>4.306030039367692</v>
      </c>
      <c r="BT410" s="772">
        <v>4.3302024773403414</v>
      </c>
      <c r="BU410" s="772">
        <v>4.3545106103156268</v>
      </c>
      <c r="BV410" s="772">
        <v>4.378955200034409</v>
      </c>
      <c r="BW410" s="771">
        <v>3.040219816411728</v>
      </c>
      <c r="BX410" s="771">
        <v>3.0809788440341865</v>
      </c>
      <c r="BY410" s="771">
        <v>3.1222843118593442</v>
      </c>
      <c r="BZ410" s="772">
        <v>3.1017566623960651</v>
      </c>
      <c r="CA410" s="772">
        <v>3.0813639732215998</v>
      </c>
      <c r="CB410" s="772">
        <v>3.1034846707334971</v>
      </c>
      <c r="CC410" s="772">
        <v>3.125764169757538</v>
      </c>
      <c r="CD410" s="772">
        <v>3.1482036103084194</v>
      </c>
      <c r="CE410" s="772">
        <v>3.1708041405848495</v>
      </c>
      <c r="CF410" s="772">
        <v>3.1935669170283005</v>
      </c>
      <c r="CG410" s="772">
        <v>3.2114944041818054</v>
      </c>
      <c r="CH410" s="772">
        <v>3.2295225295257692</v>
      </c>
      <c r="CI410" s="772">
        <v>3.2476518580052565</v>
      </c>
      <c r="CJ410" s="772">
        <v>3.2658829577367205</v>
      </c>
      <c r="CK410" s="772">
        <v>3.2842164000258069</v>
      </c>
      <c r="CL410" s="771">
        <v>2.0268132109411519</v>
      </c>
      <c r="CM410" s="771">
        <v>2.053985896022791</v>
      </c>
      <c r="CN410" s="771">
        <v>2.081522874572896</v>
      </c>
      <c r="CO410" s="772">
        <v>2.0678377749307097</v>
      </c>
      <c r="CP410" s="772">
        <v>2.0542426488143994</v>
      </c>
      <c r="CQ410" s="772">
        <v>2.0689897804889981</v>
      </c>
      <c r="CR410" s="772">
        <v>2.0838427798383585</v>
      </c>
      <c r="CS410" s="772">
        <v>2.0988024068722795</v>
      </c>
      <c r="CT410" s="772">
        <v>2.1138694270565663</v>
      </c>
      <c r="CU410" s="772">
        <v>2.1290446113522004</v>
      </c>
      <c r="CV410" s="772">
        <v>2.1409962694545368</v>
      </c>
      <c r="CW410" s="772">
        <v>2.153015019683846</v>
      </c>
      <c r="CX410" s="772">
        <v>2.1651012386701707</v>
      </c>
      <c r="CY410" s="772">
        <v>2.1772553051578134</v>
      </c>
      <c r="CZ410" s="772">
        <v>2.1894776000172045</v>
      </c>
      <c r="DA410" s="773">
        <v>0</v>
      </c>
      <c r="DB410" s="773">
        <v>0</v>
      </c>
      <c r="DC410" s="773">
        <v>0</v>
      </c>
      <c r="DD410" s="774">
        <v>0</v>
      </c>
      <c r="DE410" s="774">
        <v>0</v>
      </c>
      <c r="DF410" s="774">
        <v>0</v>
      </c>
      <c r="DG410" s="774">
        <v>0</v>
      </c>
      <c r="DH410" s="774">
        <v>0</v>
      </c>
      <c r="DI410" s="774">
        <v>0</v>
      </c>
      <c r="DJ410" s="774">
        <v>0</v>
      </c>
      <c r="DK410" s="774">
        <v>0</v>
      </c>
      <c r="DL410" s="774">
        <v>0</v>
      </c>
      <c r="DM410" s="774">
        <v>0</v>
      </c>
      <c r="DN410" s="774">
        <v>0</v>
      </c>
      <c r="DO410" s="774">
        <v>0</v>
      </c>
      <c r="DP410" s="773">
        <v>0</v>
      </c>
      <c r="DQ410" s="773">
        <v>0</v>
      </c>
      <c r="DR410" s="773">
        <v>0</v>
      </c>
      <c r="DS410" s="774">
        <v>0</v>
      </c>
      <c r="DT410" s="774">
        <v>0</v>
      </c>
      <c r="DU410" s="774">
        <v>0</v>
      </c>
      <c r="DV410" s="774">
        <v>0</v>
      </c>
      <c r="DW410" s="774">
        <v>0</v>
      </c>
      <c r="DX410" s="774">
        <v>0</v>
      </c>
      <c r="DY410" s="774">
        <v>0</v>
      </c>
      <c r="DZ410" s="774">
        <v>0</v>
      </c>
      <c r="EA410" s="774">
        <v>0</v>
      </c>
      <c r="EB410" s="774">
        <v>0</v>
      </c>
      <c r="EC410" s="774">
        <v>0</v>
      </c>
      <c r="ED410" s="774">
        <v>0</v>
      </c>
    </row>
    <row r="411" spans="1:134" ht="15" x14ac:dyDescent="0.25">
      <c r="A411" s="766">
        <v>114</v>
      </c>
      <c r="B411" s="766">
        <v>109</v>
      </c>
      <c r="C411" s="766" t="s">
        <v>4082</v>
      </c>
      <c r="D411" s="2">
        <v>99712</v>
      </c>
      <c r="E411" s="2">
        <v>99712</v>
      </c>
      <c r="F411" s="767" t="s">
        <v>3676</v>
      </c>
      <c r="G411" s="114">
        <v>2</v>
      </c>
      <c r="H411" s="114">
        <v>1</v>
      </c>
      <c r="I411" s="114">
        <v>1</v>
      </c>
      <c r="J411" s="114">
        <v>0</v>
      </c>
      <c r="K411" s="114">
        <v>0</v>
      </c>
      <c r="L411" s="114">
        <v>0</v>
      </c>
      <c r="M411" s="114">
        <v>0</v>
      </c>
      <c r="N411" s="114">
        <v>0</v>
      </c>
      <c r="O411" s="114">
        <v>0</v>
      </c>
      <c r="P411" s="114">
        <v>0</v>
      </c>
      <c r="Q411" s="114">
        <v>0</v>
      </c>
      <c r="R411" s="114">
        <v>0</v>
      </c>
      <c r="S411" s="114">
        <v>834.49503068156923</v>
      </c>
      <c r="T411" s="114">
        <v>834.49503068156923</v>
      </c>
      <c r="U411" s="114">
        <v>1408.3846153846155</v>
      </c>
      <c r="V411" s="114">
        <v>0</v>
      </c>
      <c r="W411" s="114">
        <v>0</v>
      </c>
      <c r="X411" s="114">
        <v>1365.173957061457</v>
      </c>
      <c r="Y411" s="114">
        <v>2.2912335412335411E-2</v>
      </c>
      <c r="Z411" s="114">
        <v>0.97578828828828834</v>
      </c>
      <c r="AA411" s="114">
        <v>1.2993762993762994E-3</v>
      </c>
      <c r="AB411" s="657">
        <v>0</v>
      </c>
      <c r="AC411" s="657">
        <v>0</v>
      </c>
      <c r="AD411" s="768">
        <v>1</v>
      </c>
      <c r="AE411" s="769">
        <v>2.2912335412335411E-2</v>
      </c>
      <c r="AF411" s="769">
        <v>0.97578828828828834</v>
      </c>
      <c r="AG411" s="770">
        <v>0.99870062370062374</v>
      </c>
      <c r="AH411" s="769">
        <v>1.2993762993762994E-3</v>
      </c>
      <c r="AI411" s="769">
        <v>2.0829930512911272E-2</v>
      </c>
      <c r="AJ411" s="769">
        <v>0.8871030331292592</v>
      </c>
      <c r="AK411" s="769">
        <v>0.90793296364217047</v>
      </c>
      <c r="AL411" s="769">
        <v>1.1812815035677471E-3</v>
      </c>
      <c r="AM411" s="769">
        <v>2.0906454625571898E-2</v>
      </c>
      <c r="AN411" s="769">
        <v>0.89036203451703089</v>
      </c>
      <c r="AO411" s="769">
        <v>0.91126848914260283</v>
      </c>
      <c r="AP411" s="769">
        <v>1.1856212453065351E-3</v>
      </c>
      <c r="AQ411" s="769">
        <v>0</v>
      </c>
      <c r="AR411" s="769">
        <v>0</v>
      </c>
      <c r="AS411" s="769">
        <v>0.82541479088448488</v>
      </c>
      <c r="AT411" s="769">
        <v>0.86569122516162356</v>
      </c>
      <c r="AU411" s="769">
        <v>0.90793296364217047</v>
      </c>
      <c r="AV411" s="769">
        <v>0.95223590410559056</v>
      </c>
      <c r="AW411" s="769">
        <v>0.99870062370062374</v>
      </c>
      <c r="AX411" s="769">
        <v>0.83149067858514769</v>
      </c>
      <c r="AY411" s="769">
        <v>0.87046611330392698</v>
      </c>
      <c r="AZ411" s="769">
        <v>0.91126848914260272</v>
      </c>
      <c r="BA411" s="769">
        <v>0.95398344244826516</v>
      </c>
      <c r="BB411" s="769">
        <v>0.99870062370062374</v>
      </c>
      <c r="BC411" s="769">
        <v>0</v>
      </c>
      <c r="BD411" s="769">
        <v>0</v>
      </c>
      <c r="BE411" s="769">
        <v>0</v>
      </c>
      <c r="BF411" s="769">
        <v>0</v>
      </c>
      <c r="BG411" s="769">
        <v>0</v>
      </c>
      <c r="BH411" s="771">
        <v>1.0120898089457961</v>
      </c>
      <c r="BI411" s="771">
        <v>1.0256584977151229</v>
      </c>
      <c r="BJ411" s="771">
        <v>1.0394090965415332</v>
      </c>
      <c r="BK411" s="772">
        <v>1.0325754377675052</v>
      </c>
      <c r="BL411" s="772">
        <v>1.0257867073016811</v>
      </c>
      <c r="BM411" s="772">
        <v>1.0331506921022895</v>
      </c>
      <c r="BN411" s="772">
        <v>1.040567541959305</v>
      </c>
      <c r="BO411" s="772">
        <v>1.0480376363838579</v>
      </c>
      <c r="BP411" s="772">
        <v>1.0555613576115364</v>
      </c>
      <c r="BQ411" s="772">
        <v>1.0631390906219473</v>
      </c>
      <c r="BR411" s="772">
        <v>1.0691071548224773</v>
      </c>
      <c r="BS411" s="772">
        <v>1.0751087214975339</v>
      </c>
      <c r="BT411" s="772">
        <v>1.0811439787174464</v>
      </c>
      <c r="BU411" s="772">
        <v>1.0872131156083003</v>
      </c>
      <c r="BV411" s="772">
        <v>1.0933163223578635</v>
      </c>
      <c r="BW411" s="771">
        <v>1.0120898089457961</v>
      </c>
      <c r="BX411" s="771">
        <v>1.0256584977151229</v>
      </c>
      <c r="BY411" s="771">
        <v>1.0394090965415332</v>
      </c>
      <c r="BZ411" s="772">
        <v>1.0325754377675052</v>
      </c>
      <c r="CA411" s="772">
        <v>1.0257867073016811</v>
      </c>
      <c r="CB411" s="772">
        <v>1.0331506921022895</v>
      </c>
      <c r="CC411" s="772">
        <v>1.040567541959305</v>
      </c>
      <c r="CD411" s="772">
        <v>1.0480376363838579</v>
      </c>
      <c r="CE411" s="772">
        <v>1.0555613576115364</v>
      </c>
      <c r="CF411" s="772">
        <v>1.0631390906219473</v>
      </c>
      <c r="CG411" s="772">
        <v>1.0691071548224773</v>
      </c>
      <c r="CH411" s="772">
        <v>1.0751087214975339</v>
      </c>
      <c r="CI411" s="772">
        <v>1.0811439787174464</v>
      </c>
      <c r="CJ411" s="772">
        <v>1.0872131156083003</v>
      </c>
      <c r="CK411" s="772">
        <v>1.0933163223578635</v>
      </c>
      <c r="CL411" s="771">
        <v>0</v>
      </c>
      <c r="CM411" s="771">
        <v>0</v>
      </c>
      <c r="CN411" s="771">
        <v>0</v>
      </c>
      <c r="CO411" s="772">
        <v>0</v>
      </c>
      <c r="CP411" s="772">
        <v>0</v>
      </c>
      <c r="CQ411" s="772">
        <v>0</v>
      </c>
      <c r="CR411" s="772">
        <v>0</v>
      </c>
      <c r="CS411" s="772">
        <v>0</v>
      </c>
      <c r="CT411" s="772">
        <v>0</v>
      </c>
      <c r="CU411" s="772">
        <v>0</v>
      </c>
      <c r="CV411" s="772">
        <v>0</v>
      </c>
      <c r="CW411" s="772">
        <v>0</v>
      </c>
      <c r="CX411" s="772">
        <v>0</v>
      </c>
      <c r="CY411" s="772">
        <v>0</v>
      </c>
      <c r="CZ411" s="772">
        <v>0</v>
      </c>
      <c r="DA411" s="773">
        <v>1.3167965247798544E-3</v>
      </c>
      <c r="DB411" s="773">
        <v>1.3344502962726033E-3</v>
      </c>
      <c r="DC411" s="773">
        <v>1.3523407449148232E-3</v>
      </c>
      <c r="DD411" s="774">
        <v>1.3434496978499935E-3</v>
      </c>
      <c r="DE411" s="774">
        <v>1.3346171055187107E-3</v>
      </c>
      <c r="DF411" s="774">
        <v>1.3441981422095879E-3</v>
      </c>
      <c r="DG411" s="774">
        <v>1.3538479598741934E-3</v>
      </c>
      <c r="DH411" s="774">
        <v>1.3635670522818863E-3</v>
      </c>
      <c r="DI411" s="774">
        <v>1.3733559167467295E-3</v>
      </c>
      <c r="DJ411" s="774">
        <v>1.3832150541529368E-3</v>
      </c>
      <c r="DK411" s="774">
        <v>1.3909799047911492E-3</v>
      </c>
      <c r="DL411" s="774">
        <v>1.3987883443891929E-3</v>
      </c>
      <c r="DM411" s="774">
        <v>1.4066406176391441E-3</v>
      </c>
      <c r="DN411" s="774">
        <v>1.4145369706066876E-3</v>
      </c>
      <c r="DO411" s="774">
        <v>1.4224776507388284E-3</v>
      </c>
      <c r="DP411" s="773">
        <v>0</v>
      </c>
      <c r="DQ411" s="773">
        <v>0</v>
      </c>
      <c r="DR411" s="773">
        <v>0</v>
      </c>
      <c r="DS411" s="774">
        <v>0</v>
      </c>
      <c r="DT411" s="774">
        <v>0</v>
      </c>
      <c r="DU411" s="774">
        <v>0</v>
      </c>
      <c r="DV411" s="774">
        <v>0</v>
      </c>
      <c r="DW411" s="774">
        <v>0</v>
      </c>
      <c r="DX411" s="774">
        <v>0</v>
      </c>
      <c r="DY411" s="774">
        <v>0</v>
      </c>
      <c r="DZ411" s="774">
        <v>0</v>
      </c>
      <c r="EA411" s="774">
        <v>0</v>
      </c>
      <c r="EB411" s="774">
        <v>0</v>
      </c>
      <c r="EC411" s="774">
        <v>0</v>
      </c>
      <c r="ED411" s="774">
        <v>0</v>
      </c>
    </row>
    <row r="412" spans="1:134" ht="15" x14ac:dyDescent="0.25">
      <c r="A412" s="766">
        <v>118</v>
      </c>
      <c r="B412" s="766">
        <v>109</v>
      </c>
      <c r="C412" s="766" t="s">
        <v>4083</v>
      </c>
      <c r="D412" s="2">
        <v>99712</v>
      </c>
      <c r="E412" s="2">
        <v>99712</v>
      </c>
      <c r="F412" s="767" t="s">
        <v>3676</v>
      </c>
      <c r="G412" s="114">
        <v>0</v>
      </c>
      <c r="H412" s="114">
        <v>1</v>
      </c>
      <c r="I412" s="114">
        <v>0</v>
      </c>
      <c r="J412" s="114">
        <v>1</v>
      </c>
      <c r="K412" s="114">
        <v>0</v>
      </c>
      <c r="L412" s="114">
        <v>0</v>
      </c>
      <c r="M412" s="114">
        <v>0</v>
      </c>
      <c r="N412" s="114">
        <v>0</v>
      </c>
      <c r="O412" s="114">
        <v>0</v>
      </c>
      <c r="P412" s="114">
        <v>0</v>
      </c>
      <c r="Q412" s="114">
        <v>0</v>
      </c>
      <c r="R412" s="114">
        <v>0</v>
      </c>
      <c r="S412" s="114">
        <v>834.49503068156923</v>
      </c>
      <c r="T412" s="114">
        <v>834.49503068156923</v>
      </c>
      <c r="U412" s="114">
        <v>1408.3846153846155</v>
      </c>
      <c r="V412" s="114">
        <v>0</v>
      </c>
      <c r="W412" s="114">
        <v>0</v>
      </c>
      <c r="X412" s="114">
        <v>1365.173957061457</v>
      </c>
      <c r="Y412" s="114">
        <v>2.2912335412335411E-2</v>
      </c>
      <c r="Z412" s="114">
        <v>0.97578828828828834</v>
      </c>
      <c r="AA412" s="114">
        <v>1.2993762993762994E-3</v>
      </c>
      <c r="AB412" s="657">
        <v>0</v>
      </c>
      <c r="AC412" s="657">
        <v>0</v>
      </c>
      <c r="AD412" s="768">
        <v>1</v>
      </c>
      <c r="AE412" s="769">
        <v>0</v>
      </c>
      <c r="AF412" s="769">
        <v>0</v>
      </c>
      <c r="AG412" s="770">
        <v>0</v>
      </c>
      <c r="AH412" s="769">
        <v>0</v>
      </c>
      <c r="AI412" s="769">
        <v>2.0829930512911272E-2</v>
      </c>
      <c r="AJ412" s="769">
        <v>0.8871030331292592</v>
      </c>
      <c r="AK412" s="769">
        <v>0.90793296364217047</v>
      </c>
      <c r="AL412" s="769">
        <v>1.1812815035677471E-3</v>
      </c>
      <c r="AM412" s="769">
        <v>0</v>
      </c>
      <c r="AN412" s="769">
        <v>0</v>
      </c>
      <c r="AO412" s="769">
        <v>0</v>
      </c>
      <c r="AP412" s="769">
        <v>0</v>
      </c>
      <c r="AQ412" s="769">
        <v>0</v>
      </c>
      <c r="AR412" s="769">
        <v>0</v>
      </c>
      <c r="AS412" s="769">
        <v>0.82541479088448488</v>
      </c>
      <c r="AT412" s="769">
        <v>0.86569122516162356</v>
      </c>
      <c r="AU412" s="769">
        <v>0.90793296364217047</v>
      </c>
      <c r="AV412" s="769">
        <v>0.95223590410559056</v>
      </c>
      <c r="AW412" s="769">
        <v>0.99870062370062374</v>
      </c>
      <c r="AX412" s="769">
        <v>0</v>
      </c>
      <c r="AY412" s="769">
        <v>0</v>
      </c>
      <c r="AZ412" s="769">
        <v>0</v>
      </c>
      <c r="BA412" s="769">
        <v>0</v>
      </c>
      <c r="BB412" s="769">
        <v>0</v>
      </c>
      <c r="BC412" s="769">
        <v>0</v>
      </c>
      <c r="BD412" s="769">
        <v>0</v>
      </c>
      <c r="BE412" s="769">
        <v>0</v>
      </c>
      <c r="BF412" s="769">
        <v>0</v>
      </c>
      <c r="BG412" s="769">
        <v>0</v>
      </c>
      <c r="BH412" s="771">
        <v>1.0113419507725885</v>
      </c>
      <c r="BI412" s="771">
        <v>1.0241432889092785</v>
      </c>
      <c r="BJ412" s="771">
        <v>1.0371066634946347</v>
      </c>
      <c r="BK412" s="772">
        <v>1.0302881422077084</v>
      </c>
      <c r="BL412" s="772">
        <v>1.0235144497066504</v>
      </c>
      <c r="BM412" s="772">
        <v>1.0308621222756087</v>
      </c>
      <c r="BN412" s="772">
        <v>1.0382625427976575</v>
      </c>
      <c r="BO412" s="772">
        <v>1.0457160899432576</v>
      </c>
      <c r="BP412" s="772">
        <v>1.0532231451012932</v>
      </c>
      <c r="BQ412" s="772">
        <v>1.0607840923985892</v>
      </c>
      <c r="BR412" s="772">
        <v>1.0667389365221667</v>
      </c>
      <c r="BS412" s="772">
        <v>1.072727208907716</v>
      </c>
      <c r="BT412" s="772">
        <v>1.0787490972089651</v>
      </c>
      <c r="BU412" s="772">
        <v>1.0848047901330593</v>
      </c>
      <c r="BV412" s="772">
        <v>1.0908944774464748</v>
      </c>
      <c r="BW412" s="771">
        <v>0</v>
      </c>
      <c r="BX412" s="771">
        <v>0</v>
      </c>
      <c r="BY412" s="771">
        <v>0</v>
      </c>
      <c r="BZ412" s="772">
        <v>0</v>
      </c>
      <c r="CA412" s="772">
        <v>0</v>
      </c>
      <c r="CB412" s="772">
        <v>0</v>
      </c>
      <c r="CC412" s="772">
        <v>0</v>
      </c>
      <c r="CD412" s="772">
        <v>0</v>
      </c>
      <c r="CE412" s="772">
        <v>0</v>
      </c>
      <c r="CF412" s="772">
        <v>0</v>
      </c>
      <c r="CG412" s="772">
        <v>0</v>
      </c>
      <c r="CH412" s="772">
        <v>0</v>
      </c>
      <c r="CI412" s="772">
        <v>0</v>
      </c>
      <c r="CJ412" s="772">
        <v>0</v>
      </c>
      <c r="CK412" s="772">
        <v>0</v>
      </c>
      <c r="CL412" s="771">
        <v>0</v>
      </c>
      <c r="CM412" s="771">
        <v>0</v>
      </c>
      <c r="CN412" s="771">
        <v>0</v>
      </c>
      <c r="CO412" s="772">
        <v>0</v>
      </c>
      <c r="CP412" s="772">
        <v>0</v>
      </c>
      <c r="CQ412" s="772">
        <v>0</v>
      </c>
      <c r="CR412" s="772">
        <v>0</v>
      </c>
      <c r="CS412" s="772">
        <v>0</v>
      </c>
      <c r="CT412" s="772">
        <v>0</v>
      </c>
      <c r="CU412" s="772">
        <v>0</v>
      </c>
      <c r="CV412" s="772">
        <v>0</v>
      </c>
      <c r="CW412" s="772">
        <v>0</v>
      </c>
      <c r="CX412" s="772">
        <v>0</v>
      </c>
      <c r="CY412" s="772">
        <v>0</v>
      </c>
      <c r="CZ412" s="772">
        <v>0</v>
      </c>
      <c r="DA412" s="773">
        <v>1.3158235112836177E-3</v>
      </c>
      <c r="DB412" s="773">
        <v>1.3324789082868574E-3</v>
      </c>
      <c r="DC412" s="773">
        <v>1.3493451255459728E-3</v>
      </c>
      <c r="DD412" s="774">
        <v>1.3404737733641796E-3</v>
      </c>
      <c r="DE412" s="774">
        <v>1.3316607464307186E-3</v>
      </c>
      <c r="DF412" s="774">
        <v>1.3412205598173415E-3</v>
      </c>
      <c r="DG412" s="774">
        <v>1.3508490018184459E-3</v>
      </c>
      <c r="DH412" s="774">
        <v>1.3605465651096247E-3</v>
      </c>
      <c r="DI412" s="774">
        <v>1.3703137459033219E-3</v>
      </c>
      <c r="DJ412" s="774">
        <v>1.3801510439742247E-3</v>
      </c>
      <c r="DK412" s="774">
        <v>1.3878986944082315E-3</v>
      </c>
      <c r="DL412" s="774">
        <v>1.3956898372465732E-3</v>
      </c>
      <c r="DM412" s="774">
        <v>1.4035247166392989E-3</v>
      </c>
      <c r="DN412" s="774">
        <v>1.4114035781070248E-3</v>
      </c>
      <c r="DO412" s="774">
        <v>1.4193266685486271E-3</v>
      </c>
      <c r="DP412" s="773">
        <v>0</v>
      </c>
      <c r="DQ412" s="773">
        <v>0</v>
      </c>
      <c r="DR412" s="773">
        <v>0</v>
      </c>
      <c r="DS412" s="774">
        <v>0</v>
      </c>
      <c r="DT412" s="774">
        <v>0</v>
      </c>
      <c r="DU412" s="774">
        <v>0</v>
      </c>
      <c r="DV412" s="774">
        <v>0</v>
      </c>
      <c r="DW412" s="774">
        <v>0</v>
      </c>
      <c r="DX412" s="774">
        <v>0</v>
      </c>
      <c r="DY412" s="774">
        <v>0</v>
      </c>
      <c r="DZ412" s="774">
        <v>0</v>
      </c>
      <c r="EA412" s="774">
        <v>0</v>
      </c>
      <c r="EB412" s="774">
        <v>0</v>
      </c>
      <c r="EC412" s="774">
        <v>0</v>
      </c>
      <c r="ED412" s="774">
        <v>0</v>
      </c>
    </row>
    <row r="413" spans="1:134" ht="15" x14ac:dyDescent="0.25">
      <c r="A413" s="766">
        <v>118</v>
      </c>
      <c r="B413" s="766">
        <v>110</v>
      </c>
      <c r="C413" s="766" t="s">
        <v>4084</v>
      </c>
      <c r="D413" s="2">
        <v>99712</v>
      </c>
      <c r="E413" s="2">
        <v>99712</v>
      </c>
      <c r="F413" s="767" t="s">
        <v>3676</v>
      </c>
      <c r="G413" s="114">
        <v>0</v>
      </c>
      <c r="H413" s="114">
        <v>1</v>
      </c>
      <c r="I413" s="114">
        <v>0</v>
      </c>
      <c r="J413" s="114">
        <v>1</v>
      </c>
      <c r="K413" s="114">
        <v>0</v>
      </c>
      <c r="L413" s="114">
        <v>0</v>
      </c>
      <c r="M413" s="114">
        <v>0</v>
      </c>
      <c r="N413" s="114">
        <v>0</v>
      </c>
      <c r="O413" s="114">
        <v>0</v>
      </c>
      <c r="P413" s="114">
        <v>0</v>
      </c>
      <c r="Q413" s="114">
        <v>0</v>
      </c>
      <c r="R413" s="114">
        <v>0</v>
      </c>
      <c r="S413" s="114">
        <v>834.49503068156923</v>
      </c>
      <c r="T413" s="114">
        <v>834.49503068156923</v>
      </c>
      <c r="U413" s="114">
        <v>1408.3846153846155</v>
      </c>
      <c r="V413" s="114">
        <v>0</v>
      </c>
      <c r="W413" s="114">
        <v>0</v>
      </c>
      <c r="X413" s="114">
        <v>1365.173957061457</v>
      </c>
      <c r="Y413" s="114">
        <v>2.2912335412335411E-2</v>
      </c>
      <c r="Z413" s="114">
        <v>0.97578828828828834</v>
      </c>
      <c r="AA413" s="114">
        <v>1.2993762993762994E-3</v>
      </c>
      <c r="AB413" s="657">
        <v>0</v>
      </c>
      <c r="AC413" s="657">
        <v>0</v>
      </c>
      <c r="AD413" s="768">
        <v>1</v>
      </c>
      <c r="AE413" s="769">
        <v>0</v>
      </c>
      <c r="AF413" s="769">
        <v>0</v>
      </c>
      <c r="AG413" s="770">
        <v>0</v>
      </c>
      <c r="AH413" s="769">
        <v>0</v>
      </c>
      <c r="AI413" s="769">
        <v>2.0829930512911272E-2</v>
      </c>
      <c r="AJ413" s="769">
        <v>0.8871030331292592</v>
      </c>
      <c r="AK413" s="769">
        <v>0.90793296364217047</v>
      </c>
      <c r="AL413" s="769">
        <v>1.1812815035677471E-3</v>
      </c>
      <c r="AM413" s="769">
        <v>0</v>
      </c>
      <c r="AN413" s="769">
        <v>0</v>
      </c>
      <c r="AO413" s="769">
        <v>0</v>
      </c>
      <c r="AP413" s="769">
        <v>0</v>
      </c>
      <c r="AQ413" s="769">
        <v>0</v>
      </c>
      <c r="AR413" s="769">
        <v>0</v>
      </c>
      <c r="AS413" s="769">
        <v>0.82541479088448488</v>
      </c>
      <c r="AT413" s="769">
        <v>0.86569122516162356</v>
      </c>
      <c r="AU413" s="769">
        <v>0.90793296364217047</v>
      </c>
      <c r="AV413" s="769">
        <v>0.95223590410559056</v>
      </c>
      <c r="AW413" s="769">
        <v>0.99870062370062374</v>
      </c>
      <c r="AX413" s="769">
        <v>0</v>
      </c>
      <c r="AY413" s="769">
        <v>0</v>
      </c>
      <c r="AZ413" s="769">
        <v>0</v>
      </c>
      <c r="BA413" s="769">
        <v>0</v>
      </c>
      <c r="BB413" s="769">
        <v>0</v>
      </c>
      <c r="BC413" s="769">
        <v>0</v>
      </c>
      <c r="BD413" s="769">
        <v>0</v>
      </c>
      <c r="BE413" s="769">
        <v>0</v>
      </c>
      <c r="BF413" s="769">
        <v>0</v>
      </c>
      <c r="BG413" s="769">
        <v>0</v>
      </c>
      <c r="BH413" s="771">
        <v>1.0120898089457961</v>
      </c>
      <c r="BI413" s="771">
        <v>1.0256584977151229</v>
      </c>
      <c r="BJ413" s="771">
        <v>1.0394090965415332</v>
      </c>
      <c r="BK413" s="772">
        <v>1.0325754377675052</v>
      </c>
      <c r="BL413" s="772">
        <v>1.0257867073016811</v>
      </c>
      <c r="BM413" s="772">
        <v>1.0331506921022895</v>
      </c>
      <c r="BN413" s="772">
        <v>1.040567541959305</v>
      </c>
      <c r="BO413" s="772">
        <v>1.0480376363838579</v>
      </c>
      <c r="BP413" s="772">
        <v>1.0555613576115364</v>
      </c>
      <c r="BQ413" s="772">
        <v>1.0631390906219473</v>
      </c>
      <c r="BR413" s="772">
        <v>1.0691071548224773</v>
      </c>
      <c r="BS413" s="772">
        <v>1.0751087214975339</v>
      </c>
      <c r="BT413" s="772">
        <v>1.0811439787174464</v>
      </c>
      <c r="BU413" s="772">
        <v>1.0872131156083003</v>
      </c>
      <c r="BV413" s="772">
        <v>1.0933163223578635</v>
      </c>
      <c r="BW413" s="771">
        <v>0</v>
      </c>
      <c r="BX413" s="771">
        <v>0</v>
      </c>
      <c r="BY413" s="771">
        <v>0</v>
      </c>
      <c r="BZ413" s="772">
        <v>0</v>
      </c>
      <c r="CA413" s="772">
        <v>0</v>
      </c>
      <c r="CB413" s="772">
        <v>0</v>
      </c>
      <c r="CC413" s="772">
        <v>0</v>
      </c>
      <c r="CD413" s="772">
        <v>0</v>
      </c>
      <c r="CE413" s="772">
        <v>0</v>
      </c>
      <c r="CF413" s="772">
        <v>0</v>
      </c>
      <c r="CG413" s="772">
        <v>0</v>
      </c>
      <c r="CH413" s="772">
        <v>0</v>
      </c>
      <c r="CI413" s="772">
        <v>0</v>
      </c>
      <c r="CJ413" s="772">
        <v>0</v>
      </c>
      <c r="CK413" s="772">
        <v>0</v>
      </c>
      <c r="CL413" s="771">
        <v>0</v>
      </c>
      <c r="CM413" s="771">
        <v>0</v>
      </c>
      <c r="CN413" s="771">
        <v>0</v>
      </c>
      <c r="CO413" s="772">
        <v>0</v>
      </c>
      <c r="CP413" s="772">
        <v>0</v>
      </c>
      <c r="CQ413" s="772">
        <v>0</v>
      </c>
      <c r="CR413" s="772">
        <v>0</v>
      </c>
      <c r="CS413" s="772">
        <v>0</v>
      </c>
      <c r="CT413" s="772">
        <v>0</v>
      </c>
      <c r="CU413" s="772">
        <v>0</v>
      </c>
      <c r="CV413" s="772">
        <v>0</v>
      </c>
      <c r="CW413" s="772">
        <v>0</v>
      </c>
      <c r="CX413" s="772">
        <v>0</v>
      </c>
      <c r="CY413" s="772">
        <v>0</v>
      </c>
      <c r="CZ413" s="772">
        <v>0</v>
      </c>
      <c r="DA413" s="773">
        <v>1.3167965247798544E-3</v>
      </c>
      <c r="DB413" s="773">
        <v>1.3344502962726033E-3</v>
      </c>
      <c r="DC413" s="773">
        <v>1.3523407449148232E-3</v>
      </c>
      <c r="DD413" s="774">
        <v>1.3434496978499935E-3</v>
      </c>
      <c r="DE413" s="774">
        <v>1.3346171055187107E-3</v>
      </c>
      <c r="DF413" s="774">
        <v>1.3441981422095879E-3</v>
      </c>
      <c r="DG413" s="774">
        <v>1.3538479598741934E-3</v>
      </c>
      <c r="DH413" s="774">
        <v>1.3635670522818863E-3</v>
      </c>
      <c r="DI413" s="774">
        <v>1.3733559167467295E-3</v>
      </c>
      <c r="DJ413" s="774">
        <v>1.3832150541529368E-3</v>
      </c>
      <c r="DK413" s="774">
        <v>1.3909799047911492E-3</v>
      </c>
      <c r="DL413" s="774">
        <v>1.3987883443891929E-3</v>
      </c>
      <c r="DM413" s="774">
        <v>1.4066406176391441E-3</v>
      </c>
      <c r="DN413" s="774">
        <v>1.4145369706066876E-3</v>
      </c>
      <c r="DO413" s="774">
        <v>1.4224776507388284E-3</v>
      </c>
      <c r="DP413" s="773">
        <v>0</v>
      </c>
      <c r="DQ413" s="773">
        <v>0</v>
      </c>
      <c r="DR413" s="773">
        <v>0</v>
      </c>
      <c r="DS413" s="774">
        <v>0</v>
      </c>
      <c r="DT413" s="774">
        <v>0</v>
      </c>
      <c r="DU413" s="774">
        <v>0</v>
      </c>
      <c r="DV413" s="774">
        <v>0</v>
      </c>
      <c r="DW413" s="774">
        <v>0</v>
      </c>
      <c r="DX413" s="774">
        <v>0</v>
      </c>
      <c r="DY413" s="774">
        <v>0</v>
      </c>
      <c r="DZ413" s="774">
        <v>0</v>
      </c>
      <c r="EA413" s="774">
        <v>0</v>
      </c>
      <c r="EB413" s="774">
        <v>0</v>
      </c>
      <c r="EC413" s="774">
        <v>0</v>
      </c>
      <c r="ED413" s="774">
        <v>0</v>
      </c>
    </row>
    <row r="414" spans="1:134" ht="15" x14ac:dyDescent="0.25">
      <c r="A414" s="766">
        <v>142</v>
      </c>
      <c r="B414" s="766">
        <v>110</v>
      </c>
      <c r="C414" s="766" t="s">
        <v>4085</v>
      </c>
      <c r="D414" s="2">
        <v>99712</v>
      </c>
      <c r="E414" s="2">
        <v>99712</v>
      </c>
      <c r="F414" s="767" t="s">
        <v>3676</v>
      </c>
      <c r="G414" s="114">
        <v>0</v>
      </c>
      <c r="H414" s="114">
        <v>1</v>
      </c>
      <c r="I414" s="114">
        <v>0</v>
      </c>
      <c r="J414" s="114">
        <v>1</v>
      </c>
      <c r="K414" s="114">
        <v>0</v>
      </c>
      <c r="L414" s="114">
        <v>0</v>
      </c>
      <c r="M414" s="114">
        <v>0</v>
      </c>
      <c r="N414" s="114">
        <v>0</v>
      </c>
      <c r="O414" s="114">
        <v>0</v>
      </c>
      <c r="P414" s="114">
        <v>0</v>
      </c>
      <c r="Q414" s="114">
        <v>0</v>
      </c>
      <c r="R414" s="114">
        <v>0</v>
      </c>
      <c r="S414" s="114">
        <v>834.49503068156923</v>
      </c>
      <c r="T414" s="114">
        <v>834.49503068156923</v>
      </c>
      <c r="U414" s="114">
        <v>1408.3846153846155</v>
      </c>
      <c r="V414" s="114">
        <v>0</v>
      </c>
      <c r="W414" s="114">
        <v>0</v>
      </c>
      <c r="X414" s="114">
        <v>1365.173957061457</v>
      </c>
      <c r="Y414" s="114">
        <v>2.2912335412335411E-2</v>
      </c>
      <c r="Z414" s="114">
        <v>0.97578828828828834</v>
      </c>
      <c r="AA414" s="114">
        <v>1.2993762993762994E-3</v>
      </c>
      <c r="AB414" s="657">
        <v>0</v>
      </c>
      <c r="AC414" s="657">
        <v>0</v>
      </c>
      <c r="AD414" s="768">
        <v>1</v>
      </c>
      <c r="AE414" s="769">
        <v>0</v>
      </c>
      <c r="AF414" s="769">
        <v>0</v>
      </c>
      <c r="AG414" s="770">
        <v>0</v>
      </c>
      <c r="AH414" s="769">
        <v>0</v>
      </c>
      <c r="AI414" s="769">
        <v>2.0829930512911272E-2</v>
      </c>
      <c r="AJ414" s="769">
        <v>0.8871030331292592</v>
      </c>
      <c r="AK414" s="769">
        <v>0.90793296364217047</v>
      </c>
      <c r="AL414" s="769">
        <v>1.1812815035677471E-3</v>
      </c>
      <c r="AM414" s="769">
        <v>0</v>
      </c>
      <c r="AN414" s="769">
        <v>0</v>
      </c>
      <c r="AO414" s="769">
        <v>0</v>
      </c>
      <c r="AP414" s="769">
        <v>0</v>
      </c>
      <c r="AQ414" s="769">
        <v>0</v>
      </c>
      <c r="AR414" s="769">
        <v>0</v>
      </c>
      <c r="AS414" s="769">
        <v>0.82541479088448488</v>
      </c>
      <c r="AT414" s="769">
        <v>0.86569122516162356</v>
      </c>
      <c r="AU414" s="769">
        <v>0.90793296364217047</v>
      </c>
      <c r="AV414" s="769">
        <v>0.95223590410559056</v>
      </c>
      <c r="AW414" s="769">
        <v>0.99870062370062374</v>
      </c>
      <c r="AX414" s="769">
        <v>0</v>
      </c>
      <c r="AY414" s="769">
        <v>0</v>
      </c>
      <c r="AZ414" s="769">
        <v>0</v>
      </c>
      <c r="BA414" s="769">
        <v>0</v>
      </c>
      <c r="BB414" s="769">
        <v>0</v>
      </c>
      <c r="BC414" s="769">
        <v>0</v>
      </c>
      <c r="BD414" s="769">
        <v>0</v>
      </c>
      <c r="BE414" s="769">
        <v>0</v>
      </c>
      <c r="BF414" s="769">
        <v>0</v>
      </c>
      <c r="BG414" s="769">
        <v>0</v>
      </c>
      <c r="BH414" s="771">
        <v>1.0113419507725885</v>
      </c>
      <c r="BI414" s="771">
        <v>1.0241432889092785</v>
      </c>
      <c r="BJ414" s="771">
        <v>1.0371066634946347</v>
      </c>
      <c r="BK414" s="772">
        <v>1.0302881422077084</v>
      </c>
      <c r="BL414" s="772">
        <v>1.0235144497066504</v>
      </c>
      <c r="BM414" s="772">
        <v>1.0308621222756087</v>
      </c>
      <c r="BN414" s="772">
        <v>1.0382625427976575</v>
      </c>
      <c r="BO414" s="772">
        <v>1.0457160899432576</v>
      </c>
      <c r="BP414" s="772">
        <v>1.0532231451012932</v>
      </c>
      <c r="BQ414" s="772">
        <v>1.0607840923985892</v>
      </c>
      <c r="BR414" s="772">
        <v>1.0667389365221667</v>
      </c>
      <c r="BS414" s="772">
        <v>1.072727208907716</v>
      </c>
      <c r="BT414" s="772">
        <v>1.0787490972089651</v>
      </c>
      <c r="BU414" s="772">
        <v>1.0848047901330593</v>
      </c>
      <c r="BV414" s="772">
        <v>1.0908944774464748</v>
      </c>
      <c r="BW414" s="771">
        <v>0</v>
      </c>
      <c r="BX414" s="771">
        <v>0</v>
      </c>
      <c r="BY414" s="771">
        <v>0</v>
      </c>
      <c r="BZ414" s="772">
        <v>0</v>
      </c>
      <c r="CA414" s="772">
        <v>0</v>
      </c>
      <c r="CB414" s="772">
        <v>0</v>
      </c>
      <c r="CC414" s="772">
        <v>0</v>
      </c>
      <c r="CD414" s="772">
        <v>0</v>
      </c>
      <c r="CE414" s="772">
        <v>0</v>
      </c>
      <c r="CF414" s="772">
        <v>0</v>
      </c>
      <c r="CG414" s="772">
        <v>0</v>
      </c>
      <c r="CH414" s="772">
        <v>0</v>
      </c>
      <c r="CI414" s="772">
        <v>0</v>
      </c>
      <c r="CJ414" s="772">
        <v>0</v>
      </c>
      <c r="CK414" s="772">
        <v>0</v>
      </c>
      <c r="CL414" s="771">
        <v>0</v>
      </c>
      <c r="CM414" s="771">
        <v>0</v>
      </c>
      <c r="CN414" s="771">
        <v>0</v>
      </c>
      <c r="CO414" s="772">
        <v>0</v>
      </c>
      <c r="CP414" s="772">
        <v>0</v>
      </c>
      <c r="CQ414" s="772">
        <v>0</v>
      </c>
      <c r="CR414" s="772">
        <v>0</v>
      </c>
      <c r="CS414" s="772">
        <v>0</v>
      </c>
      <c r="CT414" s="772">
        <v>0</v>
      </c>
      <c r="CU414" s="772">
        <v>0</v>
      </c>
      <c r="CV414" s="772">
        <v>0</v>
      </c>
      <c r="CW414" s="772">
        <v>0</v>
      </c>
      <c r="CX414" s="772">
        <v>0</v>
      </c>
      <c r="CY414" s="772">
        <v>0</v>
      </c>
      <c r="CZ414" s="772">
        <v>0</v>
      </c>
      <c r="DA414" s="773">
        <v>1.3158235112836177E-3</v>
      </c>
      <c r="DB414" s="773">
        <v>1.3324789082868574E-3</v>
      </c>
      <c r="DC414" s="773">
        <v>1.3493451255459728E-3</v>
      </c>
      <c r="DD414" s="774">
        <v>1.3404737733641796E-3</v>
      </c>
      <c r="DE414" s="774">
        <v>1.3316607464307186E-3</v>
      </c>
      <c r="DF414" s="774">
        <v>1.3412205598173415E-3</v>
      </c>
      <c r="DG414" s="774">
        <v>1.3508490018184459E-3</v>
      </c>
      <c r="DH414" s="774">
        <v>1.3605465651096247E-3</v>
      </c>
      <c r="DI414" s="774">
        <v>1.3703137459033219E-3</v>
      </c>
      <c r="DJ414" s="774">
        <v>1.3801510439742247E-3</v>
      </c>
      <c r="DK414" s="774">
        <v>1.3878986944082315E-3</v>
      </c>
      <c r="DL414" s="774">
        <v>1.3956898372465732E-3</v>
      </c>
      <c r="DM414" s="774">
        <v>1.4035247166392989E-3</v>
      </c>
      <c r="DN414" s="774">
        <v>1.4114035781070248E-3</v>
      </c>
      <c r="DO414" s="774">
        <v>1.4193266685486271E-3</v>
      </c>
      <c r="DP414" s="773">
        <v>0</v>
      </c>
      <c r="DQ414" s="773">
        <v>0</v>
      </c>
      <c r="DR414" s="773">
        <v>0</v>
      </c>
      <c r="DS414" s="774">
        <v>0</v>
      </c>
      <c r="DT414" s="774">
        <v>0</v>
      </c>
      <c r="DU414" s="774">
        <v>0</v>
      </c>
      <c r="DV414" s="774">
        <v>0</v>
      </c>
      <c r="DW414" s="774">
        <v>0</v>
      </c>
      <c r="DX414" s="774">
        <v>0</v>
      </c>
      <c r="DY414" s="774">
        <v>0</v>
      </c>
      <c r="DZ414" s="774">
        <v>0</v>
      </c>
      <c r="EA414" s="774">
        <v>0</v>
      </c>
      <c r="EB414" s="774">
        <v>0</v>
      </c>
      <c r="EC414" s="774">
        <v>0</v>
      </c>
      <c r="ED414" s="774">
        <v>0</v>
      </c>
    </row>
    <row r="415" spans="1:134" ht="15" x14ac:dyDescent="0.25">
      <c r="A415" s="766">
        <v>161</v>
      </c>
      <c r="B415" s="766">
        <v>110</v>
      </c>
      <c r="C415" s="766" t="s">
        <v>4086</v>
      </c>
      <c r="D415" s="2">
        <v>99712</v>
      </c>
      <c r="E415" s="2">
        <v>99712</v>
      </c>
      <c r="F415" s="767" t="s">
        <v>3676</v>
      </c>
      <c r="G415" s="114">
        <v>2</v>
      </c>
      <c r="H415" s="114">
        <v>3</v>
      </c>
      <c r="I415" s="114">
        <v>1</v>
      </c>
      <c r="J415" s="114">
        <v>2</v>
      </c>
      <c r="K415" s="114">
        <v>0</v>
      </c>
      <c r="L415" s="114">
        <v>9</v>
      </c>
      <c r="M415" s="114">
        <v>9</v>
      </c>
      <c r="N415" s="114">
        <v>1</v>
      </c>
      <c r="O415" s="114">
        <v>0</v>
      </c>
      <c r="P415" s="114">
        <v>0</v>
      </c>
      <c r="Q415" s="114">
        <v>10</v>
      </c>
      <c r="R415" s="114">
        <v>0</v>
      </c>
      <c r="S415" s="114">
        <v>470</v>
      </c>
      <c r="T415" s="114">
        <v>470</v>
      </c>
      <c r="U415" s="114">
        <v>2881</v>
      </c>
      <c r="V415" s="114">
        <v>0</v>
      </c>
      <c r="W415" s="114">
        <v>0</v>
      </c>
      <c r="X415" s="114">
        <v>711.1</v>
      </c>
      <c r="Y415" s="114">
        <v>0</v>
      </c>
      <c r="Z415" s="114">
        <v>3</v>
      </c>
      <c r="AA415" s="114">
        <v>0</v>
      </c>
      <c r="AB415" s="657">
        <v>1</v>
      </c>
      <c r="AC415" s="657">
        <v>0</v>
      </c>
      <c r="AD415" s="768">
        <v>4</v>
      </c>
      <c r="AE415" s="769">
        <v>0</v>
      </c>
      <c r="AF415" s="769">
        <v>1</v>
      </c>
      <c r="AG415" s="770">
        <v>1</v>
      </c>
      <c r="AH415" s="769">
        <v>0</v>
      </c>
      <c r="AI415" s="769">
        <v>0</v>
      </c>
      <c r="AJ415" s="769">
        <v>2.7273427354372148</v>
      </c>
      <c r="AK415" s="769">
        <v>2.7273427354372148</v>
      </c>
      <c r="AL415" s="769">
        <v>0</v>
      </c>
      <c r="AM415" s="769">
        <v>0</v>
      </c>
      <c r="AN415" s="769">
        <v>0.91245411038790925</v>
      </c>
      <c r="AO415" s="769">
        <v>0.91245411038790925</v>
      </c>
      <c r="AP415" s="769">
        <v>0</v>
      </c>
      <c r="AQ415" s="769">
        <v>0.92984135081383867</v>
      </c>
      <c r="AR415" s="769">
        <v>0</v>
      </c>
      <c r="AS415" s="769">
        <v>2.4794661321807161</v>
      </c>
      <c r="AT415" s="769">
        <v>2.600452642015556</v>
      </c>
      <c r="AU415" s="769">
        <v>2.7273427354372148</v>
      </c>
      <c r="AV415" s="769">
        <v>2.8604244800923593</v>
      </c>
      <c r="AW415" s="769">
        <v>3</v>
      </c>
      <c r="AX415" s="769">
        <v>0.83257250356379087</v>
      </c>
      <c r="AY415" s="769">
        <v>0.87159864792961517</v>
      </c>
      <c r="AZ415" s="769">
        <v>0.91245411038790925</v>
      </c>
      <c r="BA415" s="769">
        <v>0.9552246387043779</v>
      </c>
      <c r="BB415" s="769">
        <v>1</v>
      </c>
      <c r="BC415" s="769">
        <v>0.86460493768330426</v>
      </c>
      <c r="BD415" s="769">
        <v>0.89663003695825327</v>
      </c>
      <c r="BE415" s="769">
        <v>0.92984135081383867</v>
      </c>
      <c r="BF415" s="769">
        <v>0.96428281681975381</v>
      </c>
      <c r="BG415" s="769">
        <v>1</v>
      </c>
      <c r="BH415" s="771">
        <v>3.0379733228516161</v>
      </c>
      <c r="BI415" s="771">
        <v>3.0764273034526965</v>
      </c>
      <c r="BJ415" s="771">
        <v>3.1153680258605418</v>
      </c>
      <c r="BK415" s="772">
        <v>3.094885847943218</v>
      </c>
      <c r="BL415" s="772">
        <v>3.0745383313592431</v>
      </c>
      <c r="BM415" s="772">
        <v>3.0966100285062779</v>
      </c>
      <c r="BN415" s="772">
        <v>3.1188401753984278</v>
      </c>
      <c r="BO415" s="772">
        <v>3.1412299095251015</v>
      </c>
      <c r="BP415" s="772">
        <v>3.1637803765415899</v>
      </c>
      <c r="BQ415" s="772">
        <v>3.1864927303276898</v>
      </c>
      <c r="BR415" s="772">
        <v>3.2043805056497248</v>
      </c>
      <c r="BS415" s="772">
        <v>3.2223686962348879</v>
      </c>
      <c r="BT415" s="772">
        <v>3.2404578657768131</v>
      </c>
      <c r="BU415" s="772">
        <v>3.2586485811334986</v>
      </c>
      <c r="BV415" s="772">
        <v>3.27694141234507</v>
      </c>
      <c r="BW415" s="771">
        <v>1.012657774283872</v>
      </c>
      <c r="BX415" s="771">
        <v>1.0254757678175654</v>
      </c>
      <c r="BY415" s="771">
        <v>1.0384560086201806</v>
      </c>
      <c r="BZ415" s="772">
        <v>1.0316286159810726</v>
      </c>
      <c r="CA415" s="772">
        <v>1.024846110453081</v>
      </c>
      <c r="CB415" s="772">
        <v>1.032203342835426</v>
      </c>
      <c r="CC415" s="772">
        <v>1.0396133917994759</v>
      </c>
      <c r="CD415" s="772">
        <v>1.047076636508367</v>
      </c>
      <c r="CE415" s="772">
        <v>1.0545934588471966</v>
      </c>
      <c r="CF415" s="772">
        <v>1.0621642434425633</v>
      </c>
      <c r="CG415" s="772">
        <v>1.0681268352165749</v>
      </c>
      <c r="CH415" s="772">
        <v>1.0741228987449627</v>
      </c>
      <c r="CI415" s="772">
        <v>1.0801526219256044</v>
      </c>
      <c r="CJ415" s="772">
        <v>1.0862161937111663</v>
      </c>
      <c r="CK415" s="772">
        <v>1.0923138041150233</v>
      </c>
      <c r="CL415" s="771">
        <v>1.012657774283872</v>
      </c>
      <c r="CM415" s="771">
        <v>1.0254757678175654</v>
      </c>
      <c r="CN415" s="771">
        <v>1.0384560086201806</v>
      </c>
      <c r="CO415" s="772">
        <v>1.0316286159810726</v>
      </c>
      <c r="CP415" s="772">
        <v>1.024846110453081</v>
      </c>
      <c r="CQ415" s="772">
        <v>1.032203342835426</v>
      </c>
      <c r="CR415" s="772">
        <v>1.0396133917994759</v>
      </c>
      <c r="CS415" s="772">
        <v>1.047076636508367</v>
      </c>
      <c r="CT415" s="772">
        <v>1.0545934588471966</v>
      </c>
      <c r="CU415" s="772">
        <v>1.0621642434425633</v>
      </c>
      <c r="CV415" s="772">
        <v>1.0681268352165749</v>
      </c>
      <c r="CW415" s="772">
        <v>1.0741228987449627</v>
      </c>
      <c r="CX415" s="772">
        <v>1.0801526219256044</v>
      </c>
      <c r="CY415" s="772">
        <v>1.0862161937111663</v>
      </c>
      <c r="CZ415" s="772">
        <v>1.0923138041150233</v>
      </c>
      <c r="DA415" s="773">
        <v>0</v>
      </c>
      <c r="DB415" s="773">
        <v>0</v>
      </c>
      <c r="DC415" s="773">
        <v>0</v>
      </c>
      <c r="DD415" s="774">
        <v>0</v>
      </c>
      <c r="DE415" s="774">
        <v>0</v>
      </c>
      <c r="DF415" s="774">
        <v>0</v>
      </c>
      <c r="DG415" s="774">
        <v>0</v>
      </c>
      <c r="DH415" s="774">
        <v>0</v>
      </c>
      <c r="DI415" s="774">
        <v>0</v>
      </c>
      <c r="DJ415" s="774">
        <v>0</v>
      </c>
      <c r="DK415" s="774">
        <v>0</v>
      </c>
      <c r="DL415" s="774">
        <v>0</v>
      </c>
      <c r="DM415" s="774">
        <v>0</v>
      </c>
      <c r="DN415" s="774">
        <v>0</v>
      </c>
      <c r="DO415" s="774">
        <v>0</v>
      </c>
      <c r="DP415" s="773">
        <v>0</v>
      </c>
      <c r="DQ415" s="773">
        <v>0</v>
      </c>
      <c r="DR415" s="773">
        <v>0</v>
      </c>
      <c r="DS415" s="774">
        <v>0</v>
      </c>
      <c r="DT415" s="774">
        <v>0</v>
      </c>
      <c r="DU415" s="774">
        <v>0</v>
      </c>
      <c r="DV415" s="774">
        <v>0</v>
      </c>
      <c r="DW415" s="774">
        <v>0</v>
      </c>
      <c r="DX415" s="774">
        <v>0</v>
      </c>
      <c r="DY415" s="774">
        <v>0</v>
      </c>
      <c r="DZ415" s="774">
        <v>0</v>
      </c>
      <c r="EA415" s="774">
        <v>0</v>
      </c>
      <c r="EB415" s="774">
        <v>0</v>
      </c>
      <c r="EC415" s="774">
        <v>0</v>
      </c>
      <c r="ED415" s="774">
        <v>0</v>
      </c>
    </row>
    <row r="416" spans="1:134" ht="15" x14ac:dyDescent="0.25">
      <c r="A416" s="766">
        <v>111</v>
      </c>
      <c r="B416" s="766">
        <v>111</v>
      </c>
      <c r="C416" s="766" t="s">
        <v>4087</v>
      </c>
      <c r="D416" s="2">
        <v>99712</v>
      </c>
      <c r="E416" s="2">
        <v>99712</v>
      </c>
      <c r="F416" s="767" t="s">
        <v>3676</v>
      </c>
      <c r="G416" s="114">
        <v>2</v>
      </c>
      <c r="H416" s="114">
        <v>1</v>
      </c>
      <c r="I416" s="114">
        <v>1</v>
      </c>
      <c r="J416" s="114">
        <v>0</v>
      </c>
      <c r="K416" s="114">
        <v>0</v>
      </c>
      <c r="L416" s="114">
        <v>6</v>
      </c>
      <c r="M416" s="114">
        <v>6</v>
      </c>
      <c r="N416" s="114">
        <v>0</v>
      </c>
      <c r="O416" s="114">
        <v>0</v>
      </c>
      <c r="P416" s="114">
        <v>0</v>
      </c>
      <c r="Q416" s="114">
        <v>6</v>
      </c>
      <c r="R416" s="114">
        <v>0</v>
      </c>
      <c r="S416" s="114">
        <v>1628.6666666666667</v>
      </c>
      <c r="T416" s="114">
        <v>1628.6666666666667</v>
      </c>
      <c r="U416" s="114">
        <v>0</v>
      </c>
      <c r="V416" s="114">
        <v>0</v>
      </c>
      <c r="W416" s="114">
        <v>0</v>
      </c>
      <c r="X416" s="114">
        <v>1628.6666666666667</v>
      </c>
      <c r="Y416" s="114">
        <v>0</v>
      </c>
      <c r="Z416" s="114">
        <v>1</v>
      </c>
      <c r="AA416" s="114">
        <v>0</v>
      </c>
      <c r="AB416" s="657">
        <v>0</v>
      </c>
      <c r="AC416" s="657">
        <v>0</v>
      </c>
      <c r="AD416" s="768">
        <v>1</v>
      </c>
      <c r="AE416" s="769">
        <v>0</v>
      </c>
      <c r="AF416" s="769">
        <v>1</v>
      </c>
      <c r="AG416" s="770">
        <v>1</v>
      </c>
      <c r="AH416" s="769">
        <v>0</v>
      </c>
      <c r="AI416" s="769">
        <v>0</v>
      </c>
      <c r="AJ416" s="769">
        <v>0.90911424514573824</v>
      </c>
      <c r="AK416" s="769">
        <v>0.90911424514573824</v>
      </c>
      <c r="AL416" s="769">
        <v>0</v>
      </c>
      <c r="AM416" s="769">
        <v>0</v>
      </c>
      <c r="AN416" s="769">
        <v>0.91245411038790925</v>
      </c>
      <c r="AO416" s="769">
        <v>0.91245411038790925</v>
      </c>
      <c r="AP416" s="769">
        <v>0</v>
      </c>
      <c r="AQ416" s="769">
        <v>0</v>
      </c>
      <c r="AR416" s="769">
        <v>0</v>
      </c>
      <c r="AS416" s="769">
        <v>0.82648871072690544</v>
      </c>
      <c r="AT416" s="769">
        <v>0.86681754733851879</v>
      </c>
      <c r="AU416" s="769">
        <v>0.90911424514573824</v>
      </c>
      <c r="AV416" s="769">
        <v>0.95347482669745309</v>
      </c>
      <c r="AW416" s="769">
        <v>1</v>
      </c>
      <c r="AX416" s="769">
        <v>0.83257250356379087</v>
      </c>
      <c r="AY416" s="769">
        <v>0.87159864792961517</v>
      </c>
      <c r="AZ416" s="769">
        <v>0.91245411038790925</v>
      </c>
      <c r="BA416" s="769">
        <v>0.9552246387043779</v>
      </c>
      <c r="BB416" s="769">
        <v>1</v>
      </c>
      <c r="BC416" s="769">
        <v>0</v>
      </c>
      <c r="BD416" s="769">
        <v>0</v>
      </c>
      <c r="BE416" s="769">
        <v>0</v>
      </c>
      <c r="BF416" s="769">
        <v>0</v>
      </c>
      <c r="BG416" s="769">
        <v>0</v>
      </c>
      <c r="BH416" s="771">
        <v>1.0134066054705759</v>
      </c>
      <c r="BI416" s="771">
        <v>1.0269929480113955</v>
      </c>
      <c r="BJ416" s="771">
        <v>1.040761437286448</v>
      </c>
      <c r="BK416" s="772">
        <v>1.0339188874653549</v>
      </c>
      <c r="BL416" s="772">
        <v>1.0271213244071997</v>
      </c>
      <c r="BM416" s="772">
        <v>1.034494890244499</v>
      </c>
      <c r="BN416" s="772">
        <v>1.0419213899191793</v>
      </c>
      <c r="BO416" s="772">
        <v>1.0494012034361397</v>
      </c>
      <c r="BP416" s="772">
        <v>1.0569347135282832</v>
      </c>
      <c r="BQ416" s="772">
        <v>1.0645223056761002</v>
      </c>
      <c r="BR416" s="772">
        <v>1.0704981347272684</v>
      </c>
      <c r="BS416" s="772">
        <v>1.076507509841923</v>
      </c>
      <c r="BT416" s="772">
        <v>1.0825506193350853</v>
      </c>
      <c r="BU416" s="772">
        <v>1.0886276525789067</v>
      </c>
      <c r="BV416" s="772">
        <v>1.0947388000086022</v>
      </c>
      <c r="BW416" s="771">
        <v>1.0134066054705759</v>
      </c>
      <c r="BX416" s="771">
        <v>1.0269929480113955</v>
      </c>
      <c r="BY416" s="771">
        <v>1.040761437286448</v>
      </c>
      <c r="BZ416" s="772">
        <v>1.0339188874653549</v>
      </c>
      <c r="CA416" s="772">
        <v>1.0271213244071997</v>
      </c>
      <c r="CB416" s="772">
        <v>1.034494890244499</v>
      </c>
      <c r="CC416" s="772">
        <v>1.0419213899191793</v>
      </c>
      <c r="CD416" s="772">
        <v>1.0494012034361397</v>
      </c>
      <c r="CE416" s="772">
        <v>1.0569347135282832</v>
      </c>
      <c r="CF416" s="772">
        <v>1.0645223056761002</v>
      </c>
      <c r="CG416" s="772">
        <v>1.0704981347272684</v>
      </c>
      <c r="CH416" s="772">
        <v>1.076507509841923</v>
      </c>
      <c r="CI416" s="772">
        <v>1.0825506193350853</v>
      </c>
      <c r="CJ416" s="772">
        <v>1.0886276525789067</v>
      </c>
      <c r="CK416" s="772">
        <v>1.0947388000086022</v>
      </c>
      <c r="CL416" s="771">
        <v>0</v>
      </c>
      <c r="CM416" s="771">
        <v>0</v>
      </c>
      <c r="CN416" s="771">
        <v>0</v>
      </c>
      <c r="CO416" s="772">
        <v>0</v>
      </c>
      <c r="CP416" s="772">
        <v>0</v>
      </c>
      <c r="CQ416" s="772">
        <v>0</v>
      </c>
      <c r="CR416" s="772">
        <v>0</v>
      </c>
      <c r="CS416" s="772">
        <v>0</v>
      </c>
      <c r="CT416" s="772">
        <v>0</v>
      </c>
      <c r="CU416" s="772">
        <v>0</v>
      </c>
      <c r="CV416" s="772">
        <v>0</v>
      </c>
      <c r="CW416" s="772">
        <v>0</v>
      </c>
      <c r="CX416" s="772">
        <v>0</v>
      </c>
      <c r="CY416" s="772">
        <v>0</v>
      </c>
      <c r="CZ416" s="772">
        <v>0</v>
      </c>
      <c r="DA416" s="773">
        <v>0</v>
      </c>
      <c r="DB416" s="773">
        <v>0</v>
      </c>
      <c r="DC416" s="773">
        <v>0</v>
      </c>
      <c r="DD416" s="774">
        <v>0</v>
      </c>
      <c r="DE416" s="774">
        <v>0</v>
      </c>
      <c r="DF416" s="774">
        <v>0</v>
      </c>
      <c r="DG416" s="774">
        <v>0</v>
      </c>
      <c r="DH416" s="774">
        <v>0</v>
      </c>
      <c r="DI416" s="774">
        <v>0</v>
      </c>
      <c r="DJ416" s="774">
        <v>0</v>
      </c>
      <c r="DK416" s="774">
        <v>0</v>
      </c>
      <c r="DL416" s="774">
        <v>0</v>
      </c>
      <c r="DM416" s="774">
        <v>0</v>
      </c>
      <c r="DN416" s="774">
        <v>0</v>
      </c>
      <c r="DO416" s="774">
        <v>0</v>
      </c>
      <c r="DP416" s="773">
        <v>0</v>
      </c>
      <c r="DQ416" s="773">
        <v>0</v>
      </c>
      <c r="DR416" s="773">
        <v>0</v>
      </c>
      <c r="DS416" s="774">
        <v>0</v>
      </c>
      <c r="DT416" s="774">
        <v>0</v>
      </c>
      <c r="DU416" s="774">
        <v>0</v>
      </c>
      <c r="DV416" s="774">
        <v>0</v>
      </c>
      <c r="DW416" s="774">
        <v>0</v>
      </c>
      <c r="DX416" s="774">
        <v>0</v>
      </c>
      <c r="DY416" s="774">
        <v>0</v>
      </c>
      <c r="DZ416" s="774">
        <v>0</v>
      </c>
      <c r="EA416" s="774">
        <v>0</v>
      </c>
      <c r="EB416" s="774">
        <v>0</v>
      </c>
      <c r="EC416" s="774">
        <v>0</v>
      </c>
      <c r="ED416" s="774">
        <v>0</v>
      </c>
    </row>
    <row r="417" spans="1:134" ht="15" x14ac:dyDescent="0.25">
      <c r="A417" s="766">
        <v>112</v>
      </c>
      <c r="B417" s="766">
        <v>111</v>
      </c>
      <c r="C417" s="766" t="s">
        <v>4088</v>
      </c>
      <c r="D417" s="2">
        <v>99712</v>
      </c>
      <c r="E417" s="2">
        <v>99712</v>
      </c>
      <c r="F417" s="767" t="s">
        <v>3676</v>
      </c>
      <c r="G417" s="114">
        <v>0</v>
      </c>
      <c r="H417" s="114">
        <v>1</v>
      </c>
      <c r="I417" s="114">
        <v>0</v>
      </c>
      <c r="J417" s="114">
        <v>1</v>
      </c>
      <c r="K417" s="114">
        <v>0</v>
      </c>
      <c r="L417" s="114">
        <v>5</v>
      </c>
      <c r="M417" s="114">
        <v>5</v>
      </c>
      <c r="N417" s="114">
        <v>0</v>
      </c>
      <c r="O417" s="114">
        <v>0</v>
      </c>
      <c r="P417" s="114">
        <v>0</v>
      </c>
      <c r="Q417" s="114">
        <v>5</v>
      </c>
      <c r="R417" s="114">
        <v>0</v>
      </c>
      <c r="S417" s="114">
        <v>718.4</v>
      </c>
      <c r="T417" s="114">
        <v>718.4</v>
      </c>
      <c r="U417" s="114">
        <v>0</v>
      </c>
      <c r="V417" s="114">
        <v>0</v>
      </c>
      <c r="W417" s="114">
        <v>0</v>
      </c>
      <c r="X417" s="114">
        <v>718.4</v>
      </c>
      <c r="Y417" s="114">
        <v>0</v>
      </c>
      <c r="Z417" s="114">
        <v>1</v>
      </c>
      <c r="AA417" s="114">
        <v>0</v>
      </c>
      <c r="AB417" s="657">
        <v>0</v>
      </c>
      <c r="AC417" s="657">
        <v>0</v>
      </c>
      <c r="AD417" s="768">
        <v>1</v>
      </c>
      <c r="AE417" s="769">
        <v>0</v>
      </c>
      <c r="AF417" s="769">
        <v>0</v>
      </c>
      <c r="AG417" s="770">
        <v>0</v>
      </c>
      <c r="AH417" s="769">
        <v>0</v>
      </c>
      <c r="AI417" s="769">
        <v>0</v>
      </c>
      <c r="AJ417" s="769">
        <v>0.90911424514573824</v>
      </c>
      <c r="AK417" s="769">
        <v>0.90911424514573824</v>
      </c>
      <c r="AL417" s="769">
        <v>0</v>
      </c>
      <c r="AM417" s="769">
        <v>0</v>
      </c>
      <c r="AN417" s="769">
        <v>0</v>
      </c>
      <c r="AO417" s="769">
        <v>0</v>
      </c>
      <c r="AP417" s="769">
        <v>0</v>
      </c>
      <c r="AQ417" s="769">
        <v>0</v>
      </c>
      <c r="AR417" s="769">
        <v>0</v>
      </c>
      <c r="AS417" s="769">
        <v>0.82648871072690544</v>
      </c>
      <c r="AT417" s="769">
        <v>0.86681754733851879</v>
      </c>
      <c r="AU417" s="769">
        <v>0.90911424514573824</v>
      </c>
      <c r="AV417" s="769">
        <v>0.95347482669745309</v>
      </c>
      <c r="AW417" s="769">
        <v>1</v>
      </c>
      <c r="AX417" s="769">
        <v>0</v>
      </c>
      <c r="AY417" s="769">
        <v>0</v>
      </c>
      <c r="AZ417" s="769">
        <v>0</v>
      </c>
      <c r="BA417" s="769">
        <v>0</v>
      </c>
      <c r="BB417" s="769">
        <v>0</v>
      </c>
      <c r="BC417" s="769">
        <v>0</v>
      </c>
      <c r="BD417" s="769">
        <v>0</v>
      </c>
      <c r="BE417" s="769">
        <v>0</v>
      </c>
      <c r="BF417" s="769">
        <v>0</v>
      </c>
      <c r="BG417" s="769">
        <v>0</v>
      </c>
      <c r="BH417" s="771">
        <v>1.0134066054705759</v>
      </c>
      <c r="BI417" s="771">
        <v>1.0269929480113955</v>
      </c>
      <c r="BJ417" s="771">
        <v>1.040761437286448</v>
      </c>
      <c r="BK417" s="772">
        <v>1.0339188874653549</v>
      </c>
      <c r="BL417" s="772">
        <v>1.0271213244071997</v>
      </c>
      <c r="BM417" s="772">
        <v>1.034494890244499</v>
      </c>
      <c r="BN417" s="772">
        <v>1.0419213899191793</v>
      </c>
      <c r="BO417" s="772">
        <v>1.0494012034361397</v>
      </c>
      <c r="BP417" s="772">
        <v>1.0569347135282832</v>
      </c>
      <c r="BQ417" s="772">
        <v>1.0645223056761002</v>
      </c>
      <c r="BR417" s="772">
        <v>1.0704981347272684</v>
      </c>
      <c r="BS417" s="772">
        <v>1.076507509841923</v>
      </c>
      <c r="BT417" s="772">
        <v>1.0825506193350853</v>
      </c>
      <c r="BU417" s="772">
        <v>1.0886276525789067</v>
      </c>
      <c r="BV417" s="772">
        <v>1.0947388000086022</v>
      </c>
      <c r="BW417" s="771">
        <v>0</v>
      </c>
      <c r="BX417" s="771">
        <v>0</v>
      </c>
      <c r="BY417" s="771">
        <v>0</v>
      </c>
      <c r="BZ417" s="772">
        <v>0</v>
      </c>
      <c r="CA417" s="772">
        <v>0</v>
      </c>
      <c r="CB417" s="772">
        <v>0</v>
      </c>
      <c r="CC417" s="772">
        <v>0</v>
      </c>
      <c r="CD417" s="772">
        <v>0</v>
      </c>
      <c r="CE417" s="772">
        <v>0</v>
      </c>
      <c r="CF417" s="772">
        <v>0</v>
      </c>
      <c r="CG417" s="772">
        <v>0</v>
      </c>
      <c r="CH417" s="772">
        <v>0</v>
      </c>
      <c r="CI417" s="772">
        <v>0</v>
      </c>
      <c r="CJ417" s="772">
        <v>0</v>
      </c>
      <c r="CK417" s="772">
        <v>0</v>
      </c>
      <c r="CL417" s="771">
        <v>0</v>
      </c>
      <c r="CM417" s="771">
        <v>0</v>
      </c>
      <c r="CN417" s="771">
        <v>0</v>
      </c>
      <c r="CO417" s="772">
        <v>0</v>
      </c>
      <c r="CP417" s="772">
        <v>0</v>
      </c>
      <c r="CQ417" s="772">
        <v>0</v>
      </c>
      <c r="CR417" s="772">
        <v>0</v>
      </c>
      <c r="CS417" s="772">
        <v>0</v>
      </c>
      <c r="CT417" s="772">
        <v>0</v>
      </c>
      <c r="CU417" s="772">
        <v>0</v>
      </c>
      <c r="CV417" s="772">
        <v>0</v>
      </c>
      <c r="CW417" s="772">
        <v>0</v>
      </c>
      <c r="CX417" s="772">
        <v>0</v>
      </c>
      <c r="CY417" s="772">
        <v>0</v>
      </c>
      <c r="CZ417" s="772">
        <v>0</v>
      </c>
      <c r="DA417" s="773">
        <v>0</v>
      </c>
      <c r="DB417" s="773">
        <v>0</v>
      </c>
      <c r="DC417" s="773">
        <v>0</v>
      </c>
      <c r="DD417" s="774">
        <v>0</v>
      </c>
      <c r="DE417" s="774">
        <v>0</v>
      </c>
      <c r="DF417" s="774">
        <v>0</v>
      </c>
      <c r="DG417" s="774">
        <v>0</v>
      </c>
      <c r="DH417" s="774">
        <v>0</v>
      </c>
      <c r="DI417" s="774">
        <v>0</v>
      </c>
      <c r="DJ417" s="774">
        <v>0</v>
      </c>
      <c r="DK417" s="774">
        <v>0</v>
      </c>
      <c r="DL417" s="774">
        <v>0</v>
      </c>
      <c r="DM417" s="774">
        <v>0</v>
      </c>
      <c r="DN417" s="774">
        <v>0</v>
      </c>
      <c r="DO417" s="774">
        <v>0</v>
      </c>
      <c r="DP417" s="773">
        <v>0</v>
      </c>
      <c r="DQ417" s="773">
        <v>0</v>
      </c>
      <c r="DR417" s="773">
        <v>0</v>
      </c>
      <c r="DS417" s="774">
        <v>0</v>
      </c>
      <c r="DT417" s="774">
        <v>0</v>
      </c>
      <c r="DU417" s="774">
        <v>0</v>
      </c>
      <c r="DV417" s="774">
        <v>0</v>
      </c>
      <c r="DW417" s="774">
        <v>0</v>
      </c>
      <c r="DX417" s="774">
        <v>0</v>
      </c>
      <c r="DY417" s="774">
        <v>0</v>
      </c>
      <c r="DZ417" s="774">
        <v>0</v>
      </c>
      <c r="EA417" s="774">
        <v>0</v>
      </c>
      <c r="EB417" s="774">
        <v>0</v>
      </c>
      <c r="EC417" s="774">
        <v>0</v>
      </c>
      <c r="ED417" s="774">
        <v>0</v>
      </c>
    </row>
    <row r="418" spans="1:134" ht="15" x14ac:dyDescent="0.25">
      <c r="A418" s="766">
        <v>118</v>
      </c>
      <c r="B418" s="766">
        <v>111</v>
      </c>
      <c r="C418" s="766" t="s">
        <v>4089</v>
      </c>
      <c r="D418" s="2">
        <v>99712</v>
      </c>
      <c r="E418" s="2">
        <v>99712</v>
      </c>
      <c r="F418" s="767" t="s">
        <v>3676</v>
      </c>
      <c r="G418" s="114">
        <v>21</v>
      </c>
      <c r="H418" s="114">
        <v>23</v>
      </c>
      <c r="I418" s="114">
        <v>13</v>
      </c>
      <c r="J418" s="114">
        <v>10</v>
      </c>
      <c r="K418" s="114">
        <v>0</v>
      </c>
      <c r="L418" s="114">
        <v>3</v>
      </c>
      <c r="M418" s="114">
        <v>3</v>
      </c>
      <c r="N418" s="114">
        <v>0</v>
      </c>
      <c r="O418" s="114">
        <v>0</v>
      </c>
      <c r="P418" s="114">
        <v>0</v>
      </c>
      <c r="Q418" s="114">
        <v>3</v>
      </c>
      <c r="R418" s="114">
        <v>0</v>
      </c>
      <c r="S418" s="114">
        <v>633</v>
      </c>
      <c r="T418" s="114">
        <v>633</v>
      </c>
      <c r="U418" s="114">
        <v>0</v>
      </c>
      <c r="V418" s="114">
        <v>0</v>
      </c>
      <c r="W418" s="114">
        <v>0</v>
      </c>
      <c r="X418" s="114">
        <v>633</v>
      </c>
      <c r="Y418" s="114">
        <v>0</v>
      </c>
      <c r="Z418" s="114">
        <v>23</v>
      </c>
      <c r="AA418" s="114">
        <v>0</v>
      </c>
      <c r="AB418" s="657">
        <v>0</v>
      </c>
      <c r="AC418" s="657">
        <v>0</v>
      </c>
      <c r="AD418" s="768">
        <v>23</v>
      </c>
      <c r="AE418" s="769">
        <v>0</v>
      </c>
      <c r="AF418" s="769">
        <v>13</v>
      </c>
      <c r="AG418" s="770">
        <v>13</v>
      </c>
      <c r="AH418" s="769">
        <v>0</v>
      </c>
      <c r="AI418" s="769">
        <v>0</v>
      </c>
      <c r="AJ418" s="769">
        <v>20.909627638351978</v>
      </c>
      <c r="AK418" s="769">
        <v>20.909627638351978</v>
      </c>
      <c r="AL418" s="769">
        <v>0</v>
      </c>
      <c r="AM418" s="769">
        <v>0</v>
      </c>
      <c r="AN418" s="769">
        <v>11.861903435042819</v>
      </c>
      <c r="AO418" s="769">
        <v>11.861903435042819</v>
      </c>
      <c r="AP418" s="769">
        <v>0</v>
      </c>
      <c r="AQ418" s="769">
        <v>0</v>
      </c>
      <c r="AR418" s="769">
        <v>0</v>
      </c>
      <c r="AS418" s="769">
        <v>19.009240346718826</v>
      </c>
      <c r="AT418" s="769">
        <v>19.936803588785931</v>
      </c>
      <c r="AU418" s="769">
        <v>20.909627638351978</v>
      </c>
      <c r="AV418" s="769">
        <v>21.929921014041422</v>
      </c>
      <c r="AW418" s="769">
        <v>23</v>
      </c>
      <c r="AX418" s="769">
        <v>10.82344254632928</v>
      </c>
      <c r="AY418" s="769">
        <v>11.330782423084997</v>
      </c>
      <c r="AZ418" s="769">
        <v>11.861903435042819</v>
      </c>
      <c r="BA418" s="769">
        <v>12.417920303156913</v>
      </c>
      <c r="BB418" s="769">
        <v>13</v>
      </c>
      <c r="BC418" s="769">
        <v>0</v>
      </c>
      <c r="BD418" s="769">
        <v>0</v>
      </c>
      <c r="BE418" s="769">
        <v>0</v>
      </c>
      <c r="BF418" s="769">
        <v>0</v>
      </c>
      <c r="BG418" s="769">
        <v>0</v>
      </c>
      <c r="BH418" s="771">
        <v>23.308351925823246</v>
      </c>
      <c r="BI418" s="771">
        <v>23.620837804262095</v>
      </c>
      <c r="BJ418" s="771">
        <v>23.937513057588305</v>
      </c>
      <c r="BK418" s="772">
        <v>23.780134411703166</v>
      </c>
      <c r="BL418" s="772">
        <v>23.623790461365598</v>
      </c>
      <c r="BM418" s="772">
        <v>23.793382475623478</v>
      </c>
      <c r="BN418" s="772">
        <v>23.964191968141122</v>
      </c>
      <c r="BO418" s="772">
        <v>24.136227679031215</v>
      </c>
      <c r="BP418" s="772">
        <v>24.309498411150511</v>
      </c>
      <c r="BQ418" s="772">
        <v>24.484013030550305</v>
      </c>
      <c r="BR418" s="772">
        <v>24.621457098727173</v>
      </c>
      <c r="BS418" s="772">
        <v>24.759672726364229</v>
      </c>
      <c r="BT418" s="772">
        <v>24.898664244706964</v>
      </c>
      <c r="BU418" s="772">
        <v>25.038436009314857</v>
      </c>
      <c r="BV418" s="772">
        <v>25.178992400197853</v>
      </c>
      <c r="BW418" s="771">
        <v>13.174285871117487</v>
      </c>
      <c r="BX418" s="771">
        <v>13.350908324148142</v>
      </c>
      <c r="BY418" s="771">
        <v>13.529898684723824</v>
      </c>
      <c r="BZ418" s="772">
        <v>13.440945537049615</v>
      </c>
      <c r="CA418" s="772">
        <v>13.352577217293597</v>
      </c>
      <c r="CB418" s="772">
        <v>13.448433573178486</v>
      </c>
      <c r="CC418" s="772">
        <v>13.54497806894933</v>
      </c>
      <c r="CD418" s="772">
        <v>13.642215644669816</v>
      </c>
      <c r="CE418" s="772">
        <v>13.74015127586768</v>
      </c>
      <c r="CF418" s="772">
        <v>13.838789973789302</v>
      </c>
      <c r="CG418" s="772">
        <v>13.916475751454488</v>
      </c>
      <c r="CH418" s="772">
        <v>13.994597627944998</v>
      </c>
      <c r="CI418" s="772">
        <v>14.07315805135611</v>
      </c>
      <c r="CJ418" s="772">
        <v>14.152159483525788</v>
      </c>
      <c r="CK418" s="772">
        <v>14.231604400111829</v>
      </c>
      <c r="CL418" s="771">
        <v>0</v>
      </c>
      <c r="CM418" s="771">
        <v>0</v>
      </c>
      <c r="CN418" s="771">
        <v>0</v>
      </c>
      <c r="CO418" s="772">
        <v>0</v>
      </c>
      <c r="CP418" s="772">
        <v>0</v>
      </c>
      <c r="CQ418" s="772">
        <v>0</v>
      </c>
      <c r="CR418" s="772">
        <v>0</v>
      </c>
      <c r="CS418" s="772">
        <v>0</v>
      </c>
      <c r="CT418" s="772">
        <v>0</v>
      </c>
      <c r="CU418" s="772">
        <v>0</v>
      </c>
      <c r="CV418" s="772">
        <v>0</v>
      </c>
      <c r="CW418" s="772">
        <v>0</v>
      </c>
      <c r="CX418" s="772">
        <v>0</v>
      </c>
      <c r="CY418" s="772">
        <v>0</v>
      </c>
      <c r="CZ418" s="772">
        <v>0</v>
      </c>
      <c r="DA418" s="773">
        <v>0</v>
      </c>
      <c r="DB418" s="773">
        <v>0</v>
      </c>
      <c r="DC418" s="773">
        <v>0</v>
      </c>
      <c r="DD418" s="774">
        <v>0</v>
      </c>
      <c r="DE418" s="774">
        <v>0</v>
      </c>
      <c r="DF418" s="774">
        <v>0</v>
      </c>
      <c r="DG418" s="774">
        <v>0</v>
      </c>
      <c r="DH418" s="774">
        <v>0</v>
      </c>
      <c r="DI418" s="774">
        <v>0</v>
      </c>
      <c r="DJ418" s="774">
        <v>0</v>
      </c>
      <c r="DK418" s="774">
        <v>0</v>
      </c>
      <c r="DL418" s="774">
        <v>0</v>
      </c>
      <c r="DM418" s="774">
        <v>0</v>
      </c>
      <c r="DN418" s="774">
        <v>0</v>
      </c>
      <c r="DO418" s="774">
        <v>0</v>
      </c>
      <c r="DP418" s="773">
        <v>0</v>
      </c>
      <c r="DQ418" s="773">
        <v>0</v>
      </c>
      <c r="DR418" s="773">
        <v>0</v>
      </c>
      <c r="DS418" s="774">
        <v>0</v>
      </c>
      <c r="DT418" s="774">
        <v>0</v>
      </c>
      <c r="DU418" s="774">
        <v>0</v>
      </c>
      <c r="DV418" s="774">
        <v>0</v>
      </c>
      <c r="DW418" s="774">
        <v>0</v>
      </c>
      <c r="DX418" s="774">
        <v>0</v>
      </c>
      <c r="DY418" s="774">
        <v>0</v>
      </c>
      <c r="DZ418" s="774">
        <v>0</v>
      </c>
      <c r="EA418" s="774">
        <v>0</v>
      </c>
      <c r="EB418" s="774">
        <v>0</v>
      </c>
      <c r="EC418" s="774">
        <v>0</v>
      </c>
      <c r="ED418" s="774">
        <v>0</v>
      </c>
    </row>
    <row r="419" spans="1:134" ht="15" x14ac:dyDescent="0.25">
      <c r="A419" s="766">
        <v>119</v>
      </c>
      <c r="B419" s="766">
        <v>111</v>
      </c>
      <c r="C419" s="766" t="s">
        <v>4090</v>
      </c>
      <c r="D419" s="2">
        <v>99712</v>
      </c>
      <c r="E419" s="2">
        <v>99712</v>
      </c>
      <c r="F419" s="767" t="s">
        <v>3676</v>
      </c>
      <c r="G419" s="114">
        <v>5</v>
      </c>
      <c r="H419" s="114">
        <v>6</v>
      </c>
      <c r="I419" s="114">
        <v>3</v>
      </c>
      <c r="J419" s="114">
        <v>3</v>
      </c>
      <c r="K419" s="114">
        <v>0</v>
      </c>
      <c r="L419" s="114">
        <v>19</v>
      </c>
      <c r="M419" s="114">
        <v>19</v>
      </c>
      <c r="N419" s="114">
        <v>1</v>
      </c>
      <c r="O419" s="114">
        <v>0</v>
      </c>
      <c r="P419" s="114">
        <v>0</v>
      </c>
      <c r="Q419" s="114">
        <v>20</v>
      </c>
      <c r="R419" s="114">
        <v>0</v>
      </c>
      <c r="S419" s="114">
        <v>928.36842105263156</v>
      </c>
      <c r="T419" s="114">
        <v>928.36842105263156</v>
      </c>
      <c r="U419" s="114">
        <v>480</v>
      </c>
      <c r="V419" s="114">
        <v>0</v>
      </c>
      <c r="W419" s="114">
        <v>0</v>
      </c>
      <c r="X419" s="114">
        <v>905.95</v>
      </c>
      <c r="Y419" s="114">
        <v>0</v>
      </c>
      <c r="Z419" s="114">
        <v>6</v>
      </c>
      <c r="AA419" s="114">
        <v>0</v>
      </c>
      <c r="AB419" s="657">
        <v>1</v>
      </c>
      <c r="AC419" s="657">
        <v>0</v>
      </c>
      <c r="AD419" s="768">
        <v>7</v>
      </c>
      <c r="AE419" s="769">
        <v>0</v>
      </c>
      <c r="AF419" s="769">
        <v>3</v>
      </c>
      <c r="AG419" s="770">
        <v>3</v>
      </c>
      <c r="AH419" s="769">
        <v>0</v>
      </c>
      <c r="AI419" s="769">
        <v>0</v>
      </c>
      <c r="AJ419" s="769">
        <v>5.4546854708744297</v>
      </c>
      <c r="AK419" s="769">
        <v>5.4546854708744297</v>
      </c>
      <c r="AL419" s="769">
        <v>0</v>
      </c>
      <c r="AM419" s="769">
        <v>0</v>
      </c>
      <c r="AN419" s="769">
        <v>2.7373623311637276</v>
      </c>
      <c r="AO419" s="769">
        <v>2.7373623311637276</v>
      </c>
      <c r="AP419" s="769">
        <v>0</v>
      </c>
      <c r="AQ419" s="769">
        <v>0.92984135081383867</v>
      </c>
      <c r="AR419" s="769">
        <v>0</v>
      </c>
      <c r="AS419" s="769">
        <v>4.9589322643614322</v>
      </c>
      <c r="AT419" s="769">
        <v>5.2009052840311121</v>
      </c>
      <c r="AU419" s="769">
        <v>5.4546854708744297</v>
      </c>
      <c r="AV419" s="769">
        <v>5.7208489601847186</v>
      </c>
      <c r="AW419" s="769">
        <v>6</v>
      </c>
      <c r="AX419" s="769">
        <v>2.4977175106913725</v>
      </c>
      <c r="AY419" s="769">
        <v>2.6147959437888453</v>
      </c>
      <c r="AZ419" s="769">
        <v>2.7373623311637276</v>
      </c>
      <c r="BA419" s="769">
        <v>2.8656739161131335</v>
      </c>
      <c r="BB419" s="769">
        <v>3</v>
      </c>
      <c r="BC419" s="769">
        <v>0.86460493768330426</v>
      </c>
      <c r="BD419" s="769">
        <v>0.89663003695825327</v>
      </c>
      <c r="BE419" s="769">
        <v>0.92984135081383867</v>
      </c>
      <c r="BF419" s="769">
        <v>0.96428281681975381</v>
      </c>
      <c r="BG419" s="769">
        <v>1</v>
      </c>
      <c r="BH419" s="771">
        <v>6.080439632823456</v>
      </c>
      <c r="BI419" s="771">
        <v>6.1619576880683731</v>
      </c>
      <c r="BJ419" s="771">
        <v>6.2445686237186884</v>
      </c>
      <c r="BK419" s="772">
        <v>6.2035133247921301</v>
      </c>
      <c r="BL419" s="772">
        <v>6.1627279464431997</v>
      </c>
      <c r="BM419" s="772">
        <v>6.2069693414669942</v>
      </c>
      <c r="BN419" s="772">
        <v>6.251528339515076</v>
      </c>
      <c r="BO419" s="772">
        <v>6.2964072206168389</v>
      </c>
      <c r="BP419" s="772">
        <v>6.341608281169699</v>
      </c>
      <c r="BQ419" s="772">
        <v>6.3871338340566011</v>
      </c>
      <c r="BR419" s="772">
        <v>6.4229888083636109</v>
      </c>
      <c r="BS419" s="772">
        <v>6.4590450590515385</v>
      </c>
      <c r="BT419" s="772">
        <v>6.4953037160105129</v>
      </c>
      <c r="BU419" s="772">
        <v>6.5317659154734411</v>
      </c>
      <c r="BV419" s="772">
        <v>6.5684328000516139</v>
      </c>
      <c r="BW419" s="771">
        <v>3.040219816411728</v>
      </c>
      <c r="BX419" s="771">
        <v>3.0809788440341865</v>
      </c>
      <c r="BY419" s="771">
        <v>3.1222843118593442</v>
      </c>
      <c r="BZ419" s="772">
        <v>3.1017566623960651</v>
      </c>
      <c r="CA419" s="772">
        <v>3.0813639732215998</v>
      </c>
      <c r="CB419" s="772">
        <v>3.1034846707334971</v>
      </c>
      <c r="CC419" s="772">
        <v>3.125764169757538</v>
      </c>
      <c r="CD419" s="772">
        <v>3.1482036103084194</v>
      </c>
      <c r="CE419" s="772">
        <v>3.1708041405848495</v>
      </c>
      <c r="CF419" s="772">
        <v>3.1935669170283005</v>
      </c>
      <c r="CG419" s="772">
        <v>3.2114944041818054</v>
      </c>
      <c r="CH419" s="772">
        <v>3.2295225295257692</v>
      </c>
      <c r="CI419" s="772">
        <v>3.2476518580052565</v>
      </c>
      <c r="CJ419" s="772">
        <v>3.2658829577367205</v>
      </c>
      <c r="CK419" s="772">
        <v>3.2842164000258069</v>
      </c>
      <c r="CL419" s="771">
        <v>1.0134066054705759</v>
      </c>
      <c r="CM419" s="771">
        <v>1.0269929480113955</v>
      </c>
      <c r="CN419" s="771">
        <v>1.040761437286448</v>
      </c>
      <c r="CO419" s="772">
        <v>1.0339188874653549</v>
      </c>
      <c r="CP419" s="772">
        <v>1.0271213244071997</v>
      </c>
      <c r="CQ419" s="772">
        <v>1.034494890244499</v>
      </c>
      <c r="CR419" s="772">
        <v>1.0419213899191793</v>
      </c>
      <c r="CS419" s="772">
        <v>1.0494012034361397</v>
      </c>
      <c r="CT419" s="772">
        <v>1.0569347135282832</v>
      </c>
      <c r="CU419" s="772">
        <v>1.0645223056761002</v>
      </c>
      <c r="CV419" s="772">
        <v>1.0704981347272684</v>
      </c>
      <c r="CW419" s="772">
        <v>1.076507509841923</v>
      </c>
      <c r="CX419" s="772">
        <v>1.0825506193350853</v>
      </c>
      <c r="CY419" s="772">
        <v>1.0886276525789067</v>
      </c>
      <c r="CZ419" s="772">
        <v>1.0947388000086022</v>
      </c>
      <c r="DA419" s="773">
        <v>0</v>
      </c>
      <c r="DB419" s="773">
        <v>0</v>
      </c>
      <c r="DC419" s="773">
        <v>0</v>
      </c>
      <c r="DD419" s="774">
        <v>0</v>
      </c>
      <c r="DE419" s="774">
        <v>0</v>
      </c>
      <c r="DF419" s="774">
        <v>0</v>
      </c>
      <c r="DG419" s="774">
        <v>0</v>
      </c>
      <c r="DH419" s="774">
        <v>0</v>
      </c>
      <c r="DI419" s="774">
        <v>0</v>
      </c>
      <c r="DJ419" s="774">
        <v>0</v>
      </c>
      <c r="DK419" s="774">
        <v>0</v>
      </c>
      <c r="DL419" s="774">
        <v>0</v>
      </c>
      <c r="DM419" s="774">
        <v>0</v>
      </c>
      <c r="DN419" s="774">
        <v>0</v>
      </c>
      <c r="DO419" s="774">
        <v>0</v>
      </c>
      <c r="DP419" s="773">
        <v>0</v>
      </c>
      <c r="DQ419" s="773">
        <v>0</v>
      </c>
      <c r="DR419" s="773">
        <v>0</v>
      </c>
      <c r="DS419" s="774">
        <v>0</v>
      </c>
      <c r="DT419" s="774">
        <v>0</v>
      </c>
      <c r="DU419" s="774">
        <v>0</v>
      </c>
      <c r="DV419" s="774">
        <v>0</v>
      </c>
      <c r="DW419" s="774">
        <v>0</v>
      </c>
      <c r="DX419" s="774">
        <v>0</v>
      </c>
      <c r="DY419" s="774">
        <v>0</v>
      </c>
      <c r="DZ419" s="774">
        <v>0</v>
      </c>
      <c r="EA419" s="774">
        <v>0</v>
      </c>
      <c r="EB419" s="774">
        <v>0</v>
      </c>
      <c r="EC419" s="774">
        <v>0</v>
      </c>
      <c r="ED419" s="774">
        <v>0</v>
      </c>
    </row>
    <row r="420" spans="1:134" ht="15" x14ac:dyDescent="0.25">
      <c r="A420" s="766">
        <v>120</v>
      </c>
      <c r="B420" s="766">
        <v>111</v>
      </c>
      <c r="C420" s="766" t="s">
        <v>4091</v>
      </c>
      <c r="D420" s="2">
        <v>99712</v>
      </c>
      <c r="E420" s="2">
        <v>99712</v>
      </c>
      <c r="F420" s="767" t="s">
        <v>3676</v>
      </c>
      <c r="G420" s="114">
        <v>3</v>
      </c>
      <c r="H420" s="114">
        <v>3</v>
      </c>
      <c r="I420" s="114">
        <v>2</v>
      </c>
      <c r="J420" s="114">
        <v>1</v>
      </c>
      <c r="K420" s="114">
        <v>0</v>
      </c>
      <c r="L420" s="114">
        <v>10</v>
      </c>
      <c r="M420" s="114">
        <v>10</v>
      </c>
      <c r="N420" s="114">
        <v>2</v>
      </c>
      <c r="O420" s="114">
        <v>0</v>
      </c>
      <c r="P420" s="114">
        <v>0</v>
      </c>
      <c r="Q420" s="114">
        <v>12</v>
      </c>
      <c r="R420" s="114">
        <v>0</v>
      </c>
      <c r="S420" s="114">
        <v>2231.6</v>
      </c>
      <c r="T420" s="114">
        <v>2231.6</v>
      </c>
      <c r="U420" s="114">
        <v>6067</v>
      </c>
      <c r="V420" s="114">
        <v>0</v>
      </c>
      <c r="W420" s="114">
        <v>0</v>
      </c>
      <c r="X420" s="114">
        <v>2870.8333333333335</v>
      </c>
      <c r="Y420" s="114">
        <v>0</v>
      </c>
      <c r="Z420" s="114">
        <v>3</v>
      </c>
      <c r="AA420" s="114">
        <v>0</v>
      </c>
      <c r="AB420" s="657">
        <v>2</v>
      </c>
      <c r="AC420" s="657">
        <v>0</v>
      </c>
      <c r="AD420" s="768">
        <v>5</v>
      </c>
      <c r="AE420" s="769">
        <v>0</v>
      </c>
      <c r="AF420" s="769">
        <v>2</v>
      </c>
      <c r="AG420" s="770">
        <v>2</v>
      </c>
      <c r="AH420" s="769">
        <v>0</v>
      </c>
      <c r="AI420" s="769">
        <v>0</v>
      </c>
      <c r="AJ420" s="769">
        <v>2.7273427354372148</v>
      </c>
      <c r="AK420" s="769">
        <v>2.7273427354372148</v>
      </c>
      <c r="AL420" s="769">
        <v>0</v>
      </c>
      <c r="AM420" s="769">
        <v>0</v>
      </c>
      <c r="AN420" s="769">
        <v>1.8249082207758185</v>
      </c>
      <c r="AO420" s="769">
        <v>1.8249082207758185</v>
      </c>
      <c r="AP420" s="769">
        <v>0</v>
      </c>
      <c r="AQ420" s="769">
        <v>1.8596827016276773</v>
      </c>
      <c r="AR420" s="769">
        <v>0</v>
      </c>
      <c r="AS420" s="769">
        <v>2.4794661321807161</v>
      </c>
      <c r="AT420" s="769">
        <v>2.600452642015556</v>
      </c>
      <c r="AU420" s="769">
        <v>2.7273427354372148</v>
      </c>
      <c r="AV420" s="769">
        <v>2.8604244800923593</v>
      </c>
      <c r="AW420" s="769">
        <v>3</v>
      </c>
      <c r="AX420" s="769">
        <v>1.6651450071275817</v>
      </c>
      <c r="AY420" s="769">
        <v>1.7431972958592303</v>
      </c>
      <c r="AZ420" s="769">
        <v>1.8249082207758185</v>
      </c>
      <c r="BA420" s="769">
        <v>1.9104492774087558</v>
      </c>
      <c r="BB420" s="769">
        <v>2</v>
      </c>
      <c r="BC420" s="769">
        <v>1.7292098753666085</v>
      </c>
      <c r="BD420" s="769">
        <v>1.7932600739165065</v>
      </c>
      <c r="BE420" s="769">
        <v>1.8596827016276773</v>
      </c>
      <c r="BF420" s="769">
        <v>1.9285656336395076</v>
      </c>
      <c r="BG420" s="769">
        <v>2</v>
      </c>
      <c r="BH420" s="771">
        <v>3.040219816411728</v>
      </c>
      <c r="BI420" s="771">
        <v>3.0809788440341865</v>
      </c>
      <c r="BJ420" s="771">
        <v>3.1222843118593442</v>
      </c>
      <c r="BK420" s="772">
        <v>3.1017566623960651</v>
      </c>
      <c r="BL420" s="772">
        <v>3.0813639732215998</v>
      </c>
      <c r="BM420" s="772">
        <v>3.1034846707334971</v>
      </c>
      <c r="BN420" s="772">
        <v>3.125764169757538</v>
      </c>
      <c r="BO420" s="772">
        <v>3.1482036103084194</v>
      </c>
      <c r="BP420" s="772">
        <v>3.1708041405848495</v>
      </c>
      <c r="BQ420" s="772">
        <v>3.1935669170283005</v>
      </c>
      <c r="BR420" s="772">
        <v>3.2114944041818054</v>
      </c>
      <c r="BS420" s="772">
        <v>3.2295225295257692</v>
      </c>
      <c r="BT420" s="772">
        <v>3.2476518580052565</v>
      </c>
      <c r="BU420" s="772">
        <v>3.2658829577367205</v>
      </c>
      <c r="BV420" s="772">
        <v>3.2842164000258069</v>
      </c>
      <c r="BW420" s="771">
        <v>2.0268132109411519</v>
      </c>
      <c r="BX420" s="771">
        <v>2.053985896022791</v>
      </c>
      <c r="BY420" s="771">
        <v>2.081522874572896</v>
      </c>
      <c r="BZ420" s="772">
        <v>2.0678377749307097</v>
      </c>
      <c r="CA420" s="772">
        <v>2.0542426488143994</v>
      </c>
      <c r="CB420" s="772">
        <v>2.0689897804889981</v>
      </c>
      <c r="CC420" s="772">
        <v>2.0838427798383585</v>
      </c>
      <c r="CD420" s="772">
        <v>2.0988024068722795</v>
      </c>
      <c r="CE420" s="772">
        <v>2.1138694270565663</v>
      </c>
      <c r="CF420" s="772">
        <v>2.1290446113522004</v>
      </c>
      <c r="CG420" s="772">
        <v>2.1409962694545368</v>
      </c>
      <c r="CH420" s="772">
        <v>2.153015019683846</v>
      </c>
      <c r="CI420" s="772">
        <v>2.1651012386701707</v>
      </c>
      <c r="CJ420" s="772">
        <v>2.1772553051578134</v>
      </c>
      <c r="CK420" s="772">
        <v>2.1894776000172045</v>
      </c>
      <c r="CL420" s="771">
        <v>2.0268132109411519</v>
      </c>
      <c r="CM420" s="771">
        <v>2.053985896022791</v>
      </c>
      <c r="CN420" s="771">
        <v>2.081522874572896</v>
      </c>
      <c r="CO420" s="772">
        <v>2.0678377749307097</v>
      </c>
      <c r="CP420" s="772">
        <v>2.0542426488143994</v>
      </c>
      <c r="CQ420" s="772">
        <v>2.0689897804889981</v>
      </c>
      <c r="CR420" s="772">
        <v>2.0838427798383585</v>
      </c>
      <c r="CS420" s="772">
        <v>2.0988024068722795</v>
      </c>
      <c r="CT420" s="772">
        <v>2.1138694270565663</v>
      </c>
      <c r="CU420" s="772">
        <v>2.1290446113522004</v>
      </c>
      <c r="CV420" s="772">
        <v>2.1409962694545368</v>
      </c>
      <c r="CW420" s="772">
        <v>2.153015019683846</v>
      </c>
      <c r="CX420" s="772">
        <v>2.1651012386701707</v>
      </c>
      <c r="CY420" s="772">
        <v>2.1772553051578134</v>
      </c>
      <c r="CZ420" s="772">
        <v>2.1894776000172045</v>
      </c>
      <c r="DA420" s="773">
        <v>0</v>
      </c>
      <c r="DB420" s="773">
        <v>0</v>
      </c>
      <c r="DC420" s="773">
        <v>0</v>
      </c>
      <c r="DD420" s="774">
        <v>0</v>
      </c>
      <c r="DE420" s="774">
        <v>0</v>
      </c>
      <c r="DF420" s="774">
        <v>0</v>
      </c>
      <c r="DG420" s="774">
        <v>0</v>
      </c>
      <c r="DH420" s="774">
        <v>0</v>
      </c>
      <c r="DI420" s="774">
        <v>0</v>
      </c>
      <c r="DJ420" s="774">
        <v>0</v>
      </c>
      <c r="DK420" s="774">
        <v>0</v>
      </c>
      <c r="DL420" s="774">
        <v>0</v>
      </c>
      <c r="DM420" s="774">
        <v>0</v>
      </c>
      <c r="DN420" s="774">
        <v>0</v>
      </c>
      <c r="DO420" s="774">
        <v>0</v>
      </c>
      <c r="DP420" s="773">
        <v>0</v>
      </c>
      <c r="DQ420" s="773">
        <v>0</v>
      </c>
      <c r="DR420" s="773">
        <v>0</v>
      </c>
      <c r="DS420" s="774">
        <v>0</v>
      </c>
      <c r="DT420" s="774">
        <v>0</v>
      </c>
      <c r="DU420" s="774">
        <v>0</v>
      </c>
      <c r="DV420" s="774">
        <v>0</v>
      </c>
      <c r="DW420" s="774">
        <v>0</v>
      </c>
      <c r="DX420" s="774">
        <v>0</v>
      </c>
      <c r="DY420" s="774">
        <v>0</v>
      </c>
      <c r="DZ420" s="774">
        <v>0</v>
      </c>
      <c r="EA420" s="774">
        <v>0</v>
      </c>
      <c r="EB420" s="774">
        <v>0</v>
      </c>
      <c r="EC420" s="774">
        <v>0</v>
      </c>
      <c r="ED420" s="774">
        <v>0</v>
      </c>
    </row>
    <row r="421" spans="1:134" ht="15" x14ac:dyDescent="0.25">
      <c r="A421" s="766">
        <v>89</v>
      </c>
      <c r="B421" s="766">
        <v>112</v>
      </c>
      <c r="C421" s="766" t="s">
        <v>4092</v>
      </c>
      <c r="D421" s="2">
        <v>99712</v>
      </c>
      <c r="E421" s="2">
        <v>99712</v>
      </c>
      <c r="F421" s="767" t="s">
        <v>3676</v>
      </c>
      <c r="G421" s="114">
        <v>10</v>
      </c>
      <c r="H421" s="114">
        <v>36</v>
      </c>
      <c r="I421" s="114">
        <v>8</v>
      </c>
      <c r="J421" s="114">
        <v>28</v>
      </c>
      <c r="K421" s="114">
        <v>0</v>
      </c>
      <c r="L421" s="114">
        <v>0</v>
      </c>
      <c r="M421" s="114">
        <v>0</v>
      </c>
      <c r="N421" s="114">
        <v>0</v>
      </c>
      <c r="O421" s="114">
        <v>0</v>
      </c>
      <c r="P421" s="114">
        <v>0</v>
      </c>
      <c r="Q421" s="114">
        <v>0</v>
      </c>
      <c r="R421" s="114">
        <v>0</v>
      </c>
      <c r="S421" s="114">
        <v>834.49503068156923</v>
      </c>
      <c r="T421" s="114">
        <v>834.49503068156923</v>
      </c>
      <c r="U421" s="114">
        <v>1408.3846153846155</v>
      </c>
      <c r="V421" s="114">
        <v>0</v>
      </c>
      <c r="W421" s="114">
        <v>0</v>
      </c>
      <c r="X421" s="114">
        <v>1365.173957061457</v>
      </c>
      <c r="Y421" s="114">
        <v>0.82484407484407485</v>
      </c>
      <c r="Z421" s="114">
        <v>35.128378378378379</v>
      </c>
      <c r="AA421" s="114">
        <v>4.677754677754678E-2</v>
      </c>
      <c r="AB421" s="657">
        <v>0</v>
      </c>
      <c r="AC421" s="657">
        <v>0</v>
      </c>
      <c r="AD421" s="768">
        <v>36</v>
      </c>
      <c r="AE421" s="769">
        <v>0.18329868329868329</v>
      </c>
      <c r="AF421" s="769">
        <v>7.8063063063063067</v>
      </c>
      <c r="AG421" s="770">
        <v>7.9896049896049899</v>
      </c>
      <c r="AH421" s="769">
        <v>1.0395010395010396E-2</v>
      </c>
      <c r="AI421" s="769">
        <v>0.74987749846480589</v>
      </c>
      <c r="AJ421" s="769">
        <v>31.935709192653331</v>
      </c>
      <c r="AK421" s="769">
        <v>32.685586691118139</v>
      </c>
      <c r="AL421" s="769">
        <v>4.2526134128438899E-2</v>
      </c>
      <c r="AM421" s="769">
        <v>0.16725163700457518</v>
      </c>
      <c r="AN421" s="769">
        <v>7.1228962761362471</v>
      </c>
      <c r="AO421" s="769">
        <v>7.2901479131408227</v>
      </c>
      <c r="AP421" s="769">
        <v>9.4849699624522804E-3</v>
      </c>
      <c r="AQ421" s="769">
        <v>0</v>
      </c>
      <c r="AR421" s="769">
        <v>0</v>
      </c>
      <c r="AS421" s="769">
        <v>29.71493247184145</v>
      </c>
      <c r="AT421" s="769">
        <v>31.164884105818448</v>
      </c>
      <c r="AU421" s="769">
        <v>32.685586691118132</v>
      </c>
      <c r="AV421" s="769">
        <v>34.280492547801259</v>
      </c>
      <c r="AW421" s="769">
        <v>35.953222453222452</v>
      </c>
      <c r="AX421" s="769">
        <v>6.6519254286811815</v>
      </c>
      <c r="AY421" s="769">
        <v>6.9637289064314158</v>
      </c>
      <c r="AZ421" s="769">
        <v>7.2901479131408218</v>
      </c>
      <c r="BA421" s="769">
        <v>7.6318675395861213</v>
      </c>
      <c r="BB421" s="769">
        <v>7.9896049896049899</v>
      </c>
      <c r="BC421" s="769">
        <v>0</v>
      </c>
      <c r="BD421" s="769">
        <v>0</v>
      </c>
      <c r="BE421" s="769">
        <v>0</v>
      </c>
      <c r="BF421" s="769">
        <v>0</v>
      </c>
      <c r="BG421" s="769">
        <v>0</v>
      </c>
      <c r="BH421" s="771">
        <v>36.137397473606484</v>
      </c>
      <c r="BI421" s="771">
        <v>36.322515954293074</v>
      </c>
      <c r="BJ421" s="771">
        <v>36.508582728279322</v>
      </c>
      <c r="BK421" s="772">
        <v>36.268554814805633</v>
      </c>
      <c r="BL421" s="772">
        <v>36.030104979551936</v>
      </c>
      <c r="BM421" s="772">
        <v>36.288760257052722</v>
      </c>
      <c r="BN421" s="772">
        <v>36.549272386000851</v>
      </c>
      <c r="BO421" s="772">
        <v>36.81165469648311</v>
      </c>
      <c r="BP421" s="772">
        <v>37.075920614281181</v>
      </c>
      <c r="BQ421" s="772">
        <v>37.342083661558632</v>
      </c>
      <c r="BR421" s="772">
        <v>37.55170811675891</v>
      </c>
      <c r="BS421" s="772">
        <v>37.76250932504604</v>
      </c>
      <c r="BT421" s="772">
        <v>37.974493892270587</v>
      </c>
      <c r="BU421" s="772">
        <v>38.187668461365902</v>
      </c>
      <c r="BV421" s="772">
        <v>38.402039712556245</v>
      </c>
      <c r="BW421" s="771">
        <v>8.0305327719125525</v>
      </c>
      <c r="BX421" s="771">
        <v>8.0716702120651274</v>
      </c>
      <c r="BY421" s="771">
        <v>8.1130183840620731</v>
      </c>
      <c r="BZ421" s="772">
        <v>8.0596788477345864</v>
      </c>
      <c r="CA421" s="772">
        <v>8.0066899954559876</v>
      </c>
      <c r="CB421" s="772">
        <v>8.0641689460117174</v>
      </c>
      <c r="CC421" s="772">
        <v>8.1220605302224129</v>
      </c>
      <c r="CD421" s="772">
        <v>8.1803677103295822</v>
      </c>
      <c r="CE421" s="772">
        <v>8.2390934698402649</v>
      </c>
      <c r="CF421" s="772">
        <v>8.2982408136796977</v>
      </c>
      <c r="CG421" s="772">
        <v>8.3448240259464264</v>
      </c>
      <c r="CH421" s="772">
        <v>8.3916687388991225</v>
      </c>
      <c r="CI421" s="772">
        <v>8.4387764205045777</v>
      </c>
      <c r="CJ421" s="772">
        <v>8.4861485469702025</v>
      </c>
      <c r="CK421" s="772">
        <v>8.5337866027902773</v>
      </c>
      <c r="CL421" s="771">
        <v>0</v>
      </c>
      <c r="CM421" s="771">
        <v>0</v>
      </c>
      <c r="CN421" s="771">
        <v>0</v>
      </c>
      <c r="CO421" s="772">
        <v>0</v>
      </c>
      <c r="CP421" s="772">
        <v>0</v>
      </c>
      <c r="CQ421" s="772">
        <v>0</v>
      </c>
      <c r="CR421" s="772">
        <v>0</v>
      </c>
      <c r="CS421" s="772">
        <v>0</v>
      </c>
      <c r="CT421" s="772">
        <v>0</v>
      </c>
      <c r="CU421" s="772">
        <v>0</v>
      </c>
      <c r="CV421" s="772">
        <v>0</v>
      </c>
      <c r="CW421" s="772">
        <v>0</v>
      </c>
      <c r="CX421" s="772">
        <v>0</v>
      </c>
      <c r="CY421" s="772">
        <v>0</v>
      </c>
      <c r="CZ421" s="772">
        <v>0</v>
      </c>
      <c r="DA421" s="773">
        <v>4.7017170795740942E-2</v>
      </c>
      <c r="DB421" s="773">
        <v>4.725802231888248E-2</v>
      </c>
      <c r="DC421" s="773">
        <v>4.7500107635023846E-2</v>
      </c>
      <c r="DD421" s="774">
        <v>4.7187815267766893E-2</v>
      </c>
      <c r="DE421" s="774">
        <v>4.6877576085807886E-2</v>
      </c>
      <c r="DF421" s="774">
        <v>4.7214103899366033E-2</v>
      </c>
      <c r="DG421" s="774">
        <v>4.75530476008338E-2</v>
      </c>
      <c r="DH421" s="774">
        <v>4.789442453354556E-2</v>
      </c>
      <c r="DI421" s="774">
        <v>4.8238252165341125E-2</v>
      </c>
      <c r="DJ421" s="774">
        <v>4.8584548089459591E-2</v>
      </c>
      <c r="DK421" s="774">
        <v>4.8857283524276499E-2</v>
      </c>
      <c r="DL421" s="774">
        <v>4.9131549993554575E-2</v>
      </c>
      <c r="DM421" s="774">
        <v>4.9407356091947172E-2</v>
      </c>
      <c r="DN421" s="774">
        <v>4.9684710462354814E-2</v>
      </c>
      <c r="DO421" s="774">
        <v>4.9963621796196005E-2</v>
      </c>
      <c r="DP421" s="773">
        <v>0</v>
      </c>
      <c r="DQ421" s="773">
        <v>0</v>
      </c>
      <c r="DR421" s="773">
        <v>0</v>
      </c>
      <c r="DS421" s="774">
        <v>0</v>
      </c>
      <c r="DT421" s="774">
        <v>0</v>
      </c>
      <c r="DU421" s="774">
        <v>0</v>
      </c>
      <c r="DV421" s="774">
        <v>0</v>
      </c>
      <c r="DW421" s="774">
        <v>0</v>
      </c>
      <c r="DX421" s="774">
        <v>0</v>
      </c>
      <c r="DY421" s="774">
        <v>0</v>
      </c>
      <c r="DZ421" s="774">
        <v>0</v>
      </c>
      <c r="EA421" s="774">
        <v>0</v>
      </c>
      <c r="EB421" s="774">
        <v>0</v>
      </c>
      <c r="EC421" s="774">
        <v>0</v>
      </c>
      <c r="ED421" s="774">
        <v>0</v>
      </c>
    </row>
    <row r="422" spans="1:134" ht="15" x14ac:dyDescent="0.25">
      <c r="A422" s="766">
        <v>110</v>
      </c>
      <c r="B422" s="766">
        <v>112</v>
      </c>
      <c r="C422" s="766" t="s">
        <v>4093</v>
      </c>
      <c r="D422" s="2">
        <v>99712</v>
      </c>
      <c r="E422" s="2">
        <v>99712</v>
      </c>
      <c r="F422" s="767" t="s">
        <v>3676</v>
      </c>
      <c r="G422" s="114">
        <v>25</v>
      </c>
      <c r="H422" s="114">
        <v>15</v>
      </c>
      <c r="I422" s="114">
        <v>11</v>
      </c>
      <c r="J422" s="114">
        <v>4</v>
      </c>
      <c r="K422" s="114">
        <v>0</v>
      </c>
      <c r="L422" s="114">
        <v>0</v>
      </c>
      <c r="M422" s="114">
        <v>0</v>
      </c>
      <c r="N422" s="114">
        <v>0</v>
      </c>
      <c r="O422" s="114">
        <v>0</v>
      </c>
      <c r="P422" s="114">
        <v>0</v>
      </c>
      <c r="Q422" s="114">
        <v>0</v>
      </c>
      <c r="R422" s="114">
        <v>0</v>
      </c>
      <c r="S422" s="114">
        <v>834.49503068156923</v>
      </c>
      <c r="T422" s="114">
        <v>834.49503068156923</v>
      </c>
      <c r="U422" s="114">
        <v>1408.3846153846155</v>
      </c>
      <c r="V422" s="114">
        <v>0</v>
      </c>
      <c r="W422" s="114">
        <v>0</v>
      </c>
      <c r="X422" s="114">
        <v>1365.173957061457</v>
      </c>
      <c r="Y422" s="114">
        <v>0.34368503118503119</v>
      </c>
      <c r="Z422" s="114">
        <v>14.636824324324325</v>
      </c>
      <c r="AA422" s="114">
        <v>1.9490644490644492E-2</v>
      </c>
      <c r="AB422" s="657">
        <v>0</v>
      </c>
      <c r="AC422" s="657">
        <v>0</v>
      </c>
      <c r="AD422" s="768">
        <v>15</v>
      </c>
      <c r="AE422" s="769">
        <v>0.25203568953568956</v>
      </c>
      <c r="AF422" s="769">
        <v>10.733671171171173</v>
      </c>
      <c r="AG422" s="770">
        <v>10.985706860706863</v>
      </c>
      <c r="AH422" s="769">
        <v>1.4293139293139294E-2</v>
      </c>
      <c r="AI422" s="769">
        <v>0.31244895769366915</v>
      </c>
      <c r="AJ422" s="769">
        <v>13.306545496938888</v>
      </c>
      <c r="AK422" s="769">
        <v>13.618994454632558</v>
      </c>
      <c r="AL422" s="769">
        <v>1.7719222553516208E-2</v>
      </c>
      <c r="AM422" s="769">
        <v>0.22997100088129091</v>
      </c>
      <c r="AN422" s="769">
        <v>9.7939823796873409</v>
      </c>
      <c r="AO422" s="769">
        <v>10.023953380568631</v>
      </c>
      <c r="AP422" s="769">
        <v>1.3041833698371884E-2</v>
      </c>
      <c r="AQ422" s="769">
        <v>0</v>
      </c>
      <c r="AR422" s="769">
        <v>0</v>
      </c>
      <c r="AS422" s="769">
        <v>12.381221863267271</v>
      </c>
      <c r="AT422" s="769">
        <v>12.985368377424352</v>
      </c>
      <c r="AU422" s="769">
        <v>13.618994454632556</v>
      </c>
      <c r="AV422" s="769">
        <v>14.283538561583857</v>
      </c>
      <c r="AW422" s="769">
        <v>14.980509355509355</v>
      </c>
      <c r="AX422" s="769">
        <v>9.1463974644366264</v>
      </c>
      <c r="AY422" s="769">
        <v>9.5751272463431985</v>
      </c>
      <c r="AZ422" s="769">
        <v>10.023953380568631</v>
      </c>
      <c r="BA422" s="769">
        <v>10.493817866930918</v>
      </c>
      <c r="BB422" s="769">
        <v>10.985706860706863</v>
      </c>
      <c r="BC422" s="769">
        <v>0</v>
      </c>
      <c r="BD422" s="769">
        <v>0</v>
      </c>
      <c r="BE422" s="769">
        <v>0</v>
      </c>
      <c r="BF422" s="769">
        <v>0</v>
      </c>
      <c r="BG422" s="769">
        <v>0</v>
      </c>
      <c r="BH422" s="771">
        <v>15.181347134186941</v>
      </c>
      <c r="BI422" s="771">
        <v>15.384877465726843</v>
      </c>
      <c r="BJ422" s="771">
        <v>15.591136448122997</v>
      </c>
      <c r="BK422" s="772">
        <v>15.488631566512574</v>
      </c>
      <c r="BL422" s="772">
        <v>15.386800609525215</v>
      </c>
      <c r="BM422" s="772">
        <v>15.497260381534339</v>
      </c>
      <c r="BN422" s="772">
        <v>15.608513129389575</v>
      </c>
      <c r="BO422" s="772">
        <v>15.720564545757867</v>
      </c>
      <c r="BP422" s="772">
        <v>15.833420364173044</v>
      </c>
      <c r="BQ422" s="772">
        <v>15.947086359329209</v>
      </c>
      <c r="BR422" s="772">
        <v>16.036607322337158</v>
      </c>
      <c r="BS422" s="772">
        <v>16.126630822463007</v>
      </c>
      <c r="BT422" s="772">
        <v>16.217159680761693</v>
      </c>
      <c r="BU422" s="772">
        <v>16.3081967341245</v>
      </c>
      <c r="BV422" s="772">
        <v>16.399744835367951</v>
      </c>
      <c r="BW422" s="771">
        <v>11.132987898403758</v>
      </c>
      <c r="BX422" s="771">
        <v>11.282243474866354</v>
      </c>
      <c r="BY422" s="771">
        <v>11.433500061956867</v>
      </c>
      <c r="BZ422" s="772">
        <v>11.358329815442557</v>
      </c>
      <c r="CA422" s="772">
        <v>11.283653780318494</v>
      </c>
      <c r="CB422" s="772">
        <v>11.364657613125184</v>
      </c>
      <c r="CC422" s="772">
        <v>11.446242961552358</v>
      </c>
      <c r="CD422" s="772">
        <v>11.528414000222439</v>
      </c>
      <c r="CE422" s="772">
        <v>11.611174933726902</v>
      </c>
      <c r="CF422" s="772">
        <v>11.694529996841421</v>
      </c>
      <c r="CG422" s="772">
        <v>11.760178703047252</v>
      </c>
      <c r="CH422" s="772">
        <v>11.826195936472873</v>
      </c>
      <c r="CI422" s="772">
        <v>11.89258376589191</v>
      </c>
      <c r="CJ422" s="772">
        <v>11.959344271691304</v>
      </c>
      <c r="CK422" s="772">
        <v>12.0264795459365</v>
      </c>
      <c r="CL422" s="771">
        <v>0</v>
      </c>
      <c r="CM422" s="771">
        <v>0</v>
      </c>
      <c r="CN422" s="771">
        <v>0</v>
      </c>
      <c r="CO422" s="772">
        <v>0</v>
      </c>
      <c r="CP422" s="772">
        <v>0</v>
      </c>
      <c r="CQ422" s="772">
        <v>0</v>
      </c>
      <c r="CR422" s="772">
        <v>0</v>
      </c>
      <c r="CS422" s="772">
        <v>0</v>
      </c>
      <c r="CT422" s="772">
        <v>0</v>
      </c>
      <c r="CU422" s="772">
        <v>0</v>
      </c>
      <c r="CV422" s="772">
        <v>0</v>
      </c>
      <c r="CW422" s="772">
        <v>0</v>
      </c>
      <c r="CX422" s="772">
        <v>0</v>
      </c>
      <c r="CY422" s="772">
        <v>0</v>
      </c>
      <c r="CZ422" s="772">
        <v>0</v>
      </c>
      <c r="DA422" s="773">
        <v>1.9751947871697817E-2</v>
      </c>
      <c r="DB422" s="773">
        <v>2.0016754444089051E-2</v>
      </c>
      <c r="DC422" s="773">
        <v>2.0285111173722351E-2</v>
      </c>
      <c r="DD422" s="774">
        <v>2.0151745467749903E-2</v>
      </c>
      <c r="DE422" s="774">
        <v>2.0019256582780663E-2</v>
      </c>
      <c r="DF422" s="774">
        <v>2.016297213314382E-2</v>
      </c>
      <c r="DG422" s="774">
        <v>2.0307719398112902E-2</v>
      </c>
      <c r="DH422" s="774">
        <v>2.0453505784228297E-2</v>
      </c>
      <c r="DI422" s="774">
        <v>2.0600338751200944E-2</v>
      </c>
      <c r="DJ422" s="774">
        <v>2.0748225812294054E-2</v>
      </c>
      <c r="DK422" s="774">
        <v>2.0864698571867239E-2</v>
      </c>
      <c r="DL422" s="774">
        <v>2.0981825165837898E-2</v>
      </c>
      <c r="DM422" s="774">
        <v>2.1099609264587163E-2</v>
      </c>
      <c r="DN422" s="774">
        <v>2.1218054559100315E-2</v>
      </c>
      <c r="DO422" s="774">
        <v>2.1337164761082428E-2</v>
      </c>
      <c r="DP422" s="773">
        <v>0</v>
      </c>
      <c r="DQ422" s="773">
        <v>0</v>
      </c>
      <c r="DR422" s="773">
        <v>0</v>
      </c>
      <c r="DS422" s="774">
        <v>0</v>
      </c>
      <c r="DT422" s="774">
        <v>0</v>
      </c>
      <c r="DU422" s="774">
        <v>0</v>
      </c>
      <c r="DV422" s="774">
        <v>0</v>
      </c>
      <c r="DW422" s="774">
        <v>0</v>
      </c>
      <c r="DX422" s="774">
        <v>0</v>
      </c>
      <c r="DY422" s="774">
        <v>0</v>
      </c>
      <c r="DZ422" s="774">
        <v>0</v>
      </c>
      <c r="EA422" s="774">
        <v>0</v>
      </c>
      <c r="EB422" s="774">
        <v>0</v>
      </c>
      <c r="EC422" s="774">
        <v>0</v>
      </c>
      <c r="ED422" s="774">
        <v>0</v>
      </c>
    </row>
    <row r="423" spans="1:134" ht="15" x14ac:dyDescent="0.25">
      <c r="A423" s="766">
        <v>120</v>
      </c>
      <c r="B423" s="766">
        <v>112</v>
      </c>
      <c r="C423" s="766" t="s">
        <v>4094</v>
      </c>
      <c r="D423" s="2">
        <v>99712</v>
      </c>
      <c r="E423" s="2">
        <v>99712</v>
      </c>
      <c r="F423" s="767" t="s">
        <v>3676</v>
      </c>
      <c r="G423" s="114">
        <v>9</v>
      </c>
      <c r="H423" s="114">
        <v>7</v>
      </c>
      <c r="I423" s="114">
        <v>5</v>
      </c>
      <c r="J423" s="114">
        <v>2</v>
      </c>
      <c r="K423" s="114">
        <v>0</v>
      </c>
      <c r="L423" s="114">
        <v>0</v>
      </c>
      <c r="M423" s="114">
        <v>0</v>
      </c>
      <c r="N423" s="114">
        <v>2</v>
      </c>
      <c r="O423" s="114">
        <v>0</v>
      </c>
      <c r="P423" s="114">
        <v>0</v>
      </c>
      <c r="Q423" s="114">
        <v>2</v>
      </c>
      <c r="R423" s="114">
        <v>0</v>
      </c>
      <c r="S423" s="114">
        <v>0</v>
      </c>
      <c r="T423" s="114">
        <v>0</v>
      </c>
      <c r="U423" s="114">
        <v>3223</v>
      </c>
      <c r="V423" s="114">
        <v>0</v>
      </c>
      <c r="W423" s="114">
        <v>0</v>
      </c>
      <c r="X423" s="114">
        <v>3223</v>
      </c>
      <c r="Y423" s="114">
        <v>0.1603863478863479</v>
      </c>
      <c r="Z423" s="114">
        <v>6.8305180180180178</v>
      </c>
      <c r="AA423" s="114">
        <v>9.0956340956340961E-3</v>
      </c>
      <c r="AB423" s="657">
        <v>2</v>
      </c>
      <c r="AC423" s="657">
        <v>0</v>
      </c>
      <c r="AD423" s="768">
        <v>9</v>
      </c>
      <c r="AE423" s="769">
        <v>0.11456167706167707</v>
      </c>
      <c r="AF423" s="769">
        <v>4.8789414414414409</v>
      </c>
      <c r="AG423" s="770">
        <v>4.993503118503118</v>
      </c>
      <c r="AH423" s="769">
        <v>6.4968814968814972E-3</v>
      </c>
      <c r="AI423" s="769">
        <v>0.14580951359037894</v>
      </c>
      <c r="AJ423" s="769">
        <v>6.2097212319048145</v>
      </c>
      <c r="AK423" s="769">
        <v>6.3555307454951935</v>
      </c>
      <c r="AL423" s="769">
        <v>8.2689705249742312E-3</v>
      </c>
      <c r="AM423" s="769">
        <v>0.1045322731278595</v>
      </c>
      <c r="AN423" s="769">
        <v>4.4518101725851533</v>
      </c>
      <c r="AO423" s="769">
        <v>4.5563424457130131</v>
      </c>
      <c r="AP423" s="769">
        <v>5.9281062265326744E-3</v>
      </c>
      <c r="AQ423" s="769">
        <v>1.8596827016276773</v>
      </c>
      <c r="AR423" s="769">
        <v>0</v>
      </c>
      <c r="AS423" s="769">
        <v>5.7779035361913937</v>
      </c>
      <c r="AT423" s="769">
        <v>6.0598385761313649</v>
      </c>
      <c r="AU423" s="769">
        <v>6.3555307454951935</v>
      </c>
      <c r="AV423" s="769">
        <v>6.6656513287391341</v>
      </c>
      <c r="AW423" s="769">
        <v>6.9909043659043659</v>
      </c>
      <c r="AX423" s="769">
        <v>4.1574533929257376</v>
      </c>
      <c r="AY423" s="769">
        <v>4.3523305665196341</v>
      </c>
      <c r="AZ423" s="769">
        <v>4.5563424457130131</v>
      </c>
      <c r="BA423" s="769">
        <v>4.7699172122413254</v>
      </c>
      <c r="BB423" s="769">
        <v>4.993503118503118</v>
      </c>
      <c r="BC423" s="769">
        <v>1.7292098753666085</v>
      </c>
      <c r="BD423" s="769">
        <v>1.7932600739165065</v>
      </c>
      <c r="BE423" s="769">
        <v>1.8596827016276773</v>
      </c>
      <c r="BF423" s="769">
        <v>1.9285656336395076</v>
      </c>
      <c r="BG423" s="769">
        <v>2</v>
      </c>
      <c r="BH423" s="771">
        <v>7.0846286626205721</v>
      </c>
      <c r="BI423" s="771">
        <v>7.1796094840058604</v>
      </c>
      <c r="BJ423" s="771">
        <v>7.275863675790732</v>
      </c>
      <c r="BK423" s="772">
        <v>7.228028064372535</v>
      </c>
      <c r="BL423" s="772">
        <v>7.1805069511117674</v>
      </c>
      <c r="BM423" s="772">
        <v>7.2320548447160249</v>
      </c>
      <c r="BN423" s="772">
        <v>7.2839727937151348</v>
      </c>
      <c r="BO423" s="772">
        <v>7.3362634546870051</v>
      </c>
      <c r="BP423" s="772">
        <v>7.388929503280754</v>
      </c>
      <c r="BQ423" s="772">
        <v>7.4419736343536309</v>
      </c>
      <c r="BR423" s="772">
        <v>7.4837500837573403</v>
      </c>
      <c r="BS423" s="772">
        <v>7.5257610504827364</v>
      </c>
      <c r="BT423" s="772">
        <v>7.5680078510221236</v>
      </c>
      <c r="BU423" s="772">
        <v>7.6104918092581002</v>
      </c>
      <c r="BV423" s="772">
        <v>7.6532142565050441</v>
      </c>
      <c r="BW423" s="771">
        <v>5.0604490447289798</v>
      </c>
      <c r="BX423" s="771">
        <v>5.1282924885756138</v>
      </c>
      <c r="BY423" s="771">
        <v>5.1970454827076651</v>
      </c>
      <c r="BZ423" s="772">
        <v>5.1628771888375242</v>
      </c>
      <c r="CA423" s="772">
        <v>5.1289335365084048</v>
      </c>
      <c r="CB423" s="772">
        <v>5.1657534605114463</v>
      </c>
      <c r="CC423" s="772">
        <v>5.2028377097965244</v>
      </c>
      <c r="CD423" s="772">
        <v>5.2401881819192884</v>
      </c>
      <c r="CE423" s="772">
        <v>5.2778067880576813</v>
      </c>
      <c r="CF423" s="772">
        <v>5.3156954531097353</v>
      </c>
      <c r="CG423" s="772">
        <v>5.3455357741123857</v>
      </c>
      <c r="CH423" s="772">
        <v>5.3755436074876686</v>
      </c>
      <c r="CI423" s="772">
        <v>5.4057198935872304</v>
      </c>
      <c r="CJ423" s="772">
        <v>5.4360655780414993</v>
      </c>
      <c r="CK423" s="772">
        <v>5.4665816117893167</v>
      </c>
      <c r="CL423" s="771">
        <v>2.0268132109411519</v>
      </c>
      <c r="CM423" s="771">
        <v>2.053985896022791</v>
      </c>
      <c r="CN423" s="771">
        <v>2.081522874572896</v>
      </c>
      <c r="CO423" s="772">
        <v>2.0678377749307097</v>
      </c>
      <c r="CP423" s="772">
        <v>2.0542426488143994</v>
      </c>
      <c r="CQ423" s="772">
        <v>2.0689897804889981</v>
      </c>
      <c r="CR423" s="772">
        <v>2.0838427798383585</v>
      </c>
      <c r="CS423" s="772">
        <v>2.0988024068722795</v>
      </c>
      <c r="CT423" s="772">
        <v>2.1138694270565663</v>
      </c>
      <c r="CU423" s="772">
        <v>2.1290446113522004</v>
      </c>
      <c r="CV423" s="772">
        <v>2.1409962694545368</v>
      </c>
      <c r="CW423" s="772">
        <v>2.153015019683846</v>
      </c>
      <c r="CX423" s="772">
        <v>2.1651012386701707</v>
      </c>
      <c r="CY423" s="772">
        <v>2.1772553051578134</v>
      </c>
      <c r="CZ423" s="772">
        <v>2.1894776000172045</v>
      </c>
      <c r="DA423" s="773">
        <v>9.2175756734589817E-3</v>
      </c>
      <c r="DB423" s="773">
        <v>9.3411520739082234E-3</v>
      </c>
      <c r="DC423" s="773">
        <v>9.4663852144037629E-3</v>
      </c>
      <c r="DD423" s="774">
        <v>9.4041478849499534E-3</v>
      </c>
      <c r="DE423" s="774">
        <v>9.3423197386309758E-3</v>
      </c>
      <c r="DF423" s="774">
        <v>9.4093869954671155E-3</v>
      </c>
      <c r="DG423" s="774">
        <v>9.4769357191193532E-3</v>
      </c>
      <c r="DH423" s="774">
        <v>9.5449693659732035E-3</v>
      </c>
      <c r="DI423" s="774">
        <v>9.6134914172271071E-3</v>
      </c>
      <c r="DJ423" s="774">
        <v>9.6825053790705572E-3</v>
      </c>
      <c r="DK423" s="774">
        <v>9.7368593335380449E-3</v>
      </c>
      <c r="DL423" s="774">
        <v>9.7915184107243512E-3</v>
      </c>
      <c r="DM423" s="774">
        <v>9.8464843234740088E-3</v>
      </c>
      <c r="DN423" s="774">
        <v>9.9017587942468125E-3</v>
      </c>
      <c r="DO423" s="774">
        <v>9.9573435551717979E-3</v>
      </c>
      <c r="DP423" s="773">
        <v>0</v>
      </c>
      <c r="DQ423" s="773">
        <v>0</v>
      </c>
      <c r="DR423" s="773">
        <v>0</v>
      </c>
      <c r="DS423" s="774">
        <v>0</v>
      </c>
      <c r="DT423" s="774">
        <v>0</v>
      </c>
      <c r="DU423" s="774">
        <v>0</v>
      </c>
      <c r="DV423" s="774">
        <v>0</v>
      </c>
      <c r="DW423" s="774">
        <v>0</v>
      </c>
      <c r="DX423" s="774">
        <v>0</v>
      </c>
      <c r="DY423" s="774">
        <v>0</v>
      </c>
      <c r="DZ423" s="774">
        <v>0</v>
      </c>
      <c r="EA423" s="774">
        <v>0</v>
      </c>
      <c r="EB423" s="774">
        <v>0</v>
      </c>
      <c r="EC423" s="774">
        <v>0</v>
      </c>
      <c r="ED423" s="774">
        <v>0</v>
      </c>
    </row>
    <row r="424" spans="1:134" ht="15" x14ac:dyDescent="0.25">
      <c r="A424" s="766">
        <v>111</v>
      </c>
      <c r="B424" s="766">
        <v>113</v>
      </c>
      <c r="C424" s="766" t="s">
        <v>4095</v>
      </c>
      <c r="D424" s="2">
        <v>99712</v>
      </c>
      <c r="E424" s="2">
        <v>99712</v>
      </c>
      <c r="F424" s="767" t="s">
        <v>3676</v>
      </c>
      <c r="G424" s="114">
        <v>3</v>
      </c>
      <c r="H424" s="114">
        <v>1</v>
      </c>
      <c r="I424" s="114">
        <v>1</v>
      </c>
      <c r="J424" s="114">
        <v>0</v>
      </c>
      <c r="K424" s="114">
        <v>0</v>
      </c>
      <c r="L424" s="114">
        <v>10</v>
      </c>
      <c r="M424" s="114">
        <v>10</v>
      </c>
      <c r="N424" s="114">
        <v>0</v>
      </c>
      <c r="O424" s="114">
        <v>0</v>
      </c>
      <c r="P424" s="114">
        <v>0</v>
      </c>
      <c r="Q424" s="114">
        <v>10</v>
      </c>
      <c r="R424" s="114">
        <v>0</v>
      </c>
      <c r="S424" s="114">
        <v>544.6</v>
      </c>
      <c r="T424" s="114">
        <v>544.6</v>
      </c>
      <c r="U424" s="114">
        <v>0</v>
      </c>
      <c r="V424" s="114">
        <v>0</v>
      </c>
      <c r="W424" s="114">
        <v>0</v>
      </c>
      <c r="X424" s="114">
        <v>544.6</v>
      </c>
      <c r="Y424" s="114">
        <v>0</v>
      </c>
      <c r="Z424" s="114">
        <v>1</v>
      </c>
      <c r="AA424" s="114">
        <v>0</v>
      </c>
      <c r="AB424" s="657">
        <v>0</v>
      </c>
      <c r="AC424" s="657">
        <v>0</v>
      </c>
      <c r="AD424" s="768">
        <v>1</v>
      </c>
      <c r="AE424" s="769">
        <v>0</v>
      </c>
      <c r="AF424" s="769">
        <v>1</v>
      </c>
      <c r="AG424" s="770">
        <v>1</v>
      </c>
      <c r="AH424" s="769">
        <v>0</v>
      </c>
      <c r="AI424" s="769">
        <v>0</v>
      </c>
      <c r="AJ424" s="769">
        <v>0.90911424514573824</v>
      </c>
      <c r="AK424" s="769">
        <v>0.90911424514573824</v>
      </c>
      <c r="AL424" s="769">
        <v>0</v>
      </c>
      <c r="AM424" s="769">
        <v>0</v>
      </c>
      <c r="AN424" s="769">
        <v>0.91245411038790925</v>
      </c>
      <c r="AO424" s="769">
        <v>0.91245411038790925</v>
      </c>
      <c r="AP424" s="769">
        <v>0</v>
      </c>
      <c r="AQ424" s="769">
        <v>0</v>
      </c>
      <c r="AR424" s="769">
        <v>0</v>
      </c>
      <c r="AS424" s="769">
        <v>0.82648871072690544</v>
      </c>
      <c r="AT424" s="769">
        <v>0.86681754733851879</v>
      </c>
      <c r="AU424" s="769">
        <v>0.90911424514573824</v>
      </c>
      <c r="AV424" s="769">
        <v>0.95347482669745309</v>
      </c>
      <c r="AW424" s="769">
        <v>1</v>
      </c>
      <c r="AX424" s="769">
        <v>0.83257250356379087</v>
      </c>
      <c r="AY424" s="769">
        <v>0.87159864792961517</v>
      </c>
      <c r="AZ424" s="769">
        <v>0.91245411038790925</v>
      </c>
      <c r="BA424" s="769">
        <v>0.9552246387043779</v>
      </c>
      <c r="BB424" s="769">
        <v>1</v>
      </c>
      <c r="BC424" s="769">
        <v>0</v>
      </c>
      <c r="BD424" s="769">
        <v>0</v>
      </c>
      <c r="BE424" s="769">
        <v>0</v>
      </c>
      <c r="BF424" s="769">
        <v>0</v>
      </c>
      <c r="BG424" s="769">
        <v>0</v>
      </c>
      <c r="BH424" s="771">
        <v>1.0134066054705759</v>
      </c>
      <c r="BI424" s="771">
        <v>1.0269929480113955</v>
      </c>
      <c r="BJ424" s="771">
        <v>1.040761437286448</v>
      </c>
      <c r="BK424" s="772">
        <v>1.0339188874653549</v>
      </c>
      <c r="BL424" s="772">
        <v>1.0271213244071997</v>
      </c>
      <c r="BM424" s="772">
        <v>1.034494890244499</v>
      </c>
      <c r="BN424" s="772">
        <v>1.0419213899191793</v>
      </c>
      <c r="BO424" s="772">
        <v>1.0494012034361397</v>
      </c>
      <c r="BP424" s="772">
        <v>1.0569347135282832</v>
      </c>
      <c r="BQ424" s="772">
        <v>1.0645223056761002</v>
      </c>
      <c r="BR424" s="772">
        <v>1.0704981347272684</v>
      </c>
      <c r="BS424" s="772">
        <v>1.076507509841923</v>
      </c>
      <c r="BT424" s="772">
        <v>1.0825506193350853</v>
      </c>
      <c r="BU424" s="772">
        <v>1.0886276525789067</v>
      </c>
      <c r="BV424" s="772">
        <v>1.0947388000086022</v>
      </c>
      <c r="BW424" s="771">
        <v>1.0134066054705759</v>
      </c>
      <c r="BX424" s="771">
        <v>1.0269929480113955</v>
      </c>
      <c r="BY424" s="771">
        <v>1.040761437286448</v>
      </c>
      <c r="BZ424" s="772">
        <v>1.0339188874653549</v>
      </c>
      <c r="CA424" s="772">
        <v>1.0271213244071997</v>
      </c>
      <c r="CB424" s="772">
        <v>1.034494890244499</v>
      </c>
      <c r="CC424" s="772">
        <v>1.0419213899191793</v>
      </c>
      <c r="CD424" s="772">
        <v>1.0494012034361397</v>
      </c>
      <c r="CE424" s="772">
        <v>1.0569347135282832</v>
      </c>
      <c r="CF424" s="772">
        <v>1.0645223056761002</v>
      </c>
      <c r="CG424" s="772">
        <v>1.0704981347272684</v>
      </c>
      <c r="CH424" s="772">
        <v>1.076507509841923</v>
      </c>
      <c r="CI424" s="772">
        <v>1.0825506193350853</v>
      </c>
      <c r="CJ424" s="772">
        <v>1.0886276525789067</v>
      </c>
      <c r="CK424" s="772">
        <v>1.0947388000086022</v>
      </c>
      <c r="CL424" s="771">
        <v>0</v>
      </c>
      <c r="CM424" s="771">
        <v>0</v>
      </c>
      <c r="CN424" s="771">
        <v>0</v>
      </c>
      <c r="CO424" s="772">
        <v>0</v>
      </c>
      <c r="CP424" s="772">
        <v>0</v>
      </c>
      <c r="CQ424" s="772">
        <v>0</v>
      </c>
      <c r="CR424" s="772">
        <v>0</v>
      </c>
      <c r="CS424" s="772">
        <v>0</v>
      </c>
      <c r="CT424" s="772">
        <v>0</v>
      </c>
      <c r="CU424" s="772">
        <v>0</v>
      </c>
      <c r="CV424" s="772">
        <v>0</v>
      </c>
      <c r="CW424" s="772">
        <v>0</v>
      </c>
      <c r="CX424" s="772">
        <v>0</v>
      </c>
      <c r="CY424" s="772">
        <v>0</v>
      </c>
      <c r="CZ424" s="772">
        <v>0</v>
      </c>
      <c r="DA424" s="773">
        <v>0</v>
      </c>
      <c r="DB424" s="773">
        <v>0</v>
      </c>
      <c r="DC424" s="773">
        <v>0</v>
      </c>
      <c r="DD424" s="774">
        <v>0</v>
      </c>
      <c r="DE424" s="774">
        <v>0</v>
      </c>
      <c r="DF424" s="774">
        <v>0</v>
      </c>
      <c r="DG424" s="774">
        <v>0</v>
      </c>
      <c r="DH424" s="774">
        <v>0</v>
      </c>
      <c r="DI424" s="774">
        <v>0</v>
      </c>
      <c r="DJ424" s="774">
        <v>0</v>
      </c>
      <c r="DK424" s="774">
        <v>0</v>
      </c>
      <c r="DL424" s="774">
        <v>0</v>
      </c>
      <c r="DM424" s="774">
        <v>0</v>
      </c>
      <c r="DN424" s="774">
        <v>0</v>
      </c>
      <c r="DO424" s="774">
        <v>0</v>
      </c>
      <c r="DP424" s="773">
        <v>0</v>
      </c>
      <c r="DQ424" s="773">
        <v>0</v>
      </c>
      <c r="DR424" s="773">
        <v>0</v>
      </c>
      <c r="DS424" s="774">
        <v>0</v>
      </c>
      <c r="DT424" s="774">
        <v>0</v>
      </c>
      <c r="DU424" s="774">
        <v>0</v>
      </c>
      <c r="DV424" s="774">
        <v>0</v>
      </c>
      <c r="DW424" s="774">
        <v>0</v>
      </c>
      <c r="DX424" s="774">
        <v>0</v>
      </c>
      <c r="DY424" s="774">
        <v>0</v>
      </c>
      <c r="DZ424" s="774">
        <v>0</v>
      </c>
      <c r="EA424" s="774">
        <v>0</v>
      </c>
      <c r="EB424" s="774">
        <v>0</v>
      </c>
      <c r="EC424" s="774">
        <v>0</v>
      </c>
      <c r="ED424" s="774">
        <v>0</v>
      </c>
    </row>
    <row r="425" spans="1:134" ht="15" x14ac:dyDescent="0.25">
      <c r="A425" s="766">
        <v>112</v>
      </c>
      <c r="B425" s="766">
        <v>113</v>
      </c>
      <c r="C425" s="766" t="s">
        <v>4096</v>
      </c>
      <c r="D425" s="2">
        <v>99712</v>
      </c>
      <c r="E425" s="2">
        <v>99712</v>
      </c>
      <c r="F425" s="767" t="s">
        <v>3676</v>
      </c>
      <c r="G425" s="114">
        <v>34</v>
      </c>
      <c r="H425" s="114">
        <v>34</v>
      </c>
      <c r="I425" s="114">
        <v>20</v>
      </c>
      <c r="J425" s="114">
        <v>14</v>
      </c>
      <c r="K425" s="114">
        <v>0</v>
      </c>
      <c r="L425" s="114">
        <v>7</v>
      </c>
      <c r="M425" s="114">
        <v>7</v>
      </c>
      <c r="N425" s="114">
        <v>0</v>
      </c>
      <c r="O425" s="114">
        <v>0</v>
      </c>
      <c r="P425" s="114">
        <v>0</v>
      </c>
      <c r="Q425" s="114">
        <v>7</v>
      </c>
      <c r="R425" s="114">
        <v>0</v>
      </c>
      <c r="S425" s="114">
        <v>617.14285714285711</v>
      </c>
      <c r="T425" s="114">
        <v>617.14285714285711</v>
      </c>
      <c r="U425" s="114">
        <v>0</v>
      </c>
      <c r="V425" s="114">
        <v>0</v>
      </c>
      <c r="W425" s="114">
        <v>0</v>
      </c>
      <c r="X425" s="114">
        <v>617.14285714285711</v>
      </c>
      <c r="Y425" s="114">
        <v>0</v>
      </c>
      <c r="Z425" s="114">
        <v>34</v>
      </c>
      <c r="AA425" s="114">
        <v>0</v>
      </c>
      <c r="AB425" s="657">
        <v>0</v>
      </c>
      <c r="AC425" s="657">
        <v>0</v>
      </c>
      <c r="AD425" s="768">
        <v>34</v>
      </c>
      <c r="AE425" s="769">
        <v>0</v>
      </c>
      <c r="AF425" s="769">
        <v>20</v>
      </c>
      <c r="AG425" s="770">
        <v>20</v>
      </c>
      <c r="AH425" s="769">
        <v>0</v>
      </c>
      <c r="AI425" s="769">
        <v>0</v>
      </c>
      <c r="AJ425" s="769">
        <v>30.909884334955098</v>
      </c>
      <c r="AK425" s="769">
        <v>30.909884334955098</v>
      </c>
      <c r="AL425" s="769">
        <v>0</v>
      </c>
      <c r="AM425" s="769">
        <v>0</v>
      </c>
      <c r="AN425" s="769">
        <v>18.249082207758185</v>
      </c>
      <c r="AO425" s="769">
        <v>18.249082207758185</v>
      </c>
      <c r="AP425" s="769">
        <v>0</v>
      </c>
      <c r="AQ425" s="769">
        <v>0</v>
      </c>
      <c r="AR425" s="769">
        <v>0</v>
      </c>
      <c r="AS425" s="769">
        <v>28.100616164714783</v>
      </c>
      <c r="AT425" s="769">
        <v>29.471796609509639</v>
      </c>
      <c r="AU425" s="769">
        <v>30.909884334955098</v>
      </c>
      <c r="AV425" s="769">
        <v>32.41814410771341</v>
      </c>
      <c r="AW425" s="769">
        <v>34</v>
      </c>
      <c r="AX425" s="769">
        <v>16.651450071275818</v>
      </c>
      <c r="AY425" s="769">
        <v>17.431972958592304</v>
      </c>
      <c r="AZ425" s="769">
        <v>18.249082207758185</v>
      </c>
      <c r="BA425" s="769">
        <v>19.104492774087557</v>
      </c>
      <c r="BB425" s="769">
        <v>20</v>
      </c>
      <c r="BC425" s="769">
        <v>0</v>
      </c>
      <c r="BD425" s="769">
        <v>0</v>
      </c>
      <c r="BE425" s="769">
        <v>0</v>
      </c>
      <c r="BF425" s="769">
        <v>0</v>
      </c>
      <c r="BG425" s="769">
        <v>0</v>
      </c>
      <c r="BH425" s="771">
        <v>34.455824585999579</v>
      </c>
      <c r="BI425" s="771">
        <v>34.917760232387451</v>
      </c>
      <c r="BJ425" s="771">
        <v>35.385888867739233</v>
      </c>
      <c r="BK425" s="772">
        <v>35.153242173822072</v>
      </c>
      <c r="BL425" s="772">
        <v>34.922125029844793</v>
      </c>
      <c r="BM425" s="772">
        <v>35.172826268312967</v>
      </c>
      <c r="BN425" s="772">
        <v>35.425327257252093</v>
      </c>
      <c r="BO425" s="772">
        <v>35.679640916828752</v>
      </c>
      <c r="BP425" s="772">
        <v>35.935780259961625</v>
      </c>
      <c r="BQ425" s="772">
        <v>36.193758392987405</v>
      </c>
      <c r="BR425" s="772">
        <v>36.396936580727129</v>
      </c>
      <c r="BS425" s="772">
        <v>36.601255334625385</v>
      </c>
      <c r="BT425" s="772">
        <v>36.806721057392906</v>
      </c>
      <c r="BU425" s="772">
        <v>37.013340187682829</v>
      </c>
      <c r="BV425" s="772">
        <v>37.221119200292478</v>
      </c>
      <c r="BW425" s="771">
        <v>20.268132109411518</v>
      </c>
      <c r="BX425" s="771">
        <v>20.53985896022791</v>
      </c>
      <c r="BY425" s="771">
        <v>20.815228745728959</v>
      </c>
      <c r="BZ425" s="772">
        <v>20.678377749307099</v>
      </c>
      <c r="CA425" s="772">
        <v>20.542426488143995</v>
      </c>
      <c r="CB425" s="772">
        <v>20.689897804889977</v>
      </c>
      <c r="CC425" s="772">
        <v>20.838427798383584</v>
      </c>
      <c r="CD425" s="772">
        <v>20.988024068722794</v>
      </c>
      <c r="CE425" s="772">
        <v>21.138694270565662</v>
      </c>
      <c r="CF425" s="772">
        <v>21.290446113522002</v>
      </c>
      <c r="CG425" s="772">
        <v>21.409962694545367</v>
      </c>
      <c r="CH425" s="772">
        <v>21.530150196838459</v>
      </c>
      <c r="CI425" s="772">
        <v>21.651012386701705</v>
      </c>
      <c r="CJ425" s="772">
        <v>21.772553051578136</v>
      </c>
      <c r="CK425" s="772">
        <v>21.894776000172044</v>
      </c>
      <c r="CL425" s="771">
        <v>0</v>
      </c>
      <c r="CM425" s="771">
        <v>0</v>
      </c>
      <c r="CN425" s="771">
        <v>0</v>
      </c>
      <c r="CO425" s="772">
        <v>0</v>
      </c>
      <c r="CP425" s="772">
        <v>0</v>
      </c>
      <c r="CQ425" s="772">
        <v>0</v>
      </c>
      <c r="CR425" s="772">
        <v>0</v>
      </c>
      <c r="CS425" s="772">
        <v>0</v>
      </c>
      <c r="CT425" s="772">
        <v>0</v>
      </c>
      <c r="CU425" s="772">
        <v>0</v>
      </c>
      <c r="CV425" s="772">
        <v>0</v>
      </c>
      <c r="CW425" s="772">
        <v>0</v>
      </c>
      <c r="CX425" s="772">
        <v>0</v>
      </c>
      <c r="CY425" s="772">
        <v>0</v>
      </c>
      <c r="CZ425" s="772">
        <v>0</v>
      </c>
      <c r="DA425" s="773">
        <v>0</v>
      </c>
      <c r="DB425" s="773">
        <v>0</v>
      </c>
      <c r="DC425" s="773">
        <v>0</v>
      </c>
      <c r="DD425" s="774">
        <v>0</v>
      </c>
      <c r="DE425" s="774">
        <v>0</v>
      </c>
      <c r="DF425" s="774">
        <v>0</v>
      </c>
      <c r="DG425" s="774">
        <v>0</v>
      </c>
      <c r="DH425" s="774">
        <v>0</v>
      </c>
      <c r="DI425" s="774">
        <v>0</v>
      </c>
      <c r="DJ425" s="774">
        <v>0</v>
      </c>
      <c r="DK425" s="774">
        <v>0</v>
      </c>
      <c r="DL425" s="774">
        <v>0</v>
      </c>
      <c r="DM425" s="774">
        <v>0</v>
      </c>
      <c r="DN425" s="774">
        <v>0</v>
      </c>
      <c r="DO425" s="774">
        <v>0</v>
      </c>
      <c r="DP425" s="773">
        <v>0</v>
      </c>
      <c r="DQ425" s="773">
        <v>0</v>
      </c>
      <c r="DR425" s="773">
        <v>0</v>
      </c>
      <c r="DS425" s="774">
        <v>0</v>
      </c>
      <c r="DT425" s="774">
        <v>0</v>
      </c>
      <c r="DU425" s="774">
        <v>0</v>
      </c>
      <c r="DV425" s="774">
        <v>0</v>
      </c>
      <c r="DW425" s="774">
        <v>0</v>
      </c>
      <c r="DX425" s="774">
        <v>0</v>
      </c>
      <c r="DY425" s="774">
        <v>0</v>
      </c>
      <c r="DZ425" s="774">
        <v>0</v>
      </c>
      <c r="EA425" s="774">
        <v>0</v>
      </c>
      <c r="EB425" s="774">
        <v>0</v>
      </c>
      <c r="EC425" s="774">
        <v>0</v>
      </c>
      <c r="ED425" s="774">
        <v>0</v>
      </c>
    </row>
    <row r="426" spans="1:134" ht="15" x14ac:dyDescent="0.25">
      <c r="A426" s="766">
        <v>163</v>
      </c>
      <c r="B426" s="766">
        <v>113</v>
      </c>
      <c r="C426" s="766" t="s">
        <v>4097</v>
      </c>
      <c r="D426" s="2">
        <v>99712</v>
      </c>
      <c r="E426" s="2">
        <v>99712</v>
      </c>
      <c r="F426" s="767" t="s">
        <v>3676</v>
      </c>
      <c r="G426" s="114">
        <v>0</v>
      </c>
      <c r="H426" s="114">
        <v>2</v>
      </c>
      <c r="I426" s="114">
        <v>0</v>
      </c>
      <c r="J426" s="114">
        <v>2</v>
      </c>
      <c r="K426" s="114">
        <v>0</v>
      </c>
      <c r="L426" s="114">
        <v>13</v>
      </c>
      <c r="M426" s="114">
        <v>13</v>
      </c>
      <c r="N426" s="114">
        <v>0</v>
      </c>
      <c r="O426" s="114">
        <v>0</v>
      </c>
      <c r="P426" s="114">
        <v>0</v>
      </c>
      <c r="Q426" s="114">
        <v>13</v>
      </c>
      <c r="R426" s="114">
        <v>0</v>
      </c>
      <c r="S426" s="114">
        <v>511.23076923076923</v>
      </c>
      <c r="T426" s="114">
        <v>511.23076923076923</v>
      </c>
      <c r="U426" s="114">
        <v>0</v>
      </c>
      <c r="V426" s="114">
        <v>0</v>
      </c>
      <c r="W426" s="114">
        <v>0</v>
      </c>
      <c r="X426" s="114">
        <v>511.23076923076923</v>
      </c>
      <c r="Y426" s="114">
        <v>0</v>
      </c>
      <c r="Z426" s="114">
        <v>2</v>
      </c>
      <c r="AA426" s="114">
        <v>0</v>
      </c>
      <c r="AB426" s="657">
        <v>0</v>
      </c>
      <c r="AC426" s="657">
        <v>0</v>
      </c>
      <c r="AD426" s="768">
        <v>2</v>
      </c>
      <c r="AE426" s="769">
        <v>0</v>
      </c>
      <c r="AF426" s="769">
        <v>0</v>
      </c>
      <c r="AG426" s="770">
        <v>0</v>
      </c>
      <c r="AH426" s="769">
        <v>0</v>
      </c>
      <c r="AI426" s="769">
        <v>0</v>
      </c>
      <c r="AJ426" s="769">
        <v>1.8182284902914765</v>
      </c>
      <c r="AK426" s="769">
        <v>1.8182284902914765</v>
      </c>
      <c r="AL426" s="769">
        <v>0</v>
      </c>
      <c r="AM426" s="769">
        <v>0</v>
      </c>
      <c r="AN426" s="769">
        <v>0</v>
      </c>
      <c r="AO426" s="769">
        <v>0</v>
      </c>
      <c r="AP426" s="769">
        <v>0</v>
      </c>
      <c r="AQ426" s="769">
        <v>0</v>
      </c>
      <c r="AR426" s="769">
        <v>0</v>
      </c>
      <c r="AS426" s="769">
        <v>1.6529774214538109</v>
      </c>
      <c r="AT426" s="769">
        <v>1.7336350946770376</v>
      </c>
      <c r="AU426" s="769">
        <v>1.8182284902914765</v>
      </c>
      <c r="AV426" s="769">
        <v>1.9069496533949062</v>
      </c>
      <c r="AW426" s="769">
        <v>2</v>
      </c>
      <c r="AX426" s="769">
        <v>0</v>
      </c>
      <c r="AY426" s="769">
        <v>0</v>
      </c>
      <c r="AZ426" s="769">
        <v>0</v>
      </c>
      <c r="BA426" s="769">
        <v>0</v>
      </c>
      <c r="BB426" s="769">
        <v>0</v>
      </c>
      <c r="BC426" s="769">
        <v>0</v>
      </c>
      <c r="BD426" s="769">
        <v>0</v>
      </c>
      <c r="BE426" s="769">
        <v>0</v>
      </c>
      <c r="BF426" s="769">
        <v>0</v>
      </c>
      <c r="BG426" s="769">
        <v>0</v>
      </c>
      <c r="BH426" s="771">
        <v>2.0268132109411519</v>
      </c>
      <c r="BI426" s="771">
        <v>2.053985896022791</v>
      </c>
      <c r="BJ426" s="771">
        <v>2.081522874572896</v>
      </c>
      <c r="BK426" s="772">
        <v>2.0678377749307097</v>
      </c>
      <c r="BL426" s="772">
        <v>2.0542426488143994</v>
      </c>
      <c r="BM426" s="772">
        <v>2.0689897804889981</v>
      </c>
      <c r="BN426" s="772">
        <v>2.0838427798383585</v>
      </c>
      <c r="BO426" s="772">
        <v>2.0988024068722795</v>
      </c>
      <c r="BP426" s="772">
        <v>2.1138694270565663</v>
      </c>
      <c r="BQ426" s="772">
        <v>2.1290446113522004</v>
      </c>
      <c r="BR426" s="772">
        <v>2.1409962694545368</v>
      </c>
      <c r="BS426" s="772">
        <v>2.153015019683846</v>
      </c>
      <c r="BT426" s="772">
        <v>2.1651012386701707</v>
      </c>
      <c r="BU426" s="772">
        <v>2.1772553051578134</v>
      </c>
      <c r="BV426" s="772">
        <v>2.1894776000172045</v>
      </c>
      <c r="BW426" s="771">
        <v>0</v>
      </c>
      <c r="BX426" s="771">
        <v>0</v>
      </c>
      <c r="BY426" s="771">
        <v>0</v>
      </c>
      <c r="BZ426" s="772">
        <v>0</v>
      </c>
      <c r="CA426" s="772">
        <v>0</v>
      </c>
      <c r="CB426" s="772">
        <v>0</v>
      </c>
      <c r="CC426" s="772">
        <v>0</v>
      </c>
      <c r="CD426" s="772">
        <v>0</v>
      </c>
      <c r="CE426" s="772">
        <v>0</v>
      </c>
      <c r="CF426" s="772">
        <v>0</v>
      </c>
      <c r="CG426" s="772">
        <v>0</v>
      </c>
      <c r="CH426" s="772">
        <v>0</v>
      </c>
      <c r="CI426" s="772">
        <v>0</v>
      </c>
      <c r="CJ426" s="772">
        <v>0</v>
      </c>
      <c r="CK426" s="772">
        <v>0</v>
      </c>
      <c r="CL426" s="771">
        <v>0</v>
      </c>
      <c r="CM426" s="771">
        <v>0</v>
      </c>
      <c r="CN426" s="771">
        <v>0</v>
      </c>
      <c r="CO426" s="772">
        <v>0</v>
      </c>
      <c r="CP426" s="772">
        <v>0</v>
      </c>
      <c r="CQ426" s="772">
        <v>0</v>
      </c>
      <c r="CR426" s="772">
        <v>0</v>
      </c>
      <c r="CS426" s="772">
        <v>0</v>
      </c>
      <c r="CT426" s="772">
        <v>0</v>
      </c>
      <c r="CU426" s="772">
        <v>0</v>
      </c>
      <c r="CV426" s="772">
        <v>0</v>
      </c>
      <c r="CW426" s="772">
        <v>0</v>
      </c>
      <c r="CX426" s="772">
        <v>0</v>
      </c>
      <c r="CY426" s="772">
        <v>0</v>
      </c>
      <c r="CZ426" s="772">
        <v>0</v>
      </c>
      <c r="DA426" s="773">
        <v>0</v>
      </c>
      <c r="DB426" s="773">
        <v>0</v>
      </c>
      <c r="DC426" s="773">
        <v>0</v>
      </c>
      <c r="DD426" s="774">
        <v>0</v>
      </c>
      <c r="DE426" s="774">
        <v>0</v>
      </c>
      <c r="DF426" s="774">
        <v>0</v>
      </c>
      <c r="DG426" s="774">
        <v>0</v>
      </c>
      <c r="DH426" s="774">
        <v>0</v>
      </c>
      <c r="DI426" s="774">
        <v>0</v>
      </c>
      <c r="DJ426" s="774">
        <v>0</v>
      </c>
      <c r="DK426" s="774">
        <v>0</v>
      </c>
      <c r="DL426" s="774">
        <v>0</v>
      </c>
      <c r="DM426" s="774">
        <v>0</v>
      </c>
      <c r="DN426" s="774">
        <v>0</v>
      </c>
      <c r="DO426" s="774">
        <v>0</v>
      </c>
      <c r="DP426" s="773">
        <v>0</v>
      </c>
      <c r="DQ426" s="773">
        <v>0</v>
      </c>
      <c r="DR426" s="773">
        <v>0</v>
      </c>
      <c r="DS426" s="774">
        <v>0</v>
      </c>
      <c r="DT426" s="774">
        <v>0</v>
      </c>
      <c r="DU426" s="774">
        <v>0</v>
      </c>
      <c r="DV426" s="774">
        <v>0</v>
      </c>
      <c r="DW426" s="774">
        <v>0</v>
      </c>
      <c r="DX426" s="774">
        <v>0</v>
      </c>
      <c r="DY426" s="774">
        <v>0</v>
      </c>
      <c r="DZ426" s="774">
        <v>0</v>
      </c>
      <c r="EA426" s="774">
        <v>0</v>
      </c>
      <c r="EB426" s="774">
        <v>0</v>
      </c>
      <c r="EC426" s="774">
        <v>0</v>
      </c>
      <c r="ED426" s="774">
        <v>0</v>
      </c>
    </row>
    <row r="427" spans="1:134" ht="15" x14ac:dyDescent="0.25">
      <c r="A427" s="766">
        <v>167</v>
      </c>
      <c r="B427" s="766">
        <v>113</v>
      </c>
      <c r="C427" s="766" t="s">
        <v>4098</v>
      </c>
      <c r="D427" s="2">
        <v>99712</v>
      </c>
      <c r="E427" s="2">
        <v>99712</v>
      </c>
      <c r="F427" s="767" t="s">
        <v>3676</v>
      </c>
      <c r="G427" s="114">
        <v>1</v>
      </c>
      <c r="H427" s="114">
        <v>1</v>
      </c>
      <c r="I427" s="114">
        <v>1</v>
      </c>
      <c r="J427" s="114">
        <v>0</v>
      </c>
      <c r="K427" s="114">
        <v>0</v>
      </c>
      <c r="L427" s="114">
        <v>2</v>
      </c>
      <c r="M427" s="114">
        <v>2</v>
      </c>
      <c r="N427" s="114">
        <v>1</v>
      </c>
      <c r="O427" s="114">
        <v>0</v>
      </c>
      <c r="P427" s="114">
        <v>0</v>
      </c>
      <c r="Q427" s="114">
        <v>3</v>
      </c>
      <c r="R427" s="114">
        <v>0</v>
      </c>
      <c r="S427" s="114">
        <v>614</v>
      </c>
      <c r="T427" s="114">
        <v>614</v>
      </c>
      <c r="U427" s="114">
        <v>96141</v>
      </c>
      <c r="V427" s="114">
        <v>0</v>
      </c>
      <c r="W427" s="114">
        <v>0</v>
      </c>
      <c r="X427" s="114">
        <v>32456.333333333332</v>
      </c>
      <c r="Y427" s="114">
        <v>0</v>
      </c>
      <c r="Z427" s="114">
        <v>1</v>
      </c>
      <c r="AA427" s="114">
        <v>0</v>
      </c>
      <c r="AB427" s="657">
        <v>1</v>
      </c>
      <c r="AC427" s="657">
        <v>0</v>
      </c>
      <c r="AD427" s="768">
        <v>2</v>
      </c>
      <c r="AE427" s="769">
        <v>0</v>
      </c>
      <c r="AF427" s="769">
        <v>1</v>
      </c>
      <c r="AG427" s="770">
        <v>1</v>
      </c>
      <c r="AH427" s="769">
        <v>0</v>
      </c>
      <c r="AI427" s="769">
        <v>0</v>
      </c>
      <c r="AJ427" s="769">
        <v>0.90911424514573824</v>
      </c>
      <c r="AK427" s="769">
        <v>0.90911424514573824</v>
      </c>
      <c r="AL427" s="769">
        <v>0</v>
      </c>
      <c r="AM427" s="769">
        <v>0</v>
      </c>
      <c r="AN427" s="769">
        <v>0.91245411038790925</v>
      </c>
      <c r="AO427" s="769">
        <v>0.91245411038790925</v>
      </c>
      <c r="AP427" s="769">
        <v>0</v>
      </c>
      <c r="AQ427" s="769">
        <v>0.92984135081383867</v>
      </c>
      <c r="AR427" s="769">
        <v>0</v>
      </c>
      <c r="AS427" s="769">
        <v>0.82648871072690544</v>
      </c>
      <c r="AT427" s="769">
        <v>0.86681754733851879</v>
      </c>
      <c r="AU427" s="769">
        <v>0.90911424514573824</v>
      </c>
      <c r="AV427" s="769">
        <v>0.95347482669745309</v>
      </c>
      <c r="AW427" s="769">
        <v>1</v>
      </c>
      <c r="AX427" s="769">
        <v>0.83257250356379087</v>
      </c>
      <c r="AY427" s="769">
        <v>0.87159864792961517</v>
      </c>
      <c r="AZ427" s="769">
        <v>0.91245411038790925</v>
      </c>
      <c r="BA427" s="769">
        <v>0.9552246387043779</v>
      </c>
      <c r="BB427" s="769">
        <v>1</v>
      </c>
      <c r="BC427" s="769">
        <v>0.86460493768330426</v>
      </c>
      <c r="BD427" s="769">
        <v>0.89663003695825327</v>
      </c>
      <c r="BE427" s="769">
        <v>0.92984135081383867</v>
      </c>
      <c r="BF427" s="769">
        <v>0.96428281681975381</v>
      </c>
      <c r="BG427" s="769">
        <v>1</v>
      </c>
      <c r="BH427" s="771">
        <v>1.012657774283872</v>
      </c>
      <c r="BI427" s="771">
        <v>1.0254757678175654</v>
      </c>
      <c r="BJ427" s="771">
        <v>1.0384560086201806</v>
      </c>
      <c r="BK427" s="772">
        <v>1.0316286159810726</v>
      </c>
      <c r="BL427" s="772">
        <v>1.024846110453081</v>
      </c>
      <c r="BM427" s="772">
        <v>1.032203342835426</v>
      </c>
      <c r="BN427" s="772">
        <v>1.0396133917994759</v>
      </c>
      <c r="BO427" s="772">
        <v>1.047076636508367</v>
      </c>
      <c r="BP427" s="772">
        <v>1.0545934588471966</v>
      </c>
      <c r="BQ427" s="772">
        <v>1.0621642434425633</v>
      </c>
      <c r="BR427" s="772">
        <v>1.0681268352165749</v>
      </c>
      <c r="BS427" s="772">
        <v>1.0741228987449627</v>
      </c>
      <c r="BT427" s="772">
        <v>1.0801526219256044</v>
      </c>
      <c r="BU427" s="772">
        <v>1.0862161937111663</v>
      </c>
      <c r="BV427" s="772">
        <v>1.0923138041150233</v>
      </c>
      <c r="BW427" s="771">
        <v>1.012657774283872</v>
      </c>
      <c r="BX427" s="771">
        <v>1.0254757678175654</v>
      </c>
      <c r="BY427" s="771">
        <v>1.0384560086201806</v>
      </c>
      <c r="BZ427" s="772">
        <v>1.0316286159810726</v>
      </c>
      <c r="CA427" s="772">
        <v>1.024846110453081</v>
      </c>
      <c r="CB427" s="772">
        <v>1.032203342835426</v>
      </c>
      <c r="CC427" s="772">
        <v>1.0396133917994759</v>
      </c>
      <c r="CD427" s="772">
        <v>1.047076636508367</v>
      </c>
      <c r="CE427" s="772">
        <v>1.0545934588471966</v>
      </c>
      <c r="CF427" s="772">
        <v>1.0621642434425633</v>
      </c>
      <c r="CG427" s="772">
        <v>1.0681268352165749</v>
      </c>
      <c r="CH427" s="772">
        <v>1.0741228987449627</v>
      </c>
      <c r="CI427" s="772">
        <v>1.0801526219256044</v>
      </c>
      <c r="CJ427" s="772">
        <v>1.0862161937111663</v>
      </c>
      <c r="CK427" s="772">
        <v>1.0923138041150233</v>
      </c>
      <c r="CL427" s="771">
        <v>1.012657774283872</v>
      </c>
      <c r="CM427" s="771">
        <v>1.0254757678175654</v>
      </c>
      <c r="CN427" s="771">
        <v>1.0384560086201806</v>
      </c>
      <c r="CO427" s="772">
        <v>1.0316286159810726</v>
      </c>
      <c r="CP427" s="772">
        <v>1.024846110453081</v>
      </c>
      <c r="CQ427" s="772">
        <v>1.032203342835426</v>
      </c>
      <c r="CR427" s="772">
        <v>1.0396133917994759</v>
      </c>
      <c r="CS427" s="772">
        <v>1.047076636508367</v>
      </c>
      <c r="CT427" s="772">
        <v>1.0545934588471966</v>
      </c>
      <c r="CU427" s="772">
        <v>1.0621642434425633</v>
      </c>
      <c r="CV427" s="772">
        <v>1.0681268352165749</v>
      </c>
      <c r="CW427" s="772">
        <v>1.0741228987449627</v>
      </c>
      <c r="CX427" s="772">
        <v>1.0801526219256044</v>
      </c>
      <c r="CY427" s="772">
        <v>1.0862161937111663</v>
      </c>
      <c r="CZ427" s="772">
        <v>1.0923138041150233</v>
      </c>
      <c r="DA427" s="773">
        <v>0</v>
      </c>
      <c r="DB427" s="773">
        <v>0</v>
      </c>
      <c r="DC427" s="773">
        <v>0</v>
      </c>
      <c r="DD427" s="774">
        <v>0</v>
      </c>
      <c r="DE427" s="774">
        <v>0</v>
      </c>
      <c r="DF427" s="774">
        <v>0</v>
      </c>
      <c r="DG427" s="774">
        <v>0</v>
      </c>
      <c r="DH427" s="774">
        <v>0</v>
      </c>
      <c r="DI427" s="774">
        <v>0</v>
      </c>
      <c r="DJ427" s="774">
        <v>0</v>
      </c>
      <c r="DK427" s="774">
        <v>0</v>
      </c>
      <c r="DL427" s="774">
        <v>0</v>
      </c>
      <c r="DM427" s="774">
        <v>0</v>
      </c>
      <c r="DN427" s="774">
        <v>0</v>
      </c>
      <c r="DO427" s="774">
        <v>0</v>
      </c>
      <c r="DP427" s="773">
        <v>0</v>
      </c>
      <c r="DQ427" s="773">
        <v>0</v>
      </c>
      <c r="DR427" s="773">
        <v>0</v>
      </c>
      <c r="DS427" s="774">
        <v>0</v>
      </c>
      <c r="DT427" s="774">
        <v>0</v>
      </c>
      <c r="DU427" s="774">
        <v>0</v>
      </c>
      <c r="DV427" s="774">
        <v>0</v>
      </c>
      <c r="DW427" s="774">
        <v>0</v>
      </c>
      <c r="DX427" s="774">
        <v>0</v>
      </c>
      <c r="DY427" s="774">
        <v>0</v>
      </c>
      <c r="DZ427" s="774">
        <v>0</v>
      </c>
      <c r="EA427" s="774">
        <v>0</v>
      </c>
      <c r="EB427" s="774">
        <v>0</v>
      </c>
      <c r="EC427" s="774">
        <v>0</v>
      </c>
      <c r="ED427" s="774">
        <v>0</v>
      </c>
    </row>
    <row r="428" spans="1:134" ht="15" x14ac:dyDescent="0.25">
      <c r="A428" s="766">
        <v>172</v>
      </c>
      <c r="B428" s="766">
        <v>113</v>
      </c>
      <c r="C428" s="766" t="s">
        <v>4099</v>
      </c>
      <c r="D428" s="2">
        <v>99712</v>
      </c>
      <c r="E428" s="2">
        <v>99712</v>
      </c>
      <c r="F428" s="767" t="s">
        <v>3676</v>
      </c>
      <c r="G428" s="114">
        <v>3</v>
      </c>
      <c r="H428" s="114">
        <v>13</v>
      </c>
      <c r="I428" s="114">
        <v>3</v>
      </c>
      <c r="J428" s="114">
        <v>10</v>
      </c>
      <c r="K428" s="114">
        <v>0</v>
      </c>
      <c r="L428" s="114">
        <v>0</v>
      </c>
      <c r="M428" s="114">
        <v>0</v>
      </c>
      <c r="N428" s="114">
        <v>0</v>
      </c>
      <c r="O428" s="114">
        <v>0</v>
      </c>
      <c r="P428" s="114">
        <v>0</v>
      </c>
      <c r="Q428" s="114">
        <v>0</v>
      </c>
      <c r="R428" s="114">
        <v>0</v>
      </c>
      <c r="S428" s="114">
        <v>834.49503068156923</v>
      </c>
      <c r="T428" s="114">
        <v>834.49503068156923</v>
      </c>
      <c r="U428" s="114">
        <v>1408.3846153846155</v>
      </c>
      <c r="V428" s="114">
        <v>0</v>
      </c>
      <c r="W428" s="114">
        <v>0</v>
      </c>
      <c r="X428" s="114">
        <v>1365.173957061457</v>
      </c>
      <c r="Y428" s="114">
        <v>0.29786036036036034</v>
      </c>
      <c r="Z428" s="114">
        <v>12.685247747747749</v>
      </c>
      <c r="AA428" s="114">
        <v>1.6891891891891893E-2</v>
      </c>
      <c r="AB428" s="657">
        <v>0</v>
      </c>
      <c r="AC428" s="657">
        <v>0</v>
      </c>
      <c r="AD428" s="768">
        <v>13</v>
      </c>
      <c r="AE428" s="769">
        <v>6.8737006237006237E-2</v>
      </c>
      <c r="AF428" s="769">
        <v>2.9273648648648649</v>
      </c>
      <c r="AG428" s="770">
        <v>2.996101871101871</v>
      </c>
      <c r="AH428" s="769">
        <v>3.8981288981288983E-3</v>
      </c>
      <c r="AI428" s="769">
        <v>0.27078909666784656</v>
      </c>
      <c r="AJ428" s="769">
        <v>11.53233943068037</v>
      </c>
      <c r="AK428" s="769">
        <v>11.803128527348216</v>
      </c>
      <c r="AL428" s="769">
        <v>1.5356659546380713E-2</v>
      </c>
      <c r="AM428" s="769">
        <v>6.27193638767157E-2</v>
      </c>
      <c r="AN428" s="769">
        <v>2.6710861035510924</v>
      </c>
      <c r="AO428" s="769">
        <v>2.7338054674278083</v>
      </c>
      <c r="AP428" s="769">
        <v>3.5568637359196047E-3</v>
      </c>
      <c r="AQ428" s="769">
        <v>0</v>
      </c>
      <c r="AR428" s="769">
        <v>0</v>
      </c>
      <c r="AS428" s="769">
        <v>10.730392281498304</v>
      </c>
      <c r="AT428" s="769">
        <v>11.253985927101107</v>
      </c>
      <c r="AU428" s="769">
        <v>11.803128527348218</v>
      </c>
      <c r="AV428" s="769">
        <v>12.379066753372678</v>
      </c>
      <c r="AW428" s="769">
        <v>12.983108108108109</v>
      </c>
      <c r="AX428" s="769">
        <v>2.4944720357554431</v>
      </c>
      <c r="AY428" s="769">
        <v>2.6113983399117808</v>
      </c>
      <c r="AZ428" s="769">
        <v>2.7338054674278078</v>
      </c>
      <c r="BA428" s="769">
        <v>2.8619503273447955</v>
      </c>
      <c r="BB428" s="769">
        <v>2.996101871101871</v>
      </c>
      <c r="BC428" s="769">
        <v>0</v>
      </c>
      <c r="BD428" s="769">
        <v>0</v>
      </c>
      <c r="BE428" s="769">
        <v>0</v>
      </c>
      <c r="BF428" s="769">
        <v>0</v>
      </c>
      <c r="BG428" s="769">
        <v>0</v>
      </c>
      <c r="BH428" s="771">
        <v>13.147445360043649</v>
      </c>
      <c r="BI428" s="771">
        <v>13.313862755820622</v>
      </c>
      <c r="BJ428" s="771">
        <v>13.482386625430252</v>
      </c>
      <c r="BK428" s="772">
        <v>13.39374584870021</v>
      </c>
      <c r="BL428" s="772">
        <v>13.305687846186455</v>
      </c>
      <c r="BM428" s="772">
        <v>13.401207589582913</v>
      </c>
      <c r="BN428" s="772">
        <v>13.497413056369549</v>
      </c>
      <c r="BO428" s="772">
        <v>13.594309169262349</v>
      </c>
      <c r="BP428" s="772">
        <v>13.691900886316814</v>
      </c>
      <c r="BQ428" s="772">
        <v>13.79019320118166</v>
      </c>
      <c r="BR428" s="772">
        <v>13.867606174788168</v>
      </c>
      <c r="BS428" s="772">
        <v>13.94545371580031</v>
      </c>
      <c r="BT428" s="772">
        <v>14.023738263716547</v>
      </c>
      <c r="BU428" s="772">
        <v>14.102462271729772</v>
      </c>
      <c r="BV428" s="772">
        <v>14.181628206804172</v>
      </c>
      <c r="BW428" s="771">
        <v>3.034025852317765</v>
      </c>
      <c r="BX428" s="771">
        <v>3.0724298667278358</v>
      </c>
      <c r="BY428" s="771">
        <v>3.1113199904839037</v>
      </c>
      <c r="BZ428" s="772">
        <v>3.0908644266231251</v>
      </c>
      <c r="CA428" s="772">
        <v>3.0705433491199505</v>
      </c>
      <c r="CB428" s="772">
        <v>3.0925863668268256</v>
      </c>
      <c r="CC428" s="772">
        <v>3.1147876283929721</v>
      </c>
      <c r="CD428" s="772">
        <v>3.1371482698297721</v>
      </c>
      <c r="CE428" s="772">
        <v>3.1596694353038797</v>
      </c>
      <c r="CF428" s="772">
        <v>3.1823522771957671</v>
      </c>
      <c r="CG428" s="772">
        <v>3.2002168095664998</v>
      </c>
      <c r="CH428" s="772">
        <v>3.218181626723148</v>
      </c>
      <c r="CI428" s="772">
        <v>3.2362472916268952</v>
      </c>
      <c r="CJ428" s="772">
        <v>3.2544143703991777</v>
      </c>
      <c r="CK428" s="772">
        <v>3.272683432339424</v>
      </c>
      <c r="CL428" s="771">
        <v>0</v>
      </c>
      <c r="CM428" s="771">
        <v>0</v>
      </c>
      <c r="CN428" s="771">
        <v>0</v>
      </c>
      <c r="CO428" s="772">
        <v>0</v>
      </c>
      <c r="CP428" s="772">
        <v>0</v>
      </c>
      <c r="CQ428" s="772">
        <v>0</v>
      </c>
      <c r="CR428" s="772">
        <v>0</v>
      </c>
      <c r="CS428" s="772">
        <v>0</v>
      </c>
      <c r="CT428" s="772">
        <v>0</v>
      </c>
      <c r="CU428" s="772">
        <v>0</v>
      </c>
      <c r="CV428" s="772">
        <v>0</v>
      </c>
      <c r="CW428" s="772">
        <v>0</v>
      </c>
      <c r="CX428" s="772">
        <v>0</v>
      </c>
      <c r="CY428" s="772">
        <v>0</v>
      </c>
      <c r="CZ428" s="772">
        <v>0</v>
      </c>
      <c r="DA428" s="773">
        <v>1.7105705646687029E-2</v>
      </c>
      <c r="DB428" s="773">
        <v>1.7322225807729148E-2</v>
      </c>
      <c r="DC428" s="773">
        <v>1.7541486632097647E-2</v>
      </c>
      <c r="DD428" s="774">
        <v>1.7426159053734337E-2</v>
      </c>
      <c r="DE428" s="774">
        <v>1.7311589703599344E-2</v>
      </c>
      <c r="DF428" s="774">
        <v>1.7435867277625441E-2</v>
      </c>
      <c r="DG428" s="774">
        <v>1.7561037023639797E-2</v>
      </c>
      <c r="DH428" s="774">
        <v>1.7687105346425123E-2</v>
      </c>
      <c r="DI428" s="774">
        <v>1.7814078696743188E-2</v>
      </c>
      <c r="DJ428" s="774">
        <v>1.7941963571664922E-2</v>
      </c>
      <c r="DK428" s="774">
        <v>1.8042683027307011E-2</v>
      </c>
      <c r="DL428" s="774">
        <v>1.8143967884205452E-2</v>
      </c>
      <c r="DM428" s="774">
        <v>1.8245821316310886E-2</v>
      </c>
      <c r="DN428" s="774">
        <v>1.8348246515391322E-2</v>
      </c>
      <c r="DO428" s="774">
        <v>1.8451246691132153E-2</v>
      </c>
      <c r="DP428" s="773">
        <v>0</v>
      </c>
      <c r="DQ428" s="773">
        <v>0</v>
      </c>
      <c r="DR428" s="773">
        <v>0</v>
      </c>
      <c r="DS428" s="774">
        <v>0</v>
      </c>
      <c r="DT428" s="774">
        <v>0</v>
      </c>
      <c r="DU428" s="774">
        <v>0</v>
      </c>
      <c r="DV428" s="774">
        <v>0</v>
      </c>
      <c r="DW428" s="774">
        <v>0</v>
      </c>
      <c r="DX428" s="774">
        <v>0</v>
      </c>
      <c r="DY428" s="774">
        <v>0</v>
      </c>
      <c r="DZ428" s="774">
        <v>0</v>
      </c>
      <c r="EA428" s="774">
        <v>0</v>
      </c>
      <c r="EB428" s="774">
        <v>0</v>
      </c>
      <c r="EC428" s="774">
        <v>0</v>
      </c>
      <c r="ED428" s="774">
        <v>0</v>
      </c>
    </row>
    <row r="429" spans="1:134" ht="15" x14ac:dyDescent="0.25">
      <c r="A429" s="766">
        <v>106</v>
      </c>
      <c r="B429" s="766">
        <v>114</v>
      </c>
      <c r="C429" s="766" t="s">
        <v>4100</v>
      </c>
      <c r="D429" s="2">
        <v>99712</v>
      </c>
      <c r="E429" s="2">
        <v>99712</v>
      </c>
      <c r="F429" s="767" t="s">
        <v>3676</v>
      </c>
      <c r="G429" s="114">
        <v>31</v>
      </c>
      <c r="H429" s="114">
        <v>21</v>
      </c>
      <c r="I429" s="114">
        <v>16</v>
      </c>
      <c r="J429" s="114">
        <v>5</v>
      </c>
      <c r="K429" s="114">
        <v>0</v>
      </c>
      <c r="L429" s="114">
        <v>0</v>
      </c>
      <c r="M429" s="114">
        <v>0</v>
      </c>
      <c r="N429" s="114">
        <v>0</v>
      </c>
      <c r="O429" s="114">
        <v>0</v>
      </c>
      <c r="P429" s="114">
        <v>0</v>
      </c>
      <c r="Q429" s="114">
        <v>0</v>
      </c>
      <c r="R429" s="114">
        <v>0</v>
      </c>
      <c r="S429" s="114">
        <v>834.49503068156923</v>
      </c>
      <c r="T429" s="114">
        <v>834.49503068156923</v>
      </c>
      <c r="U429" s="114">
        <v>1408.3846153846155</v>
      </c>
      <c r="V429" s="114">
        <v>0</v>
      </c>
      <c r="W429" s="114">
        <v>0</v>
      </c>
      <c r="X429" s="114">
        <v>1365.173957061457</v>
      </c>
      <c r="Y429" s="114">
        <v>0.48115904365904366</v>
      </c>
      <c r="Z429" s="114">
        <v>20.491554054054053</v>
      </c>
      <c r="AA429" s="114">
        <v>2.7286902286902288E-2</v>
      </c>
      <c r="AB429" s="657">
        <v>0</v>
      </c>
      <c r="AC429" s="657">
        <v>0</v>
      </c>
      <c r="AD429" s="768">
        <v>21</v>
      </c>
      <c r="AE429" s="769">
        <v>0.36659736659736658</v>
      </c>
      <c r="AF429" s="769">
        <v>15.612612612612612</v>
      </c>
      <c r="AG429" s="770">
        <v>15.979209979209978</v>
      </c>
      <c r="AH429" s="769">
        <v>2.0790020790020791E-2</v>
      </c>
      <c r="AI429" s="769">
        <v>0.4374285407711368</v>
      </c>
      <c r="AJ429" s="769">
        <v>18.629163695714443</v>
      </c>
      <c r="AK429" s="769">
        <v>19.06659223648558</v>
      </c>
      <c r="AL429" s="769">
        <v>2.480691157492269E-2</v>
      </c>
      <c r="AM429" s="769">
        <v>0.33450327400915036</v>
      </c>
      <c r="AN429" s="769">
        <v>14.245792552272492</v>
      </c>
      <c r="AO429" s="769">
        <v>14.580295826281644</v>
      </c>
      <c r="AP429" s="769">
        <v>1.8969939924904561E-2</v>
      </c>
      <c r="AQ429" s="769">
        <v>0</v>
      </c>
      <c r="AR429" s="769">
        <v>0</v>
      </c>
      <c r="AS429" s="769">
        <v>17.333710608574179</v>
      </c>
      <c r="AT429" s="769">
        <v>18.179515728394094</v>
      </c>
      <c r="AU429" s="769">
        <v>19.06659223648558</v>
      </c>
      <c r="AV429" s="769">
        <v>19.996953986217399</v>
      </c>
      <c r="AW429" s="769">
        <v>20.972713097713097</v>
      </c>
      <c r="AX429" s="769">
        <v>13.303850857362361</v>
      </c>
      <c r="AY429" s="769">
        <v>13.92745781286283</v>
      </c>
      <c r="AZ429" s="769">
        <v>14.580295826281642</v>
      </c>
      <c r="BA429" s="769">
        <v>15.263735079172241</v>
      </c>
      <c r="BB429" s="769">
        <v>15.979209979209978</v>
      </c>
      <c r="BC429" s="769">
        <v>0</v>
      </c>
      <c r="BD429" s="769">
        <v>0</v>
      </c>
      <c r="BE429" s="769">
        <v>0</v>
      </c>
      <c r="BF429" s="769">
        <v>0</v>
      </c>
      <c r="BG429" s="769">
        <v>0</v>
      </c>
      <c r="BH429" s="771">
        <v>21.253885987861718</v>
      </c>
      <c r="BI429" s="771">
        <v>21.538828452017579</v>
      </c>
      <c r="BJ429" s="771">
        <v>21.827591027372197</v>
      </c>
      <c r="BK429" s="772">
        <v>21.684084193117606</v>
      </c>
      <c r="BL429" s="772">
        <v>21.541520853335303</v>
      </c>
      <c r="BM429" s="772">
        <v>21.696164534148078</v>
      </c>
      <c r="BN429" s="772">
        <v>21.851918381145406</v>
      </c>
      <c r="BO429" s="772">
        <v>22.008790364061014</v>
      </c>
      <c r="BP429" s="772">
        <v>22.166788509842263</v>
      </c>
      <c r="BQ429" s="772">
        <v>22.325920903060894</v>
      </c>
      <c r="BR429" s="772">
        <v>22.451250251272022</v>
      </c>
      <c r="BS429" s="772">
        <v>22.57728315144821</v>
      </c>
      <c r="BT429" s="772">
        <v>22.704023553066371</v>
      </c>
      <c r="BU429" s="772">
        <v>22.831475427774301</v>
      </c>
      <c r="BV429" s="772">
        <v>22.959642769515135</v>
      </c>
      <c r="BW429" s="771">
        <v>16.193436943132735</v>
      </c>
      <c r="BX429" s="771">
        <v>16.410535963441966</v>
      </c>
      <c r="BY429" s="771">
        <v>16.630545544664528</v>
      </c>
      <c r="BZ429" s="772">
        <v>16.521207004280079</v>
      </c>
      <c r="CA429" s="772">
        <v>16.412587316826894</v>
      </c>
      <c r="CB429" s="772">
        <v>16.530411073636628</v>
      </c>
      <c r="CC429" s="772">
        <v>16.649080671348877</v>
      </c>
      <c r="CD429" s="772">
        <v>16.768602182141723</v>
      </c>
      <c r="CE429" s="772">
        <v>16.888981721784578</v>
      </c>
      <c r="CF429" s="772">
        <v>17.010225449951154</v>
      </c>
      <c r="CG429" s="772">
        <v>17.105714477159633</v>
      </c>
      <c r="CH429" s="772">
        <v>17.201739543960539</v>
      </c>
      <c r="CI429" s="772">
        <v>17.298303659479139</v>
      </c>
      <c r="CJ429" s="772">
        <v>17.3954098497328</v>
      </c>
      <c r="CK429" s="772">
        <v>17.493061157725812</v>
      </c>
      <c r="CL429" s="771">
        <v>0</v>
      </c>
      <c r="CM429" s="771">
        <v>0</v>
      </c>
      <c r="CN429" s="771">
        <v>0</v>
      </c>
      <c r="CO429" s="772">
        <v>0</v>
      </c>
      <c r="CP429" s="772">
        <v>0</v>
      </c>
      <c r="CQ429" s="772">
        <v>0</v>
      </c>
      <c r="CR429" s="772">
        <v>0</v>
      </c>
      <c r="CS429" s="772">
        <v>0</v>
      </c>
      <c r="CT429" s="772">
        <v>0</v>
      </c>
      <c r="CU429" s="772">
        <v>0</v>
      </c>
      <c r="CV429" s="772">
        <v>0</v>
      </c>
      <c r="CW429" s="772">
        <v>0</v>
      </c>
      <c r="CX429" s="772">
        <v>0</v>
      </c>
      <c r="CY429" s="772">
        <v>0</v>
      </c>
      <c r="CZ429" s="772">
        <v>0</v>
      </c>
      <c r="DA429" s="773">
        <v>2.7652727020376945E-2</v>
      </c>
      <c r="DB429" s="773">
        <v>2.8023456221724672E-2</v>
      </c>
      <c r="DC429" s="773">
        <v>2.8399155643211289E-2</v>
      </c>
      <c r="DD429" s="774">
        <v>2.8212443654849862E-2</v>
      </c>
      <c r="DE429" s="774">
        <v>2.8026959215892926E-2</v>
      </c>
      <c r="DF429" s="774">
        <v>2.8228160986401348E-2</v>
      </c>
      <c r="DG429" s="774">
        <v>2.8430807157358063E-2</v>
      </c>
      <c r="DH429" s="774">
        <v>2.8634908097919614E-2</v>
      </c>
      <c r="DI429" s="774">
        <v>2.884047425168132E-2</v>
      </c>
      <c r="DJ429" s="774">
        <v>2.9047516137211671E-2</v>
      </c>
      <c r="DK429" s="774">
        <v>2.9210578000614131E-2</v>
      </c>
      <c r="DL429" s="774">
        <v>2.9374555232173055E-2</v>
      </c>
      <c r="DM429" s="774">
        <v>2.9539452970422028E-2</v>
      </c>
      <c r="DN429" s="774">
        <v>2.9705276382740439E-2</v>
      </c>
      <c r="DO429" s="774">
        <v>2.9872030665515397E-2</v>
      </c>
      <c r="DP429" s="773">
        <v>0</v>
      </c>
      <c r="DQ429" s="773">
        <v>0</v>
      </c>
      <c r="DR429" s="773">
        <v>0</v>
      </c>
      <c r="DS429" s="774">
        <v>0</v>
      </c>
      <c r="DT429" s="774">
        <v>0</v>
      </c>
      <c r="DU429" s="774">
        <v>0</v>
      </c>
      <c r="DV429" s="774">
        <v>0</v>
      </c>
      <c r="DW429" s="774">
        <v>0</v>
      </c>
      <c r="DX429" s="774">
        <v>0</v>
      </c>
      <c r="DY429" s="774">
        <v>0</v>
      </c>
      <c r="DZ429" s="774">
        <v>0</v>
      </c>
      <c r="EA429" s="774">
        <v>0</v>
      </c>
      <c r="EB429" s="774">
        <v>0</v>
      </c>
      <c r="EC429" s="774">
        <v>0</v>
      </c>
      <c r="ED429" s="774">
        <v>0</v>
      </c>
    </row>
    <row r="430" spans="1:134" ht="15" x14ac:dyDescent="0.25">
      <c r="A430" s="766">
        <v>165</v>
      </c>
      <c r="B430" s="766">
        <v>114</v>
      </c>
      <c r="C430" s="766" t="s">
        <v>4101</v>
      </c>
      <c r="D430" s="2">
        <v>99712</v>
      </c>
      <c r="E430" s="2">
        <v>99712</v>
      </c>
      <c r="F430" s="767" t="s">
        <v>3676</v>
      </c>
      <c r="G430" s="114">
        <v>0</v>
      </c>
      <c r="H430" s="114">
        <v>2</v>
      </c>
      <c r="I430" s="114">
        <v>0</v>
      </c>
      <c r="J430" s="114">
        <v>2</v>
      </c>
      <c r="K430" s="114">
        <v>0</v>
      </c>
      <c r="L430" s="114">
        <v>2</v>
      </c>
      <c r="M430" s="114">
        <v>2</v>
      </c>
      <c r="N430" s="114">
        <v>0</v>
      </c>
      <c r="O430" s="114">
        <v>0</v>
      </c>
      <c r="P430" s="114">
        <v>0</v>
      </c>
      <c r="Q430" s="114">
        <v>2</v>
      </c>
      <c r="R430" s="114">
        <v>0</v>
      </c>
      <c r="S430" s="114">
        <v>225</v>
      </c>
      <c r="T430" s="114">
        <v>225</v>
      </c>
      <c r="U430" s="114">
        <v>0</v>
      </c>
      <c r="V430" s="114">
        <v>0</v>
      </c>
      <c r="W430" s="114">
        <v>0</v>
      </c>
      <c r="X430" s="114">
        <v>225</v>
      </c>
      <c r="Y430" s="114">
        <v>0</v>
      </c>
      <c r="Z430" s="114">
        <v>2</v>
      </c>
      <c r="AA430" s="114">
        <v>0</v>
      </c>
      <c r="AB430" s="657">
        <v>0</v>
      </c>
      <c r="AC430" s="657">
        <v>0</v>
      </c>
      <c r="AD430" s="768">
        <v>2</v>
      </c>
      <c r="AE430" s="769">
        <v>0</v>
      </c>
      <c r="AF430" s="769">
        <v>0</v>
      </c>
      <c r="AG430" s="770">
        <v>0</v>
      </c>
      <c r="AH430" s="769">
        <v>0</v>
      </c>
      <c r="AI430" s="769">
        <v>0</v>
      </c>
      <c r="AJ430" s="769">
        <v>1.8182284902914765</v>
      </c>
      <c r="AK430" s="769">
        <v>1.8182284902914765</v>
      </c>
      <c r="AL430" s="769">
        <v>0</v>
      </c>
      <c r="AM430" s="769">
        <v>0</v>
      </c>
      <c r="AN430" s="769">
        <v>0</v>
      </c>
      <c r="AO430" s="769">
        <v>0</v>
      </c>
      <c r="AP430" s="769">
        <v>0</v>
      </c>
      <c r="AQ430" s="769">
        <v>0</v>
      </c>
      <c r="AR430" s="769">
        <v>0</v>
      </c>
      <c r="AS430" s="769">
        <v>1.6529774214538109</v>
      </c>
      <c r="AT430" s="769">
        <v>1.7336350946770376</v>
      </c>
      <c r="AU430" s="769">
        <v>1.8182284902914765</v>
      </c>
      <c r="AV430" s="769">
        <v>1.9069496533949062</v>
      </c>
      <c r="AW430" s="769">
        <v>2</v>
      </c>
      <c r="AX430" s="769">
        <v>0</v>
      </c>
      <c r="AY430" s="769">
        <v>0</v>
      </c>
      <c r="AZ430" s="769">
        <v>0</v>
      </c>
      <c r="BA430" s="769">
        <v>0</v>
      </c>
      <c r="BB430" s="769">
        <v>0</v>
      </c>
      <c r="BC430" s="769">
        <v>0</v>
      </c>
      <c r="BD430" s="769">
        <v>0</v>
      </c>
      <c r="BE430" s="769">
        <v>0</v>
      </c>
      <c r="BF430" s="769">
        <v>0</v>
      </c>
      <c r="BG430" s="769">
        <v>0</v>
      </c>
      <c r="BH430" s="771">
        <v>2.0268132109411519</v>
      </c>
      <c r="BI430" s="771">
        <v>2.053985896022791</v>
      </c>
      <c r="BJ430" s="771">
        <v>2.081522874572896</v>
      </c>
      <c r="BK430" s="772">
        <v>2.0678377749307097</v>
      </c>
      <c r="BL430" s="772">
        <v>2.0542426488143994</v>
      </c>
      <c r="BM430" s="772">
        <v>2.0689897804889981</v>
      </c>
      <c r="BN430" s="772">
        <v>2.0838427798383585</v>
      </c>
      <c r="BO430" s="772">
        <v>2.0988024068722795</v>
      </c>
      <c r="BP430" s="772">
        <v>2.1138694270565663</v>
      </c>
      <c r="BQ430" s="772">
        <v>2.1290446113522004</v>
      </c>
      <c r="BR430" s="772">
        <v>2.1409962694545368</v>
      </c>
      <c r="BS430" s="772">
        <v>2.153015019683846</v>
      </c>
      <c r="BT430" s="772">
        <v>2.1651012386701707</v>
      </c>
      <c r="BU430" s="772">
        <v>2.1772553051578134</v>
      </c>
      <c r="BV430" s="772">
        <v>2.1894776000172045</v>
      </c>
      <c r="BW430" s="771">
        <v>0</v>
      </c>
      <c r="BX430" s="771">
        <v>0</v>
      </c>
      <c r="BY430" s="771">
        <v>0</v>
      </c>
      <c r="BZ430" s="772">
        <v>0</v>
      </c>
      <c r="CA430" s="772">
        <v>0</v>
      </c>
      <c r="CB430" s="772">
        <v>0</v>
      </c>
      <c r="CC430" s="772">
        <v>0</v>
      </c>
      <c r="CD430" s="772">
        <v>0</v>
      </c>
      <c r="CE430" s="772">
        <v>0</v>
      </c>
      <c r="CF430" s="772">
        <v>0</v>
      </c>
      <c r="CG430" s="772">
        <v>0</v>
      </c>
      <c r="CH430" s="772">
        <v>0</v>
      </c>
      <c r="CI430" s="772">
        <v>0</v>
      </c>
      <c r="CJ430" s="772">
        <v>0</v>
      </c>
      <c r="CK430" s="772">
        <v>0</v>
      </c>
      <c r="CL430" s="771">
        <v>0</v>
      </c>
      <c r="CM430" s="771">
        <v>0</v>
      </c>
      <c r="CN430" s="771">
        <v>0</v>
      </c>
      <c r="CO430" s="772">
        <v>0</v>
      </c>
      <c r="CP430" s="772">
        <v>0</v>
      </c>
      <c r="CQ430" s="772">
        <v>0</v>
      </c>
      <c r="CR430" s="772">
        <v>0</v>
      </c>
      <c r="CS430" s="772">
        <v>0</v>
      </c>
      <c r="CT430" s="772">
        <v>0</v>
      </c>
      <c r="CU430" s="772">
        <v>0</v>
      </c>
      <c r="CV430" s="772">
        <v>0</v>
      </c>
      <c r="CW430" s="772">
        <v>0</v>
      </c>
      <c r="CX430" s="772">
        <v>0</v>
      </c>
      <c r="CY430" s="772">
        <v>0</v>
      </c>
      <c r="CZ430" s="772">
        <v>0</v>
      </c>
      <c r="DA430" s="773">
        <v>0</v>
      </c>
      <c r="DB430" s="773">
        <v>0</v>
      </c>
      <c r="DC430" s="773">
        <v>0</v>
      </c>
      <c r="DD430" s="774">
        <v>0</v>
      </c>
      <c r="DE430" s="774">
        <v>0</v>
      </c>
      <c r="DF430" s="774">
        <v>0</v>
      </c>
      <c r="DG430" s="774">
        <v>0</v>
      </c>
      <c r="DH430" s="774">
        <v>0</v>
      </c>
      <c r="DI430" s="774">
        <v>0</v>
      </c>
      <c r="DJ430" s="774">
        <v>0</v>
      </c>
      <c r="DK430" s="774">
        <v>0</v>
      </c>
      <c r="DL430" s="774">
        <v>0</v>
      </c>
      <c r="DM430" s="774">
        <v>0</v>
      </c>
      <c r="DN430" s="774">
        <v>0</v>
      </c>
      <c r="DO430" s="774">
        <v>0</v>
      </c>
      <c r="DP430" s="773">
        <v>0</v>
      </c>
      <c r="DQ430" s="773">
        <v>0</v>
      </c>
      <c r="DR430" s="773">
        <v>0</v>
      </c>
      <c r="DS430" s="774">
        <v>0</v>
      </c>
      <c r="DT430" s="774">
        <v>0</v>
      </c>
      <c r="DU430" s="774">
        <v>0</v>
      </c>
      <c r="DV430" s="774">
        <v>0</v>
      </c>
      <c r="DW430" s="774">
        <v>0</v>
      </c>
      <c r="DX430" s="774">
        <v>0</v>
      </c>
      <c r="DY430" s="774">
        <v>0</v>
      </c>
      <c r="DZ430" s="774">
        <v>0</v>
      </c>
      <c r="EA430" s="774">
        <v>0</v>
      </c>
      <c r="EB430" s="774">
        <v>0</v>
      </c>
      <c r="EC430" s="774">
        <v>0</v>
      </c>
      <c r="ED430" s="774">
        <v>0</v>
      </c>
    </row>
    <row r="431" spans="1:134" ht="15" x14ac:dyDescent="0.25">
      <c r="A431" s="766">
        <v>116</v>
      </c>
      <c r="B431" s="766">
        <v>115</v>
      </c>
      <c r="C431" s="766" t="s">
        <v>4102</v>
      </c>
      <c r="D431" s="2">
        <v>99712</v>
      </c>
      <c r="E431" s="2">
        <v>99712</v>
      </c>
      <c r="F431" s="767" t="s">
        <v>3676</v>
      </c>
      <c r="G431" s="114">
        <v>8</v>
      </c>
      <c r="H431" s="114">
        <v>7</v>
      </c>
      <c r="I431" s="114">
        <v>3</v>
      </c>
      <c r="J431" s="114">
        <v>4</v>
      </c>
      <c r="K431" s="114">
        <v>0</v>
      </c>
      <c r="L431" s="114">
        <v>0</v>
      </c>
      <c r="M431" s="114">
        <v>0</v>
      </c>
      <c r="N431" s="114">
        <v>0</v>
      </c>
      <c r="O431" s="114">
        <v>0</v>
      </c>
      <c r="P431" s="114">
        <v>0</v>
      </c>
      <c r="Q431" s="114">
        <v>0</v>
      </c>
      <c r="R431" s="114">
        <v>0</v>
      </c>
      <c r="S431" s="114">
        <v>834.49503068156923</v>
      </c>
      <c r="T431" s="114">
        <v>834.49503068156923</v>
      </c>
      <c r="U431" s="114">
        <v>1408.3846153846155</v>
      </c>
      <c r="V431" s="114">
        <v>0</v>
      </c>
      <c r="W431" s="114">
        <v>0</v>
      </c>
      <c r="X431" s="114">
        <v>1365.173957061457</v>
      </c>
      <c r="Y431" s="114">
        <v>0.1603863478863479</v>
      </c>
      <c r="Z431" s="114">
        <v>6.8305180180180178</v>
      </c>
      <c r="AA431" s="114">
        <v>9.0956340956340961E-3</v>
      </c>
      <c r="AB431" s="657">
        <v>0</v>
      </c>
      <c r="AC431" s="657">
        <v>0</v>
      </c>
      <c r="AD431" s="768">
        <v>7</v>
      </c>
      <c r="AE431" s="769">
        <v>6.8737006237006251E-2</v>
      </c>
      <c r="AF431" s="769">
        <v>2.9273648648648645</v>
      </c>
      <c r="AG431" s="770">
        <v>2.9961018711018705</v>
      </c>
      <c r="AH431" s="769">
        <v>3.8981288981288983E-3</v>
      </c>
      <c r="AI431" s="769">
        <v>0.14580951359037894</v>
      </c>
      <c r="AJ431" s="769">
        <v>6.2097212319048145</v>
      </c>
      <c r="AK431" s="769">
        <v>6.3555307454951935</v>
      </c>
      <c r="AL431" s="769">
        <v>8.2689705249742312E-3</v>
      </c>
      <c r="AM431" s="769">
        <v>6.2719363876715714E-2</v>
      </c>
      <c r="AN431" s="769">
        <v>2.671086103551092</v>
      </c>
      <c r="AO431" s="769">
        <v>2.7338054674278078</v>
      </c>
      <c r="AP431" s="769">
        <v>3.5568637359196047E-3</v>
      </c>
      <c r="AQ431" s="769">
        <v>0</v>
      </c>
      <c r="AR431" s="769">
        <v>0</v>
      </c>
      <c r="AS431" s="769">
        <v>5.7779035361913937</v>
      </c>
      <c r="AT431" s="769">
        <v>6.0598385761313649</v>
      </c>
      <c r="AU431" s="769">
        <v>6.3555307454951935</v>
      </c>
      <c r="AV431" s="769">
        <v>6.6656513287391341</v>
      </c>
      <c r="AW431" s="769">
        <v>6.9909043659043659</v>
      </c>
      <c r="AX431" s="769">
        <v>2.4944720357554426</v>
      </c>
      <c r="AY431" s="769">
        <v>2.6113983399117804</v>
      </c>
      <c r="AZ431" s="769">
        <v>2.7338054674278078</v>
      </c>
      <c r="BA431" s="769">
        <v>2.861950327344795</v>
      </c>
      <c r="BB431" s="769">
        <v>2.9961018711018705</v>
      </c>
      <c r="BC431" s="769">
        <v>0</v>
      </c>
      <c r="BD431" s="769">
        <v>0</v>
      </c>
      <c r="BE431" s="769">
        <v>0</v>
      </c>
      <c r="BF431" s="769">
        <v>0</v>
      </c>
      <c r="BG431" s="769">
        <v>0</v>
      </c>
      <c r="BH431" s="771">
        <v>7.0846286626205721</v>
      </c>
      <c r="BI431" s="771">
        <v>7.1796094840058604</v>
      </c>
      <c r="BJ431" s="771">
        <v>7.275863675790732</v>
      </c>
      <c r="BK431" s="772">
        <v>7.228028064372535</v>
      </c>
      <c r="BL431" s="772">
        <v>7.1805069511117674</v>
      </c>
      <c r="BM431" s="772">
        <v>7.2320548447160249</v>
      </c>
      <c r="BN431" s="772">
        <v>7.2839727937151348</v>
      </c>
      <c r="BO431" s="772">
        <v>7.3362634546870051</v>
      </c>
      <c r="BP431" s="772">
        <v>7.388929503280754</v>
      </c>
      <c r="BQ431" s="772">
        <v>7.4419736343536309</v>
      </c>
      <c r="BR431" s="772">
        <v>7.4837500837573403</v>
      </c>
      <c r="BS431" s="772">
        <v>7.5257610504827364</v>
      </c>
      <c r="BT431" s="772">
        <v>7.5680078510221236</v>
      </c>
      <c r="BU431" s="772">
        <v>7.6104918092581002</v>
      </c>
      <c r="BV431" s="772">
        <v>7.6532142565050441</v>
      </c>
      <c r="BW431" s="771">
        <v>3.0362694268373875</v>
      </c>
      <c r="BX431" s="771">
        <v>3.0769754931453681</v>
      </c>
      <c r="BY431" s="771">
        <v>3.1182272896245991</v>
      </c>
      <c r="BZ431" s="772">
        <v>3.0977263133025144</v>
      </c>
      <c r="CA431" s="772">
        <v>3.077360121905043</v>
      </c>
      <c r="CB431" s="772">
        <v>3.0994520763068674</v>
      </c>
      <c r="CC431" s="772">
        <v>3.1217026258779148</v>
      </c>
      <c r="CD431" s="772">
        <v>3.1441129091515729</v>
      </c>
      <c r="CE431" s="772">
        <v>3.1666840728346086</v>
      </c>
      <c r="CF431" s="772">
        <v>3.1894172718658411</v>
      </c>
      <c r="CG431" s="772">
        <v>3.2073214644674315</v>
      </c>
      <c r="CH431" s="772">
        <v>3.2253261644926008</v>
      </c>
      <c r="CI431" s="772">
        <v>3.243431936152338</v>
      </c>
      <c r="CJ431" s="772">
        <v>3.2616393468248996</v>
      </c>
      <c r="CK431" s="772">
        <v>3.2799489670735902</v>
      </c>
      <c r="CL431" s="771">
        <v>0</v>
      </c>
      <c r="CM431" s="771">
        <v>0</v>
      </c>
      <c r="CN431" s="771">
        <v>0</v>
      </c>
      <c r="CO431" s="772">
        <v>0</v>
      </c>
      <c r="CP431" s="772">
        <v>0</v>
      </c>
      <c r="CQ431" s="772">
        <v>0</v>
      </c>
      <c r="CR431" s="772">
        <v>0</v>
      </c>
      <c r="CS431" s="772">
        <v>0</v>
      </c>
      <c r="CT431" s="772">
        <v>0</v>
      </c>
      <c r="CU431" s="772">
        <v>0</v>
      </c>
      <c r="CV431" s="772">
        <v>0</v>
      </c>
      <c r="CW431" s="772">
        <v>0</v>
      </c>
      <c r="CX431" s="772">
        <v>0</v>
      </c>
      <c r="CY431" s="772">
        <v>0</v>
      </c>
      <c r="CZ431" s="772">
        <v>0</v>
      </c>
      <c r="DA431" s="773">
        <v>9.2175756734589817E-3</v>
      </c>
      <c r="DB431" s="773">
        <v>9.3411520739082234E-3</v>
      </c>
      <c r="DC431" s="773">
        <v>9.4663852144037629E-3</v>
      </c>
      <c r="DD431" s="774">
        <v>9.4041478849499534E-3</v>
      </c>
      <c r="DE431" s="774">
        <v>9.3423197386309758E-3</v>
      </c>
      <c r="DF431" s="774">
        <v>9.4093869954671155E-3</v>
      </c>
      <c r="DG431" s="774">
        <v>9.4769357191193532E-3</v>
      </c>
      <c r="DH431" s="774">
        <v>9.5449693659732035E-3</v>
      </c>
      <c r="DI431" s="774">
        <v>9.6134914172271071E-3</v>
      </c>
      <c r="DJ431" s="774">
        <v>9.6825053790705572E-3</v>
      </c>
      <c r="DK431" s="774">
        <v>9.7368593335380449E-3</v>
      </c>
      <c r="DL431" s="774">
        <v>9.7915184107243512E-3</v>
      </c>
      <c r="DM431" s="774">
        <v>9.8464843234740088E-3</v>
      </c>
      <c r="DN431" s="774">
        <v>9.9017587942468125E-3</v>
      </c>
      <c r="DO431" s="774">
        <v>9.9573435551717979E-3</v>
      </c>
      <c r="DP431" s="773">
        <v>0</v>
      </c>
      <c r="DQ431" s="773">
        <v>0</v>
      </c>
      <c r="DR431" s="773">
        <v>0</v>
      </c>
      <c r="DS431" s="774">
        <v>0</v>
      </c>
      <c r="DT431" s="774">
        <v>0</v>
      </c>
      <c r="DU431" s="774">
        <v>0</v>
      </c>
      <c r="DV431" s="774">
        <v>0</v>
      </c>
      <c r="DW431" s="774">
        <v>0</v>
      </c>
      <c r="DX431" s="774">
        <v>0</v>
      </c>
      <c r="DY431" s="774">
        <v>0</v>
      </c>
      <c r="DZ431" s="774">
        <v>0</v>
      </c>
      <c r="EA431" s="774">
        <v>0</v>
      </c>
      <c r="EB431" s="774">
        <v>0</v>
      </c>
      <c r="EC431" s="774">
        <v>0</v>
      </c>
      <c r="ED431" s="774">
        <v>0</v>
      </c>
    </row>
    <row r="432" spans="1:134" ht="15" x14ac:dyDescent="0.25">
      <c r="A432" s="766">
        <v>119</v>
      </c>
      <c r="B432" s="766">
        <v>115</v>
      </c>
      <c r="C432" s="766" t="s">
        <v>4103</v>
      </c>
      <c r="D432" s="2">
        <v>99712</v>
      </c>
      <c r="E432" s="2">
        <v>99712</v>
      </c>
      <c r="F432" s="767" t="s">
        <v>3676</v>
      </c>
      <c r="G432" s="114">
        <v>3</v>
      </c>
      <c r="H432" s="114">
        <v>1</v>
      </c>
      <c r="I432" s="114">
        <v>1</v>
      </c>
      <c r="J432" s="114">
        <v>0</v>
      </c>
      <c r="K432" s="114">
        <v>0</v>
      </c>
      <c r="L432" s="114">
        <v>0</v>
      </c>
      <c r="M432" s="114">
        <v>0</v>
      </c>
      <c r="N432" s="114">
        <v>0</v>
      </c>
      <c r="O432" s="114">
        <v>0</v>
      </c>
      <c r="P432" s="114">
        <v>0</v>
      </c>
      <c r="Q432" s="114">
        <v>0</v>
      </c>
      <c r="R432" s="114">
        <v>0</v>
      </c>
      <c r="S432" s="114">
        <v>834.49503068156923</v>
      </c>
      <c r="T432" s="114">
        <v>834.49503068156923</v>
      </c>
      <c r="U432" s="114">
        <v>1408.3846153846155</v>
      </c>
      <c r="V432" s="114">
        <v>0</v>
      </c>
      <c r="W432" s="114">
        <v>0</v>
      </c>
      <c r="X432" s="114">
        <v>1365.173957061457</v>
      </c>
      <c r="Y432" s="114">
        <v>2.2912335412335411E-2</v>
      </c>
      <c r="Z432" s="114">
        <v>0.97578828828828834</v>
      </c>
      <c r="AA432" s="114">
        <v>1.2993762993762994E-3</v>
      </c>
      <c r="AB432" s="657">
        <v>0</v>
      </c>
      <c r="AC432" s="657">
        <v>0</v>
      </c>
      <c r="AD432" s="768">
        <v>1</v>
      </c>
      <c r="AE432" s="769">
        <v>2.2912335412335411E-2</v>
      </c>
      <c r="AF432" s="769">
        <v>0.97578828828828834</v>
      </c>
      <c r="AG432" s="770">
        <v>0.99870062370062374</v>
      </c>
      <c r="AH432" s="769">
        <v>1.2993762993762994E-3</v>
      </c>
      <c r="AI432" s="769">
        <v>2.0829930512911272E-2</v>
      </c>
      <c r="AJ432" s="769">
        <v>0.8871030331292592</v>
      </c>
      <c r="AK432" s="769">
        <v>0.90793296364217047</v>
      </c>
      <c r="AL432" s="769">
        <v>1.1812815035677471E-3</v>
      </c>
      <c r="AM432" s="769">
        <v>2.0906454625571898E-2</v>
      </c>
      <c r="AN432" s="769">
        <v>0.89036203451703089</v>
      </c>
      <c r="AO432" s="769">
        <v>0.91126848914260283</v>
      </c>
      <c r="AP432" s="769">
        <v>1.1856212453065351E-3</v>
      </c>
      <c r="AQ432" s="769">
        <v>0</v>
      </c>
      <c r="AR432" s="769">
        <v>0</v>
      </c>
      <c r="AS432" s="769">
        <v>0.82541479088448488</v>
      </c>
      <c r="AT432" s="769">
        <v>0.86569122516162356</v>
      </c>
      <c r="AU432" s="769">
        <v>0.90793296364217047</v>
      </c>
      <c r="AV432" s="769">
        <v>0.95223590410559056</v>
      </c>
      <c r="AW432" s="769">
        <v>0.99870062370062374</v>
      </c>
      <c r="AX432" s="769">
        <v>0.83149067858514769</v>
      </c>
      <c r="AY432" s="769">
        <v>0.87046611330392698</v>
      </c>
      <c r="AZ432" s="769">
        <v>0.91126848914260272</v>
      </c>
      <c r="BA432" s="769">
        <v>0.95398344244826516</v>
      </c>
      <c r="BB432" s="769">
        <v>0.99870062370062374</v>
      </c>
      <c r="BC432" s="769">
        <v>0</v>
      </c>
      <c r="BD432" s="769">
        <v>0</v>
      </c>
      <c r="BE432" s="769">
        <v>0</v>
      </c>
      <c r="BF432" s="769">
        <v>0</v>
      </c>
      <c r="BG432" s="769">
        <v>0</v>
      </c>
      <c r="BH432" s="771">
        <v>1.0120898089457961</v>
      </c>
      <c r="BI432" s="771">
        <v>1.0256584977151229</v>
      </c>
      <c r="BJ432" s="771">
        <v>1.0394090965415332</v>
      </c>
      <c r="BK432" s="772">
        <v>1.0325754377675052</v>
      </c>
      <c r="BL432" s="772">
        <v>1.0257867073016811</v>
      </c>
      <c r="BM432" s="772">
        <v>1.0331506921022895</v>
      </c>
      <c r="BN432" s="772">
        <v>1.040567541959305</v>
      </c>
      <c r="BO432" s="772">
        <v>1.0480376363838579</v>
      </c>
      <c r="BP432" s="772">
        <v>1.0555613576115364</v>
      </c>
      <c r="BQ432" s="772">
        <v>1.0631390906219473</v>
      </c>
      <c r="BR432" s="772">
        <v>1.0691071548224773</v>
      </c>
      <c r="BS432" s="772">
        <v>1.0751087214975339</v>
      </c>
      <c r="BT432" s="772">
        <v>1.0811439787174464</v>
      </c>
      <c r="BU432" s="772">
        <v>1.0872131156083003</v>
      </c>
      <c r="BV432" s="772">
        <v>1.0933163223578635</v>
      </c>
      <c r="BW432" s="771">
        <v>1.0120898089457961</v>
      </c>
      <c r="BX432" s="771">
        <v>1.0256584977151229</v>
      </c>
      <c r="BY432" s="771">
        <v>1.0394090965415332</v>
      </c>
      <c r="BZ432" s="772">
        <v>1.0325754377675052</v>
      </c>
      <c r="CA432" s="772">
        <v>1.0257867073016811</v>
      </c>
      <c r="CB432" s="772">
        <v>1.0331506921022895</v>
      </c>
      <c r="CC432" s="772">
        <v>1.040567541959305</v>
      </c>
      <c r="CD432" s="772">
        <v>1.0480376363838579</v>
      </c>
      <c r="CE432" s="772">
        <v>1.0555613576115364</v>
      </c>
      <c r="CF432" s="772">
        <v>1.0631390906219473</v>
      </c>
      <c r="CG432" s="772">
        <v>1.0691071548224773</v>
      </c>
      <c r="CH432" s="772">
        <v>1.0751087214975339</v>
      </c>
      <c r="CI432" s="772">
        <v>1.0811439787174464</v>
      </c>
      <c r="CJ432" s="772">
        <v>1.0872131156083003</v>
      </c>
      <c r="CK432" s="772">
        <v>1.0933163223578635</v>
      </c>
      <c r="CL432" s="771">
        <v>0</v>
      </c>
      <c r="CM432" s="771">
        <v>0</v>
      </c>
      <c r="CN432" s="771">
        <v>0</v>
      </c>
      <c r="CO432" s="772">
        <v>0</v>
      </c>
      <c r="CP432" s="772">
        <v>0</v>
      </c>
      <c r="CQ432" s="772">
        <v>0</v>
      </c>
      <c r="CR432" s="772">
        <v>0</v>
      </c>
      <c r="CS432" s="772">
        <v>0</v>
      </c>
      <c r="CT432" s="772">
        <v>0</v>
      </c>
      <c r="CU432" s="772">
        <v>0</v>
      </c>
      <c r="CV432" s="772">
        <v>0</v>
      </c>
      <c r="CW432" s="772">
        <v>0</v>
      </c>
      <c r="CX432" s="772">
        <v>0</v>
      </c>
      <c r="CY432" s="772">
        <v>0</v>
      </c>
      <c r="CZ432" s="772">
        <v>0</v>
      </c>
      <c r="DA432" s="773">
        <v>1.3167965247798544E-3</v>
      </c>
      <c r="DB432" s="773">
        <v>1.3344502962726033E-3</v>
      </c>
      <c r="DC432" s="773">
        <v>1.3523407449148232E-3</v>
      </c>
      <c r="DD432" s="774">
        <v>1.3434496978499935E-3</v>
      </c>
      <c r="DE432" s="774">
        <v>1.3346171055187107E-3</v>
      </c>
      <c r="DF432" s="774">
        <v>1.3441981422095879E-3</v>
      </c>
      <c r="DG432" s="774">
        <v>1.3538479598741934E-3</v>
      </c>
      <c r="DH432" s="774">
        <v>1.3635670522818863E-3</v>
      </c>
      <c r="DI432" s="774">
        <v>1.3733559167467295E-3</v>
      </c>
      <c r="DJ432" s="774">
        <v>1.3832150541529368E-3</v>
      </c>
      <c r="DK432" s="774">
        <v>1.3909799047911492E-3</v>
      </c>
      <c r="DL432" s="774">
        <v>1.3987883443891929E-3</v>
      </c>
      <c r="DM432" s="774">
        <v>1.4066406176391441E-3</v>
      </c>
      <c r="DN432" s="774">
        <v>1.4145369706066876E-3</v>
      </c>
      <c r="DO432" s="774">
        <v>1.4224776507388284E-3</v>
      </c>
      <c r="DP432" s="773">
        <v>0</v>
      </c>
      <c r="DQ432" s="773">
        <v>0</v>
      </c>
      <c r="DR432" s="773">
        <v>0</v>
      </c>
      <c r="DS432" s="774">
        <v>0</v>
      </c>
      <c r="DT432" s="774">
        <v>0</v>
      </c>
      <c r="DU432" s="774">
        <v>0</v>
      </c>
      <c r="DV432" s="774">
        <v>0</v>
      </c>
      <c r="DW432" s="774">
        <v>0</v>
      </c>
      <c r="DX432" s="774">
        <v>0</v>
      </c>
      <c r="DY432" s="774">
        <v>0</v>
      </c>
      <c r="DZ432" s="774">
        <v>0</v>
      </c>
      <c r="EA432" s="774">
        <v>0</v>
      </c>
      <c r="EB432" s="774">
        <v>0</v>
      </c>
      <c r="EC432" s="774">
        <v>0</v>
      </c>
      <c r="ED432" s="774">
        <v>0</v>
      </c>
    </row>
    <row r="433" spans="1:134" ht="15" x14ac:dyDescent="0.25">
      <c r="A433" s="766">
        <v>99</v>
      </c>
      <c r="B433" s="766">
        <v>116</v>
      </c>
      <c r="C433" s="766" t="s">
        <v>4104</v>
      </c>
      <c r="D433" s="2">
        <v>99712</v>
      </c>
      <c r="E433" s="2">
        <v>99712</v>
      </c>
      <c r="F433" s="767" t="s">
        <v>3676</v>
      </c>
      <c r="G433" s="114">
        <v>2</v>
      </c>
      <c r="H433" s="114">
        <v>8</v>
      </c>
      <c r="I433" s="114">
        <v>1</v>
      </c>
      <c r="J433" s="114">
        <v>7</v>
      </c>
      <c r="K433" s="114">
        <v>0</v>
      </c>
      <c r="L433" s="114">
        <v>0</v>
      </c>
      <c r="M433" s="114">
        <v>0</v>
      </c>
      <c r="N433" s="114">
        <v>0</v>
      </c>
      <c r="O433" s="114">
        <v>0</v>
      </c>
      <c r="P433" s="114">
        <v>0</v>
      </c>
      <c r="Q433" s="114">
        <v>0</v>
      </c>
      <c r="R433" s="114">
        <v>0</v>
      </c>
      <c r="S433" s="114">
        <v>834.49503068156923</v>
      </c>
      <c r="T433" s="114">
        <v>834.49503068156923</v>
      </c>
      <c r="U433" s="114">
        <v>1408.3846153846155</v>
      </c>
      <c r="V433" s="114">
        <v>0</v>
      </c>
      <c r="W433" s="114">
        <v>0</v>
      </c>
      <c r="X433" s="114">
        <v>1365.173957061457</v>
      </c>
      <c r="Y433" s="114">
        <v>0.18329868329868329</v>
      </c>
      <c r="Z433" s="114">
        <v>7.8063063063063067</v>
      </c>
      <c r="AA433" s="114">
        <v>1.0395010395010396E-2</v>
      </c>
      <c r="AB433" s="657">
        <v>0</v>
      </c>
      <c r="AC433" s="657">
        <v>0</v>
      </c>
      <c r="AD433" s="768">
        <v>8</v>
      </c>
      <c r="AE433" s="769">
        <v>2.2912335412335411E-2</v>
      </c>
      <c r="AF433" s="769">
        <v>0.97578828828828834</v>
      </c>
      <c r="AG433" s="770">
        <v>0.99870062370062374</v>
      </c>
      <c r="AH433" s="769">
        <v>1.2993762993762994E-3</v>
      </c>
      <c r="AI433" s="769">
        <v>0.16663944410329018</v>
      </c>
      <c r="AJ433" s="769">
        <v>7.0968242650340736</v>
      </c>
      <c r="AK433" s="769">
        <v>7.2634637091373637</v>
      </c>
      <c r="AL433" s="769">
        <v>9.4502520285419771E-3</v>
      </c>
      <c r="AM433" s="769">
        <v>2.0906454625571898E-2</v>
      </c>
      <c r="AN433" s="769">
        <v>0.89036203451703089</v>
      </c>
      <c r="AO433" s="769">
        <v>0.91126848914260283</v>
      </c>
      <c r="AP433" s="769">
        <v>1.1856212453065351E-3</v>
      </c>
      <c r="AQ433" s="769">
        <v>0</v>
      </c>
      <c r="AR433" s="769">
        <v>0</v>
      </c>
      <c r="AS433" s="769">
        <v>6.6033183270758791</v>
      </c>
      <c r="AT433" s="769">
        <v>6.9255298012929885</v>
      </c>
      <c r="AU433" s="769">
        <v>7.2634637091373637</v>
      </c>
      <c r="AV433" s="769">
        <v>7.6178872328447245</v>
      </c>
      <c r="AW433" s="769">
        <v>7.9896049896049899</v>
      </c>
      <c r="AX433" s="769">
        <v>0.83149067858514769</v>
      </c>
      <c r="AY433" s="769">
        <v>0.87046611330392698</v>
      </c>
      <c r="AZ433" s="769">
        <v>0.91126848914260272</v>
      </c>
      <c r="BA433" s="769">
        <v>0.95398344244826516</v>
      </c>
      <c r="BB433" s="769">
        <v>0.99870062370062374</v>
      </c>
      <c r="BC433" s="769">
        <v>0</v>
      </c>
      <c r="BD433" s="769">
        <v>0</v>
      </c>
      <c r="BE433" s="769">
        <v>0</v>
      </c>
      <c r="BF433" s="769">
        <v>0</v>
      </c>
      <c r="BG433" s="769">
        <v>0</v>
      </c>
      <c r="BH433" s="771">
        <v>8.0305327719125525</v>
      </c>
      <c r="BI433" s="771">
        <v>8.0716702120651274</v>
      </c>
      <c r="BJ433" s="771">
        <v>8.1130183840620731</v>
      </c>
      <c r="BK433" s="772">
        <v>8.0596788477345864</v>
      </c>
      <c r="BL433" s="772">
        <v>8.0066899954559876</v>
      </c>
      <c r="BM433" s="772">
        <v>8.0641689460117174</v>
      </c>
      <c r="BN433" s="772">
        <v>8.1220605302224129</v>
      </c>
      <c r="BO433" s="772">
        <v>8.1803677103295822</v>
      </c>
      <c r="BP433" s="772">
        <v>8.2390934698402649</v>
      </c>
      <c r="BQ433" s="772">
        <v>8.2982408136796977</v>
      </c>
      <c r="BR433" s="772">
        <v>8.3448240259464264</v>
      </c>
      <c r="BS433" s="772">
        <v>8.3916687388991225</v>
      </c>
      <c r="BT433" s="772">
        <v>8.4387764205045777</v>
      </c>
      <c r="BU433" s="772">
        <v>8.4861485469702025</v>
      </c>
      <c r="BV433" s="772">
        <v>8.5337866027902773</v>
      </c>
      <c r="BW433" s="771">
        <v>1.0038165964890691</v>
      </c>
      <c r="BX433" s="771">
        <v>1.0089587765081409</v>
      </c>
      <c r="BY433" s="771">
        <v>1.0141272980077591</v>
      </c>
      <c r="BZ433" s="772">
        <v>1.0074598559668233</v>
      </c>
      <c r="CA433" s="772">
        <v>1.0008362494319984</v>
      </c>
      <c r="CB433" s="772">
        <v>1.0080211182514647</v>
      </c>
      <c r="CC433" s="772">
        <v>1.0152575662778016</v>
      </c>
      <c r="CD433" s="772">
        <v>1.0225459637911978</v>
      </c>
      <c r="CE433" s="772">
        <v>1.0298866837300331</v>
      </c>
      <c r="CF433" s="772">
        <v>1.0372801017099622</v>
      </c>
      <c r="CG433" s="772">
        <v>1.0431030032433033</v>
      </c>
      <c r="CH433" s="772">
        <v>1.0489585923623903</v>
      </c>
      <c r="CI433" s="772">
        <v>1.0548470525630722</v>
      </c>
      <c r="CJ433" s="772">
        <v>1.0607685683712753</v>
      </c>
      <c r="CK433" s="772">
        <v>1.0667233253487847</v>
      </c>
      <c r="CL433" s="771">
        <v>0</v>
      </c>
      <c r="CM433" s="771">
        <v>0</v>
      </c>
      <c r="CN433" s="771">
        <v>0</v>
      </c>
      <c r="CO433" s="772">
        <v>0</v>
      </c>
      <c r="CP433" s="772">
        <v>0</v>
      </c>
      <c r="CQ433" s="772">
        <v>0</v>
      </c>
      <c r="CR433" s="772">
        <v>0</v>
      </c>
      <c r="CS433" s="772">
        <v>0</v>
      </c>
      <c r="CT433" s="772">
        <v>0</v>
      </c>
      <c r="CU433" s="772">
        <v>0</v>
      </c>
      <c r="CV433" s="772">
        <v>0</v>
      </c>
      <c r="CW433" s="772">
        <v>0</v>
      </c>
      <c r="CX433" s="772">
        <v>0</v>
      </c>
      <c r="CY433" s="772">
        <v>0</v>
      </c>
      <c r="CZ433" s="772">
        <v>0</v>
      </c>
      <c r="DA433" s="773">
        <v>1.0448260176831321E-2</v>
      </c>
      <c r="DB433" s="773">
        <v>1.050178273752944E-2</v>
      </c>
      <c r="DC433" s="773">
        <v>1.0555579474449744E-2</v>
      </c>
      <c r="DD433" s="774">
        <v>1.0486181170614867E-2</v>
      </c>
      <c r="DE433" s="774">
        <v>1.041723913017953E-2</v>
      </c>
      <c r="DF433" s="774">
        <v>1.0492023088748007E-2</v>
      </c>
      <c r="DG433" s="774">
        <v>1.0567343911296401E-2</v>
      </c>
      <c r="DH433" s="774">
        <v>1.0643205451899014E-2</v>
      </c>
      <c r="DI433" s="774">
        <v>1.0719611592298029E-2</v>
      </c>
      <c r="DJ433" s="774">
        <v>1.0796566242102132E-2</v>
      </c>
      <c r="DK433" s="774">
        <v>1.0857174116505891E-2</v>
      </c>
      <c r="DL433" s="774">
        <v>1.0918122220789906E-2</v>
      </c>
      <c r="DM433" s="774">
        <v>1.097941246487715E-2</v>
      </c>
      <c r="DN433" s="774">
        <v>1.1041046769412182E-2</v>
      </c>
      <c r="DO433" s="774">
        <v>1.1103027065821334E-2</v>
      </c>
      <c r="DP433" s="773">
        <v>0</v>
      </c>
      <c r="DQ433" s="773">
        <v>0</v>
      </c>
      <c r="DR433" s="773">
        <v>0</v>
      </c>
      <c r="DS433" s="774">
        <v>0</v>
      </c>
      <c r="DT433" s="774">
        <v>0</v>
      </c>
      <c r="DU433" s="774">
        <v>0</v>
      </c>
      <c r="DV433" s="774">
        <v>0</v>
      </c>
      <c r="DW433" s="774">
        <v>0</v>
      </c>
      <c r="DX433" s="774">
        <v>0</v>
      </c>
      <c r="DY433" s="774">
        <v>0</v>
      </c>
      <c r="DZ433" s="774">
        <v>0</v>
      </c>
      <c r="EA433" s="774">
        <v>0</v>
      </c>
      <c r="EB433" s="774">
        <v>0</v>
      </c>
      <c r="EC433" s="774">
        <v>0</v>
      </c>
      <c r="ED433" s="774">
        <v>0</v>
      </c>
    </row>
    <row r="434" spans="1:134" ht="15" x14ac:dyDescent="0.25">
      <c r="A434" s="766">
        <v>106</v>
      </c>
      <c r="B434" s="766">
        <v>116</v>
      </c>
      <c r="C434" s="766" t="s">
        <v>4105</v>
      </c>
      <c r="D434" s="2">
        <v>99712</v>
      </c>
      <c r="E434" s="2">
        <v>99712</v>
      </c>
      <c r="F434" s="767" t="s">
        <v>3676</v>
      </c>
      <c r="G434" s="114">
        <v>0</v>
      </c>
      <c r="H434" s="114">
        <v>1</v>
      </c>
      <c r="I434" s="114">
        <v>0</v>
      </c>
      <c r="J434" s="114">
        <v>1</v>
      </c>
      <c r="K434" s="114">
        <v>0</v>
      </c>
      <c r="L434" s="114">
        <v>9</v>
      </c>
      <c r="M434" s="114">
        <v>9</v>
      </c>
      <c r="N434" s="114">
        <v>0</v>
      </c>
      <c r="O434" s="114">
        <v>0</v>
      </c>
      <c r="P434" s="114">
        <v>0</v>
      </c>
      <c r="Q434" s="114">
        <v>9</v>
      </c>
      <c r="R434" s="114">
        <v>0</v>
      </c>
      <c r="S434" s="114">
        <v>906.44444444444446</v>
      </c>
      <c r="T434" s="114">
        <v>906.44444444444446</v>
      </c>
      <c r="U434" s="114">
        <v>0</v>
      </c>
      <c r="V434" s="114">
        <v>0</v>
      </c>
      <c r="W434" s="114">
        <v>0</v>
      </c>
      <c r="X434" s="114">
        <v>906.44444444444446</v>
      </c>
      <c r="Y434" s="114">
        <v>0</v>
      </c>
      <c r="Z434" s="114">
        <v>1</v>
      </c>
      <c r="AA434" s="114">
        <v>0</v>
      </c>
      <c r="AB434" s="657">
        <v>0</v>
      </c>
      <c r="AC434" s="657">
        <v>0</v>
      </c>
      <c r="AD434" s="768">
        <v>1</v>
      </c>
      <c r="AE434" s="769">
        <v>0</v>
      </c>
      <c r="AF434" s="769">
        <v>0</v>
      </c>
      <c r="AG434" s="770">
        <v>0</v>
      </c>
      <c r="AH434" s="769">
        <v>0</v>
      </c>
      <c r="AI434" s="769">
        <v>0</v>
      </c>
      <c r="AJ434" s="769">
        <v>0.90911424514573824</v>
      </c>
      <c r="AK434" s="769">
        <v>0.90911424514573824</v>
      </c>
      <c r="AL434" s="769">
        <v>0</v>
      </c>
      <c r="AM434" s="769">
        <v>0</v>
      </c>
      <c r="AN434" s="769">
        <v>0</v>
      </c>
      <c r="AO434" s="769">
        <v>0</v>
      </c>
      <c r="AP434" s="769">
        <v>0</v>
      </c>
      <c r="AQ434" s="769">
        <v>0</v>
      </c>
      <c r="AR434" s="769">
        <v>0</v>
      </c>
      <c r="AS434" s="769">
        <v>0.82648871072690544</v>
      </c>
      <c r="AT434" s="769">
        <v>0.86681754733851879</v>
      </c>
      <c r="AU434" s="769">
        <v>0.90911424514573824</v>
      </c>
      <c r="AV434" s="769">
        <v>0.95347482669745309</v>
      </c>
      <c r="AW434" s="769">
        <v>1</v>
      </c>
      <c r="AX434" s="769">
        <v>0</v>
      </c>
      <c r="AY434" s="769">
        <v>0</v>
      </c>
      <c r="AZ434" s="769">
        <v>0</v>
      </c>
      <c r="BA434" s="769">
        <v>0</v>
      </c>
      <c r="BB434" s="769">
        <v>0</v>
      </c>
      <c r="BC434" s="769">
        <v>0</v>
      </c>
      <c r="BD434" s="769">
        <v>0</v>
      </c>
      <c r="BE434" s="769">
        <v>0</v>
      </c>
      <c r="BF434" s="769">
        <v>0</v>
      </c>
      <c r="BG434" s="769">
        <v>0</v>
      </c>
      <c r="BH434" s="771">
        <v>1.0134066054705759</v>
      </c>
      <c r="BI434" s="771">
        <v>1.0269929480113955</v>
      </c>
      <c r="BJ434" s="771">
        <v>1.040761437286448</v>
      </c>
      <c r="BK434" s="772">
        <v>1.0339188874653549</v>
      </c>
      <c r="BL434" s="772">
        <v>1.0271213244071997</v>
      </c>
      <c r="BM434" s="772">
        <v>1.034494890244499</v>
      </c>
      <c r="BN434" s="772">
        <v>1.0419213899191793</v>
      </c>
      <c r="BO434" s="772">
        <v>1.0494012034361397</v>
      </c>
      <c r="BP434" s="772">
        <v>1.0569347135282832</v>
      </c>
      <c r="BQ434" s="772">
        <v>1.0645223056761002</v>
      </c>
      <c r="BR434" s="772">
        <v>1.0704981347272684</v>
      </c>
      <c r="BS434" s="772">
        <v>1.076507509841923</v>
      </c>
      <c r="BT434" s="772">
        <v>1.0825506193350853</v>
      </c>
      <c r="BU434" s="772">
        <v>1.0886276525789067</v>
      </c>
      <c r="BV434" s="772">
        <v>1.0947388000086022</v>
      </c>
      <c r="BW434" s="771">
        <v>0</v>
      </c>
      <c r="BX434" s="771">
        <v>0</v>
      </c>
      <c r="BY434" s="771">
        <v>0</v>
      </c>
      <c r="BZ434" s="772">
        <v>0</v>
      </c>
      <c r="CA434" s="772">
        <v>0</v>
      </c>
      <c r="CB434" s="772">
        <v>0</v>
      </c>
      <c r="CC434" s="772">
        <v>0</v>
      </c>
      <c r="CD434" s="772">
        <v>0</v>
      </c>
      <c r="CE434" s="772">
        <v>0</v>
      </c>
      <c r="CF434" s="772">
        <v>0</v>
      </c>
      <c r="CG434" s="772">
        <v>0</v>
      </c>
      <c r="CH434" s="772">
        <v>0</v>
      </c>
      <c r="CI434" s="772">
        <v>0</v>
      </c>
      <c r="CJ434" s="772">
        <v>0</v>
      </c>
      <c r="CK434" s="772">
        <v>0</v>
      </c>
      <c r="CL434" s="771">
        <v>0</v>
      </c>
      <c r="CM434" s="771">
        <v>0</v>
      </c>
      <c r="CN434" s="771">
        <v>0</v>
      </c>
      <c r="CO434" s="772">
        <v>0</v>
      </c>
      <c r="CP434" s="772">
        <v>0</v>
      </c>
      <c r="CQ434" s="772">
        <v>0</v>
      </c>
      <c r="CR434" s="772">
        <v>0</v>
      </c>
      <c r="CS434" s="772">
        <v>0</v>
      </c>
      <c r="CT434" s="772">
        <v>0</v>
      </c>
      <c r="CU434" s="772">
        <v>0</v>
      </c>
      <c r="CV434" s="772">
        <v>0</v>
      </c>
      <c r="CW434" s="772">
        <v>0</v>
      </c>
      <c r="CX434" s="772">
        <v>0</v>
      </c>
      <c r="CY434" s="772">
        <v>0</v>
      </c>
      <c r="CZ434" s="772">
        <v>0</v>
      </c>
      <c r="DA434" s="773">
        <v>0</v>
      </c>
      <c r="DB434" s="773">
        <v>0</v>
      </c>
      <c r="DC434" s="773">
        <v>0</v>
      </c>
      <c r="DD434" s="774">
        <v>0</v>
      </c>
      <c r="DE434" s="774">
        <v>0</v>
      </c>
      <c r="DF434" s="774">
        <v>0</v>
      </c>
      <c r="DG434" s="774">
        <v>0</v>
      </c>
      <c r="DH434" s="774">
        <v>0</v>
      </c>
      <c r="DI434" s="774">
        <v>0</v>
      </c>
      <c r="DJ434" s="774">
        <v>0</v>
      </c>
      <c r="DK434" s="774">
        <v>0</v>
      </c>
      <c r="DL434" s="774">
        <v>0</v>
      </c>
      <c r="DM434" s="774">
        <v>0</v>
      </c>
      <c r="DN434" s="774">
        <v>0</v>
      </c>
      <c r="DO434" s="774">
        <v>0</v>
      </c>
      <c r="DP434" s="773">
        <v>0</v>
      </c>
      <c r="DQ434" s="773">
        <v>0</v>
      </c>
      <c r="DR434" s="773">
        <v>0</v>
      </c>
      <c r="DS434" s="774">
        <v>0</v>
      </c>
      <c r="DT434" s="774">
        <v>0</v>
      </c>
      <c r="DU434" s="774">
        <v>0</v>
      </c>
      <c r="DV434" s="774">
        <v>0</v>
      </c>
      <c r="DW434" s="774">
        <v>0</v>
      </c>
      <c r="DX434" s="774">
        <v>0</v>
      </c>
      <c r="DY434" s="774">
        <v>0</v>
      </c>
      <c r="DZ434" s="774">
        <v>0</v>
      </c>
      <c r="EA434" s="774">
        <v>0</v>
      </c>
      <c r="EB434" s="774">
        <v>0</v>
      </c>
      <c r="EC434" s="774">
        <v>0</v>
      </c>
      <c r="ED434" s="774">
        <v>0</v>
      </c>
    </row>
    <row r="435" spans="1:134" ht="15" x14ac:dyDescent="0.25">
      <c r="A435" s="766">
        <v>107</v>
      </c>
      <c r="B435" s="766">
        <v>116</v>
      </c>
      <c r="C435" s="766" t="s">
        <v>4106</v>
      </c>
      <c r="D435" s="2">
        <v>99712</v>
      </c>
      <c r="E435" s="2">
        <v>99712</v>
      </c>
      <c r="F435" s="767" t="s">
        <v>3676</v>
      </c>
      <c r="G435" s="114">
        <v>23</v>
      </c>
      <c r="H435" s="114">
        <v>17</v>
      </c>
      <c r="I435" s="114">
        <v>14</v>
      </c>
      <c r="J435" s="114">
        <v>3</v>
      </c>
      <c r="K435" s="114">
        <v>0</v>
      </c>
      <c r="L435" s="114">
        <v>8</v>
      </c>
      <c r="M435" s="114">
        <v>8</v>
      </c>
      <c r="N435" s="114">
        <v>0</v>
      </c>
      <c r="O435" s="114">
        <v>0</v>
      </c>
      <c r="P435" s="114">
        <v>0</v>
      </c>
      <c r="Q435" s="114">
        <v>8</v>
      </c>
      <c r="R435" s="114">
        <v>0</v>
      </c>
      <c r="S435" s="114">
        <v>717</v>
      </c>
      <c r="T435" s="114">
        <v>717</v>
      </c>
      <c r="U435" s="114">
        <v>0</v>
      </c>
      <c r="V435" s="114">
        <v>0</v>
      </c>
      <c r="W435" s="114">
        <v>0</v>
      </c>
      <c r="X435" s="114">
        <v>717</v>
      </c>
      <c r="Y435" s="114">
        <v>0</v>
      </c>
      <c r="Z435" s="114">
        <v>17</v>
      </c>
      <c r="AA435" s="114">
        <v>0</v>
      </c>
      <c r="AB435" s="657">
        <v>0</v>
      </c>
      <c r="AC435" s="657">
        <v>0</v>
      </c>
      <c r="AD435" s="768">
        <v>17</v>
      </c>
      <c r="AE435" s="769">
        <v>0</v>
      </c>
      <c r="AF435" s="769">
        <v>14</v>
      </c>
      <c r="AG435" s="770">
        <v>14</v>
      </c>
      <c r="AH435" s="769">
        <v>0</v>
      </c>
      <c r="AI435" s="769">
        <v>0</v>
      </c>
      <c r="AJ435" s="769">
        <v>15.454942167477549</v>
      </c>
      <c r="AK435" s="769">
        <v>15.454942167477549</v>
      </c>
      <c r="AL435" s="769">
        <v>0</v>
      </c>
      <c r="AM435" s="769">
        <v>0</v>
      </c>
      <c r="AN435" s="769">
        <v>12.77435754543073</v>
      </c>
      <c r="AO435" s="769">
        <v>12.77435754543073</v>
      </c>
      <c r="AP435" s="769">
        <v>0</v>
      </c>
      <c r="AQ435" s="769">
        <v>0</v>
      </c>
      <c r="AR435" s="769">
        <v>0</v>
      </c>
      <c r="AS435" s="769">
        <v>14.050308082357391</v>
      </c>
      <c r="AT435" s="769">
        <v>14.735898304754819</v>
      </c>
      <c r="AU435" s="769">
        <v>15.454942167477549</v>
      </c>
      <c r="AV435" s="769">
        <v>16.209072053856705</v>
      </c>
      <c r="AW435" s="769">
        <v>17</v>
      </c>
      <c r="AX435" s="769">
        <v>11.656015049893073</v>
      </c>
      <c r="AY435" s="769">
        <v>12.202381071014612</v>
      </c>
      <c r="AZ435" s="769">
        <v>12.77435754543073</v>
      </c>
      <c r="BA435" s="769">
        <v>13.373144941861291</v>
      </c>
      <c r="BB435" s="769">
        <v>14</v>
      </c>
      <c r="BC435" s="769">
        <v>0</v>
      </c>
      <c r="BD435" s="769">
        <v>0</v>
      </c>
      <c r="BE435" s="769">
        <v>0</v>
      </c>
      <c r="BF435" s="769">
        <v>0</v>
      </c>
      <c r="BG435" s="769">
        <v>0</v>
      </c>
      <c r="BH435" s="771">
        <v>17.22791229299979</v>
      </c>
      <c r="BI435" s="771">
        <v>17.458880116193725</v>
      </c>
      <c r="BJ435" s="771">
        <v>17.692944433869616</v>
      </c>
      <c r="BK435" s="772">
        <v>17.576621086911036</v>
      </c>
      <c r="BL435" s="772">
        <v>17.461062514922396</v>
      </c>
      <c r="BM435" s="772">
        <v>17.586413134156484</v>
      </c>
      <c r="BN435" s="772">
        <v>17.712663628626046</v>
      </c>
      <c r="BO435" s="772">
        <v>17.839820458414376</v>
      </c>
      <c r="BP435" s="772">
        <v>17.967890129980812</v>
      </c>
      <c r="BQ435" s="772">
        <v>18.096879196493703</v>
      </c>
      <c r="BR435" s="772">
        <v>18.198468290363564</v>
      </c>
      <c r="BS435" s="772">
        <v>18.300627667312693</v>
      </c>
      <c r="BT435" s="772">
        <v>18.403360528696453</v>
      </c>
      <c r="BU435" s="772">
        <v>18.506670093841414</v>
      </c>
      <c r="BV435" s="772">
        <v>18.610559600146239</v>
      </c>
      <c r="BW435" s="771">
        <v>14.187692476588063</v>
      </c>
      <c r="BX435" s="771">
        <v>14.377901272159537</v>
      </c>
      <c r="BY435" s="771">
        <v>14.570660122010272</v>
      </c>
      <c r="BZ435" s="772">
        <v>14.474864424514969</v>
      </c>
      <c r="CA435" s="772">
        <v>14.379698541700797</v>
      </c>
      <c r="CB435" s="772">
        <v>14.482928463422985</v>
      </c>
      <c r="CC435" s="772">
        <v>14.58689945886851</v>
      </c>
      <c r="CD435" s="772">
        <v>14.691616848105957</v>
      </c>
      <c r="CE435" s="772">
        <v>14.797085989395963</v>
      </c>
      <c r="CF435" s="772">
        <v>14.903312279465403</v>
      </c>
      <c r="CG435" s="772">
        <v>14.986973886181758</v>
      </c>
      <c r="CH435" s="772">
        <v>15.071105137786923</v>
      </c>
      <c r="CI435" s="772">
        <v>15.155708670691196</v>
      </c>
      <c r="CJ435" s="772">
        <v>15.240787136104695</v>
      </c>
      <c r="CK435" s="772">
        <v>15.326343200120434</v>
      </c>
      <c r="CL435" s="771">
        <v>0</v>
      </c>
      <c r="CM435" s="771">
        <v>0</v>
      </c>
      <c r="CN435" s="771">
        <v>0</v>
      </c>
      <c r="CO435" s="772">
        <v>0</v>
      </c>
      <c r="CP435" s="772">
        <v>0</v>
      </c>
      <c r="CQ435" s="772">
        <v>0</v>
      </c>
      <c r="CR435" s="772">
        <v>0</v>
      </c>
      <c r="CS435" s="772">
        <v>0</v>
      </c>
      <c r="CT435" s="772">
        <v>0</v>
      </c>
      <c r="CU435" s="772">
        <v>0</v>
      </c>
      <c r="CV435" s="772">
        <v>0</v>
      </c>
      <c r="CW435" s="772">
        <v>0</v>
      </c>
      <c r="CX435" s="772">
        <v>0</v>
      </c>
      <c r="CY435" s="772">
        <v>0</v>
      </c>
      <c r="CZ435" s="772">
        <v>0</v>
      </c>
      <c r="DA435" s="773">
        <v>0</v>
      </c>
      <c r="DB435" s="773">
        <v>0</v>
      </c>
      <c r="DC435" s="773">
        <v>0</v>
      </c>
      <c r="DD435" s="774">
        <v>0</v>
      </c>
      <c r="DE435" s="774">
        <v>0</v>
      </c>
      <c r="DF435" s="774">
        <v>0</v>
      </c>
      <c r="DG435" s="774">
        <v>0</v>
      </c>
      <c r="DH435" s="774">
        <v>0</v>
      </c>
      <c r="DI435" s="774">
        <v>0</v>
      </c>
      <c r="DJ435" s="774">
        <v>0</v>
      </c>
      <c r="DK435" s="774">
        <v>0</v>
      </c>
      <c r="DL435" s="774">
        <v>0</v>
      </c>
      <c r="DM435" s="774">
        <v>0</v>
      </c>
      <c r="DN435" s="774">
        <v>0</v>
      </c>
      <c r="DO435" s="774">
        <v>0</v>
      </c>
      <c r="DP435" s="773">
        <v>0</v>
      </c>
      <c r="DQ435" s="773">
        <v>0</v>
      </c>
      <c r="DR435" s="773">
        <v>0</v>
      </c>
      <c r="DS435" s="774">
        <v>0</v>
      </c>
      <c r="DT435" s="774">
        <v>0</v>
      </c>
      <c r="DU435" s="774">
        <v>0</v>
      </c>
      <c r="DV435" s="774">
        <v>0</v>
      </c>
      <c r="DW435" s="774">
        <v>0</v>
      </c>
      <c r="DX435" s="774">
        <v>0</v>
      </c>
      <c r="DY435" s="774">
        <v>0</v>
      </c>
      <c r="DZ435" s="774">
        <v>0</v>
      </c>
      <c r="EA435" s="774">
        <v>0</v>
      </c>
      <c r="EB435" s="774">
        <v>0</v>
      </c>
      <c r="EC435" s="774">
        <v>0</v>
      </c>
      <c r="ED435" s="774">
        <v>0</v>
      </c>
    </row>
    <row r="436" spans="1:134" ht="15" x14ac:dyDescent="0.25">
      <c r="A436" s="766">
        <v>109</v>
      </c>
      <c r="B436" s="766">
        <v>116</v>
      </c>
      <c r="C436" s="766" t="s">
        <v>4107</v>
      </c>
      <c r="D436" s="2">
        <v>99712</v>
      </c>
      <c r="E436" s="2">
        <v>99712</v>
      </c>
      <c r="F436" s="767" t="s">
        <v>3676</v>
      </c>
      <c r="G436" s="114">
        <v>18</v>
      </c>
      <c r="H436" s="114">
        <v>14</v>
      </c>
      <c r="I436" s="114">
        <v>11</v>
      </c>
      <c r="J436" s="114">
        <v>3</v>
      </c>
      <c r="K436" s="114">
        <v>0</v>
      </c>
      <c r="L436" s="114">
        <v>0</v>
      </c>
      <c r="M436" s="114">
        <v>0</v>
      </c>
      <c r="N436" s="114">
        <v>0</v>
      </c>
      <c r="O436" s="114">
        <v>0</v>
      </c>
      <c r="P436" s="114">
        <v>0</v>
      </c>
      <c r="Q436" s="114">
        <v>0</v>
      </c>
      <c r="R436" s="114">
        <v>0</v>
      </c>
      <c r="S436" s="114">
        <v>834.49503068156923</v>
      </c>
      <c r="T436" s="114">
        <v>834.49503068156923</v>
      </c>
      <c r="U436" s="114">
        <v>1408.3846153846155</v>
      </c>
      <c r="V436" s="114">
        <v>0</v>
      </c>
      <c r="W436" s="114">
        <v>0</v>
      </c>
      <c r="X436" s="114">
        <v>1365.173957061457</v>
      </c>
      <c r="Y436" s="114">
        <v>0.32077269577269579</v>
      </c>
      <c r="Z436" s="114">
        <v>13.661036036036036</v>
      </c>
      <c r="AA436" s="114">
        <v>1.8191268191268192E-2</v>
      </c>
      <c r="AB436" s="657">
        <v>0</v>
      </c>
      <c r="AC436" s="657">
        <v>0</v>
      </c>
      <c r="AD436" s="768">
        <v>14</v>
      </c>
      <c r="AE436" s="769">
        <v>0.25203568953568956</v>
      </c>
      <c r="AF436" s="769">
        <v>10.733671171171171</v>
      </c>
      <c r="AG436" s="770">
        <v>10.985706860706861</v>
      </c>
      <c r="AH436" s="769">
        <v>1.4293139293139292E-2</v>
      </c>
      <c r="AI436" s="769">
        <v>0.29161902718075788</v>
      </c>
      <c r="AJ436" s="769">
        <v>12.419442463809629</v>
      </c>
      <c r="AK436" s="769">
        <v>12.711061490990387</v>
      </c>
      <c r="AL436" s="769">
        <v>1.6537941049948462E-2</v>
      </c>
      <c r="AM436" s="769">
        <v>0.22997100088129091</v>
      </c>
      <c r="AN436" s="769">
        <v>9.7939823796873391</v>
      </c>
      <c r="AO436" s="769">
        <v>10.02395338056863</v>
      </c>
      <c r="AP436" s="769">
        <v>1.3041833698371882E-2</v>
      </c>
      <c r="AQ436" s="769">
        <v>0</v>
      </c>
      <c r="AR436" s="769">
        <v>0</v>
      </c>
      <c r="AS436" s="769">
        <v>11.555807072382787</v>
      </c>
      <c r="AT436" s="769">
        <v>12.11967715226273</v>
      </c>
      <c r="AU436" s="769">
        <v>12.711061490990387</v>
      </c>
      <c r="AV436" s="769">
        <v>13.331302657478268</v>
      </c>
      <c r="AW436" s="769">
        <v>13.981808731808732</v>
      </c>
      <c r="AX436" s="769">
        <v>9.1463974644366246</v>
      </c>
      <c r="AY436" s="769">
        <v>9.5751272463431967</v>
      </c>
      <c r="AZ436" s="769">
        <v>10.02395338056863</v>
      </c>
      <c r="BA436" s="769">
        <v>10.493817866930916</v>
      </c>
      <c r="BB436" s="769">
        <v>10.985706860706861</v>
      </c>
      <c r="BC436" s="769">
        <v>0</v>
      </c>
      <c r="BD436" s="769">
        <v>0</v>
      </c>
      <c r="BE436" s="769">
        <v>0</v>
      </c>
      <c r="BF436" s="769">
        <v>0</v>
      </c>
      <c r="BG436" s="769">
        <v>0</v>
      </c>
      <c r="BH436" s="771">
        <v>14.169257325241144</v>
      </c>
      <c r="BI436" s="771">
        <v>14.359218968011721</v>
      </c>
      <c r="BJ436" s="771">
        <v>14.551727351581464</v>
      </c>
      <c r="BK436" s="772">
        <v>14.45605612874507</v>
      </c>
      <c r="BL436" s="772">
        <v>14.361013902223535</v>
      </c>
      <c r="BM436" s="772">
        <v>14.46410968943205</v>
      </c>
      <c r="BN436" s="772">
        <v>14.56794558743027</v>
      </c>
      <c r="BO436" s="772">
        <v>14.67252690937401</v>
      </c>
      <c r="BP436" s="772">
        <v>14.777859006561508</v>
      </c>
      <c r="BQ436" s="772">
        <v>14.883947268707262</v>
      </c>
      <c r="BR436" s="772">
        <v>14.967500167514681</v>
      </c>
      <c r="BS436" s="772">
        <v>15.051522100965473</v>
      </c>
      <c r="BT436" s="772">
        <v>15.136015702044247</v>
      </c>
      <c r="BU436" s="772">
        <v>15.2209836185162</v>
      </c>
      <c r="BV436" s="772">
        <v>15.306428513010088</v>
      </c>
      <c r="BW436" s="771">
        <v>11.132987898403757</v>
      </c>
      <c r="BX436" s="771">
        <v>11.282243474866352</v>
      </c>
      <c r="BY436" s="771">
        <v>11.433500061956865</v>
      </c>
      <c r="BZ436" s="772">
        <v>11.358329815442556</v>
      </c>
      <c r="CA436" s="772">
        <v>11.283653780318492</v>
      </c>
      <c r="CB436" s="772">
        <v>11.364657613125182</v>
      </c>
      <c r="CC436" s="772">
        <v>11.446242961552356</v>
      </c>
      <c r="CD436" s="772">
        <v>11.528414000222437</v>
      </c>
      <c r="CE436" s="772">
        <v>11.6111749337269</v>
      </c>
      <c r="CF436" s="772">
        <v>11.694529996841419</v>
      </c>
      <c r="CG436" s="772">
        <v>11.76017870304725</v>
      </c>
      <c r="CH436" s="772">
        <v>11.826195936472871</v>
      </c>
      <c r="CI436" s="772">
        <v>11.892583765891908</v>
      </c>
      <c r="CJ436" s="772">
        <v>11.9593442716913</v>
      </c>
      <c r="CK436" s="772">
        <v>12.026479545936498</v>
      </c>
      <c r="CL436" s="771">
        <v>0</v>
      </c>
      <c r="CM436" s="771">
        <v>0</v>
      </c>
      <c r="CN436" s="771">
        <v>0</v>
      </c>
      <c r="CO436" s="772">
        <v>0</v>
      </c>
      <c r="CP436" s="772">
        <v>0</v>
      </c>
      <c r="CQ436" s="772">
        <v>0</v>
      </c>
      <c r="CR436" s="772">
        <v>0</v>
      </c>
      <c r="CS436" s="772">
        <v>0</v>
      </c>
      <c r="CT436" s="772">
        <v>0</v>
      </c>
      <c r="CU436" s="772">
        <v>0</v>
      </c>
      <c r="CV436" s="772">
        <v>0</v>
      </c>
      <c r="CW436" s="772">
        <v>0</v>
      </c>
      <c r="CX436" s="772">
        <v>0</v>
      </c>
      <c r="CY436" s="772">
        <v>0</v>
      </c>
      <c r="CZ436" s="772">
        <v>0</v>
      </c>
      <c r="DA436" s="773">
        <v>1.8435151346917963E-2</v>
      </c>
      <c r="DB436" s="773">
        <v>1.8682304147816447E-2</v>
      </c>
      <c r="DC436" s="773">
        <v>1.8932770428807526E-2</v>
      </c>
      <c r="DD436" s="774">
        <v>1.8808295769899907E-2</v>
      </c>
      <c r="DE436" s="774">
        <v>1.8684639477261952E-2</v>
      </c>
      <c r="DF436" s="774">
        <v>1.8818773990934231E-2</v>
      </c>
      <c r="DG436" s="774">
        <v>1.8953871438238706E-2</v>
      </c>
      <c r="DH436" s="774">
        <v>1.9089938731946407E-2</v>
      </c>
      <c r="DI436" s="774">
        <v>1.9226982834454214E-2</v>
      </c>
      <c r="DJ436" s="774">
        <v>1.9365010758141114E-2</v>
      </c>
      <c r="DK436" s="774">
        <v>1.947371866707609E-2</v>
      </c>
      <c r="DL436" s="774">
        <v>1.9583036821448702E-2</v>
      </c>
      <c r="DM436" s="774">
        <v>1.9692968646948018E-2</v>
      </c>
      <c r="DN436" s="774">
        <v>1.9803517588493625E-2</v>
      </c>
      <c r="DO436" s="774">
        <v>1.9914687110343596E-2</v>
      </c>
      <c r="DP436" s="773">
        <v>0</v>
      </c>
      <c r="DQ436" s="773">
        <v>0</v>
      </c>
      <c r="DR436" s="773">
        <v>0</v>
      </c>
      <c r="DS436" s="774">
        <v>0</v>
      </c>
      <c r="DT436" s="774">
        <v>0</v>
      </c>
      <c r="DU436" s="774">
        <v>0</v>
      </c>
      <c r="DV436" s="774">
        <v>0</v>
      </c>
      <c r="DW436" s="774">
        <v>0</v>
      </c>
      <c r="DX436" s="774">
        <v>0</v>
      </c>
      <c r="DY436" s="774">
        <v>0</v>
      </c>
      <c r="DZ436" s="774">
        <v>0</v>
      </c>
      <c r="EA436" s="774">
        <v>0</v>
      </c>
      <c r="EB436" s="774">
        <v>0</v>
      </c>
      <c r="EC436" s="774">
        <v>0</v>
      </c>
      <c r="ED436" s="774">
        <v>0</v>
      </c>
    </row>
    <row r="437" spans="1:134" ht="15" x14ac:dyDescent="0.25">
      <c r="A437" s="766">
        <v>110</v>
      </c>
      <c r="B437" s="766">
        <v>116</v>
      </c>
      <c r="C437" s="766" t="s">
        <v>4108</v>
      </c>
      <c r="D437" s="2">
        <v>99712</v>
      </c>
      <c r="E437" s="2">
        <v>99712</v>
      </c>
      <c r="F437" s="767" t="s">
        <v>3676</v>
      </c>
      <c r="G437" s="114">
        <v>12</v>
      </c>
      <c r="H437" s="114">
        <v>7</v>
      </c>
      <c r="I437" s="114">
        <v>5</v>
      </c>
      <c r="J437" s="114">
        <v>2</v>
      </c>
      <c r="K437" s="114">
        <v>0</v>
      </c>
      <c r="L437" s="114">
        <v>12</v>
      </c>
      <c r="M437" s="114">
        <v>12</v>
      </c>
      <c r="N437" s="114">
        <v>0</v>
      </c>
      <c r="O437" s="114">
        <v>0</v>
      </c>
      <c r="P437" s="114">
        <v>0</v>
      </c>
      <c r="Q437" s="114">
        <v>12</v>
      </c>
      <c r="R437" s="114">
        <v>0</v>
      </c>
      <c r="S437" s="114">
        <v>1159.75</v>
      </c>
      <c r="T437" s="114">
        <v>1159.75</v>
      </c>
      <c r="U437" s="114">
        <v>0</v>
      </c>
      <c r="V437" s="114">
        <v>0</v>
      </c>
      <c r="W437" s="114">
        <v>0</v>
      </c>
      <c r="X437" s="114">
        <v>1159.75</v>
      </c>
      <c r="Y437" s="114">
        <v>0</v>
      </c>
      <c r="Z437" s="114">
        <v>7</v>
      </c>
      <c r="AA437" s="114">
        <v>0</v>
      </c>
      <c r="AB437" s="657">
        <v>0</v>
      </c>
      <c r="AC437" s="657">
        <v>0</v>
      </c>
      <c r="AD437" s="768">
        <v>7</v>
      </c>
      <c r="AE437" s="769">
        <v>0</v>
      </c>
      <c r="AF437" s="769">
        <v>5</v>
      </c>
      <c r="AG437" s="770">
        <v>5</v>
      </c>
      <c r="AH437" s="769">
        <v>0</v>
      </c>
      <c r="AI437" s="769">
        <v>0</v>
      </c>
      <c r="AJ437" s="769">
        <v>6.3637997160201678</v>
      </c>
      <c r="AK437" s="769">
        <v>6.3637997160201678</v>
      </c>
      <c r="AL437" s="769">
        <v>0</v>
      </c>
      <c r="AM437" s="769">
        <v>0</v>
      </c>
      <c r="AN437" s="769">
        <v>4.5622705519395463</v>
      </c>
      <c r="AO437" s="769">
        <v>4.5622705519395463</v>
      </c>
      <c r="AP437" s="769">
        <v>0</v>
      </c>
      <c r="AQ437" s="769">
        <v>0</v>
      </c>
      <c r="AR437" s="769">
        <v>0</v>
      </c>
      <c r="AS437" s="769">
        <v>5.7854209750883383</v>
      </c>
      <c r="AT437" s="769">
        <v>6.0677228313696316</v>
      </c>
      <c r="AU437" s="769">
        <v>6.3637997160201678</v>
      </c>
      <c r="AV437" s="769">
        <v>6.6743237868821721</v>
      </c>
      <c r="AW437" s="769">
        <v>7</v>
      </c>
      <c r="AX437" s="769">
        <v>4.1628625178189544</v>
      </c>
      <c r="AY437" s="769">
        <v>4.3579932396480761</v>
      </c>
      <c r="AZ437" s="769">
        <v>4.5622705519395463</v>
      </c>
      <c r="BA437" s="769">
        <v>4.7761231935218893</v>
      </c>
      <c r="BB437" s="769">
        <v>5</v>
      </c>
      <c r="BC437" s="769">
        <v>0</v>
      </c>
      <c r="BD437" s="769">
        <v>0</v>
      </c>
      <c r="BE437" s="769">
        <v>0</v>
      </c>
      <c r="BF437" s="769">
        <v>0</v>
      </c>
      <c r="BG437" s="769">
        <v>0</v>
      </c>
      <c r="BH437" s="771">
        <v>7.0938462382940317</v>
      </c>
      <c r="BI437" s="771">
        <v>7.1889506360797686</v>
      </c>
      <c r="BJ437" s="771">
        <v>7.2853300610051361</v>
      </c>
      <c r="BK437" s="772">
        <v>7.2374322122574846</v>
      </c>
      <c r="BL437" s="772">
        <v>7.1898492708503987</v>
      </c>
      <c r="BM437" s="772">
        <v>7.2414642317114923</v>
      </c>
      <c r="BN437" s="772">
        <v>7.2934497294342551</v>
      </c>
      <c r="BO437" s="772">
        <v>7.3458084240529784</v>
      </c>
      <c r="BP437" s="772">
        <v>7.3985429946979817</v>
      </c>
      <c r="BQ437" s="772">
        <v>7.4516561397327017</v>
      </c>
      <c r="BR437" s="772">
        <v>7.493486943090879</v>
      </c>
      <c r="BS437" s="772">
        <v>7.5355525688934613</v>
      </c>
      <c r="BT437" s="772">
        <v>7.5778543353455978</v>
      </c>
      <c r="BU437" s="772">
        <v>7.6203935680523474</v>
      </c>
      <c r="BV437" s="772">
        <v>7.6631716000602168</v>
      </c>
      <c r="BW437" s="771">
        <v>5.0670330273528794</v>
      </c>
      <c r="BX437" s="771">
        <v>5.1349647400569776</v>
      </c>
      <c r="BY437" s="771">
        <v>5.2038071864322397</v>
      </c>
      <c r="BZ437" s="772">
        <v>5.1695944373267748</v>
      </c>
      <c r="CA437" s="772">
        <v>5.1356066220359988</v>
      </c>
      <c r="CB437" s="772">
        <v>5.1724744512224943</v>
      </c>
      <c r="CC437" s="772">
        <v>5.2096069495958961</v>
      </c>
      <c r="CD437" s="772">
        <v>5.2470060171806985</v>
      </c>
      <c r="CE437" s="772">
        <v>5.2846735676414154</v>
      </c>
      <c r="CF437" s="772">
        <v>5.3226115283805004</v>
      </c>
      <c r="CG437" s="772">
        <v>5.3524906736363418</v>
      </c>
      <c r="CH437" s="772">
        <v>5.3825375492096148</v>
      </c>
      <c r="CI437" s="772">
        <v>5.4127530966754263</v>
      </c>
      <c r="CJ437" s="772">
        <v>5.443138262894534</v>
      </c>
      <c r="CK437" s="772">
        <v>5.473694000043011</v>
      </c>
      <c r="CL437" s="771">
        <v>0</v>
      </c>
      <c r="CM437" s="771">
        <v>0</v>
      </c>
      <c r="CN437" s="771">
        <v>0</v>
      </c>
      <c r="CO437" s="772">
        <v>0</v>
      </c>
      <c r="CP437" s="772">
        <v>0</v>
      </c>
      <c r="CQ437" s="772">
        <v>0</v>
      </c>
      <c r="CR437" s="772">
        <v>0</v>
      </c>
      <c r="CS437" s="772">
        <v>0</v>
      </c>
      <c r="CT437" s="772">
        <v>0</v>
      </c>
      <c r="CU437" s="772">
        <v>0</v>
      </c>
      <c r="CV437" s="772">
        <v>0</v>
      </c>
      <c r="CW437" s="772">
        <v>0</v>
      </c>
      <c r="CX437" s="772">
        <v>0</v>
      </c>
      <c r="CY437" s="772">
        <v>0</v>
      </c>
      <c r="CZ437" s="772">
        <v>0</v>
      </c>
      <c r="DA437" s="773">
        <v>0</v>
      </c>
      <c r="DB437" s="773">
        <v>0</v>
      </c>
      <c r="DC437" s="773">
        <v>0</v>
      </c>
      <c r="DD437" s="774">
        <v>0</v>
      </c>
      <c r="DE437" s="774">
        <v>0</v>
      </c>
      <c r="DF437" s="774">
        <v>0</v>
      </c>
      <c r="DG437" s="774">
        <v>0</v>
      </c>
      <c r="DH437" s="774">
        <v>0</v>
      </c>
      <c r="DI437" s="774">
        <v>0</v>
      </c>
      <c r="DJ437" s="774">
        <v>0</v>
      </c>
      <c r="DK437" s="774">
        <v>0</v>
      </c>
      <c r="DL437" s="774">
        <v>0</v>
      </c>
      <c r="DM437" s="774">
        <v>0</v>
      </c>
      <c r="DN437" s="774">
        <v>0</v>
      </c>
      <c r="DO437" s="774">
        <v>0</v>
      </c>
      <c r="DP437" s="773">
        <v>0</v>
      </c>
      <c r="DQ437" s="773">
        <v>0</v>
      </c>
      <c r="DR437" s="773">
        <v>0</v>
      </c>
      <c r="DS437" s="774">
        <v>0</v>
      </c>
      <c r="DT437" s="774">
        <v>0</v>
      </c>
      <c r="DU437" s="774">
        <v>0</v>
      </c>
      <c r="DV437" s="774">
        <v>0</v>
      </c>
      <c r="DW437" s="774">
        <v>0</v>
      </c>
      <c r="DX437" s="774">
        <v>0</v>
      </c>
      <c r="DY437" s="774">
        <v>0</v>
      </c>
      <c r="DZ437" s="774">
        <v>0</v>
      </c>
      <c r="EA437" s="774">
        <v>0</v>
      </c>
      <c r="EB437" s="774">
        <v>0</v>
      </c>
      <c r="EC437" s="774">
        <v>0</v>
      </c>
      <c r="ED437" s="774">
        <v>0</v>
      </c>
    </row>
    <row r="438" spans="1:134" ht="15" x14ac:dyDescent="0.25">
      <c r="A438" s="766">
        <v>118</v>
      </c>
      <c r="B438" s="766">
        <v>116</v>
      </c>
      <c r="C438" s="766" t="s">
        <v>4109</v>
      </c>
      <c r="D438" s="2">
        <v>99712</v>
      </c>
      <c r="E438" s="2">
        <v>99712</v>
      </c>
      <c r="F438" s="767" t="s">
        <v>3676</v>
      </c>
      <c r="G438" s="114">
        <v>0</v>
      </c>
      <c r="H438" s="114">
        <v>1</v>
      </c>
      <c r="I438" s="114">
        <v>0</v>
      </c>
      <c r="J438" s="114">
        <v>1</v>
      </c>
      <c r="K438" s="114">
        <v>0</v>
      </c>
      <c r="L438" s="114">
        <v>1</v>
      </c>
      <c r="M438" s="114">
        <v>1</v>
      </c>
      <c r="N438" s="114">
        <v>1</v>
      </c>
      <c r="O438" s="114">
        <v>0</v>
      </c>
      <c r="P438" s="114">
        <v>0</v>
      </c>
      <c r="Q438" s="114">
        <v>2</v>
      </c>
      <c r="R438" s="114">
        <v>0</v>
      </c>
      <c r="S438" s="114">
        <v>1035</v>
      </c>
      <c r="T438" s="114">
        <v>1035</v>
      </c>
      <c r="U438" s="114">
        <v>15009</v>
      </c>
      <c r="V438" s="114">
        <v>0</v>
      </c>
      <c r="W438" s="114">
        <v>0</v>
      </c>
      <c r="X438" s="114">
        <v>8022</v>
      </c>
      <c r="Y438" s="114">
        <v>0</v>
      </c>
      <c r="Z438" s="114">
        <v>1</v>
      </c>
      <c r="AA438" s="114">
        <v>0</v>
      </c>
      <c r="AB438" s="657">
        <v>1</v>
      </c>
      <c r="AC438" s="657">
        <v>0</v>
      </c>
      <c r="AD438" s="768">
        <v>2</v>
      </c>
      <c r="AE438" s="769">
        <v>0</v>
      </c>
      <c r="AF438" s="769">
        <v>0</v>
      </c>
      <c r="AG438" s="770">
        <v>0</v>
      </c>
      <c r="AH438" s="769">
        <v>0</v>
      </c>
      <c r="AI438" s="769">
        <v>0</v>
      </c>
      <c r="AJ438" s="769">
        <v>0.90911424514573824</v>
      </c>
      <c r="AK438" s="769">
        <v>0.90911424514573824</v>
      </c>
      <c r="AL438" s="769">
        <v>0</v>
      </c>
      <c r="AM438" s="769">
        <v>0</v>
      </c>
      <c r="AN438" s="769">
        <v>0</v>
      </c>
      <c r="AO438" s="769">
        <v>0</v>
      </c>
      <c r="AP438" s="769">
        <v>0</v>
      </c>
      <c r="AQ438" s="769">
        <v>0.92984135081383867</v>
      </c>
      <c r="AR438" s="769">
        <v>0</v>
      </c>
      <c r="AS438" s="769">
        <v>0.82648871072690544</v>
      </c>
      <c r="AT438" s="769">
        <v>0.86681754733851879</v>
      </c>
      <c r="AU438" s="769">
        <v>0.90911424514573824</v>
      </c>
      <c r="AV438" s="769">
        <v>0.95347482669745309</v>
      </c>
      <c r="AW438" s="769">
        <v>1</v>
      </c>
      <c r="AX438" s="769">
        <v>0</v>
      </c>
      <c r="AY438" s="769">
        <v>0</v>
      </c>
      <c r="AZ438" s="769">
        <v>0</v>
      </c>
      <c r="BA438" s="769">
        <v>0</v>
      </c>
      <c r="BB438" s="769">
        <v>0</v>
      </c>
      <c r="BC438" s="769">
        <v>0.86460493768330426</v>
      </c>
      <c r="BD438" s="769">
        <v>0.89663003695825327</v>
      </c>
      <c r="BE438" s="769">
        <v>0.92984135081383867</v>
      </c>
      <c r="BF438" s="769">
        <v>0.96428281681975381</v>
      </c>
      <c r="BG438" s="769">
        <v>1</v>
      </c>
      <c r="BH438" s="771">
        <v>1.0134066054705759</v>
      </c>
      <c r="BI438" s="771">
        <v>1.0269929480113955</v>
      </c>
      <c r="BJ438" s="771">
        <v>1.040761437286448</v>
      </c>
      <c r="BK438" s="772">
        <v>1.0339188874653549</v>
      </c>
      <c r="BL438" s="772">
        <v>1.0271213244071997</v>
      </c>
      <c r="BM438" s="772">
        <v>1.034494890244499</v>
      </c>
      <c r="BN438" s="772">
        <v>1.0419213899191793</v>
      </c>
      <c r="BO438" s="772">
        <v>1.0494012034361397</v>
      </c>
      <c r="BP438" s="772">
        <v>1.0569347135282832</v>
      </c>
      <c r="BQ438" s="772">
        <v>1.0645223056761002</v>
      </c>
      <c r="BR438" s="772">
        <v>1.0704981347272684</v>
      </c>
      <c r="BS438" s="772">
        <v>1.076507509841923</v>
      </c>
      <c r="BT438" s="772">
        <v>1.0825506193350853</v>
      </c>
      <c r="BU438" s="772">
        <v>1.0886276525789067</v>
      </c>
      <c r="BV438" s="772">
        <v>1.0947388000086022</v>
      </c>
      <c r="BW438" s="771">
        <v>0</v>
      </c>
      <c r="BX438" s="771">
        <v>0</v>
      </c>
      <c r="BY438" s="771">
        <v>0</v>
      </c>
      <c r="BZ438" s="772">
        <v>0</v>
      </c>
      <c r="CA438" s="772">
        <v>0</v>
      </c>
      <c r="CB438" s="772">
        <v>0</v>
      </c>
      <c r="CC438" s="772">
        <v>0</v>
      </c>
      <c r="CD438" s="772">
        <v>0</v>
      </c>
      <c r="CE438" s="772">
        <v>0</v>
      </c>
      <c r="CF438" s="772">
        <v>0</v>
      </c>
      <c r="CG438" s="772">
        <v>0</v>
      </c>
      <c r="CH438" s="772">
        <v>0</v>
      </c>
      <c r="CI438" s="772">
        <v>0</v>
      </c>
      <c r="CJ438" s="772">
        <v>0</v>
      </c>
      <c r="CK438" s="772">
        <v>0</v>
      </c>
      <c r="CL438" s="771">
        <v>1.0134066054705759</v>
      </c>
      <c r="CM438" s="771">
        <v>1.0269929480113955</v>
      </c>
      <c r="CN438" s="771">
        <v>1.040761437286448</v>
      </c>
      <c r="CO438" s="772">
        <v>1.0339188874653549</v>
      </c>
      <c r="CP438" s="772">
        <v>1.0271213244071997</v>
      </c>
      <c r="CQ438" s="772">
        <v>1.034494890244499</v>
      </c>
      <c r="CR438" s="772">
        <v>1.0419213899191793</v>
      </c>
      <c r="CS438" s="772">
        <v>1.0494012034361397</v>
      </c>
      <c r="CT438" s="772">
        <v>1.0569347135282832</v>
      </c>
      <c r="CU438" s="772">
        <v>1.0645223056761002</v>
      </c>
      <c r="CV438" s="772">
        <v>1.0704981347272684</v>
      </c>
      <c r="CW438" s="772">
        <v>1.076507509841923</v>
      </c>
      <c r="CX438" s="772">
        <v>1.0825506193350853</v>
      </c>
      <c r="CY438" s="772">
        <v>1.0886276525789067</v>
      </c>
      <c r="CZ438" s="772">
        <v>1.0947388000086022</v>
      </c>
      <c r="DA438" s="773">
        <v>0</v>
      </c>
      <c r="DB438" s="773">
        <v>0</v>
      </c>
      <c r="DC438" s="773">
        <v>0</v>
      </c>
      <c r="DD438" s="774">
        <v>0</v>
      </c>
      <c r="DE438" s="774">
        <v>0</v>
      </c>
      <c r="DF438" s="774">
        <v>0</v>
      </c>
      <c r="DG438" s="774">
        <v>0</v>
      </c>
      <c r="DH438" s="774">
        <v>0</v>
      </c>
      <c r="DI438" s="774">
        <v>0</v>
      </c>
      <c r="DJ438" s="774">
        <v>0</v>
      </c>
      <c r="DK438" s="774">
        <v>0</v>
      </c>
      <c r="DL438" s="774">
        <v>0</v>
      </c>
      <c r="DM438" s="774">
        <v>0</v>
      </c>
      <c r="DN438" s="774">
        <v>0</v>
      </c>
      <c r="DO438" s="774">
        <v>0</v>
      </c>
      <c r="DP438" s="773">
        <v>0</v>
      </c>
      <c r="DQ438" s="773">
        <v>0</v>
      </c>
      <c r="DR438" s="773">
        <v>0</v>
      </c>
      <c r="DS438" s="774">
        <v>0</v>
      </c>
      <c r="DT438" s="774">
        <v>0</v>
      </c>
      <c r="DU438" s="774">
        <v>0</v>
      </c>
      <c r="DV438" s="774">
        <v>0</v>
      </c>
      <c r="DW438" s="774">
        <v>0</v>
      </c>
      <c r="DX438" s="774">
        <v>0</v>
      </c>
      <c r="DY438" s="774">
        <v>0</v>
      </c>
      <c r="DZ438" s="774">
        <v>0</v>
      </c>
      <c r="EA438" s="774">
        <v>0</v>
      </c>
      <c r="EB438" s="774">
        <v>0</v>
      </c>
      <c r="EC438" s="774">
        <v>0</v>
      </c>
      <c r="ED438" s="774">
        <v>0</v>
      </c>
    </row>
    <row r="439" spans="1:134" ht="15" x14ac:dyDescent="0.25">
      <c r="A439" s="766">
        <v>119</v>
      </c>
      <c r="B439" s="766">
        <v>116</v>
      </c>
      <c r="C439" s="766" t="s">
        <v>4110</v>
      </c>
      <c r="D439" s="2">
        <v>99712</v>
      </c>
      <c r="E439" s="2">
        <v>99712</v>
      </c>
      <c r="F439" s="767" t="s">
        <v>3676</v>
      </c>
      <c r="G439" s="114">
        <v>0</v>
      </c>
      <c r="H439" s="114">
        <v>2</v>
      </c>
      <c r="I439" s="114">
        <v>0</v>
      </c>
      <c r="J439" s="114">
        <v>2</v>
      </c>
      <c r="K439" s="114">
        <v>0</v>
      </c>
      <c r="L439" s="114">
        <v>0</v>
      </c>
      <c r="M439" s="114">
        <v>0</v>
      </c>
      <c r="N439" s="114">
        <v>0</v>
      </c>
      <c r="O439" s="114">
        <v>0</v>
      </c>
      <c r="P439" s="114">
        <v>0</v>
      </c>
      <c r="Q439" s="114">
        <v>0</v>
      </c>
      <c r="R439" s="114">
        <v>0</v>
      </c>
      <c r="S439" s="114">
        <v>834.49503068156923</v>
      </c>
      <c r="T439" s="114">
        <v>834.49503068156923</v>
      </c>
      <c r="U439" s="114">
        <v>1408.3846153846155</v>
      </c>
      <c r="V439" s="114">
        <v>0</v>
      </c>
      <c r="W439" s="114">
        <v>0</v>
      </c>
      <c r="X439" s="114">
        <v>1365.173957061457</v>
      </c>
      <c r="Y439" s="114">
        <v>4.5824670824670823E-2</v>
      </c>
      <c r="Z439" s="114">
        <v>1.9515765765765767</v>
      </c>
      <c r="AA439" s="114">
        <v>2.5987525987525989E-3</v>
      </c>
      <c r="AB439" s="657">
        <v>0</v>
      </c>
      <c r="AC439" s="657">
        <v>0</v>
      </c>
      <c r="AD439" s="768">
        <v>2</v>
      </c>
      <c r="AE439" s="769">
        <v>0</v>
      </c>
      <c r="AF439" s="769">
        <v>0</v>
      </c>
      <c r="AG439" s="770">
        <v>0</v>
      </c>
      <c r="AH439" s="769">
        <v>0</v>
      </c>
      <c r="AI439" s="769">
        <v>4.1659861025822545E-2</v>
      </c>
      <c r="AJ439" s="769">
        <v>1.7742060662585184</v>
      </c>
      <c r="AK439" s="769">
        <v>1.8158659272843409</v>
      </c>
      <c r="AL439" s="769">
        <v>2.3625630071354943E-3</v>
      </c>
      <c r="AM439" s="769">
        <v>0</v>
      </c>
      <c r="AN439" s="769">
        <v>0</v>
      </c>
      <c r="AO439" s="769">
        <v>0</v>
      </c>
      <c r="AP439" s="769">
        <v>0</v>
      </c>
      <c r="AQ439" s="769">
        <v>0</v>
      </c>
      <c r="AR439" s="769">
        <v>0</v>
      </c>
      <c r="AS439" s="769">
        <v>1.6508295817689698</v>
      </c>
      <c r="AT439" s="769">
        <v>1.7313824503232471</v>
      </c>
      <c r="AU439" s="769">
        <v>1.8158659272843409</v>
      </c>
      <c r="AV439" s="769">
        <v>1.9044718082111811</v>
      </c>
      <c r="AW439" s="769">
        <v>1.9974012474012475</v>
      </c>
      <c r="AX439" s="769">
        <v>0</v>
      </c>
      <c r="AY439" s="769">
        <v>0</v>
      </c>
      <c r="AZ439" s="769">
        <v>0</v>
      </c>
      <c r="BA439" s="769">
        <v>0</v>
      </c>
      <c r="BB439" s="769">
        <v>0</v>
      </c>
      <c r="BC439" s="769">
        <v>0</v>
      </c>
      <c r="BD439" s="769">
        <v>0</v>
      </c>
      <c r="BE439" s="769">
        <v>0</v>
      </c>
      <c r="BF439" s="769">
        <v>0</v>
      </c>
      <c r="BG439" s="769">
        <v>0</v>
      </c>
      <c r="BH439" s="771">
        <v>2.0241796178915923</v>
      </c>
      <c r="BI439" s="771">
        <v>2.0513169954302457</v>
      </c>
      <c r="BJ439" s="771">
        <v>2.0788181930830665</v>
      </c>
      <c r="BK439" s="772">
        <v>2.0651508755350103</v>
      </c>
      <c r="BL439" s="772">
        <v>2.0515734146033622</v>
      </c>
      <c r="BM439" s="772">
        <v>2.066301384204579</v>
      </c>
      <c r="BN439" s="772">
        <v>2.08113508391861</v>
      </c>
      <c r="BO439" s="772">
        <v>2.0960752727677159</v>
      </c>
      <c r="BP439" s="772">
        <v>2.1111227152230727</v>
      </c>
      <c r="BQ439" s="772">
        <v>2.1262781812438947</v>
      </c>
      <c r="BR439" s="772">
        <v>2.1382143096449546</v>
      </c>
      <c r="BS439" s="772">
        <v>2.1502174429950678</v>
      </c>
      <c r="BT439" s="772">
        <v>2.1622879574348928</v>
      </c>
      <c r="BU439" s="772">
        <v>2.1744262312166005</v>
      </c>
      <c r="BV439" s="772">
        <v>2.1866326447157269</v>
      </c>
      <c r="BW439" s="771">
        <v>0</v>
      </c>
      <c r="BX439" s="771">
        <v>0</v>
      </c>
      <c r="BY439" s="771">
        <v>0</v>
      </c>
      <c r="BZ439" s="772">
        <v>0</v>
      </c>
      <c r="CA439" s="772">
        <v>0</v>
      </c>
      <c r="CB439" s="772">
        <v>0</v>
      </c>
      <c r="CC439" s="772">
        <v>0</v>
      </c>
      <c r="CD439" s="772">
        <v>0</v>
      </c>
      <c r="CE439" s="772">
        <v>0</v>
      </c>
      <c r="CF439" s="772">
        <v>0</v>
      </c>
      <c r="CG439" s="772">
        <v>0</v>
      </c>
      <c r="CH439" s="772">
        <v>0</v>
      </c>
      <c r="CI439" s="772">
        <v>0</v>
      </c>
      <c r="CJ439" s="772">
        <v>0</v>
      </c>
      <c r="CK439" s="772">
        <v>0</v>
      </c>
      <c r="CL439" s="771">
        <v>0</v>
      </c>
      <c r="CM439" s="771">
        <v>0</v>
      </c>
      <c r="CN439" s="771">
        <v>0</v>
      </c>
      <c r="CO439" s="772">
        <v>0</v>
      </c>
      <c r="CP439" s="772">
        <v>0</v>
      </c>
      <c r="CQ439" s="772">
        <v>0</v>
      </c>
      <c r="CR439" s="772">
        <v>0</v>
      </c>
      <c r="CS439" s="772">
        <v>0</v>
      </c>
      <c r="CT439" s="772">
        <v>0</v>
      </c>
      <c r="CU439" s="772">
        <v>0</v>
      </c>
      <c r="CV439" s="772">
        <v>0</v>
      </c>
      <c r="CW439" s="772">
        <v>0</v>
      </c>
      <c r="CX439" s="772">
        <v>0</v>
      </c>
      <c r="CY439" s="772">
        <v>0</v>
      </c>
      <c r="CZ439" s="772">
        <v>0</v>
      </c>
      <c r="DA439" s="773">
        <v>2.6335930495597088E-3</v>
      </c>
      <c r="DB439" s="773">
        <v>2.6689005925452066E-3</v>
      </c>
      <c r="DC439" s="773">
        <v>2.7046814898296465E-3</v>
      </c>
      <c r="DD439" s="774">
        <v>2.6868993956999871E-3</v>
      </c>
      <c r="DE439" s="774">
        <v>2.6692342110374214E-3</v>
      </c>
      <c r="DF439" s="774">
        <v>2.6883962844191757E-3</v>
      </c>
      <c r="DG439" s="774">
        <v>2.7076959197483868E-3</v>
      </c>
      <c r="DH439" s="774">
        <v>2.7271341045637726E-3</v>
      </c>
      <c r="DI439" s="774">
        <v>2.7467118334934589E-3</v>
      </c>
      <c r="DJ439" s="774">
        <v>2.7664301083058737E-3</v>
      </c>
      <c r="DK439" s="774">
        <v>2.7819598095822984E-3</v>
      </c>
      <c r="DL439" s="774">
        <v>2.7975766887783859E-3</v>
      </c>
      <c r="DM439" s="774">
        <v>2.8132812352782881E-3</v>
      </c>
      <c r="DN439" s="774">
        <v>2.8290739412133751E-3</v>
      </c>
      <c r="DO439" s="774">
        <v>2.8449553014776568E-3</v>
      </c>
      <c r="DP439" s="773">
        <v>0</v>
      </c>
      <c r="DQ439" s="773">
        <v>0</v>
      </c>
      <c r="DR439" s="773">
        <v>0</v>
      </c>
      <c r="DS439" s="774">
        <v>0</v>
      </c>
      <c r="DT439" s="774">
        <v>0</v>
      </c>
      <c r="DU439" s="774">
        <v>0</v>
      </c>
      <c r="DV439" s="774">
        <v>0</v>
      </c>
      <c r="DW439" s="774">
        <v>0</v>
      </c>
      <c r="DX439" s="774">
        <v>0</v>
      </c>
      <c r="DY439" s="774">
        <v>0</v>
      </c>
      <c r="DZ439" s="774">
        <v>0</v>
      </c>
      <c r="EA439" s="774">
        <v>0</v>
      </c>
      <c r="EB439" s="774">
        <v>0</v>
      </c>
      <c r="EC439" s="774">
        <v>0</v>
      </c>
      <c r="ED439" s="774">
        <v>0</v>
      </c>
    </row>
    <row r="440" spans="1:134" ht="15" x14ac:dyDescent="0.25">
      <c r="A440" s="766">
        <v>104</v>
      </c>
      <c r="B440" s="766">
        <v>117</v>
      </c>
      <c r="C440" s="766" t="s">
        <v>4111</v>
      </c>
      <c r="D440" s="2">
        <v>99712</v>
      </c>
      <c r="E440" s="2">
        <v>99712</v>
      </c>
      <c r="F440" s="767" t="s">
        <v>3676</v>
      </c>
      <c r="G440" s="114">
        <v>6</v>
      </c>
      <c r="H440" s="114">
        <v>4</v>
      </c>
      <c r="I440" s="114">
        <v>3</v>
      </c>
      <c r="J440" s="114">
        <v>1</v>
      </c>
      <c r="K440" s="114">
        <v>0</v>
      </c>
      <c r="L440" s="114">
        <v>0</v>
      </c>
      <c r="M440" s="114">
        <v>0</v>
      </c>
      <c r="N440" s="114">
        <v>0</v>
      </c>
      <c r="O440" s="114">
        <v>0</v>
      </c>
      <c r="P440" s="114">
        <v>0</v>
      </c>
      <c r="Q440" s="114">
        <v>0</v>
      </c>
      <c r="R440" s="114">
        <v>0</v>
      </c>
      <c r="S440" s="114">
        <v>834.49503068156923</v>
      </c>
      <c r="T440" s="114">
        <v>834.49503068156923</v>
      </c>
      <c r="U440" s="114">
        <v>1408.3846153846155</v>
      </c>
      <c r="V440" s="114">
        <v>0</v>
      </c>
      <c r="W440" s="114">
        <v>0</v>
      </c>
      <c r="X440" s="114">
        <v>1365.173957061457</v>
      </c>
      <c r="Y440" s="114">
        <v>9.1649341649341645E-2</v>
      </c>
      <c r="Z440" s="114">
        <v>3.9031531531531534</v>
      </c>
      <c r="AA440" s="114">
        <v>5.1975051975051978E-3</v>
      </c>
      <c r="AB440" s="657">
        <v>0</v>
      </c>
      <c r="AC440" s="657">
        <v>0</v>
      </c>
      <c r="AD440" s="768">
        <v>4</v>
      </c>
      <c r="AE440" s="769">
        <v>6.8737006237006237E-2</v>
      </c>
      <c r="AF440" s="769">
        <v>2.9273648648648649</v>
      </c>
      <c r="AG440" s="770">
        <v>2.996101871101871</v>
      </c>
      <c r="AH440" s="769">
        <v>3.8981288981288983E-3</v>
      </c>
      <c r="AI440" s="769">
        <v>8.331972205164509E-2</v>
      </c>
      <c r="AJ440" s="769">
        <v>3.5484121325170368</v>
      </c>
      <c r="AK440" s="769">
        <v>3.6317318545686819</v>
      </c>
      <c r="AL440" s="769">
        <v>4.7251260142709885E-3</v>
      </c>
      <c r="AM440" s="769">
        <v>6.27193638767157E-2</v>
      </c>
      <c r="AN440" s="769">
        <v>2.6710861035510924</v>
      </c>
      <c r="AO440" s="769">
        <v>2.7338054674278083</v>
      </c>
      <c r="AP440" s="769">
        <v>3.5568637359196047E-3</v>
      </c>
      <c r="AQ440" s="769">
        <v>0</v>
      </c>
      <c r="AR440" s="769">
        <v>0</v>
      </c>
      <c r="AS440" s="769">
        <v>3.3016591635379395</v>
      </c>
      <c r="AT440" s="769">
        <v>3.4627649006464942</v>
      </c>
      <c r="AU440" s="769">
        <v>3.6317318545686819</v>
      </c>
      <c r="AV440" s="769">
        <v>3.8089436164223622</v>
      </c>
      <c r="AW440" s="769">
        <v>3.9948024948024949</v>
      </c>
      <c r="AX440" s="769">
        <v>2.4944720357554431</v>
      </c>
      <c r="AY440" s="769">
        <v>2.6113983399117808</v>
      </c>
      <c r="AZ440" s="769">
        <v>2.7338054674278078</v>
      </c>
      <c r="BA440" s="769">
        <v>2.8619503273447955</v>
      </c>
      <c r="BB440" s="769">
        <v>2.996101871101871</v>
      </c>
      <c r="BC440" s="769">
        <v>0</v>
      </c>
      <c r="BD440" s="769">
        <v>0</v>
      </c>
      <c r="BE440" s="769">
        <v>0</v>
      </c>
      <c r="BF440" s="769">
        <v>0</v>
      </c>
      <c r="BG440" s="769">
        <v>0</v>
      </c>
      <c r="BH440" s="771">
        <v>4.0483592357831846</v>
      </c>
      <c r="BI440" s="771">
        <v>4.1026339908604914</v>
      </c>
      <c r="BJ440" s="771">
        <v>4.157636386166133</v>
      </c>
      <c r="BK440" s="772">
        <v>4.1303017510700206</v>
      </c>
      <c r="BL440" s="772">
        <v>4.1031468292067244</v>
      </c>
      <c r="BM440" s="772">
        <v>4.132602768409158</v>
      </c>
      <c r="BN440" s="772">
        <v>4.16227016783722</v>
      </c>
      <c r="BO440" s="772">
        <v>4.1921505455354318</v>
      </c>
      <c r="BP440" s="772">
        <v>4.2222454304461454</v>
      </c>
      <c r="BQ440" s="772">
        <v>4.2525563624877893</v>
      </c>
      <c r="BR440" s="772">
        <v>4.2764286192899092</v>
      </c>
      <c r="BS440" s="772">
        <v>4.3004348859901356</v>
      </c>
      <c r="BT440" s="772">
        <v>4.3245759148697855</v>
      </c>
      <c r="BU440" s="772">
        <v>4.348852462433201</v>
      </c>
      <c r="BV440" s="772">
        <v>4.3732652894314539</v>
      </c>
      <c r="BW440" s="771">
        <v>3.036269426837388</v>
      </c>
      <c r="BX440" s="771">
        <v>3.0769754931453686</v>
      </c>
      <c r="BY440" s="771">
        <v>3.1182272896245995</v>
      </c>
      <c r="BZ440" s="772">
        <v>3.0977263133025148</v>
      </c>
      <c r="CA440" s="772">
        <v>3.0773601219050435</v>
      </c>
      <c r="CB440" s="772">
        <v>3.0994520763068678</v>
      </c>
      <c r="CC440" s="772">
        <v>3.1217026258779152</v>
      </c>
      <c r="CD440" s="772">
        <v>3.1441129091515734</v>
      </c>
      <c r="CE440" s="772">
        <v>3.1666840728346091</v>
      </c>
      <c r="CF440" s="772">
        <v>3.1894172718658416</v>
      </c>
      <c r="CG440" s="772">
        <v>3.2073214644674319</v>
      </c>
      <c r="CH440" s="772">
        <v>3.2253261644926012</v>
      </c>
      <c r="CI440" s="772">
        <v>3.2434319361523385</v>
      </c>
      <c r="CJ440" s="772">
        <v>3.2616393468249001</v>
      </c>
      <c r="CK440" s="772">
        <v>3.2799489670735906</v>
      </c>
      <c r="CL440" s="771">
        <v>0</v>
      </c>
      <c r="CM440" s="771">
        <v>0</v>
      </c>
      <c r="CN440" s="771">
        <v>0</v>
      </c>
      <c r="CO440" s="772">
        <v>0</v>
      </c>
      <c r="CP440" s="772">
        <v>0</v>
      </c>
      <c r="CQ440" s="772">
        <v>0</v>
      </c>
      <c r="CR440" s="772">
        <v>0</v>
      </c>
      <c r="CS440" s="772">
        <v>0</v>
      </c>
      <c r="CT440" s="772">
        <v>0</v>
      </c>
      <c r="CU440" s="772">
        <v>0</v>
      </c>
      <c r="CV440" s="772">
        <v>0</v>
      </c>
      <c r="CW440" s="772">
        <v>0</v>
      </c>
      <c r="CX440" s="772">
        <v>0</v>
      </c>
      <c r="CY440" s="772">
        <v>0</v>
      </c>
      <c r="CZ440" s="772">
        <v>0</v>
      </c>
      <c r="DA440" s="773">
        <v>5.2671860991194176E-3</v>
      </c>
      <c r="DB440" s="773">
        <v>5.3378011850904131E-3</v>
      </c>
      <c r="DC440" s="773">
        <v>5.4093629796592929E-3</v>
      </c>
      <c r="DD440" s="774">
        <v>5.3737987913999741E-3</v>
      </c>
      <c r="DE440" s="774">
        <v>5.3384684220748428E-3</v>
      </c>
      <c r="DF440" s="774">
        <v>5.3767925688383515E-3</v>
      </c>
      <c r="DG440" s="774">
        <v>5.4153918394967736E-3</v>
      </c>
      <c r="DH440" s="774">
        <v>5.4542682091275451E-3</v>
      </c>
      <c r="DI440" s="774">
        <v>5.4934236669869178E-3</v>
      </c>
      <c r="DJ440" s="774">
        <v>5.5328602166117473E-3</v>
      </c>
      <c r="DK440" s="774">
        <v>5.5639196191645968E-3</v>
      </c>
      <c r="DL440" s="774">
        <v>5.5951533775567717E-3</v>
      </c>
      <c r="DM440" s="774">
        <v>5.6265624705565762E-3</v>
      </c>
      <c r="DN440" s="774">
        <v>5.6581478824267502E-3</v>
      </c>
      <c r="DO440" s="774">
        <v>5.6899106029553136E-3</v>
      </c>
      <c r="DP440" s="773">
        <v>0</v>
      </c>
      <c r="DQ440" s="773">
        <v>0</v>
      </c>
      <c r="DR440" s="773">
        <v>0</v>
      </c>
      <c r="DS440" s="774">
        <v>0</v>
      </c>
      <c r="DT440" s="774">
        <v>0</v>
      </c>
      <c r="DU440" s="774">
        <v>0</v>
      </c>
      <c r="DV440" s="774">
        <v>0</v>
      </c>
      <c r="DW440" s="774">
        <v>0</v>
      </c>
      <c r="DX440" s="774">
        <v>0</v>
      </c>
      <c r="DY440" s="774">
        <v>0</v>
      </c>
      <c r="DZ440" s="774">
        <v>0</v>
      </c>
      <c r="EA440" s="774">
        <v>0</v>
      </c>
      <c r="EB440" s="774">
        <v>0</v>
      </c>
      <c r="EC440" s="774">
        <v>0</v>
      </c>
      <c r="ED440" s="774">
        <v>0</v>
      </c>
    </row>
    <row r="441" spans="1:134" ht="15" x14ac:dyDescent="0.25">
      <c r="A441" s="766">
        <v>106</v>
      </c>
      <c r="B441" s="766">
        <v>117</v>
      </c>
      <c r="C441" s="766" t="s">
        <v>4112</v>
      </c>
      <c r="D441" s="2">
        <v>99712</v>
      </c>
      <c r="E441" s="2">
        <v>99712</v>
      </c>
      <c r="F441" s="767" t="s">
        <v>3676</v>
      </c>
      <c r="G441" s="114">
        <v>0</v>
      </c>
      <c r="H441" s="114">
        <v>1</v>
      </c>
      <c r="I441" s="114">
        <v>0</v>
      </c>
      <c r="J441" s="114">
        <v>1</v>
      </c>
      <c r="K441" s="114">
        <v>0</v>
      </c>
      <c r="L441" s="114">
        <v>2</v>
      </c>
      <c r="M441" s="114">
        <v>2</v>
      </c>
      <c r="N441" s="114">
        <v>0</v>
      </c>
      <c r="O441" s="114">
        <v>0</v>
      </c>
      <c r="P441" s="114">
        <v>0</v>
      </c>
      <c r="Q441" s="114">
        <v>2</v>
      </c>
      <c r="R441" s="114">
        <v>0</v>
      </c>
      <c r="S441" s="114">
        <v>368</v>
      </c>
      <c r="T441" s="114">
        <v>368</v>
      </c>
      <c r="U441" s="114">
        <v>0</v>
      </c>
      <c r="V441" s="114">
        <v>0</v>
      </c>
      <c r="W441" s="114">
        <v>0</v>
      </c>
      <c r="X441" s="114">
        <v>368</v>
      </c>
      <c r="Y441" s="114">
        <v>0</v>
      </c>
      <c r="Z441" s="114">
        <v>1</v>
      </c>
      <c r="AA441" s="114">
        <v>0</v>
      </c>
      <c r="AB441" s="657">
        <v>0</v>
      </c>
      <c r="AC441" s="657">
        <v>0</v>
      </c>
      <c r="AD441" s="768">
        <v>1</v>
      </c>
      <c r="AE441" s="769">
        <v>0</v>
      </c>
      <c r="AF441" s="769">
        <v>0</v>
      </c>
      <c r="AG441" s="770">
        <v>0</v>
      </c>
      <c r="AH441" s="769">
        <v>0</v>
      </c>
      <c r="AI441" s="769">
        <v>0</v>
      </c>
      <c r="AJ441" s="769">
        <v>0.90911424514573824</v>
      </c>
      <c r="AK441" s="769">
        <v>0.90911424514573824</v>
      </c>
      <c r="AL441" s="769">
        <v>0</v>
      </c>
      <c r="AM441" s="769">
        <v>0</v>
      </c>
      <c r="AN441" s="769">
        <v>0</v>
      </c>
      <c r="AO441" s="769">
        <v>0</v>
      </c>
      <c r="AP441" s="769">
        <v>0</v>
      </c>
      <c r="AQ441" s="769">
        <v>0</v>
      </c>
      <c r="AR441" s="769">
        <v>0</v>
      </c>
      <c r="AS441" s="769">
        <v>0.82648871072690544</v>
      </c>
      <c r="AT441" s="769">
        <v>0.86681754733851879</v>
      </c>
      <c r="AU441" s="769">
        <v>0.90911424514573824</v>
      </c>
      <c r="AV441" s="769">
        <v>0.95347482669745309</v>
      </c>
      <c r="AW441" s="769">
        <v>1</v>
      </c>
      <c r="AX441" s="769">
        <v>0</v>
      </c>
      <c r="AY441" s="769">
        <v>0</v>
      </c>
      <c r="AZ441" s="769">
        <v>0</v>
      </c>
      <c r="BA441" s="769">
        <v>0</v>
      </c>
      <c r="BB441" s="769">
        <v>0</v>
      </c>
      <c r="BC441" s="769">
        <v>0</v>
      </c>
      <c r="BD441" s="769">
        <v>0</v>
      </c>
      <c r="BE441" s="769">
        <v>0</v>
      </c>
      <c r="BF441" s="769">
        <v>0</v>
      </c>
      <c r="BG441" s="769">
        <v>0</v>
      </c>
      <c r="BH441" s="771">
        <v>1.0134066054705759</v>
      </c>
      <c r="BI441" s="771">
        <v>1.0269929480113955</v>
      </c>
      <c r="BJ441" s="771">
        <v>1.040761437286448</v>
      </c>
      <c r="BK441" s="772">
        <v>1.0339188874653549</v>
      </c>
      <c r="BL441" s="772">
        <v>1.0271213244071997</v>
      </c>
      <c r="BM441" s="772">
        <v>1.034494890244499</v>
      </c>
      <c r="BN441" s="772">
        <v>1.0419213899191793</v>
      </c>
      <c r="BO441" s="772">
        <v>1.0494012034361397</v>
      </c>
      <c r="BP441" s="772">
        <v>1.0569347135282832</v>
      </c>
      <c r="BQ441" s="772">
        <v>1.0645223056761002</v>
      </c>
      <c r="BR441" s="772">
        <v>1.0704981347272684</v>
      </c>
      <c r="BS441" s="772">
        <v>1.076507509841923</v>
      </c>
      <c r="BT441" s="772">
        <v>1.0825506193350853</v>
      </c>
      <c r="BU441" s="772">
        <v>1.0886276525789067</v>
      </c>
      <c r="BV441" s="772">
        <v>1.0947388000086022</v>
      </c>
      <c r="BW441" s="771">
        <v>0</v>
      </c>
      <c r="BX441" s="771">
        <v>0</v>
      </c>
      <c r="BY441" s="771">
        <v>0</v>
      </c>
      <c r="BZ441" s="772">
        <v>0</v>
      </c>
      <c r="CA441" s="772">
        <v>0</v>
      </c>
      <c r="CB441" s="772">
        <v>0</v>
      </c>
      <c r="CC441" s="772">
        <v>0</v>
      </c>
      <c r="CD441" s="772">
        <v>0</v>
      </c>
      <c r="CE441" s="772">
        <v>0</v>
      </c>
      <c r="CF441" s="772">
        <v>0</v>
      </c>
      <c r="CG441" s="772">
        <v>0</v>
      </c>
      <c r="CH441" s="772">
        <v>0</v>
      </c>
      <c r="CI441" s="772">
        <v>0</v>
      </c>
      <c r="CJ441" s="772">
        <v>0</v>
      </c>
      <c r="CK441" s="772">
        <v>0</v>
      </c>
      <c r="CL441" s="771">
        <v>0</v>
      </c>
      <c r="CM441" s="771">
        <v>0</v>
      </c>
      <c r="CN441" s="771">
        <v>0</v>
      </c>
      <c r="CO441" s="772">
        <v>0</v>
      </c>
      <c r="CP441" s="772">
        <v>0</v>
      </c>
      <c r="CQ441" s="772">
        <v>0</v>
      </c>
      <c r="CR441" s="772">
        <v>0</v>
      </c>
      <c r="CS441" s="772">
        <v>0</v>
      </c>
      <c r="CT441" s="772">
        <v>0</v>
      </c>
      <c r="CU441" s="772">
        <v>0</v>
      </c>
      <c r="CV441" s="772">
        <v>0</v>
      </c>
      <c r="CW441" s="772">
        <v>0</v>
      </c>
      <c r="CX441" s="772">
        <v>0</v>
      </c>
      <c r="CY441" s="772">
        <v>0</v>
      </c>
      <c r="CZ441" s="772">
        <v>0</v>
      </c>
      <c r="DA441" s="773">
        <v>0</v>
      </c>
      <c r="DB441" s="773">
        <v>0</v>
      </c>
      <c r="DC441" s="773">
        <v>0</v>
      </c>
      <c r="DD441" s="774">
        <v>0</v>
      </c>
      <c r="DE441" s="774">
        <v>0</v>
      </c>
      <c r="DF441" s="774">
        <v>0</v>
      </c>
      <c r="DG441" s="774">
        <v>0</v>
      </c>
      <c r="DH441" s="774">
        <v>0</v>
      </c>
      <c r="DI441" s="774">
        <v>0</v>
      </c>
      <c r="DJ441" s="774">
        <v>0</v>
      </c>
      <c r="DK441" s="774">
        <v>0</v>
      </c>
      <c r="DL441" s="774">
        <v>0</v>
      </c>
      <c r="DM441" s="774">
        <v>0</v>
      </c>
      <c r="DN441" s="774">
        <v>0</v>
      </c>
      <c r="DO441" s="774">
        <v>0</v>
      </c>
      <c r="DP441" s="773">
        <v>0</v>
      </c>
      <c r="DQ441" s="773">
        <v>0</v>
      </c>
      <c r="DR441" s="773">
        <v>0</v>
      </c>
      <c r="DS441" s="774">
        <v>0</v>
      </c>
      <c r="DT441" s="774">
        <v>0</v>
      </c>
      <c r="DU441" s="774">
        <v>0</v>
      </c>
      <c r="DV441" s="774">
        <v>0</v>
      </c>
      <c r="DW441" s="774">
        <v>0</v>
      </c>
      <c r="DX441" s="774">
        <v>0</v>
      </c>
      <c r="DY441" s="774">
        <v>0</v>
      </c>
      <c r="DZ441" s="774">
        <v>0</v>
      </c>
      <c r="EA441" s="774">
        <v>0</v>
      </c>
      <c r="EB441" s="774">
        <v>0</v>
      </c>
      <c r="EC441" s="774">
        <v>0</v>
      </c>
      <c r="ED441" s="774">
        <v>0</v>
      </c>
    </row>
    <row r="442" spans="1:134" ht="15" x14ac:dyDescent="0.25">
      <c r="A442" s="766">
        <v>111</v>
      </c>
      <c r="B442" s="766">
        <v>117</v>
      </c>
      <c r="C442" s="766" t="s">
        <v>4113</v>
      </c>
      <c r="D442" s="2">
        <v>99712</v>
      </c>
      <c r="E442" s="2">
        <v>99712</v>
      </c>
      <c r="F442" s="767" t="s">
        <v>3676</v>
      </c>
      <c r="G442" s="114">
        <v>8</v>
      </c>
      <c r="H442" s="114">
        <v>5</v>
      </c>
      <c r="I442" s="114">
        <v>2</v>
      </c>
      <c r="J442" s="114">
        <v>3</v>
      </c>
      <c r="K442" s="114">
        <v>0</v>
      </c>
      <c r="L442" s="114">
        <v>17</v>
      </c>
      <c r="M442" s="114">
        <v>17</v>
      </c>
      <c r="N442" s="114">
        <v>0</v>
      </c>
      <c r="O442" s="114">
        <v>0</v>
      </c>
      <c r="P442" s="114">
        <v>0</v>
      </c>
      <c r="Q442" s="114">
        <v>17</v>
      </c>
      <c r="R442" s="114">
        <v>0</v>
      </c>
      <c r="S442" s="114">
        <v>1372.3529411764705</v>
      </c>
      <c r="T442" s="114">
        <v>1372.3529411764705</v>
      </c>
      <c r="U442" s="114">
        <v>0</v>
      </c>
      <c r="V442" s="114">
        <v>0</v>
      </c>
      <c r="W442" s="114">
        <v>0</v>
      </c>
      <c r="X442" s="114">
        <v>1372.3529411764705</v>
      </c>
      <c r="Y442" s="114">
        <v>0</v>
      </c>
      <c r="Z442" s="114">
        <v>5</v>
      </c>
      <c r="AA442" s="114">
        <v>0</v>
      </c>
      <c r="AB442" s="657">
        <v>0</v>
      </c>
      <c r="AC442" s="657">
        <v>0</v>
      </c>
      <c r="AD442" s="768">
        <v>5</v>
      </c>
      <c r="AE442" s="769">
        <v>0</v>
      </c>
      <c r="AF442" s="769">
        <v>2</v>
      </c>
      <c r="AG442" s="770">
        <v>2</v>
      </c>
      <c r="AH442" s="769">
        <v>0</v>
      </c>
      <c r="AI442" s="769">
        <v>0</v>
      </c>
      <c r="AJ442" s="769">
        <v>4.5455712257286907</v>
      </c>
      <c r="AK442" s="769">
        <v>4.5455712257286907</v>
      </c>
      <c r="AL442" s="769">
        <v>0</v>
      </c>
      <c r="AM442" s="769">
        <v>0</v>
      </c>
      <c r="AN442" s="769">
        <v>1.8249082207758185</v>
      </c>
      <c r="AO442" s="769">
        <v>1.8249082207758185</v>
      </c>
      <c r="AP442" s="769">
        <v>0</v>
      </c>
      <c r="AQ442" s="769">
        <v>0</v>
      </c>
      <c r="AR442" s="769">
        <v>0</v>
      </c>
      <c r="AS442" s="769">
        <v>4.132443553634527</v>
      </c>
      <c r="AT442" s="769">
        <v>4.3340877366925934</v>
      </c>
      <c r="AU442" s="769">
        <v>4.5455712257286907</v>
      </c>
      <c r="AV442" s="769">
        <v>4.7673741334872659</v>
      </c>
      <c r="AW442" s="769">
        <v>5</v>
      </c>
      <c r="AX442" s="769">
        <v>1.6651450071275817</v>
      </c>
      <c r="AY442" s="769">
        <v>1.7431972958592303</v>
      </c>
      <c r="AZ442" s="769">
        <v>1.8249082207758185</v>
      </c>
      <c r="BA442" s="769">
        <v>1.9104492774087558</v>
      </c>
      <c r="BB442" s="769">
        <v>2</v>
      </c>
      <c r="BC442" s="769">
        <v>0</v>
      </c>
      <c r="BD442" s="769">
        <v>0</v>
      </c>
      <c r="BE442" s="769">
        <v>0</v>
      </c>
      <c r="BF442" s="769">
        <v>0</v>
      </c>
      <c r="BG442" s="769">
        <v>0</v>
      </c>
      <c r="BH442" s="771">
        <v>5.0670330273528794</v>
      </c>
      <c r="BI442" s="771">
        <v>5.1349647400569776</v>
      </c>
      <c r="BJ442" s="771">
        <v>5.2038071864322397</v>
      </c>
      <c r="BK442" s="772">
        <v>5.1695944373267748</v>
      </c>
      <c r="BL442" s="772">
        <v>5.1356066220359988</v>
      </c>
      <c r="BM442" s="772">
        <v>5.1724744512224943</v>
      </c>
      <c r="BN442" s="772">
        <v>5.2096069495958961</v>
      </c>
      <c r="BO442" s="772">
        <v>5.2470060171806985</v>
      </c>
      <c r="BP442" s="772">
        <v>5.2846735676414154</v>
      </c>
      <c r="BQ442" s="772">
        <v>5.3226115283805004</v>
      </c>
      <c r="BR442" s="772">
        <v>5.3524906736363418</v>
      </c>
      <c r="BS442" s="772">
        <v>5.3825375492096148</v>
      </c>
      <c r="BT442" s="772">
        <v>5.4127530966754263</v>
      </c>
      <c r="BU442" s="772">
        <v>5.443138262894534</v>
      </c>
      <c r="BV442" s="772">
        <v>5.473694000043011</v>
      </c>
      <c r="BW442" s="771">
        <v>2.0268132109411519</v>
      </c>
      <c r="BX442" s="771">
        <v>2.053985896022791</v>
      </c>
      <c r="BY442" s="771">
        <v>2.081522874572896</v>
      </c>
      <c r="BZ442" s="772">
        <v>2.0678377749307097</v>
      </c>
      <c r="CA442" s="772">
        <v>2.0542426488143994</v>
      </c>
      <c r="CB442" s="772">
        <v>2.0689897804889981</v>
      </c>
      <c r="CC442" s="772">
        <v>2.0838427798383585</v>
      </c>
      <c r="CD442" s="772">
        <v>2.0988024068722795</v>
      </c>
      <c r="CE442" s="772">
        <v>2.1138694270565663</v>
      </c>
      <c r="CF442" s="772">
        <v>2.1290446113522004</v>
      </c>
      <c r="CG442" s="772">
        <v>2.1409962694545368</v>
      </c>
      <c r="CH442" s="772">
        <v>2.153015019683846</v>
      </c>
      <c r="CI442" s="772">
        <v>2.1651012386701707</v>
      </c>
      <c r="CJ442" s="772">
        <v>2.1772553051578134</v>
      </c>
      <c r="CK442" s="772">
        <v>2.1894776000172045</v>
      </c>
      <c r="CL442" s="771">
        <v>0</v>
      </c>
      <c r="CM442" s="771">
        <v>0</v>
      </c>
      <c r="CN442" s="771">
        <v>0</v>
      </c>
      <c r="CO442" s="772">
        <v>0</v>
      </c>
      <c r="CP442" s="772">
        <v>0</v>
      </c>
      <c r="CQ442" s="772">
        <v>0</v>
      </c>
      <c r="CR442" s="772">
        <v>0</v>
      </c>
      <c r="CS442" s="772">
        <v>0</v>
      </c>
      <c r="CT442" s="772">
        <v>0</v>
      </c>
      <c r="CU442" s="772">
        <v>0</v>
      </c>
      <c r="CV442" s="772">
        <v>0</v>
      </c>
      <c r="CW442" s="772">
        <v>0</v>
      </c>
      <c r="CX442" s="772">
        <v>0</v>
      </c>
      <c r="CY442" s="772">
        <v>0</v>
      </c>
      <c r="CZ442" s="772">
        <v>0</v>
      </c>
      <c r="DA442" s="773">
        <v>0</v>
      </c>
      <c r="DB442" s="773">
        <v>0</v>
      </c>
      <c r="DC442" s="773">
        <v>0</v>
      </c>
      <c r="DD442" s="774">
        <v>0</v>
      </c>
      <c r="DE442" s="774">
        <v>0</v>
      </c>
      <c r="DF442" s="774">
        <v>0</v>
      </c>
      <c r="DG442" s="774">
        <v>0</v>
      </c>
      <c r="DH442" s="774">
        <v>0</v>
      </c>
      <c r="DI442" s="774">
        <v>0</v>
      </c>
      <c r="DJ442" s="774">
        <v>0</v>
      </c>
      <c r="DK442" s="774">
        <v>0</v>
      </c>
      <c r="DL442" s="774">
        <v>0</v>
      </c>
      <c r="DM442" s="774">
        <v>0</v>
      </c>
      <c r="DN442" s="774">
        <v>0</v>
      </c>
      <c r="DO442" s="774">
        <v>0</v>
      </c>
      <c r="DP442" s="773">
        <v>0</v>
      </c>
      <c r="DQ442" s="773">
        <v>0</v>
      </c>
      <c r="DR442" s="773">
        <v>0</v>
      </c>
      <c r="DS442" s="774">
        <v>0</v>
      </c>
      <c r="DT442" s="774">
        <v>0</v>
      </c>
      <c r="DU442" s="774">
        <v>0</v>
      </c>
      <c r="DV442" s="774">
        <v>0</v>
      </c>
      <c r="DW442" s="774">
        <v>0</v>
      </c>
      <c r="DX442" s="774">
        <v>0</v>
      </c>
      <c r="DY442" s="774">
        <v>0</v>
      </c>
      <c r="DZ442" s="774">
        <v>0</v>
      </c>
      <c r="EA442" s="774">
        <v>0</v>
      </c>
      <c r="EB442" s="774">
        <v>0</v>
      </c>
      <c r="EC442" s="774">
        <v>0</v>
      </c>
      <c r="ED442" s="774">
        <v>0</v>
      </c>
    </row>
    <row r="443" spans="1:134" ht="15" x14ac:dyDescent="0.25">
      <c r="A443" s="766">
        <v>112</v>
      </c>
      <c r="B443" s="766">
        <v>117</v>
      </c>
      <c r="C443" s="766" t="s">
        <v>4114</v>
      </c>
      <c r="D443" s="2">
        <v>99712</v>
      </c>
      <c r="E443" s="2">
        <v>99712</v>
      </c>
      <c r="F443" s="767" t="s">
        <v>3676</v>
      </c>
      <c r="G443" s="114">
        <v>16</v>
      </c>
      <c r="H443" s="114">
        <v>10</v>
      </c>
      <c r="I443" s="114">
        <v>5</v>
      </c>
      <c r="J443" s="114">
        <v>5</v>
      </c>
      <c r="K443" s="114">
        <v>0</v>
      </c>
      <c r="L443" s="114">
        <v>27</v>
      </c>
      <c r="M443" s="114">
        <v>27</v>
      </c>
      <c r="N443" s="114">
        <v>0</v>
      </c>
      <c r="O443" s="114">
        <v>0</v>
      </c>
      <c r="P443" s="114">
        <v>0</v>
      </c>
      <c r="Q443" s="114">
        <v>27</v>
      </c>
      <c r="R443" s="114">
        <v>0</v>
      </c>
      <c r="S443" s="114">
        <v>1340.4444444444443</v>
      </c>
      <c r="T443" s="114">
        <v>1340.4444444444443</v>
      </c>
      <c r="U443" s="114">
        <v>0</v>
      </c>
      <c r="V443" s="114">
        <v>0</v>
      </c>
      <c r="W443" s="114">
        <v>0</v>
      </c>
      <c r="X443" s="114">
        <v>1340.4444444444443</v>
      </c>
      <c r="Y443" s="114">
        <v>0</v>
      </c>
      <c r="Z443" s="114">
        <v>10</v>
      </c>
      <c r="AA443" s="114">
        <v>0</v>
      </c>
      <c r="AB443" s="657">
        <v>0</v>
      </c>
      <c r="AC443" s="657">
        <v>0</v>
      </c>
      <c r="AD443" s="768">
        <v>10</v>
      </c>
      <c r="AE443" s="769">
        <v>0</v>
      </c>
      <c r="AF443" s="769">
        <v>5</v>
      </c>
      <c r="AG443" s="770">
        <v>5</v>
      </c>
      <c r="AH443" s="769">
        <v>0</v>
      </c>
      <c r="AI443" s="769">
        <v>0</v>
      </c>
      <c r="AJ443" s="769">
        <v>9.0911424514573813</v>
      </c>
      <c r="AK443" s="769">
        <v>9.0911424514573813</v>
      </c>
      <c r="AL443" s="769">
        <v>0</v>
      </c>
      <c r="AM443" s="769">
        <v>0</v>
      </c>
      <c r="AN443" s="769">
        <v>4.5622705519395463</v>
      </c>
      <c r="AO443" s="769">
        <v>4.5622705519395463</v>
      </c>
      <c r="AP443" s="769">
        <v>0</v>
      </c>
      <c r="AQ443" s="769">
        <v>0</v>
      </c>
      <c r="AR443" s="769">
        <v>0</v>
      </c>
      <c r="AS443" s="769">
        <v>8.264887107269054</v>
      </c>
      <c r="AT443" s="769">
        <v>8.6681754733851868</v>
      </c>
      <c r="AU443" s="769">
        <v>9.0911424514573813</v>
      </c>
      <c r="AV443" s="769">
        <v>9.5347482669745318</v>
      </c>
      <c r="AW443" s="769">
        <v>10</v>
      </c>
      <c r="AX443" s="769">
        <v>4.1628625178189544</v>
      </c>
      <c r="AY443" s="769">
        <v>4.3579932396480761</v>
      </c>
      <c r="AZ443" s="769">
        <v>4.5622705519395463</v>
      </c>
      <c r="BA443" s="769">
        <v>4.7761231935218893</v>
      </c>
      <c r="BB443" s="769">
        <v>5</v>
      </c>
      <c r="BC443" s="769">
        <v>0</v>
      </c>
      <c r="BD443" s="769">
        <v>0</v>
      </c>
      <c r="BE443" s="769">
        <v>0</v>
      </c>
      <c r="BF443" s="769">
        <v>0</v>
      </c>
      <c r="BG443" s="769">
        <v>0</v>
      </c>
      <c r="BH443" s="771">
        <v>10.134066054705759</v>
      </c>
      <c r="BI443" s="771">
        <v>10.269929480113955</v>
      </c>
      <c r="BJ443" s="771">
        <v>10.407614372864479</v>
      </c>
      <c r="BK443" s="772">
        <v>10.33918887465355</v>
      </c>
      <c r="BL443" s="772">
        <v>10.271213244071998</v>
      </c>
      <c r="BM443" s="772">
        <v>10.344948902444989</v>
      </c>
      <c r="BN443" s="772">
        <v>10.419213899191792</v>
      </c>
      <c r="BO443" s="772">
        <v>10.494012034361397</v>
      </c>
      <c r="BP443" s="772">
        <v>10.569347135282831</v>
      </c>
      <c r="BQ443" s="772">
        <v>10.645223056761001</v>
      </c>
      <c r="BR443" s="772">
        <v>10.704981347272684</v>
      </c>
      <c r="BS443" s="772">
        <v>10.76507509841923</v>
      </c>
      <c r="BT443" s="772">
        <v>10.825506193350853</v>
      </c>
      <c r="BU443" s="772">
        <v>10.886276525789068</v>
      </c>
      <c r="BV443" s="772">
        <v>10.947388000086022</v>
      </c>
      <c r="BW443" s="771">
        <v>5.0670330273528794</v>
      </c>
      <c r="BX443" s="771">
        <v>5.1349647400569776</v>
      </c>
      <c r="BY443" s="771">
        <v>5.2038071864322397</v>
      </c>
      <c r="BZ443" s="772">
        <v>5.1695944373267748</v>
      </c>
      <c r="CA443" s="772">
        <v>5.1356066220359988</v>
      </c>
      <c r="CB443" s="772">
        <v>5.1724744512224943</v>
      </c>
      <c r="CC443" s="772">
        <v>5.2096069495958961</v>
      </c>
      <c r="CD443" s="772">
        <v>5.2470060171806985</v>
      </c>
      <c r="CE443" s="772">
        <v>5.2846735676414154</v>
      </c>
      <c r="CF443" s="772">
        <v>5.3226115283805004</v>
      </c>
      <c r="CG443" s="772">
        <v>5.3524906736363418</v>
      </c>
      <c r="CH443" s="772">
        <v>5.3825375492096148</v>
      </c>
      <c r="CI443" s="772">
        <v>5.4127530966754263</v>
      </c>
      <c r="CJ443" s="772">
        <v>5.443138262894534</v>
      </c>
      <c r="CK443" s="772">
        <v>5.473694000043011</v>
      </c>
      <c r="CL443" s="771">
        <v>0</v>
      </c>
      <c r="CM443" s="771">
        <v>0</v>
      </c>
      <c r="CN443" s="771">
        <v>0</v>
      </c>
      <c r="CO443" s="772">
        <v>0</v>
      </c>
      <c r="CP443" s="772">
        <v>0</v>
      </c>
      <c r="CQ443" s="772">
        <v>0</v>
      </c>
      <c r="CR443" s="772">
        <v>0</v>
      </c>
      <c r="CS443" s="772">
        <v>0</v>
      </c>
      <c r="CT443" s="772">
        <v>0</v>
      </c>
      <c r="CU443" s="772">
        <v>0</v>
      </c>
      <c r="CV443" s="772">
        <v>0</v>
      </c>
      <c r="CW443" s="772">
        <v>0</v>
      </c>
      <c r="CX443" s="772">
        <v>0</v>
      </c>
      <c r="CY443" s="772">
        <v>0</v>
      </c>
      <c r="CZ443" s="772">
        <v>0</v>
      </c>
      <c r="DA443" s="773">
        <v>0</v>
      </c>
      <c r="DB443" s="773">
        <v>0</v>
      </c>
      <c r="DC443" s="773">
        <v>0</v>
      </c>
      <c r="DD443" s="774">
        <v>0</v>
      </c>
      <c r="DE443" s="774">
        <v>0</v>
      </c>
      <c r="DF443" s="774">
        <v>0</v>
      </c>
      <c r="DG443" s="774">
        <v>0</v>
      </c>
      <c r="DH443" s="774">
        <v>0</v>
      </c>
      <c r="DI443" s="774">
        <v>0</v>
      </c>
      <c r="DJ443" s="774">
        <v>0</v>
      </c>
      <c r="DK443" s="774">
        <v>0</v>
      </c>
      <c r="DL443" s="774">
        <v>0</v>
      </c>
      <c r="DM443" s="774">
        <v>0</v>
      </c>
      <c r="DN443" s="774">
        <v>0</v>
      </c>
      <c r="DO443" s="774">
        <v>0</v>
      </c>
      <c r="DP443" s="773">
        <v>0</v>
      </c>
      <c r="DQ443" s="773">
        <v>0</v>
      </c>
      <c r="DR443" s="773">
        <v>0</v>
      </c>
      <c r="DS443" s="774">
        <v>0</v>
      </c>
      <c r="DT443" s="774">
        <v>0</v>
      </c>
      <c r="DU443" s="774">
        <v>0</v>
      </c>
      <c r="DV443" s="774">
        <v>0</v>
      </c>
      <c r="DW443" s="774">
        <v>0</v>
      </c>
      <c r="DX443" s="774">
        <v>0</v>
      </c>
      <c r="DY443" s="774">
        <v>0</v>
      </c>
      <c r="DZ443" s="774">
        <v>0</v>
      </c>
      <c r="EA443" s="774">
        <v>0</v>
      </c>
      <c r="EB443" s="774">
        <v>0</v>
      </c>
      <c r="EC443" s="774">
        <v>0</v>
      </c>
      <c r="ED443" s="774">
        <v>0</v>
      </c>
    </row>
    <row r="444" spans="1:134" ht="15" x14ac:dyDescent="0.25">
      <c r="A444" s="766">
        <v>117</v>
      </c>
      <c r="B444" s="766">
        <v>117</v>
      </c>
      <c r="C444" s="766" t="s">
        <v>4115</v>
      </c>
      <c r="D444" s="2">
        <v>99712</v>
      </c>
      <c r="E444" s="2">
        <v>99712</v>
      </c>
      <c r="F444" s="767" t="s">
        <v>3676</v>
      </c>
      <c r="G444" s="114">
        <v>14</v>
      </c>
      <c r="H444" s="114">
        <v>10</v>
      </c>
      <c r="I444" s="114">
        <v>7</v>
      </c>
      <c r="J444" s="114">
        <v>3</v>
      </c>
      <c r="K444" s="114">
        <v>0</v>
      </c>
      <c r="L444" s="114">
        <v>1</v>
      </c>
      <c r="M444" s="114">
        <v>1</v>
      </c>
      <c r="N444" s="114">
        <v>2</v>
      </c>
      <c r="O444" s="114">
        <v>0</v>
      </c>
      <c r="P444" s="114">
        <v>0</v>
      </c>
      <c r="Q444" s="114">
        <v>3</v>
      </c>
      <c r="R444" s="114">
        <v>0</v>
      </c>
      <c r="S444" s="114">
        <v>576</v>
      </c>
      <c r="T444" s="114">
        <v>576</v>
      </c>
      <c r="U444" s="114">
        <v>11680</v>
      </c>
      <c r="V444" s="114">
        <v>0</v>
      </c>
      <c r="W444" s="114">
        <v>0</v>
      </c>
      <c r="X444" s="114">
        <v>7978.666666666667</v>
      </c>
      <c r="Y444" s="114">
        <v>0</v>
      </c>
      <c r="Z444" s="114">
        <v>10</v>
      </c>
      <c r="AA444" s="114">
        <v>0</v>
      </c>
      <c r="AB444" s="657">
        <v>2</v>
      </c>
      <c r="AC444" s="657">
        <v>0</v>
      </c>
      <c r="AD444" s="768">
        <v>12</v>
      </c>
      <c r="AE444" s="769">
        <v>0</v>
      </c>
      <c r="AF444" s="769">
        <v>7</v>
      </c>
      <c r="AG444" s="770">
        <v>7</v>
      </c>
      <c r="AH444" s="769">
        <v>0</v>
      </c>
      <c r="AI444" s="769">
        <v>0</v>
      </c>
      <c r="AJ444" s="769">
        <v>9.0911424514573813</v>
      </c>
      <c r="AK444" s="769">
        <v>9.0911424514573813</v>
      </c>
      <c r="AL444" s="769">
        <v>0</v>
      </c>
      <c r="AM444" s="769">
        <v>0</v>
      </c>
      <c r="AN444" s="769">
        <v>6.387178772715365</v>
      </c>
      <c r="AO444" s="769">
        <v>6.387178772715365</v>
      </c>
      <c r="AP444" s="769">
        <v>0</v>
      </c>
      <c r="AQ444" s="769">
        <v>1.8596827016276773</v>
      </c>
      <c r="AR444" s="769">
        <v>0</v>
      </c>
      <c r="AS444" s="769">
        <v>8.264887107269054</v>
      </c>
      <c r="AT444" s="769">
        <v>8.6681754733851868</v>
      </c>
      <c r="AU444" s="769">
        <v>9.0911424514573813</v>
      </c>
      <c r="AV444" s="769">
        <v>9.5347482669745318</v>
      </c>
      <c r="AW444" s="769">
        <v>10</v>
      </c>
      <c r="AX444" s="769">
        <v>5.8280075249465364</v>
      </c>
      <c r="AY444" s="769">
        <v>6.1011905355073059</v>
      </c>
      <c r="AZ444" s="769">
        <v>6.387178772715365</v>
      </c>
      <c r="BA444" s="769">
        <v>6.6865724709306456</v>
      </c>
      <c r="BB444" s="769">
        <v>7</v>
      </c>
      <c r="BC444" s="769">
        <v>1.7292098753666085</v>
      </c>
      <c r="BD444" s="769">
        <v>1.7932600739165065</v>
      </c>
      <c r="BE444" s="769">
        <v>1.8596827016276773</v>
      </c>
      <c r="BF444" s="769">
        <v>1.9285656336395076</v>
      </c>
      <c r="BG444" s="769">
        <v>2</v>
      </c>
      <c r="BH444" s="771">
        <v>10.134066054705759</v>
      </c>
      <c r="BI444" s="771">
        <v>10.269929480113955</v>
      </c>
      <c r="BJ444" s="771">
        <v>10.407614372864479</v>
      </c>
      <c r="BK444" s="772">
        <v>10.33918887465355</v>
      </c>
      <c r="BL444" s="772">
        <v>10.271213244071998</v>
      </c>
      <c r="BM444" s="772">
        <v>10.344948902444989</v>
      </c>
      <c r="BN444" s="772">
        <v>10.419213899191792</v>
      </c>
      <c r="BO444" s="772">
        <v>10.494012034361397</v>
      </c>
      <c r="BP444" s="772">
        <v>10.569347135282831</v>
      </c>
      <c r="BQ444" s="772">
        <v>10.645223056761001</v>
      </c>
      <c r="BR444" s="772">
        <v>10.704981347272684</v>
      </c>
      <c r="BS444" s="772">
        <v>10.76507509841923</v>
      </c>
      <c r="BT444" s="772">
        <v>10.825506193350853</v>
      </c>
      <c r="BU444" s="772">
        <v>10.886276525789068</v>
      </c>
      <c r="BV444" s="772">
        <v>10.947388000086022</v>
      </c>
      <c r="BW444" s="771">
        <v>7.0938462382940317</v>
      </c>
      <c r="BX444" s="771">
        <v>7.1889506360797686</v>
      </c>
      <c r="BY444" s="771">
        <v>7.2853300610051361</v>
      </c>
      <c r="BZ444" s="772">
        <v>7.2374322122574846</v>
      </c>
      <c r="CA444" s="772">
        <v>7.1898492708503987</v>
      </c>
      <c r="CB444" s="772">
        <v>7.2414642317114923</v>
      </c>
      <c r="CC444" s="772">
        <v>7.2934497294342551</v>
      </c>
      <c r="CD444" s="772">
        <v>7.3458084240529784</v>
      </c>
      <c r="CE444" s="772">
        <v>7.3985429946979817</v>
      </c>
      <c r="CF444" s="772">
        <v>7.4516561397327017</v>
      </c>
      <c r="CG444" s="772">
        <v>7.493486943090879</v>
      </c>
      <c r="CH444" s="772">
        <v>7.5355525688934613</v>
      </c>
      <c r="CI444" s="772">
        <v>7.5778543353455978</v>
      </c>
      <c r="CJ444" s="772">
        <v>7.6203935680523474</v>
      </c>
      <c r="CK444" s="772">
        <v>7.6631716000602168</v>
      </c>
      <c r="CL444" s="771">
        <v>2.0268132109411519</v>
      </c>
      <c r="CM444" s="771">
        <v>2.053985896022791</v>
      </c>
      <c r="CN444" s="771">
        <v>2.081522874572896</v>
      </c>
      <c r="CO444" s="772">
        <v>2.0678377749307097</v>
      </c>
      <c r="CP444" s="772">
        <v>2.0542426488143994</v>
      </c>
      <c r="CQ444" s="772">
        <v>2.0689897804889981</v>
      </c>
      <c r="CR444" s="772">
        <v>2.0838427798383585</v>
      </c>
      <c r="CS444" s="772">
        <v>2.0988024068722795</v>
      </c>
      <c r="CT444" s="772">
        <v>2.1138694270565663</v>
      </c>
      <c r="CU444" s="772">
        <v>2.1290446113522004</v>
      </c>
      <c r="CV444" s="772">
        <v>2.1409962694545368</v>
      </c>
      <c r="CW444" s="772">
        <v>2.153015019683846</v>
      </c>
      <c r="CX444" s="772">
        <v>2.1651012386701707</v>
      </c>
      <c r="CY444" s="772">
        <v>2.1772553051578134</v>
      </c>
      <c r="CZ444" s="772">
        <v>2.1894776000172045</v>
      </c>
      <c r="DA444" s="773">
        <v>0</v>
      </c>
      <c r="DB444" s="773">
        <v>0</v>
      </c>
      <c r="DC444" s="773">
        <v>0</v>
      </c>
      <c r="DD444" s="774">
        <v>0</v>
      </c>
      <c r="DE444" s="774">
        <v>0</v>
      </c>
      <c r="DF444" s="774">
        <v>0</v>
      </c>
      <c r="DG444" s="774">
        <v>0</v>
      </c>
      <c r="DH444" s="774">
        <v>0</v>
      </c>
      <c r="DI444" s="774">
        <v>0</v>
      </c>
      <c r="DJ444" s="774">
        <v>0</v>
      </c>
      <c r="DK444" s="774">
        <v>0</v>
      </c>
      <c r="DL444" s="774">
        <v>0</v>
      </c>
      <c r="DM444" s="774">
        <v>0</v>
      </c>
      <c r="DN444" s="774">
        <v>0</v>
      </c>
      <c r="DO444" s="774">
        <v>0</v>
      </c>
      <c r="DP444" s="773">
        <v>0</v>
      </c>
      <c r="DQ444" s="773">
        <v>0</v>
      </c>
      <c r="DR444" s="773">
        <v>0</v>
      </c>
      <c r="DS444" s="774">
        <v>0</v>
      </c>
      <c r="DT444" s="774">
        <v>0</v>
      </c>
      <c r="DU444" s="774">
        <v>0</v>
      </c>
      <c r="DV444" s="774">
        <v>0</v>
      </c>
      <c r="DW444" s="774">
        <v>0</v>
      </c>
      <c r="DX444" s="774">
        <v>0</v>
      </c>
      <c r="DY444" s="774">
        <v>0</v>
      </c>
      <c r="DZ444" s="774">
        <v>0</v>
      </c>
      <c r="EA444" s="774">
        <v>0</v>
      </c>
      <c r="EB444" s="774">
        <v>0</v>
      </c>
      <c r="EC444" s="774">
        <v>0</v>
      </c>
      <c r="ED444" s="774">
        <v>0</v>
      </c>
    </row>
    <row r="445" spans="1:134" ht="15" x14ac:dyDescent="0.25">
      <c r="A445" s="766">
        <v>111</v>
      </c>
      <c r="B445" s="766">
        <v>118</v>
      </c>
      <c r="C445" s="766" t="s">
        <v>4116</v>
      </c>
      <c r="D445" s="2">
        <v>99712</v>
      </c>
      <c r="E445" s="2">
        <v>99712</v>
      </c>
      <c r="F445" s="767" t="s">
        <v>3676</v>
      </c>
      <c r="G445" s="114">
        <v>0</v>
      </c>
      <c r="H445" s="114">
        <v>1</v>
      </c>
      <c r="I445" s="114">
        <v>0</v>
      </c>
      <c r="J445" s="114">
        <v>1</v>
      </c>
      <c r="K445" s="114">
        <v>0</v>
      </c>
      <c r="L445" s="114">
        <v>0</v>
      </c>
      <c r="M445" s="114">
        <v>0</v>
      </c>
      <c r="N445" s="114">
        <v>0</v>
      </c>
      <c r="O445" s="114">
        <v>0</v>
      </c>
      <c r="P445" s="114">
        <v>0</v>
      </c>
      <c r="Q445" s="114">
        <v>0</v>
      </c>
      <c r="R445" s="114">
        <v>0</v>
      </c>
      <c r="S445" s="114">
        <v>834.49503068156923</v>
      </c>
      <c r="T445" s="114">
        <v>834.49503068156923</v>
      </c>
      <c r="U445" s="114">
        <v>1408.3846153846155</v>
      </c>
      <c r="V445" s="114">
        <v>0</v>
      </c>
      <c r="W445" s="114">
        <v>0</v>
      </c>
      <c r="X445" s="114">
        <v>1365.173957061457</v>
      </c>
      <c r="Y445" s="114">
        <v>2.2912335412335411E-2</v>
      </c>
      <c r="Z445" s="114">
        <v>0.97578828828828834</v>
      </c>
      <c r="AA445" s="114">
        <v>1.2993762993762994E-3</v>
      </c>
      <c r="AB445" s="657">
        <v>0</v>
      </c>
      <c r="AC445" s="657">
        <v>0</v>
      </c>
      <c r="AD445" s="768">
        <v>1</v>
      </c>
      <c r="AE445" s="769">
        <v>0</v>
      </c>
      <c r="AF445" s="769">
        <v>0</v>
      </c>
      <c r="AG445" s="770">
        <v>0</v>
      </c>
      <c r="AH445" s="769">
        <v>0</v>
      </c>
      <c r="AI445" s="769">
        <v>2.0829930512911272E-2</v>
      </c>
      <c r="AJ445" s="769">
        <v>0.8871030331292592</v>
      </c>
      <c r="AK445" s="769">
        <v>0.90793296364217047</v>
      </c>
      <c r="AL445" s="769">
        <v>1.1812815035677471E-3</v>
      </c>
      <c r="AM445" s="769">
        <v>0</v>
      </c>
      <c r="AN445" s="769">
        <v>0</v>
      </c>
      <c r="AO445" s="769">
        <v>0</v>
      </c>
      <c r="AP445" s="769">
        <v>0</v>
      </c>
      <c r="AQ445" s="769">
        <v>0</v>
      </c>
      <c r="AR445" s="769">
        <v>0</v>
      </c>
      <c r="AS445" s="769">
        <v>0.82541479088448488</v>
      </c>
      <c r="AT445" s="769">
        <v>0.86569122516162356</v>
      </c>
      <c r="AU445" s="769">
        <v>0.90793296364217047</v>
      </c>
      <c r="AV445" s="769">
        <v>0.95223590410559056</v>
      </c>
      <c r="AW445" s="769">
        <v>0.99870062370062374</v>
      </c>
      <c r="AX445" s="769">
        <v>0</v>
      </c>
      <c r="AY445" s="769">
        <v>0</v>
      </c>
      <c r="AZ445" s="769">
        <v>0</v>
      </c>
      <c r="BA445" s="769">
        <v>0</v>
      </c>
      <c r="BB445" s="769">
        <v>0</v>
      </c>
      <c r="BC445" s="769">
        <v>0</v>
      </c>
      <c r="BD445" s="769">
        <v>0</v>
      </c>
      <c r="BE445" s="769">
        <v>0</v>
      </c>
      <c r="BF445" s="769">
        <v>0</v>
      </c>
      <c r="BG445" s="769">
        <v>0</v>
      </c>
      <c r="BH445" s="771">
        <v>1.0120898089457961</v>
      </c>
      <c r="BI445" s="771">
        <v>1.0256584977151229</v>
      </c>
      <c r="BJ445" s="771">
        <v>1.0394090965415332</v>
      </c>
      <c r="BK445" s="772">
        <v>1.0325754377675052</v>
      </c>
      <c r="BL445" s="772">
        <v>1.0257867073016811</v>
      </c>
      <c r="BM445" s="772">
        <v>1.0331506921022895</v>
      </c>
      <c r="BN445" s="772">
        <v>1.040567541959305</v>
      </c>
      <c r="BO445" s="772">
        <v>1.0480376363838579</v>
      </c>
      <c r="BP445" s="772">
        <v>1.0555613576115364</v>
      </c>
      <c r="BQ445" s="772">
        <v>1.0631390906219473</v>
      </c>
      <c r="BR445" s="772">
        <v>1.0691071548224773</v>
      </c>
      <c r="BS445" s="772">
        <v>1.0751087214975339</v>
      </c>
      <c r="BT445" s="772">
        <v>1.0811439787174464</v>
      </c>
      <c r="BU445" s="772">
        <v>1.0872131156083003</v>
      </c>
      <c r="BV445" s="772">
        <v>1.0933163223578635</v>
      </c>
      <c r="BW445" s="771">
        <v>0</v>
      </c>
      <c r="BX445" s="771">
        <v>0</v>
      </c>
      <c r="BY445" s="771">
        <v>0</v>
      </c>
      <c r="BZ445" s="772">
        <v>0</v>
      </c>
      <c r="CA445" s="772">
        <v>0</v>
      </c>
      <c r="CB445" s="772">
        <v>0</v>
      </c>
      <c r="CC445" s="772">
        <v>0</v>
      </c>
      <c r="CD445" s="772">
        <v>0</v>
      </c>
      <c r="CE445" s="772">
        <v>0</v>
      </c>
      <c r="CF445" s="772">
        <v>0</v>
      </c>
      <c r="CG445" s="772">
        <v>0</v>
      </c>
      <c r="CH445" s="772">
        <v>0</v>
      </c>
      <c r="CI445" s="772">
        <v>0</v>
      </c>
      <c r="CJ445" s="772">
        <v>0</v>
      </c>
      <c r="CK445" s="772">
        <v>0</v>
      </c>
      <c r="CL445" s="771">
        <v>0</v>
      </c>
      <c r="CM445" s="771">
        <v>0</v>
      </c>
      <c r="CN445" s="771">
        <v>0</v>
      </c>
      <c r="CO445" s="772">
        <v>0</v>
      </c>
      <c r="CP445" s="772">
        <v>0</v>
      </c>
      <c r="CQ445" s="772">
        <v>0</v>
      </c>
      <c r="CR445" s="772">
        <v>0</v>
      </c>
      <c r="CS445" s="772">
        <v>0</v>
      </c>
      <c r="CT445" s="772">
        <v>0</v>
      </c>
      <c r="CU445" s="772">
        <v>0</v>
      </c>
      <c r="CV445" s="772">
        <v>0</v>
      </c>
      <c r="CW445" s="772">
        <v>0</v>
      </c>
      <c r="CX445" s="772">
        <v>0</v>
      </c>
      <c r="CY445" s="772">
        <v>0</v>
      </c>
      <c r="CZ445" s="772">
        <v>0</v>
      </c>
      <c r="DA445" s="773">
        <v>1.3167965247798544E-3</v>
      </c>
      <c r="DB445" s="773">
        <v>1.3344502962726033E-3</v>
      </c>
      <c r="DC445" s="773">
        <v>1.3523407449148232E-3</v>
      </c>
      <c r="DD445" s="774">
        <v>1.3434496978499935E-3</v>
      </c>
      <c r="DE445" s="774">
        <v>1.3346171055187107E-3</v>
      </c>
      <c r="DF445" s="774">
        <v>1.3441981422095879E-3</v>
      </c>
      <c r="DG445" s="774">
        <v>1.3538479598741934E-3</v>
      </c>
      <c r="DH445" s="774">
        <v>1.3635670522818863E-3</v>
      </c>
      <c r="DI445" s="774">
        <v>1.3733559167467295E-3</v>
      </c>
      <c r="DJ445" s="774">
        <v>1.3832150541529368E-3</v>
      </c>
      <c r="DK445" s="774">
        <v>1.3909799047911492E-3</v>
      </c>
      <c r="DL445" s="774">
        <v>1.3987883443891929E-3</v>
      </c>
      <c r="DM445" s="774">
        <v>1.4066406176391441E-3</v>
      </c>
      <c r="DN445" s="774">
        <v>1.4145369706066876E-3</v>
      </c>
      <c r="DO445" s="774">
        <v>1.4224776507388284E-3</v>
      </c>
      <c r="DP445" s="773">
        <v>0</v>
      </c>
      <c r="DQ445" s="773">
        <v>0</v>
      </c>
      <c r="DR445" s="773">
        <v>0</v>
      </c>
      <c r="DS445" s="774">
        <v>0</v>
      </c>
      <c r="DT445" s="774">
        <v>0</v>
      </c>
      <c r="DU445" s="774">
        <v>0</v>
      </c>
      <c r="DV445" s="774">
        <v>0</v>
      </c>
      <c r="DW445" s="774">
        <v>0</v>
      </c>
      <c r="DX445" s="774">
        <v>0</v>
      </c>
      <c r="DY445" s="774">
        <v>0</v>
      </c>
      <c r="DZ445" s="774">
        <v>0</v>
      </c>
      <c r="EA445" s="774">
        <v>0</v>
      </c>
      <c r="EB445" s="774">
        <v>0</v>
      </c>
      <c r="EC445" s="774">
        <v>0</v>
      </c>
      <c r="ED445" s="774">
        <v>0</v>
      </c>
    </row>
    <row r="446" spans="1:134" ht="15" x14ac:dyDescent="0.25">
      <c r="A446" s="766">
        <v>119</v>
      </c>
      <c r="B446" s="766">
        <v>119</v>
      </c>
      <c r="C446" s="766" t="s">
        <v>4117</v>
      </c>
      <c r="D446" s="2">
        <v>99712</v>
      </c>
      <c r="E446" s="2">
        <v>99712</v>
      </c>
      <c r="F446" s="767" t="s">
        <v>3676</v>
      </c>
      <c r="G446" s="114">
        <v>0</v>
      </c>
      <c r="H446" s="114">
        <v>1</v>
      </c>
      <c r="I446" s="114">
        <v>0</v>
      </c>
      <c r="J446" s="114">
        <v>1</v>
      </c>
      <c r="K446" s="114">
        <v>0</v>
      </c>
      <c r="L446" s="114">
        <v>6</v>
      </c>
      <c r="M446" s="114">
        <v>6</v>
      </c>
      <c r="N446" s="114">
        <v>0</v>
      </c>
      <c r="O446" s="114">
        <v>0</v>
      </c>
      <c r="P446" s="114">
        <v>0</v>
      </c>
      <c r="Q446" s="114">
        <v>6</v>
      </c>
      <c r="R446" s="114">
        <v>0</v>
      </c>
      <c r="S446" s="114">
        <v>1134.8333333333333</v>
      </c>
      <c r="T446" s="114">
        <v>1134.8333333333333</v>
      </c>
      <c r="U446" s="114">
        <v>0</v>
      </c>
      <c r="V446" s="114">
        <v>0</v>
      </c>
      <c r="W446" s="114">
        <v>0</v>
      </c>
      <c r="X446" s="114">
        <v>1134.8333333333333</v>
      </c>
      <c r="Y446" s="114">
        <v>0</v>
      </c>
      <c r="Z446" s="114">
        <v>1</v>
      </c>
      <c r="AA446" s="114">
        <v>0</v>
      </c>
      <c r="AB446" s="657">
        <v>0</v>
      </c>
      <c r="AC446" s="657">
        <v>0</v>
      </c>
      <c r="AD446" s="768">
        <v>1</v>
      </c>
      <c r="AE446" s="769">
        <v>0</v>
      </c>
      <c r="AF446" s="769">
        <v>0</v>
      </c>
      <c r="AG446" s="770">
        <v>0</v>
      </c>
      <c r="AH446" s="769">
        <v>0</v>
      </c>
      <c r="AI446" s="769">
        <v>0</v>
      </c>
      <c r="AJ446" s="769">
        <v>0.90911424514573824</v>
      </c>
      <c r="AK446" s="769">
        <v>0.90911424514573824</v>
      </c>
      <c r="AL446" s="769">
        <v>0</v>
      </c>
      <c r="AM446" s="769">
        <v>0</v>
      </c>
      <c r="AN446" s="769">
        <v>0</v>
      </c>
      <c r="AO446" s="769">
        <v>0</v>
      </c>
      <c r="AP446" s="769">
        <v>0</v>
      </c>
      <c r="AQ446" s="769">
        <v>0</v>
      </c>
      <c r="AR446" s="769">
        <v>0</v>
      </c>
      <c r="AS446" s="769">
        <v>0.82648871072690544</v>
      </c>
      <c r="AT446" s="769">
        <v>0.86681754733851879</v>
      </c>
      <c r="AU446" s="769">
        <v>0.90911424514573824</v>
      </c>
      <c r="AV446" s="769">
        <v>0.95347482669745309</v>
      </c>
      <c r="AW446" s="769">
        <v>1</v>
      </c>
      <c r="AX446" s="769">
        <v>0</v>
      </c>
      <c r="AY446" s="769">
        <v>0</v>
      </c>
      <c r="AZ446" s="769">
        <v>0</v>
      </c>
      <c r="BA446" s="769">
        <v>0</v>
      </c>
      <c r="BB446" s="769">
        <v>0</v>
      </c>
      <c r="BC446" s="769">
        <v>0</v>
      </c>
      <c r="BD446" s="769">
        <v>0</v>
      </c>
      <c r="BE446" s="769">
        <v>0</v>
      </c>
      <c r="BF446" s="769">
        <v>0</v>
      </c>
      <c r="BG446" s="769">
        <v>0</v>
      </c>
      <c r="BH446" s="771">
        <v>1.0134066054705759</v>
      </c>
      <c r="BI446" s="771">
        <v>1.0269929480113955</v>
      </c>
      <c r="BJ446" s="771">
        <v>1.040761437286448</v>
      </c>
      <c r="BK446" s="772">
        <v>1.0339188874653549</v>
      </c>
      <c r="BL446" s="772">
        <v>1.0271213244071997</v>
      </c>
      <c r="BM446" s="772">
        <v>1.034494890244499</v>
      </c>
      <c r="BN446" s="772">
        <v>1.0419213899191793</v>
      </c>
      <c r="BO446" s="772">
        <v>1.0494012034361397</v>
      </c>
      <c r="BP446" s="772">
        <v>1.0569347135282832</v>
      </c>
      <c r="BQ446" s="772">
        <v>1.0645223056761002</v>
      </c>
      <c r="BR446" s="772">
        <v>1.0704981347272684</v>
      </c>
      <c r="BS446" s="772">
        <v>1.076507509841923</v>
      </c>
      <c r="BT446" s="772">
        <v>1.0825506193350853</v>
      </c>
      <c r="BU446" s="772">
        <v>1.0886276525789067</v>
      </c>
      <c r="BV446" s="772">
        <v>1.0947388000086022</v>
      </c>
      <c r="BW446" s="771">
        <v>0</v>
      </c>
      <c r="BX446" s="771">
        <v>0</v>
      </c>
      <c r="BY446" s="771">
        <v>0</v>
      </c>
      <c r="BZ446" s="772">
        <v>0</v>
      </c>
      <c r="CA446" s="772">
        <v>0</v>
      </c>
      <c r="CB446" s="772">
        <v>0</v>
      </c>
      <c r="CC446" s="772">
        <v>0</v>
      </c>
      <c r="CD446" s="772">
        <v>0</v>
      </c>
      <c r="CE446" s="772">
        <v>0</v>
      </c>
      <c r="CF446" s="772">
        <v>0</v>
      </c>
      <c r="CG446" s="772">
        <v>0</v>
      </c>
      <c r="CH446" s="772">
        <v>0</v>
      </c>
      <c r="CI446" s="772">
        <v>0</v>
      </c>
      <c r="CJ446" s="772">
        <v>0</v>
      </c>
      <c r="CK446" s="772">
        <v>0</v>
      </c>
      <c r="CL446" s="771">
        <v>0</v>
      </c>
      <c r="CM446" s="771">
        <v>0</v>
      </c>
      <c r="CN446" s="771">
        <v>0</v>
      </c>
      <c r="CO446" s="772">
        <v>0</v>
      </c>
      <c r="CP446" s="772">
        <v>0</v>
      </c>
      <c r="CQ446" s="772">
        <v>0</v>
      </c>
      <c r="CR446" s="772">
        <v>0</v>
      </c>
      <c r="CS446" s="772">
        <v>0</v>
      </c>
      <c r="CT446" s="772">
        <v>0</v>
      </c>
      <c r="CU446" s="772">
        <v>0</v>
      </c>
      <c r="CV446" s="772">
        <v>0</v>
      </c>
      <c r="CW446" s="772">
        <v>0</v>
      </c>
      <c r="CX446" s="772">
        <v>0</v>
      </c>
      <c r="CY446" s="772">
        <v>0</v>
      </c>
      <c r="CZ446" s="772">
        <v>0</v>
      </c>
      <c r="DA446" s="773">
        <v>0</v>
      </c>
      <c r="DB446" s="773">
        <v>0</v>
      </c>
      <c r="DC446" s="773">
        <v>0</v>
      </c>
      <c r="DD446" s="774">
        <v>0</v>
      </c>
      <c r="DE446" s="774">
        <v>0</v>
      </c>
      <c r="DF446" s="774">
        <v>0</v>
      </c>
      <c r="DG446" s="774">
        <v>0</v>
      </c>
      <c r="DH446" s="774">
        <v>0</v>
      </c>
      <c r="DI446" s="774">
        <v>0</v>
      </c>
      <c r="DJ446" s="774">
        <v>0</v>
      </c>
      <c r="DK446" s="774">
        <v>0</v>
      </c>
      <c r="DL446" s="774">
        <v>0</v>
      </c>
      <c r="DM446" s="774">
        <v>0</v>
      </c>
      <c r="DN446" s="774">
        <v>0</v>
      </c>
      <c r="DO446" s="774">
        <v>0</v>
      </c>
      <c r="DP446" s="773">
        <v>0</v>
      </c>
      <c r="DQ446" s="773">
        <v>0</v>
      </c>
      <c r="DR446" s="773">
        <v>0</v>
      </c>
      <c r="DS446" s="774">
        <v>0</v>
      </c>
      <c r="DT446" s="774">
        <v>0</v>
      </c>
      <c r="DU446" s="774">
        <v>0</v>
      </c>
      <c r="DV446" s="774">
        <v>0</v>
      </c>
      <c r="DW446" s="774">
        <v>0</v>
      </c>
      <c r="DX446" s="774">
        <v>0</v>
      </c>
      <c r="DY446" s="774">
        <v>0</v>
      </c>
      <c r="DZ446" s="774">
        <v>0</v>
      </c>
      <c r="EA446" s="774">
        <v>0</v>
      </c>
      <c r="EB446" s="774">
        <v>0</v>
      </c>
      <c r="EC446" s="774">
        <v>0</v>
      </c>
      <c r="ED446" s="774">
        <v>0</v>
      </c>
    </row>
    <row r="447" spans="1:134" ht="15" x14ac:dyDescent="0.25">
      <c r="A447" s="766">
        <v>112</v>
      </c>
      <c r="B447" s="766">
        <v>120</v>
      </c>
      <c r="C447" s="766" t="s">
        <v>4118</v>
      </c>
      <c r="D447" s="2">
        <v>99712</v>
      </c>
      <c r="E447" s="2">
        <v>99712</v>
      </c>
      <c r="F447" s="767" t="s">
        <v>3676</v>
      </c>
      <c r="G447" s="114">
        <v>218</v>
      </c>
      <c r="H447" s="114">
        <v>141</v>
      </c>
      <c r="I447" s="114">
        <v>96</v>
      </c>
      <c r="J447" s="114">
        <v>45</v>
      </c>
      <c r="K447" s="114">
        <v>0</v>
      </c>
      <c r="L447" s="114">
        <v>0</v>
      </c>
      <c r="M447" s="114">
        <v>0</v>
      </c>
      <c r="N447" s="114">
        <v>0</v>
      </c>
      <c r="O447" s="114">
        <v>0</v>
      </c>
      <c r="P447" s="114">
        <v>0</v>
      </c>
      <c r="Q447" s="114">
        <v>0</v>
      </c>
      <c r="R447" s="114">
        <v>0</v>
      </c>
      <c r="S447" s="114">
        <v>834.49503068156923</v>
      </c>
      <c r="T447" s="114">
        <v>834.49503068156923</v>
      </c>
      <c r="U447" s="114">
        <v>1408.3846153846155</v>
      </c>
      <c r="V447" s="114">
        <v>0</v>
      </c>
      <c r="W447" s="114">
        <v>0</v>
      </c>
      <c r="X447" s="114">
        <v>1365.173957061457</v>
      </c>
      <c r="Y447" s="114">
        <v>3.2306392931392933</v>
      </c>
      <c r="Z447" s="114">
        <v>137.58614864864865</v>
      </c>
      <c r="AA447" s="114">
        <v>0.18321205821205822</v>
      </c>
      <c r="AB447" s="657">
        <v>0</v>
      </c>
      <c r="AC447" s="657">
        <v>0</v>
      </c>
      <c r="AD447" s="768">
        <v>141</v>
      </c>
      <c r="AE447" s="769">
        <v>2.1995841995841996</v>
      </c>
      <c r="AF447" s="769">
        <v>93.675675675675677</v>
      </c>
      <c r="AG447" s="770">
        <v>95.875259875259871</v>
      </c>
      <c r="AH447" s="769">
        <v>0.12474012474012475</v>
      </c>
      <c r="AI447" s="769">
        <v>2.9370202023204901</v>
      </c>
      <c r="AJ447" s="769">
        <v>125.08152767122554</v>
      </c>
      <c r="AK447" s="769">
        <v>128.01854787354603</v>
      </c>
      <c r="AL447" s="769">
        <v>0.16656069200305235</v>
      </c>
      <c r="AM447" s="769">
        <v>2.0070196440549024</v>
      </c>
      <c r="AN447" s="769">
        <v>85.474755313634958</v>
      </c>
      <c r="AO447" s="769">
        <v>87.481774957689865</v>
      </c>
      <c r="AP447" s="769">
        <v>0.11381963954942735</v>
      </c>
      <c r="AQ447" s="769">
        <v>0</v>
      </c>
      <c r="AR447" s="769">
        <v>0</v>
      </c>
      <c r="AS447" s="769">
        <v>116.38348551471235</v>
      </c>
      <c r="AT447" s="769">
        <v>122.06246274778891</v>
      </c>
      <c r="AU447" s="769">
        <v>128.01854787354603</v>
      </c>
      <c r="AV447" s="769">
        <v>134.26526247888825</v>
      </c>
      <c r="AW447" s="769">
        <v>140.81678794178794</v>
      </c>
      <c r="AX447" s="769">
        <v>79.823105144174178</v>
      </c>
      <c r="AY447" s="769">
        <v>83.564746877176987</v>
      </c>
      <c r="AZ447" s="769">
        <v>87.481774957689851</v>
      </c>
      <c r="BA447" s="769">
        <v>91.582410475033456</v>
      </c>
      <c r="BB447" s="769">
        <v>95.875259875259871</v>
      </c>
      <c r="BC447" s="769">
        <v>0</v>
      </c>
      <c r="BD447" s="769">
        <v>0</v>
      </c>
      <c r="BE447" s="769">
        <v>0</v>
      </c>
      <c r="BF447" s="769">
        <v>0</v>
      </c>
      <c r="BG447" s="769">
        <v>0</v>
      </c>
      <c r="BH447" s="771">
        <v>142.70466306135725</v>
      </c>
      <c r="BI447" s="771">
        <v>144.61784817783231</v>
      </c>
      <c r="BJ447" s="771">
        <v>146.55668261235618</v>
      </c>
      <c r="BK447" s="772">
        <v>145.59313672521822</v>
      </c>
      <c r="BL447" s="772">
        <v>144.63592572953704</v>
      </c>
      <c r="BM447" s="772">
        <v>145.67424758642281</v>
      </c>
      <c r="BN447" s="772">
        <v>146.72002341626202</v>
      </c>
      <c r="BO447" s="772">
        <v>147.77330673012398</v>
      </c>
      <c r="BP447" s="772">
        <v>148.83415142322664</v>
      </c>
      <c r="BQ447" s="772">
        <v>149.90261177769457</v>
      </c>
      <c r="BR447" s="772">
        <v>150.74410882996929</v>
      </c>
      <c r="BS447" s="772">
        <v>151.59032973115228</v>
      </c>
      <c r="BT447" s="772">
        <v>152.44130099915992</v>
      </c>
      <c r="BU447" s="772">
        <v>153.29704930077031</v>
      </c>
      <c r="BV447" s="772">
        <v>154.15760145245875</v>
      </c>
      <c r="BW447" s="771">
        <v>97.160621658796416</v>
      </c>
      <c r="BX447" s="771">
        <v>98.463215780651794</v>
      </c>
      <c r="BY447" s="771">
        <v>99.783273267987184</v>
      </c>
      <c r="BZ447" s="772">
        <v>99.127242025680474</v>
      </c>
      <c r="CA447" s="772">
        <v>98.475523900961392</v>
      </c>
      <c r="CB447" s="772">
        <v>99.18246644181977</v>
      </c>
      <c r="CC447" s="772">
        <v>99.894484028093288</v>
      </c>
      <c r="CD447" s="772">
        <v>100.61161309285035</v>
      </c>
      <c r="CE447" s="772">
        <v>101.33389033070749</v>
      </c>
      <c r="CF447" s="772">
        <v>102.06135269970693</v>
      </c>
      <c r="CG447" s="772">
        <v>102.63428686295782</v>
      </c>
      <c r="CH447" s="772">
        <v>103.21043726376324</v>
      </c>
      <c r="CI447" s="772">
        <v>103.78982195687483</v>
      </c>
      <c r="CJ447" s="772">
        <v>104.3724590983968</v>
      </c>
      <c r="CK447" s="772">
        <v>104.9583669463549</v>
      </c>
      <c r="CL447" s="771">
        <v>0</v>
      </c>
      <c r="CM447" s="771">
        <v>0</v>
      </c>
      <c r="CN447" s="771">
        <v>0</v>
      </c>
      <c r="CO447" s="772">
        <v>0</v>
      </c>
      <c r="CP447" s="772">
        <v>0</v>
      </c>
      <c r="CQ447" s="772">
        <v>0</v>
      </c>
      <c r="CR447" s="772">
        <v>0</v>
      </c>
      <c r="CS447" s="772">
        <v>0</v>
      </c>
      <c r="CT447" s="772">
        <v>0</v>
      </c>
      <c r="CU447" s="772">
        <v>0</v>
      </c>
      <c r="CV447" s="772">
        <v>0</v>
      </c>
      <c r="CW447" s="772">
        <v>0</v>
      </c>
      <c r="CX447" s="772">
        <v>0</v>
      </c>
      <c r="CY447" s="772">
        <v>0</v>
      </c>
      <c r="CZ447" s="772">
        <v>0</v>
      </c>
      <c r="DA447" s="773">
        <v>0.18566830999395947</v>
      </c>
      <c r="DB447" s="773">
        <v>0.18815749177443708</v>
      </c>
      <c r="DC447" s="773">
        <v>0.19068004503299008</v>
      </c>
      <c r="DD447" s="774">
        <v>0.18942640739684907</v>
      </c>
      <c r="DE447" s="774">
        <v>0.18818101187813821</v>
      </c>
      <c r="DF447" s="774">
        <v>0.18953193805155191</v>
      </c>
      <c r="DG447" s="774">
        <v>0.19089256234226126</v>
      </c>
      <c r="DH447" s="774">
        <v>0.19226295437174598</v>
      </c>
      <c r="DI447" s="774">
        <v>0.19364318426128885</v>
      </c>
      <c r="DJ447" s="774">
        <v>0.19503332263556408</v>
      </c>
      <c r="DK447" s="774">
        <v>0.19612816657555202</v>
      </c>
      <c r="DL447" s="774">
        <v>0.19722915655887621</v>
      </c>
      <c r="DM447" s="774">
        <v>0.19833632708711932</v>
      </c>
      <c r="DN447" s="774">
        <v>0.19944971285554294</v>
      </c>
      <c r="DO447" s="774">
        <v>0.20056934875417479</v>
      </c>
      <c r="DP447" s="773">
        <v>0</v>
      </c>
      <c r="DQ447" s="773">
        <v>0</v>
      </c>
      <c r="DR447" s="773">
        <v>0</v>
      </c>
      <c r="DS447" s="774">
        <v>0</v>
      </c>
      <c r="DT447" s="774">
        <v>0</v>
      </c>
      <c r="DU447" s="774">
        <v>0</v>
      </c>
      <c r="DV447" s="774">
        <v>0</v>
      </c>
      <c r="DW447" s="774">
        <v>0</v>
      </c>
      <c r="DX447" s="774">
        <v>0</v>
      </c>
      <c r="DY447" s="774">
        <v>0</v>
      </c>
      <c r="DZ447" s="774">
        <v>0</v>
      </c>
      <c r="EA447" s="774">
        <v>0</v>
      </c>
      <c r="EB447" s="774">
        <v>0</v>
      </c>
      <c r="EC447" s="774">
        <v>0</v>
      </c>
      <c r="ED447" s="774">
        <v>0</v>
      </c>
    </row>
    <row r="448" spans="1:134" ht="15" x14ac:dyDescent="0.25">
      <c r="A448" s="766">
        <v>122</v>
      </c>
      <c r="B448" s="766">
        <v>120</v>
      </c>
      <c r="C448" s="766" t="s">
        <v>4119</v>
      </c>
      <c r="D448" s="2">
        <v>99712</v>
      </c>
      <c r="E448" s="2">
        <v>99712</v>
      </c>
      <c r="F448" s="767" t="s">
        <v>3676</v>
      </c>
      <c r="G448" s="114">
        <v>3</v>
      </c>
      <c r="H448" s="114">
        <v>1</v>
      </c>
      <c r="I448" s="114">
        <v>1</v>
      </c>
      <c r="J448" s="114">
        <v>0</v>
      </c>
      <c r="K448" s="114">
        <v>0</v>
      </c>
      <c r="L448" s="114">
        <v>1</v>
      </c>
      <c r="M448" s="114">
        <v>1</v>
      </c>
      <c r="N448" s="114">
        <v>0</v>
      </c>
      <c r="O448" s="114">
        <v>0</v>
      </c>
      <c r="P448" s="114">
        <v>0</v>
      </c>
      <c r="Q448" s="114">
        <v>1</v>
      </c>
      <c r="R448" s="114">
        <v>0</v>
      </c>
      <c r="S448" s="114">
        <v>2080</v>
      </c>
      <c r="T448" s="114">
        <v>2080</v>
      </c>
      <c r="U448" s="114">
        <v>0</v>
      </c>
      <c r="V448" s="114">
        <v>0</v>
      </c>
      <c r="W448" s="114">
        <v>0</v>
      </c>
      <c r="X448" s="114">
        <v>2080</v>
      </c>
      <c r="Y448" s="114">
        <v>0</v>
      </c>
      <c r="Z448" s="114">
        <v>1</v>
      </c>
      <c r="AA448" s="114">
        <v>0</v>
      </c>
      <c r="AB448" s="657">
        <v>0</v>
      </c>
      <c r="AC448" s="657">
        <v>0</v>
      </c>
      <c r="AD448" s="768">
        <v>1</v>
      </c>
      <c r="AE448" s="769">
        <v>0</v>
      </c>
      <c r="AF448" s="769">
        <v>1</v>
      </c>
      <c r="AG448" s="770">
        <v>1</v>
      </c>
      <c r="AH448" s="769">
        <v>0</v>
      </c>
      <c r="AI448" s="769">
        <v>0</v>
      </c>
      <c r="AJ448" s="769">
        <v>0.90911424514573824</v>
      </c>
      <c r="AK448" s="769">
        <v>0.90911424514573824</v>
      </c>
      <c r="AL448" s="769">
        <v>0</v>
      </c>
      <c r="AM448" s="769">
        <v>0</v>
      </c>
      <c r="AN448" s="769">
        <v>0.91245411038790925</v>
      </c>
      <c r="AO448" s="769">
        <v>0.91245411038790925</v>
      </c>
      <c r="AP448" s="769">
        <v>0</v>
      </c>
      <c r="AQ448" s="769">
        <v>0</v>
      </c>
      <c r="AR448" s="769">
        <v>0</v>
      </c>
      <c r="AS448" s="769">
        <v>0.82648871072690544</v>
      </c>
      <c r="AT448" s="769">
        <v>0.86681754733851879</v>
      </c>
      <c r="AU448" s="769">
        <v>0.90911424514573824</v>
      </c>
      <c r="AV448" s="769">
        <v>0.95347482669745309</v>
      </c>
      <c r="AW448" s="769">
        <v>1</v>
      </c>
      <c r="AX448" s="769">
        <v>0.83257250356379087</v>
      </c>
      <c r="AY448" s="769">
        <v>0.87159864792961517</v>
      </c>
      <c r="AZ448" s="769">
        <v>0.91245411038790925</v>
      </c>
      <c r="BA448" s="769">
        <v>0.9552246387043779</v>
      </c>
      <c r="BB448" s="769">
        <v>1</v>
      </c>
      <c r="BC448" s="769">
        <v>0</v>
      </c>
      <c r="BD448" s="769">
        <v>0</v>
      </c>
      <c r="BE448" s="769">
        <v>0</v>
      </c>
      <c r="BF448" s="769">
        <v>0</v>
      </c>
      <c r="BG448" s="769">
        <v>0</v>
      </c>
      <c r="BH448" s="771">
        <v>1.0134066054705759</v>
      </c>
      <c r="BI448" s="771">
        <v>1.0269929480113955</v>
      </c>
      <c r="BJ448" s="771">
        <v>1.040761437286448</v>
      </c>
      <c r="BK448" s="772">
        <v>1.0339188874653549</v>
      </c>
      <c r="BL448" s="772">
        <v>1.0271213244071997</v>
      </c>
      <c r="BM448" s="772">
        <v>1.034494890244499</v>
      </c>
      <c r="BN448" s="772">
        <v>1.0419213899191793</v>
      </c>
      <c r="BO448" s="772">
        <v>1.0494012034361397</v>
      </c>
      <c r="BP448" s="772">
        <v>1.0569347135282832</v>
      </c>
      <c r="BQ448" s="772">
        <v>1.0645223056761002</v>
      </c>
      <c r="BR448" s="772">
        <v>1.0704981347272684</v>
      </c>
      <c r="BS448" s="772">
        <v>1.076507509841923</v>
      </c>
      <c r="BT448" s="772">
        <v>1.0825506193350853</v>
      </c>
      <c r="BU448" s="772">
        <v>1.0886276525789067</v>
      </c>
      <c r="BV448" s="772">
        <v>1.0947388000086022</v>
      </c>
      <c r="BW448" s="771">
        <v>1.0134066054705759</v>
      </c>
      <c r="BX448" s="771">
        <v>1.0269929480113955</v>
      </c>
      <c r="BY448" s="771">
        <v>1.040761437286448</v>
      </c>
      <c r="BZ448" s="772">
        <v>1.0339188874653549</v>
      </c>
      <c r="CA448" s="772">
        <v>1.0271213244071997</v>
      </c>
      <c r="CB448" s="772">
        <v>1.034494890244499</v>
      </c>
      <c r="CC448" s="772">
        <v>1.0419213899191793</v>
      </c>
      <c r="CD448" s="772">
        <v>1.0494012034361397</v>
      </c>
      <c r="CE448" s="772">
        <v>1.0569347135282832</v>
      </c>
      <c r="CF448" s="772">
        <v>1.0645223056761002</v>
      </c>
      <c r="CG448" s="772">
        <v>1.0704981347272684</v>
      </c>
      <c r="CH448" s="772">
        <v>1.076507509841923</v>
      </c>
      <c r="CI448" s="772">
        <v>1.0825506193350853</v>
      </c>
      <c r="CJ448" s="772">
        <v>1.0886276525789067</v>
      </c>
      <c r="CK448" s="772">
        <v>1.0947388000086022</v>
      </c>
      <c r="CL448" s="771">
        <v>0</v>
      </c>
      <c r="CM448" s="771">
        <v>0</v>
      </c>
      <c r="CN448" s="771">
        <v>0</v>
      </c>
      <c r="CO448" s="772">
        <v>0</v>
      </c>
      <c r="CP448" s="772">
        <v>0</v>
      </c>
      <c r="CQ448" s="772">
        <v>0</v>
      </c>
      <c r="CR448" s="772">
        <v>0</v>
      </c>
      <c r="CS448" s="772">
        <v>0</v>
      </c>
      <c r="CT448" s="772">
        <v>0</v>
      </c>
      <c r="CU448" s="772">
        <v>0</v>
      </c>
      <c r="CV448" s="772">
        <v>0</v>
      </c>
      <c r="CW448" s="772">
        <v>0</v>
      </c>
      <c r="CX448" s="772">
        <v>0</v>
      </c>
      <c r="CY448" s="772">
        <v>0</v>
      </c>
      <c r="CZ448" s="772">
        <v>0</v>
      </c>
      <c r="DA448" s="773">
        <v>0</v>
      </c>
      <c r="DB448" s="773">
        <v>0</v>
      </c>
      <c r="DC448" s="773">
        <v>0</v>
      </c>
      <c r="DD448" s="774">
        <v>0</v>
      </c>
      <c r="DE448" s="774">
        <v>0</v>
      </c>
      <c r="DF448" s="774">
        <v>0</v>
      </c>
      <c r="DG448" s="774">
        <v>0</v>
      </c>
      <c r="DH448" s="774">
        <v>0</v>
      </c>
      <c r="DI448" s="774">
        <v>0</v>
      </c>
      <c r="DJ448" s="774">
        <v>0</v>
      </c>
      <c r="DK448" s="774">
        <v>0</v>
      </c>
      <c r="DL448" s="774">
        <v>0</v>
      </c>
      <c r="DM448" s="774">
        <v>0</v>
      </c>
      <c r="DN448" s="774">
        <v>0</v>
      </c>
      <c r="DO448" s="774">
        <v>0</v>
      </c>
      <c r="DP448" s="773">
        <v>0</v>
      </c>
      <c r="DQ448" s="773">
        <v>0</v>
      </c>
      <c r="DR448" s="773">
        <v>0</v>
      </c>
      <c r="DS448" s="774">
        <v>0</v>
      </c>
      <c r="DT448" s="774">
        <v>0</v>
      </c>
      <c r="DU448" s="774">
        <v>0</v>
      </c>
      <c r="DV448" s="774">
        <v>0</v>
      </c>
      <c r="DW448" s="774">
        <v>0</v>
      </c>
      <c r="DX448" s="774">
        <v>0</v>
      </c>
      <c r="DY448" s="774">
        <v>0</v>
      </c>
      <c r="DZ448" s="774">
        <v>0</v>
      </c>
      <c r="EA448" s="774">
        <v>0</v>
      </c>
      <c r="EB448" s="774">
        <v>0</v>
      </c>
      <c r="EC448" s="774">
        <v>0</v>
      </c>
      <c r="ED448" s="774">
        <v>0</v>
      </c>
    </row>
    <row r="449" spans="1:135" ht="15" x14ac:dyDescent="0.25">
      <c r="A449" s="766">
        <v>138</v>
      </c>
      <c r="B449" s="766">
        <v>121</v>
      </c>
      <c r="C449" s="766" t="s">
        <v>4120</v>
      </c>
      <c r="D449" s="2">
        <v>99712</v>
      </c>
      <c r="E449" s="2">
        <v>99712</v>
      </c>
      <c r="F449" s="767" t="s">
        <v>3676</v>
      </c>
      <c r="G449" s="114">
        <v>28</v>
      </c>
      <c r="H449" s="114">
        <v>29</v>
      </c>
      <c r="I449" s="114">
        <v>12</v>
      </c>
      <c r="J449" s="114">
        <v>17</v>
      </c>
      <c r="K449" s="114">
        <v>0</v>
      </c>
      <c r="L449" s="114">
        <v>0</v>
      </c>
      <c r="M449" s="114">
        <v>0</v>
      </c>
      <c r="N449" s="114">
        <v>0</v>
      </c>
      <c r="O449" s="114">
        <v>0</v>
      </c>
      <c r="P449" s="114">
        <v>0</v>
      </c>
      <c r="Q449" s="114">
        <v>0</v>
      </c>
      <c r="R449" s="114">
        <v>0</v>
      </c>
      <c r="S449" s="114">
        <v>834.49503068156923</v>
      </c>
      <c r="T449" s="114">
        <v>834.49503068156923</v>
      </c>
      <c r="U449" s="114">
        <v>1408.3846153846155</v>
      </c>
      <c r="V449" s="114">
        <v>0</v>
      </c>
      <c r="W449" s="114">
        <v>0</v>
      </c>
      <c r="X449" s="114">
        <v>1365.173957061457</v>
      </c>
      <c r="Y449" s="114">
        <v>0.66445772695772698</v>
      </c>
      <c r="Z449" s="114">
        <v>28.29786036036036</v>
      </c>
      <c r="AA449" s="114">
        <v>3.7681912681912684E-2</v>
      </c>
      <c r="AB449" s="657">
        <v>0</v>
      </c>
      <c r="AC449" s="657">
        <v>0</v>
      </c>
      <c r="AD449" s="768">
        <v>29</v>
      </c>
      <c r="AE449" s="769">
        <v>0.27494802494802495</v>
      </c>
      <c r="AF449" s="769">
        <v>11.70945945945946</v>
      </c>
      <c r="AG449" s="770">
        <v>11.984407484407484</v>
      </c>
      <c r="AH449" s="769">
        <v>1.5592515592515595E-2</v>
      </c>
      <c r="AI449" s="769">
        <v>0.60406798487442703</v>
      </c>
      <c r="AJ449" s="769">
        <v>25.725987960748515</v>
      </c>
      <c r="AK449" s="769">
        <v>26.330055945622941</v>
      </c>
      <c r="AL449" s="769">
        <v>3.4257163603464667E-2</v>
      </c>
      <c r="AM449" s="769">
        <v>0.2508774555068628</v>
      </c>
      <c r="AN449" s="769">
        <v>10.68434441420437</v>
      </c>
      <c r="AO449" s="769">
        <v>10.935221869711233</v>
      </c>
      <c r="AP449" s="769">
        <v>1.4227454943678421E-2</v>
      </c>
      <c r="AQ449" s="769">
        <v>0</v>
      </c>
      <c r="AR449" s="769">
        <v>0</v>
      </c>
      <c r="AS449" s="769">
        <v>23.937028935650062</v>
      </c>
      <c r="AT449" s="769">
        <v>25.105045529687086</v>
      </c>
      <c r="AU449" s="769">
        <v>26.330055945622945</v>
      </c>
      <c r="AV449" s="769">
        <v>27.614841219062125</v>
      </c>
      <c r="AW449" s="769">
        <v>28.962318087318089</v>
      </c>
      <c r="AX449" s="769">
        <v>9.9778881430217723</v>
      </c>
      <c r="AY449" s="769">
        <v>10.445593359647123</v>
      </c>
      <c r="AZ449" s="769">
        <v>10.935221869711231</v>
      </c>
      <c r="BA449" s="769">
        <v>11.447801309379182</v>
      </c>
      <c r="BB449" s="769">
        <v>11.984407484407484</v>
      </c>
      <c r="BC449" s="769">
        <v>0</v>
      </c>
      <c r="BD449" s="769">
        <v>0</v>
      </c>
      <c r="BE449" s="769">
        <v>0</v>
      </c>
      <c r="BF449" s="769">
        <v>0</v>
      </c>
      <c r="BG449" s="769">
        <v>0</v>
      </c>
      <c r="BH449" s="771">
        <v>29.350604459428087</v>
      </c>
      <c r="BI449" s="771">
        <v>29.744096433738566</v>
      </c>
      <c r="BJ449" s="771">
        <v>30.142863799704465</v>
      </c>
      <c r="BK449" s="772">
        <v>29.944687695257649</v>
      </c>
      <c r="BL449" s="772">
        <v>29.747814511748754</v>
      </c>
      <c r="BM449" s="772">
        <v>29.961370070966392</v>
      </c>
      <c r="BN449" s="772">
        <v>30.176458716819848</v>
      </c>
      <c r="BO449" s="772">
        <v>30.393091455131881</v>
      </c>
      <c r="BP449" s="772">
        <v>30.611279370734557</v>
      </c>
      <c r="BQ449" s="772">
        <v>30.831033628036472</v>
      </c>
      <c r="BR449" s="772">
        <v>31.004107489851844</v>
      </c>
      <c r="BS449" s="772">
        <v>31.178152923428481</v>
      </c>
      <c r="BT449" s="772">
        <v>31.353175382805944</v>
      </c>
      <c r="BU449" s="772">
        <v>31.529180352640704</v>
      </c>
      <c r="BV449" s="772">
        <v>31.706173348378044</v>
      </c>
      <c r="BW449" s="771">
        <v>12.145077707349552</v>
      </c>
      <c r="BX449" s="771">
        <v>12.307901972581474</v>
      </c>
      <c r="BY449" s="771">
        <v>12.472909158498398</v>
      </c>
      <c r="BZ449" s="772">
        <v>12.390905253210059</v>
      </c>
      <c r="CA449" s="772">
        <v>12.309440487620174</v>
      </c>
      <c r="CB449" s="772">
        <v>12.397808305227471</v>
      </c>
      <c r="CC449" s="772">
        <v>12.486810503511661</v>
      </c>
      <c r="CD449" s="772">
        <v>12.576451636606294</v>
      </c>
      <c r="CE449" s="772">
        <v>12.666736291338436</v>
      </c>
      <c r="CF449" s="772">
        <v>12.757669087463366</v>
      </c>
      <c r="CG449" s="772">
        <v>12.829285857869728</v>
      </c>
      <c r="CH449" s="772">
        <v>12.901304657970405</v>
      </c>
      <c r="CI449" s="772">
        <v>12.973727744609354</v>
      </c>
      <c r="CJ449" s="772">
        <v>13.0465573872996</v>
      </c>
      <c r="CK449" s="772">
        <v>13.119795868294363</v>
      </c>
      <c r="CL449" s="771">
        <v>0</v>
      </c>
      <c r="CM449" s="771">
        <v>0</v>
      </c>
      <c r="CN449" s="771">
        <v>0</v>
      </c>
      <c r="CO449" s="772">
        <v>0</v>
      </c>
      <c r="CP449" s="772">
        <v>0</v>
      </c>
      <c r="CQ449" s="772">
        <v>0</v>
      </c>
      <c r="CR449" s="772">
        <v>0</v>
      </c>
      <c r="CS449" s="772">
        <v>0</v>
      </c>
      <c r="CT449" s="772">
        <v>0</v>
      </c>
      <c r="CU449" s="772">
        <v>0</v>
      </c>
      <c r="CV449" s="772">
        <v>0</v>
      </c>
      <c r="CW449" s="772">
        <v>0</v>
      </c>
      <c r="CX449" s="772">
        <v>0</v>
      </c>
      <c r="CY449" s="772">
        <v>0</v>
      </c>
      <c r="CZ449" s="772">
        <v>0</v>
      </c>
      <c r="DA449" s="773">
        <v>3.818709921861578E-2</v>
      </c>
      <c r="DB449" s="773">
        <v>3.8699058591905498E-2</v>
      </c>
      <c r="DC449" s="773">
        <v>3.9217881602529876E-2</v>
      </c>
      <c r="DD449" s="774">
        <v>3.896004123764981E-2</v>
      </c>
      <c r="DE449" s="774">
        <v>3.8703896060042611E-2</v>
      </c>
      <c r="DF449" s="774">
        <v>3.8981746124078051E-2</v>
      </c>
      <c r="DG449" s="774">
        <v>3.9261590836351612E-2</v>
      </c>
      <c r="DH449" s="774">
        <v>3.9543444516174704E-2</v>
      </c>
      <c r="DI449" s="774">
        <v>3.9827321585655155E-2</v>
      </c>
      <c r="DJ449" s="774">
        <v>4.0113236570435168E-2</v>
      </c>
      <c r="DK449" s="774">
        <v>4.0338417238943325E-2</v>
      </c>
      <c r="DL449" s="774">
        <v>4.05648619872866E-2</v>
      </c>
      <c r="DM449" s="774">
        <v>4.0792577911535184E-2</v>
      </c>
      <c r="DN449" s="774">
        <v>4.1021572147593943E-2</v>
      </c>
      <c r="DO449" s="774">
        <v>4.1251851871426021E-2</v>
      </c>
      <c r="DP449" s="773">
        <v>0</v>
      </c>
      <c r="DQ449" s="773">
        <v>0</v>
      </c>
      <c r="DR449" s="773">
        <v>0</v>
      </c>
      <c r="DS449" s="774">
        <v>0</v>
      </c>
      <c r="DT449" s="774">
        <v>0</v>
      </c>
      <c r="DU449" s="774">
        <v>0</v>
      </c>
      <c r="DV449" s="774">
        <v>0</v>
      </c>
      <c r="DW449" s="774">
        <v>0</v>
      </c>
      <c r="DX449" s="774">
        <v>0</v>
      </c>
      <c r="DY449" s="774">
        <v>0</v>
      </c>
      <c r="DZ449" s="774">
        <v>0</v>
      </c>
      <c r="EA449" s="774">
        <v>0</v>
      </c>
      <c r="EB449" s="774">
        <v>0</v>
      </c>
      <c r="EC449" s="774">
        <v>0</v>
      </c>
      <c r="ED449" s="774">
        <v>0</v>
      </c>
    </row>
    <row r="450" spans="1:135" ht="15" x14ac:dyDescent="0.25">
      <c r="A450" s="766">
        <v>160</v>
      </c>
      <c r="B450" s="766">
        <v>121</v>
      </c>
      <c r="C450" s="766" t="s">
        <v>4121</v>
      </c>
      <c r="D450" s="2">
        <v>99712</v>
      </c>
      <c r="E450" s="2">
        <v>99712</v>
      </c>
      <c r="F450" s="767" t="s">
        <v>3676</v>
      </c>
      <c r="G450" s="114">
        <v>8</v>
      </c>
      <c r="H450" s="114">
        <v>13</v>
      </c>
      <c r="I450" s="114">
        <v>5</v>
      </c>
      <c r="J450" s="114">
        <v>8</v>
      </c>
      <c r="K450" s="114">
        <v>0</v>
      </c>
      <c r="L450" s="114">
        <v>0</v>
      </c>
      <c r="M450" s="114">
        <v>0</v>
      </c>
      <c r="N450" s="114">
        <v>0</v>
      </c>
      <c r="O450" s="114">
        <v>0</v>
      </c>
      <c r="P450" s="114">
        <v>0</v>
      </c>
      <c r="Q450" s="114">
        <v>0</v>
      </c>
      <c r="R450" s="114">
        <v>0</v>
      </c>
      <c r="S450" s="114">
        <v>834.49503068156923</v>
      </c>
      <c r="T450" s="114">
        <v>834.49503068156923</v>
      </c>
      <c r="U450" s="114">
        <v>1408.3846153846155</v>
      </c>
      <c r="V450" s="114">
        <v>0</v>
      </c>
      <c r="W450" s="114">
        <v>0</v>
      </c>
      <c r="X450" s="114">
        <v>1365.173957061457</v>
      </c>
      <c r="Y450" s="114">
        <v>0.29786036036036034</v>
      </c>
      <c r="Z450" s="114">
        <v>12.685247747747749</v>
      </c>
      <c r="AA450" s="114">
        <v>1.6891891891891893E-2</v>
      </c>
      <c r="AB450" s="657">
        <v>0</v>
      </c>
      <c r="AC450" s="657">
        <v>0</v>
      </c>
      <c r="AD450" s="768">
        <v>13</v>
      </c>
      <c r="AE450" s="769">
        <v>0.11456167706167705</v>
      </c>
      <c r="AF450" s="769">
        <v>4.8789414414414418</v>
      </c>
      <c r="AG450" s="770">
        <v>4.9935031185031189</v>
      </c>
      <c r="AH450" s="769">
        <v>6.4968814968814964E-3</v>
      </c>
      <c r="AI450" s="769">
        <v>0.27078909666784656</v>
      </c>
      <c r="AJ450" s="769">
        <v>11.53233943068037</v>
      </c>
      <c r="AK450" s="769">
        <v>11.803128527348216</v>
      </c>
      <c r="AL450" s="769">
        <v>1.5356659546380713E-2</v>
      </c>
      <c r="AM450" s="769">
        <v>0.10453227312785948</v>
      </c>
      <c r="AN450" s="769">
        <v>4.4518101725851542</v>
      </c>
      <c r="AO450" s="769">
        <v>4.5563424457130139</v>
      </c>
      <c r="AP450" s="769">
        <v>5.9281062265326744E-3</v>
      </c>
      <c r="AQ450" s="769">
        <v>0</v>
      </c>
      <c r="AR450" s="769">
        <v>0</v>
      </c>
      <c r="AS450" s="769">
        <v>10.730392281498304</v>
      </c>
      <c r="AT450" s="769">
        <v>11.253985927101107</v>
      </c>
      <c r="AU450" s="769">
        <v>11.803128527348218</v>
      </c>
      <c r="AV450" s="769">
        <v>12.379066753372678</v>
      </c>
      <c r="AW450" s="769">
        <v>12.983108108108109</v>
      </c>
      <c r="AX450" s="769">
        <v>4.1574533929257385</v>
      </c>
      <c r="AY450" s="769">
        <v>4.352330566519635</v>
      </c>
      <c r="AZ450" s="769">
        <v>4.5563424457130139</v>
      </c>
      <c r="BA450" s="769">
        <v>4.7699172122413263</v>
      </c>
      <c r="BB450" s="769">
        <v>4.9935031185031189</v>
      </c>
      <c r="BC450" s="769">
        <v>0</v>
      </c>
      <c r="BD450" s="769">
        <v>0</v>
      </c>
      <c r="BE450" s="769">
        <v>0</v>
      </c>
      <c r="BF450" s="769">
        <v>0</v>
      </c>
      <c r="BG450" s="769">
        <v>0</v>
      </c>
      <c r="BH450" s="771">
        <v>13.157167516295349</v>
      </c>
      <c r="BI450" s="771">
        <v>13.333560470296598</v>
      </c>
      <c r="BJ450" s="771">
        <v>13.512318255039931</v>
      </c>
      <c r="BK450" s="772">
        <v>13.423480690977565</v>
      </c>
      <c r="BL450" s="772">
        <v>13.335227194921854</v>
      </c>
      <c r="BM450" s="772">
        <v>13.430958997329761</v>
      </c>
      <c r="BN450" s="772">
        <v>13.527378045470966</v>
      </c>
      <c r="BO450" s="772">
        <v>13.624489272990152</v>
      </c>
      <c r="BP450" s="772">
        <v>13.722297648949972</v>
      </c>
      <c r="BQ450" s="772">
        <v>13.820808178085313</v>
      </c>
      <c r="BR450" s="772">
        <v>13.898393012692203</v>
      </c>
      <c r="BS450" s="772">
        <v>13.976413379467939</v>
      </c>
      <c r="BT450" s="772">
        <v>14.054871723326801</v>
      </c>
      <c r="BU450" s="772">
        <v>14.1337705029079</v>
      </c>
      <c r="BV450" s="772">
        <v>14.213112190652225</v>
      </c>
      <c r="BW450" s="771">
        <v>5.0604490447289807</v>
      </c>
      <c r="BX450" s="771">
        <v>5.1282924885756147</v>
      </c>
      <c r="BY450" s="771">
        <v>5.197045482707666</v>
      </c>
      <c r="BZ450" s="772">
        <v>5.1628771888375251</v>
      </c>
      <c r="CA450" s="772">
        <v>5.1289335365084057</v>
      </c>
      <c r="CB450" s="772">
        <v>5.1657534605114472</v>
      </c>
      <c r="CC450" s="772">
        <v>5.2028377097965253</v>
      </c>
      <c r="CD450" s="772">
        <v>5.2401881819192893</v>
      </c>
      <c r="CE450" s="772">
        <v>5.2778067880576822</v>
      </c>
      <c r="CF450" s="772">
        <v>5.3156954531097362</v>
      </c>
      <c r="CG450" s="772">
        <v>5.3455357741123866</v>
      </c>
      <c r="CH450" s="772">
        <v>5.3755436074876695</v>
      </c>
      <c r="CI450" s="772">
        <v>5.4057198935872313</v>
      </c>
      <c r="CJ450" s="772">
        <v>5.436065578041501</v>
      </c>
      <c r="CK450" s="772">
        <v>5.4665816117893176</v>
      </c>
      <c r="CL450" s="771">
        <v>0</v>
      </c>
      <c r="CM450" s="771">
        <v>0</v>
      </c>
      <c r="CN450" s="771">
        <v>0</v>
      </c>
      <c r="CO450" s="772">
        <v>0</v>
      </c>
      <c r="CP450" s="772">
        <v>0</v>
      </c>
      <c r="CQ450" s="772">
        <v>0</v>
      </c>
      <c r="CR450" s="772">
        <v>0</v>
      </c>
      <c r="CS450" s="772">
        <v>0</v>
      </c>
      <c r="CT450" s="772">
        <v>0</v>
      </c>
      <c r="CU450" s="772">
        <v>0</v>
      </c>
      <c r="CV450" s="772">
        <v>0</v>
      </c>
      <c r="CW450" s="772">
        <v>0</v>
      </c>
      <c r="CX450" s="772">
        <v>0</v>
      </c>
      <c r="CY450" s="772">
        <v>0</v>
      </c>
      <c r="CZ450" s="772">
        <v>0</v>
      </c>
      <c r="DA450" s="773">
        <v>1.7118354822138106E-2</v>
      </c>
      <c r="DB450" s="773">
        <v>1.7347853851543846E-2</v>
      </c>
      <c r="DC450" s="773">
        <v>1.7580429683892704E-2</v>
      </c>
      <c r="DD450" s="774">
        <v>1.7464846072049917E-2</v>
      </c>
      <c r="DE450" s="774">
        <v>1.7350022371743243E-2</v>
      </c>
      <c r="DF450" s="774">
        <v>1.7474575848724645E-2</v>
      </c>
      <c r="DG450" s="774">
        <v>1.7600023478364517E-2</v>
      </c>
      <c r="DH450" s="774">
        <v>1.7726371679664524E-2</v>
      </c>
      <c r="DI450" s="774">
        <v>1.7853626917707487E-2</v>
      </c>
      <c r="DJ450" s="774">
        <v>1.7981795703988182E-2</v>
      </c>
      <c r="DK450" s="774">
        <v>1.8082738762284941E-2</v>
      </c>
      <c r="DL450" s="774">
        <v>1.8184248477059513E-2</v>
      </c>
      <c r="DM450" s="774">
        <v>1.8286328029308876E-2</v>
      </c>
      <c r="DN450" s="774">
        <v>1.8388980617886942E-2</v>
      </c>
      <c r="DO450" s="774">
        <v>1.849220945960477E-2</v>
      </c>
      <c r="DP450" s="773">
        <v>0</v>
      </c>
      <c r="DQ450" s="773">
        <v>0</v>
      </c>
      <c r="DR450" s="773">
        <v>0</v>
      </c>
      <c r="DS450" s="774">
        <v>0</v>
      </c>
      <c r="DT450" s="774">
        <v>0</v>
      </c>
      <c r="DU450" s="774">
        <v>0</v>
      </c>
      <c r="DV450" s="774">
        <v>0</v>
      </c>
      <c r="DW450" s="774">
        <v>0</v>
      </c>
      <c r="DX450" s="774">
        <v>0</v>
      </c>
      <c r="DY450" s="774">
        <v>0</v>
      </c>
      <c r="DZ450" s="774">
        <v>0</v>
      </c>
      <c r="EA450" s="774">
        <v>0</v>
      </c>
      <c r="EB450" s="774">
        <v>0</v>
      </c>
      <c r="EC450" s="774">
        <v>0</v>
      </c>
      <c r="ED450" s="774">
        <v>0</v>
      </c>
    </row>
    <row r="451" spans="1:135" ht="15" x14ac:dyDescent="0.25">
      <c r="A451" s="766">
        <v>103</v>
      </c>
      <c r="B451" s="766">
        <v>122</v>
      </c>
      <c r="C451" s="766" t="s">
        <v>4122</v>
      </c>
      <c r="D451" s="2">
        <v>99712</v>
      </c>
      <c r="E451" s="2">
        <v>99712</v>
      </c>
      <c r="F451" s="767" t="s">
        <v>3676</v>
      </c>
      <c r="G451" s="114">
        <v>0</v>
      </c>
      <c r="H451" s="114">
        <v>1</v>
      </c>
      <c r="I451" s="114">
        <v>0</v>
      </c>
      <c r="J451" s="114">
        <v>1</v>
      </c>
      <c r="K451" s="114">
        <v>0</v>
      </c>
      <c r="L451" s="114">
        <v>0</v>
      </c>
      <c r="M451" s="114">
        <v>0</v>
      </c>
      <c r="N451" s="114">
        <v>0</v>
      </c>
      <c r="O451" s="114">
        <v>0</v>
      </c>
      <c r="P451" s="114">
        <v>0</v>
      </c>
      <c r="Q451" s="114">
        <v>0</v>
      </c>
      <c r="R451" s="114">
        <v>0</v>
      </c>
      <c r="S451" s="114">
        <v>834.49503068156923</v>
      </c>
      <c r="T451" s="114">
        <v>834.49503068156923</v>
      </c>
      <c r="U451" s="114">
        <v>1408.3846153846155</v>
      </c>
      <c r="V451" s="114">
        <v>0</v>
      </c>
      <c r="W451" s="114">
        <v>0</v>
      </c>
      <c r="X451" s="114">
        <v>1365.173957061457</v>
      </c>
      <c r="Y451" s="114">
        <v>2.2912335412335411E-2</v>
      </c>
      <c r="Z451" s="114">
        <v>0.97578828828828834</v>
      </c>
      <c r="AA451" s="114">
        <v>1.2993762993762994E-3</v>
      </c>
      <c r="AB451" s="657">
        <v>0</v>
      </c>
      <c r="AC451" s="657">
        <v>0</v>
      </c>
      <c r="AD451" s="768">
        <v>1</v>
      </c>
      <c r="AE451" s="769">
        <v>0</v>
      </c>
      <c r="AF451" s="769">
        <v>0</v>
      </c>
      <c r="AG451" s="770">
        <v>0</v>
      </c>
      <c r="AH451" s="769">
        <v>0</v>
      </c>
      <c r="AI451" s="769">
        <v>2.0829930512911272E-2</v>
      </c>
      <c r="AJ451" s="769">
        <v>0.8871030331292592</v>
      </c>
      <c r="AK451" s="769">
        <v>0.90793296364217047</v>
      </c>
      <c r="AL451" s="769">
        <v>1.1812815035677471E-3</v>
      </c>
      <c r="AM451" s="769">
        <v>0</v>
      </c>
      <c r="AN451" s="769">
        <v>0</v>
      </c>
      <c r="AO451" s="769">
        <v>0</v>
      </c>
      <c r="AP451" s="769">
        <v>0</v>
      </c>
      <c r="AQ451" s="769">
        <v>0</v>
      </c>
      <c r="AR451" s="769">
        <v>0</v>
      </c>
      <c r="AS451" s="769">
        <v>0.82541479088448488</v>
      </c>
      <c r="AT451" s="769">
        <v>0.86569122516162356</v>
      </c>
      <c r="AU451" s="769">
        <v>0.90793296364217047</v>
      </c>
      <c r="AV451" s="769">
        <v>0.95223590410559056</v>
      </c>
      <c r="AW451" s="769">
        <v>0.99870062370062374</v>
      </c>
      <c r="AX451" s="769">
        <v>0</v>
      </c>
      <c r="AY451" s="769">
        <v>0</v>
      </c>
      <c r="AZ451" s="769">
        <v>0</v>
      </c>
      <c r="BA451" s="769">
        <v>0</v>
      </c>
      <c r="BB451" s="769">
        <v>0</v>
      </c>
      <c r="BC451" s="769">
        <v>0</v>
      </c>
      <c r="BD451" s="769">
        <v>0</v>
      </c>
      <c r="BE451" s="769">
        <v>0</v>
      </c>
      <c r="BF451" s="769">
        <v>0</v>
      </c>
      <c r="BG451" s="769">
        <v>0</v>
      </c>
      <c r="BH451" s="771">
        <v>1.0120898089457961</v>
      </c>
      <c r="BI451" s="771">
        <v>1.0256584977151229</v>
      </c>
      <c r="BJ451" s="771">
        <v>1.0394090965415332</v>
      </c>
      <c r="BK451" s="772">
        <v>1.0325754377675052</v>
      </c>
      <c r="BL451" s="772">
        <v>1.0257867073016811</v>
      </c>
      <c r="BM451" s="772">
        <v>1.0331506921022895</v>
      </c>
      <c r="BN451" s="772">
        <v>1.040567541959305</v>
      </c>
      <c r="BO451" s="772">
        <v>1.0480376363838579</v>
      </c>
      <c r="BP451" s="772">
        <v>1.0555613576115364</v>
      </c>
      <c r="BQ451" s="772">
        <v>1.0631390906219473</v>
      </c>
      <c r="BR451" s="772">
        <v>1.0691071548224773</v>
      </c>
      <c r="BS451" s="772">
        <v>1.0751087214975339</v>
      </c>
      <c r="BT451" s="772">
        <v>1.0811439787174464</v>
      </c>
      <c r="BU451" s="772">
        <v>1.0872131156083003</v>
      </c>
      <c r="BV451" s="772">
        <v>1.0933163223578635</v>
      </c>
      <c r="BW451" s="771">
        <v>0</v>
      </c>
      <c r="BX451" s="771">
        <v>0</v>
      </c>
      <c r="BY451" s="771">
        <v>0</v>
      </c>
      <c r="BZ451" s="772">
        <v>0</v>
      </c>
      <c r="CA451" s="772">
        <v>0</v>
      </c>
      <c r="CB451" s="772">
        <v>0</v>
      </c>
      <c r="CC451" s="772">
        <v>0</v>
      </c>
      <c r="CD451" s="772">
        <v>0</v>
      </c>
      <c r="CE451" s="772">
        <v>0</v>
      </c>
      <c r="CF451" s="772">
        <v>0</v>
      </c>
      <c r="CG451" s="772">
        <v>0</v>
      </c>
      <c r="CH451" s="772">
        <v>0</v>
      </c>
      <c r="CI451" s="772">
        <v>0</v>
      </c>
      <c r="CJ451" s="772">
        <v>0</v>
      </c>
      <c r="CK451" s="772">
        <v>0</v>
      </c>
      <c r="CL451" s="771">
        <v>0</v>
      </c>
      <c r="CM451" s="771">
        <v>0</v>
      </c>
      <c r="CN451" s="771">
        <v>0</v>
      </c>
      <c r="CO451" s="772">
        <v>0</v>
      </c>
      <c r="CP451" s="772">
        <v>0</v>
      </c>
      <c r="CQ451" s="772">
        <v>0</v>
      </c>
      <c r="CR451" s="772">
        <v>0</v>
      </c>
      <c r="CS451" s="772">
        <v>0</v>
      </c>
      <c r="CT451" s="772">
        <v>0</v>
      </c>
      <c r="CU451" s="772">
        <v>0</v>
      </c>
      <c r="CV451" s="772">
        <v>0</v>
      </c>
      <c r="CW451" s="772">
        <v>0</v>
      </c>
      <c r="CX451" s="772">
        <v>0</v>
      </c>
      <c r="CY451" s="772">
        <v>0</v>
      </c>
      <c r="CZ451" s="772">
        <v>0</v>
      </c>
      <c r="DA451" s="773">
        <v>1.3167965247798544E-3</v>
      </c>
      <c r="DB451" s="773">
        <v>1.3344502962726033E-3</v>
      </c>
      <c r="DC451" s="773">
        <v>1.3523407449148232E-3</v>
      </c>
      <c r="DD451" s="774">
        <v>1.3434496978499935E-3</v>
      </c>
      <c r="DE451" s="774">
        <v>1.3346171055187107E-3</v>
      </c>
      <c r="DF451" s="774">
        <v>1.3441981422095879E-3</v>
      </c>
      <c r="DG451" s="774">
        <v>1.3538479598741934E-3</v>
      </c>
      <c r="DH451" s="774">
        <v>1.3635670522818863E-3</v>
      </c>
      <c r="DI451" s="774">
        <v>1.3733559167467295E-3</v>
      </c>
      <c r="DJ451" s="774">
        <v>1.3832150541529368E-3</v>
      </c>
      <c r="DK451" s="774">
        <v>1.3909799047911492E-3</v>
      </c>
      <c r="DL451" s="774">
        <v>1.3987883443891929E-3</v>
      </c>
      <c r="DM451" s="774">
        <v>1.4066406176391441E-3</v>
      </c>
      <c r="DN451" s="774">
        <v>1.4145369706066876E-3</v>
      </c>
      <c r="DO451" s="774">
        <v>1.4224776507388284E-3</v>
      </c>
      <c r="DP451" s="773">
        <v>0</v>
      </c>
      <c r="DQ451" s="773">
        <v>0</v>
      </c>
      <c r="DR451" s="773">
        <v>0</v>
      </c>
      <c r="DS451" s="774">
        <v>0</v>
      </c>
      <c r="DT451" s="774">
        <v>0</v>
      </c>
      <c r="DU451" s="774">
        <v>0</v>
      </c>
      <c r="DV451" s="774">
        <v>0</v>
      </c>
      <c r="DW451" s="774">
        <v>0</v>
      </c>
      <c r="DX451" s="774">
        <v>0</v>
      </c>
      <c r="DY451" s="774">
        <v>0</v>
      </c>
      <c r="DZ451" s="774">
        <v>0</v>
      </c>
      <c r="EA451" s="774">
        <v>0</v>
      </c>
      <c r="EB451" s="774">
        <v>0</v>
      </c>
      <c r="EC451" s="774">
        <v>0</v>
      </c>
      <c r="ED451" s="774">
        <v>0</v>
      </c>
    </row>
    <row r="452" spans="1:135" ht="15" x14ac:dyDescent="0.25">
      <c r="A452" s="766">
        <v>99</v>
      </c>
      <c r="B452" s="766">
        <v>123</v>
      </c>
      <c r="C452" s="766" t="s">
        <v>4123</v>
      </c>
      <c r="D452" s="2">
        <v>99712</v>
      </c>
      <c r="E452" s="2">
        <v>99712</v>
      </c>
      <c r="F452" s="767" t="s">
        <v>3676</v>
      </c>
      <c r="G452" s="114">
        <v>0</v>
      </c>
      <c r="H452" s="114">
        <v>1</v>
      </c>
      <c r="I452" s="114">
        <v>0</v>
      </c>
      <c r="J452" s="114">
        <v>1</v>
      </c>
      <c r="K452" s="114">
        <v>0</v>
      </c>
      <c r="L452" s="114">
        <v>0</v>
      </c>
      <c r="M452" s="114">
        <v>0</v>
      </c>
      <c r="N452" s="114">
        <v>0</v>
      </c>
      <c r="O452" s="114">
        <v>0</v>
      </c>
      <c r="P452" s="114">
        <v>0</v>
      </c>
      <c r="Q452" s="114">
        <v>0</v>
      </c>
      <c r="R452" s="114">
        <v>0</v>
      </c>
      <c r="S452" s="114">
        <v>834.49503068156923</v>
      </c>
      <c r="T452" s="114">
        <v>834.49503068156923</v>
      </c>
      <c r="U452" s="114">
        <v>1408.3846153846155</v>
      </c>
      <c r="V452" s="114">
        <v>0</v>
      </c>
      <c r="W452" s="114">
        <v>0</v>
      </c>
      <c r="X452" s="114">
        <v>1365.173957061457</v>
      </c>
      <c r="Y452" s="114">
        <v>2.2912335412335411E-2</v>
      </c>
      <c r="Z452" s="114">
        <v>0.97578828828828834</v>
      </c>
      <c r="AA452" s="114">
        <v>1.2993762993762994E-3</v>
      </c>
      <c r="AB452" s="657">
        <v>0</v>
      </c>
      <c r="AC452" s="657">
        <v>0</v>
      </c>
      <c r="AD452" s="768">
        <v>1</v>
      </c>
      <c r="AE452" s="769">
        <v>0</v>
      </c>
      <c r="AF452" s="769">
        <v>0</v>
      </c>
      <c r="AG452" s="770">
        <v>0</v>
      </c>
      <c r="AH452" s="769">
        <v>0</v>
      </c>
      <c r="AI452" s="769">
        <v>2.0829930512911272E-2</v>
      </c>
      <c r="AJ452" s="769">
        <v>0.8871030331292592</v>
      </c>
      <c r="AK452" s="769">
        <v>0.90793296364217047</v>
      </c>
      <c r="AL452" s="769">
        <v>1.1812815035677471E-3</v>
      </c>
      <c r="AM452" s="769">
        <v>0</v>
      </c>
      <c r="AN452" s="769">
        <v>0</v>
      </c>
      <c r="AO452" s="769">
        <v>0</v>
      </c>
      <c r="AP452" s="769">
        <v>0</v>
      </c>
      <c r="AQ452" s="769">
        <v>0</v>
      </c>
      <c r="AR452" s="769">
        <v>0</v>
      </c>
      <c r="AS452" s="769">
        <v>0.82541479088448488</v>
      </c>
      <c r="AT452" s="769">
        <v>0.86569122516162356</v>
      </c>
      <c r="AU452" s="769">
        <v>0.90793296364217047</v>
      </c>
      <c r="AV452" s="769">
        <v>0.95223590410559056</v>
      </c>
      <c r="AW452" s="769">
        <v>0.99870062370062374</v>
      </c>
      <c r="AX452" s="769">
        <v>0</v>
      </c>
      <c r="AY452" s="769">
        <v>0</v>
      </c>
      <c r="AZ452" s="769">
        <v>0</v>
      </c>
      <c r="BA452" s="769">
        <v>0</v>
      </c>
      <c r="BB452" s="769">
        <v>0</v>
      </c>
      <c r="BC452" s="769">
        <v>0</v>
      </c>
      <c r="BD452" s="769">
        <v>0</v>
      </c>
      <c r="BE452" s="769">
        <v>0</v>
      </c>
      <c r="BF452" s="769">
        <v>0</v>
      </c>
      <c r="BG452" s="769">
        <v>0</v>
      </c>
      <c r="BH452" s="771">
        <v>1.0120898089457961</v>
      </c>
      <c r="BI452" s="771">
        <v>1.0256584977151229</v>
      </c>
      <c r="BJ452" s="771">
        <v>1.0394090965415332</v>
      </c>
      <c r="BK452" s="772">
        <v>1.0325754377675052</v>
      </c>
      <c r="BL452" s="772">
        <v>1.0257867073016811</v>
      </c>
      <c r="BM452" s="772">
        <v>1.0331506921022895</v>
      </c>
      <c r="BN452" s="772">
        <v>1.040567541959305</v>
      </c>
      <c r="BO452" s="772">
        <v>1.0480376363838579</v>
      </c>
      <c r="BP452" s="772">
        <v>1.0555613576115364</v>
      </c>
      <c r="BQ452" s="772">
        <v>1.0631390906219473</v>
      </c>
      <c r="BR452" s="772">
        <v>1.0691071548224773</v>
      </c>
      <c r="BS452" s="772">
        <v>1.0751087214975339</v>
      </c>
      <c r="BT452" s="772">
        <v>1.0811439787174464</v>
      </c>
      <c r="BU452" s="772">
        <v>1.0872131156083003</v>
      </c>
      <c r="BV452" s="772">
        <v>1.0933163223578635</v>
      </c>
      <c r="BW452" s="771">
        <v>0</v>
      </c>
      <c r="BX452" s="771">
        <v>0</v>
      </c>
      <c r="BY452" s="771">
        <v>0</v>
      </c>
      <c r="BZ452" s="772">
        <v>0</v>
      </c>
      <c r="CA452" s="772">
        <v>0</v>
      </c>
      <c r="CB452" s="772">
        <v>0</v>
      </c>
      <c r="CC452" s="772">
        <v>0</v>
      </c>
      <c r="CD452" s="772">
        <v>0</v>
      </c>
      <c r="CE452" s="772">
        <v>0</v>
      </c>
      <c r="CF452" s="772">
        <v>0</v>
      </c>
      <c r="CG452" s="772">
        <v>0</v>
      </c>
      <c r="CH452" s="772">
        <v>0</v>
      </c>
      <c r="CI452" s="772">
        <v>0</v>
      </c>
      <c r="CJ452" s="772">
        <v>0</v>
      </c>
      <c r="CK452" s="772">
        <v>0</v>
      </c>
      <c r="CL452" s="771">
        <v>0</v>
      </c>
      <c r="CM452" s="771">
        <v>0</v>
      </c>
      <c r="CN452" s="771">
        <v>0</v>
      </c>
      <c r="CO452" s="772">
        <v>0</v>
      </c>
      <c r="CP452" s="772">
        <v>0</v>
      </c>
      <c r="CQ452" s="772">
        <v>0</v>
      </c>
      <c r="CR452" s="772">
        <v>0</v>
      </c>
      <c r="CS452" s="772">
        <v>0</v>
      </c>
      <c r="CT452" s="772">
        <v>0</v>
      </c>
      <c r="CU452" s="772">
        <v>0</v>
      </c>
      <c r="CV452" s="772">
        <v>0</v>
      </c>
      <c r="CW452" s="772">
        <v>0</v>
      </c>
      <c r="CX452" s="772">
        <v>0</v>
      </c>
      <c r="CY452" s="772">
        <v>0</v>
      </c>
      <c r="CZ452" s="772">
        <v>0</v>
      </c>
      <c r="DA452" s="773">
        <v>1.3167965247798544E-3</v>
      </c>
      <c r="DB452" s="773">
        <v>1.3344502962726033E-3</v>
      </c>
      <c r="DC452" s="773">
        <v>1.3523407449148232E-3</v>
      </c>
      <c r="DD452" s="774">
        <v>1.3434496978499935E-3</v>
      </c>
      <c r="DE452" s="774">
        <v>1.3346171055187107E-3</v>
      </c>
      <c r="DF452" s="774">
        <v>1.3441981422095879E-3</v>
      </c>
      <c r="DG452" s="774">
        <v>1.3538479598741934E-3</v>
      </c>
      <c r="DH452" s="774">
        <v>1.3635670522818863E-3</v>
      </c>
      <c r="DI452" s="774">
        <v>1.3733559167467295E-3</v>
      </c>
      <c r="DJ452" s="774">
        <v>1.3832150541529368E-3</v>
      </c>
      <c r="DK452" s="774">
        <v>1.3909799047911492E-3</v>
      </c>
      <c r="DL452" s="774">
        <v>1.3987883443891929E-3</v>
      </c>
      <c r="DM452" s="774">
        <v>1.4066406176391441E-3</v>
      </c>
      <c r="DN452" s="774">
        <v>1.4145369706066876E-3</v>
      </c>
      <c r="DO452" s="774">
        <v>1.4224776507388284E-3</v>
      </c>
      <c r="DP452" s="773">
        <v>0</v>
      </c>
      <c r="DQ452" s="773">
        <v>0</v>
      </c>
      <c r="DR452" s="773">
        <v>0</v>
      </c>
      <c r="DS452" s="774">
        <v>0</v>
      </c>
      <c r="DT452" s="774">
        <v>0</v>
      </c>
      <c r="DU452" s="774">
        <v>0</v>
      </c>
      <c r="DV452" s="774">
        <v>0</v>
      </c>
      <c r="DW452" s="774">
        <v>0</v>
      </c>
      <c r="DX452" s="774">
        <v>0</v>
      </c>
      <c r="DY452" s="774">
        <v>0</v>
      </c>
      <c r="DZ452" s="774">
        <v>0</v>
      </c>
      <c r="EA452" s="774">
        <v>0</v>
      </c>
      <c r="EB452" s="774">
        <v>0</v>
      </c>
      <c r="EC452" s="774">
        <v>0</v>
      </c>
      <c r="ED452" s="774">
        <v>0</v>
      </c>
    </row>
    <row r="453" spans="1:135" ht="15" x14ac:dyDescent="0.25">
      <c r="A453" s="766">
        <v>126</v>
      </c>
      <c r="B453" s="766">
        <v>124</v>
      </c>
      <c r="C453" s="766" t="s">
        <v>4124</v>
      </c>
      <c r="D453" s="2">
        <v>99712</v>
      </c>
      <c r="E453" s="2">
        <v>99712</v>
      </c>
      <c r="F453" s="767" t="s">
        <v>3676</v>
      </c>
      <c r="G453" s="114">
        <v>1</v>
      </c>
      <c r="H453" s="114">
        <v>1</v>
      </c>
      <c r="I453" s="114">
        <v>1</v>
      </c>
      <c r="J453" s="114">
        <v>0</v>
      </c>
      <c r="K453" s="114">
        <v>0</v>
      </c>
      <c r="L453" s="114">
        <v>2</v>
      </c>
      <c r="M453" s="114">
        <v>2</v>
      </c>
      <c r="N453" s="114">
        <v>0</v>
      </c>
      <c r="O453" s="114">
        <v>0</v>
      </c>
      <c r="P453" s="114">
        <v>0</v>
      </c>
      <c r="Q453" s="114">
        <v>2</v>
      </c>
      <c r="R453" s="114">
        <v>0</v>
      </c>
      <c r="S453" s="114">
        <v>496</v>
      </c>
      <c r="T453" s="114">
        <v>496</v>
      </c>
      <c r="U453" s="114">
        <v>0</v>
      </c>
      <c r="V453" s="114">
        <v>0</v>
      </c>
      <c r="W453" s="114">
        <v>0</v>
      </c>
      <c r="X453" s="114">
        <v>496</v>
      </c>
      <c r="Y453" s="114">
        <v>0</v>
      </c>
      <c r="Z453" s="114">
        <v>1</v>
      </c>
      <c r="AA453" s="114">
        <v>0</v>
      </c>
      <c r="AB453" s="657">
        <v>0</v>
      </c>
      <c r="AC453" s="657">
        <v>0</v>
      </c>
      <c r="AD453" s="768">
        <v>1</v>
      </c>
      <c r="AE453" s="769">
        <v>0</v>
      </c>
      <c r="AF453" s="769">
        <v>1</v>
      </c>
      <c r="AG453" s="770">
        <v>1</v>
      </c>
      <c r="AH453" s="769">
        <v>0</v>
      </c>
      <c r="AI453" s="769">
        <v>0</v>
      </c>
      <c r="AJ453" s="769">
        <v>0.90911424514573824</v>
      </c>
      <c r="AK453" s="769">
        <v>0.90911424514573824</v>
      </c>
      <c r="AL453" s="769">
        <v>0</v>
      </c>
      <c r="AM453" s="769">
        <v>0</v>
      </c>
      <c r="AN453" s="769">
        <v>0.91245411038790925</v>
      </c>
      <c r="AO453" s="769">
        <v>0.91245411038790925</v>
      </c>
      <c r="AP453" s="769">
        <v>0</v>
      </c>
      <c r="AQ453" s="769">
        <v>0</v>
      </c>
      <c r="AR453" s="769">
        <v>0</v>
      </c>
      <c r="AS453" s="769">
        <v>0.82648871072690544</v>
      </c>
      <c r="AT453" s="769">
        <v>0.86681754733851879</v>
      </c>
      <c r="AU453" s="769">
        <v>0.90911424514573824</v>
      </c>
      <c r="AV453" s="769">
        <v>0.95347482669745309</v>
      </c>
      <c r="AW453" s="769">
        <v>1</v>
      </c>
      <c r="AX453" s="769">
        <v>0.83257250356379087</v>
      </c>
      <c r="AY453" s="769">
        <v>0.87159864792961517</v>
      </c>
      <c r="AZ453" s="769">
        <v>0.91245411038790925</v>
      </c>
      <c r="BA453" s="769">
        <v>0.9552246387043779</v>
      </c>
      <c r="BB453" s="769">
        <v>1</v>
      </c>
      <c r="BC453" s="769">
        <v>0</v>
      </c>
      <c r="BD453" s="769">
        <v>0</v>
      </c>
      <c r="BE453" s="769">
        <v>0</v>
      </c>
      <c r="BF453" s="769">
        <v>0</v>
      </c>
      <c r="BG453" s="769">
        <v>0</v>
      </c>
      <c r="BH453" s="771">
        <v>1.0134066054705759</v>
      </c>
      <c r="BI453" s="771">
        <v>1.0269929480113955</v>
      </c>
      <c r="BJ453" s="771">
        <v>1.040761437286448</v>
      </c>
      <c r="BK453" s="772">
        <v>1.0339188874653549</v>
      </c>
      <c r="BL453" s="772">
        <v>1.0271213244071997</v>
      </c>
      <c r="BM453" s="772">
        <v>1.034494890244499</v>
      </c>
      <c r="BN453" s="772">
        <v>1.0419213899191793</v>
      </c>
      <c r="BO453" s="772">
        <v>1.0494012034361397</v>
      </c>
      <c r="BP453" s="772">
        <v>1.0569347135282832</v>
      </c>
      <c r="BQ453" s="772">
        <v>1.0645223056761002</v>
      </c>
      <c r="BR453" s="772">
        <v>1.0704981347272684</v>
      </c>
      <c r="BS453" s="772">
        <v>1.076507509841923</v>
      </c>
      <c r="BT453" s="772">
        <v>1.0825506193350853</v>
      </c>
      <c r="BU453" s="772">
        <v>1.0886276525789067</v>
      </c>
      <c r="BV453" s="772">
        <v>1.0947388000086022</v>
      </c>
      <c r="BW453" s="771">
        <v>1.0134066054705759</v>
      </c>
      <c r="BX453" s="771">
        <v>1.0269929480113955</v>
      </c>
      <c r="BY453" s="771">
        <v>1.040761437286448</v>
      </c>
      <c r="BZ453" s="772">
        <v>1.0339188874653549</v>
      </c>
      <c r="CA453" s="772">
        <v>1.0271213244071997</v>
      </c>
      <c r="CB453" s="772">
        <v>1.034494890244499</v>
      </c>
      <c r="CC453" s="772">
        <v>1.0419213899191793</v>
      </c>
      <c r="CD453" s="772">
        <v>1.0494012034361397</v>
      </c>
      <c r="CE453" s="772">
        <v>1.0569347135282832</v>
      </c>
      <c r="CF453" s="772">
        <v>1.0645223056761002</v>
      </c>
      <c r="CG453" s="772">
        <v>1.0704981347272684</v>
      </c>
      <c r="CH453" s="772">
        <v>1.076507509841923</v>
      </c>
      <c r="CI453" s="772">
        <v>1.0825506193350853</v>
      </c>
      <c r="CJ453" s="772">
        <v>1.0886276525789067</v>
      </c>
      <c r="CK453" s="772">
        <v>1.0947388000086022</v>
      </c>
      <c r="CL453" s="771">
        <v>0</v>
      </c>
      <c r="CM453" s="771">
        <v>0</v>
      </c>
      <c r="CN453" s="771">
        <v>0</v>
      </c>
      <c r="CO453" s="772">
        <v>0</v>
      </c>
      <c r="CP453" s="772">
        <v>0</v>
      </c>
      <c r="CQ453" s="772">
        <v>0</v>
      </c>
      <c r="CR453" s="772">
        <v>0</v>
      </c>
      <c r="CS453" s="772">
        <v>0</v>
      </c>
      <c r="CT453" s="772">
        <v>0</v>
      </c>
      <c r="CU453" s="772">
        <v>0</v>
      </c>
      <c r="CV453" s="772">
        <v>0</v>
      </c>
      <c r="CW453" s="772">
        <v>0</v>
      </c>
      <c r="CX453" s="772">
        <v>0</v>
      </c>
      <c r="CY453" s="772">
        <v>0</v>
      </c>
      <c r="CZ453" s="772">
        <v>0</v>
      </c>
      <c r="DA453" s="773">
        <v>0</v>
      </c>
      <c r="DB453" s="773">
        <v>0</v>
      </c>
      <c r="DC453" s="773">
        <v>0</v>
      </c>
      <c r="DD453" s="774">
        <v>0</v>
      </c>
      <c r="DE453" s="774">
        <v>0</v>
      </c>
      <c r="DF453" s="774">
        <v>0</v>
      </c>
      <c r="DG453" s="774">
        <v>0</v>
      </c>
      <c r="DH453" s="774">
        <v>0</v>
      </c>
      <c r="DI453" s="774">
        <v>0</v>
      </c>
      <c r="DJ453" s="774">
        <v>0</v>
      </c>
      <c r="DK453" s="774">
        <v>0</v>
      </c>
      <c r="DL453" s="774">
        <v>0</v>
      </c>
      <c r="DM453" s="774">
        <v>0</v>
      </c>
      <c r="DN453" s="774">
        <v>0</v>
      </c>
      <c r="DO453" s="774">
        <v>0</v>
      </c>
      <c r="DP453" s="773">
        <v>0</v>
      </c>
      <c r="DQ453" s="773">
        <v>0</v>
      </c>
      <c r="DR453" s="773">
        <v>0</v>
      </c>
      <c r="DS453" s="774">
        <v>0</v>
      </c>
      <c r="DT453" s="774">
        <v>0</v>
      </c>
      <c r="DU453" s="774">
        <v>0</v>
      </c>
      <c r="DV453" s="774">
        <v>0</v>
      </c>
      <c r="DW453" s="774">
        <v>0</v>
      </c>
      <c r="DX453" s="774">
        <v>0</v>
      </c>
      <c r="DY453" s="774">
        <v>0</v>
      </c>
      <c r="DZ453" s="774">
        <v>0</v>
      </c>
      <c r="EA453" s="774">
        <v>0</v>
      </c>
      <c r="EB453" s="774">
        <v>0</v>
      </c>
      <c r="EC453" s="774">
        <v>0</v>
      </c>
      <c r="ED453" s="774">
        <v>0</v>
      </c>
    </row>
    <row r="454" spans="1:135" ht="15" x14ac:dyDescent="0.25">
      <c r="A454" s="766">
        <v>127</v>
      </c>
      <c r="B454" s="766">
        <v>124</v>
      </c>
      <c r="C454" s="766" t="s">
        <v>4125</v>
      </c>
      <c r="D454" s="2">
        <v>99712</v>
      </c>
      <c r="E454" s="2">
        <v>99712</v>
      </c>
      <c r="F454" s="767" t="s">
        <v>3676</v>
      </c>
      <c r="G454" s="114">
        <v>4</v>
      </c>
      <c r="H454" s="114">
        <v>1</v>
      </c>
      <c r="I454" s="114">
        <v>1</v>
      </c>
      <c r="J454" s="114">
        <v>0</v>
      </c>
      <c r="K454" s="114">
        <v>0</v>
      </c>
      <c r="L454" s="114">
        <v>1</v>
      </c>
      <c r="M454" s="114">
        <v>1</v>
      </c>
      <c r="N454" s="114">
        <v>0</v>
      </c>
      <c r="O454" s="114">
        <v>0</v>
      </c>
      <c r="P454" s="114">
        <v>0</v>
      </c>
      <c r="Q454" s="114">
        <v>1</v>
      </c>
      <c r="R454" s="114">
        <v>0</v>
      </c>
      <c r="S454" s="114">
        <v>1620</v>
      </c>
      <c r="T454" s="114">
        <v>1620</v>
      </c>
      <c r="U454" s="114">
        <v>0</v>
      </c>
      <c r="V454" s="114">
        <v>0</v>
      </c>
      <c r="W454" s="114">
        <v>0</v>
      </c>
      <c r="X454" s="114">
        <v>1620</v>
      </c>
      <c r="Y454" s="114">
        <v>0</v>
      </c>
      <c r="Z454" s="114">
        <v>1</v>
      </c>
      <c r="AA454" s="114">
        <v>0</v>
      </c>
      <c r="AB454" s="657">
        <v>0</v>
      </c>
      <c r="AC454" s="657">
        <v>0</v>
      </c>
      <c r="AD454" s="768">
        <v>1</v>
      </c>
      <c r="AE454" s="769">
        <v>0</v>
      </c>
      <c r="AF454" s="769">
        <v>1</v>
      </c>
      <c r="AG454" s="770">
        <v>1</v>
      </c>
      <c r="AH454" s="769">
        <v>0</v>
      </c>
      <c r="AI454" s="769">
        <v>0</v>
      </c>
      <c r="AJ454" s="769">
        <v>0.90911424514573824</v>
      </c>
      <c r="AK454" s="769">
        <v>0.90911424514573824</v>
      </c>
      <c r="AL454" s="769">
        <v>0</v>
      </c>
      <c r="AM454" s="769">
        <v>0</v>
      </c>
      <c r="AN454" s="769">
        <v>0.91245411038790925</v>
      </c>
      <c r="AO454" s="769">
        <v>0.91245411038790925</v>
      </c>
      <c r="AP454" s="769">
        <v>0</v>
      </c>
      <c r="AQ454" s="769">
        <v>0</v>
      </c>
      <c r="AR454" s="769">
        <v>0</v>
      </c>
      <c r="AS454" s="769">
        <v>0.82648871072690544</v>
      </c>
      <c r="AT454" s="769">
        <v>0.86681754733851879</v>
      </c>
      <c r="AU454" s="769">
        <v>0.90911424514573824</v>
      </c>
      <c r="AV454" s="769">
        <v>0.95347482669745309</v>
      </c>
      <c r="AW454" s="769">
        <v>1</v>
      </c>
      <c r="AX454" s="769">
        <v>0.83257250356379087</v>
      </c>
      <c r="AY454" s="769">
        <v>0.87159864792961517</v>
      </c>
      <c r="AZ454" s="769">
        <v>0.91245411038790925</v>
      </c>
      <c r="BA454" s="769">
        <v>0.9552246387043779</v>
      </c>
      <c r="BB454" s="769">
        <v>1</v>
      </c>
      <c r="BC454" s="769">
        <v>0</v>
      </c>
      <c r="BD454" s="769">
        <v>0</v>
      </c>
      <c r="BE454" s="769">
        <v>0</v>
      </c>
      <c r="BF454" s="769">
        <v>0</v>
      </c>
      <c r="BG454" s="769">
        <v>0</v>
      </c>
      <c r="BH454" s="771">
        <v>1.0134066054705759</v>
      </c>
      <c r="BI454" s="771">
        <v>1.0269929480113955</v>
      </c>
      <c r="BJ454" s="771">
        <v>1.040761437286448</v>
      </c>
      <c r="BK454" s="772">
        <v>1.0339188874653549</v>
      </c>
      <c r="BL454" s="772">
        <v>1.0271213244071997</v>
      </c>
      <c r="BM454" s="772">
        <v>1.034494890244499</v>
      </c>
      <c r="BN454" s="772">
        <v>1.0419213899191793</v>
      </c>
      <c r="BO454" s="772">
        <v>1.0494012034361397</v>
      </c>
      <c r="BP454" s="772">
        <v>1.0569347135282832</v>
      </c>
      <c r="BQ454" s="772">
        <v>1.0645223056761002</v>
      </c>
      <c r="BR454" s="772">
        <v>1.0704981347272684</v>
      </c>
      <c r="BS454" s="772">
        <v>1.076507509841923</v>
      </c>
      <c r="BT454" s="772">
        <v>1.0825506193350853</v>
      </c>
      <c r="BU454" s="772">
        <v>1.0886276525789067</v>
      </c>
      <c r="BV454" s="772">
        <v>1.0947388000086022</v>
      </c>
      <c r="BW454" s="771">
        <v>1.0134066054705759</v>
      </c>
      <c r="BX454" s="771">
        <v>1.0269929480113955</v>
      </c>
      <c r="BY454" s="771">
        <v>1.040761437286448</v>
      </c>
      <c r="BZ454" s="772">
        <v>1.0339188874653549</v>
      </c>
      <c r="CA454" s="772">
        <v>1.0271213244071997</v>
      </c>
      <c r="CB454" s="772">
        <v>1.034494890244499</v>
      </c>
      <c r="CC454" s="772">
        <v>1.0419213899191793</v>
      </c>
      <c r="CD454" s="772">
        <v>1.0494012034361397</v>
      </c>
      <c r="CE454" s="772">
        <v>1.0569347135282832</v>
      </c>
      <c r="CF454" s="772">
        <v>1.0645223056761002</v>
      </c>
      <c r="CG454" s="772">
        <v>1.0704981347272684</v>
      </c>
      <c r="CH454" s="772">
        <v>1.076507509841923</v>
      </c>
      <c r="CI454" s="772">
        <v>1.0825506193350853</v>
      </c>
      <c r="CJ454" s="772">
        <v>1.0886276525789067</v>
      </c>
      <c r="CK454" s="772">
        <v>1.0947388000086022</v>
      </c>
      <c r="CL454" s="771">
        <v>0</v>
      </c>
      <c r="CM454" s="771">
        <v>0</v>
      </c>
      <c r="CN454" s="771">
        <v>0</v>
      </c>
      <c r="CO454" s="772">
        <v>0</v>
      </c>
      <c r="CP454" s="772">
        <v>0</v>
      </c>
      <c r="CQ454" s="772">
        <v>0</v>
      </c>
      <c r="CR454" s="772">
        <v>0</v>
      </c>
      <c r="CS454" s="772">
        <v>0</v>
      </c>
      <c r="CT454" s="772">
        <v>0</v>
      </c>
      <c r="CU454" s="772">
        <v>0</v>
      </c>
      <c r="CV454" s="772">
        <v>0</v>
      </c>
      <c r="CW454" s="772">
        <v>0</v>
      </c>
      <c r="CX454" s="772">
        <v>0</v>
      </c>
      <c r="CY454" s="772">
        <v>0</v>
      </c>
      <c r="CZ454" s="772">
        <v>0</v>
      </c>
      <c r="DA454" s="773">
        <v>0</v>
      </c>
      <c r="DB454" s="773">
        <v>0</v>
      </c>
      <c r="DC454" s="773">
        <v>0</v>
      </c>
      <c r="DD454" s="774">
        <v>0</v>
      </c>
      <c r="DE454" s="774">
        <v>0</v>
      </c>
      <c r="DF454" s="774">
        <v>0</v>
      </c>
      <c r="DG454" s="774">
        <v>0</v>
      </c>
      <c r="DH454" s="774">
        <v>0</v>
      </c>
      <c r="DI454" s="774">
        <v>0</v>
      </c>
      <c r="DJ454" s="774">
        <v>0</v>
      </c>
      <c r="DK454" s="774">
        <v>0</v>
      </c>
      <c r="DL454" s="774">
        <v>0</v>
      </c>
      <c r="DM454" s="774">
        <v>0</v>
      </c>
      <c r="DN454" s="774">
        <v>0</v>
      </c>
      <c r="DO454" s="774">
        <v>0</v>
      </c>
      <c r="DP454" s="773">
        <v>0</v>
      </c>
      <c r="DQ454" s="773">
        <v>0</v>
      </c>
      <c r="DR454" s="773">
        <v>0</v>
      </c>
      <c r="DS454" s="774">
        <v>0</v>
      </c>
      <c r="DT454" s="774">
        <v>0</v>
      </c>
      <c r="DU454" s="774">
        <v>0</v>
      </c>
      <c r="DV454" s="774">
        <v>0</v>
      </c>
      <c r="DW454" s="774">
        <v>0</v>
      </c>
      <c r="DX454" s="774">
        <v>0</v>
      </c>
      <c r="DY454" s="774">
        <v>0</v>
      </c>
      <c r="DZ454" s="774">
        <v>0</v>
      </c>
      <c r="EA454" s="774">
        <v>0</v>
      </c>
      <c r="EB454" s="774">
        <v>0</v>
      </c>
      <c r="EC454" s="774">
        <v>0</v>
      </c>
      <c r="ED454" s="774">
        <v>0</v>
      </c>
    </row>
    <row r="455" spans="1:135" ht="15" x14ac:dyDescent="0.25">
      <c r="A455" s="766">
        <v>122</v>
      </c>
      <c r="B455" s="766">
        <v>125</v>
      </c>
      <c r="C455" s="766" t="s">
        <v>4126</v>
      </c>
      <c r="D455" s="2">
        <v>99712</v>
      </c>
      <c r="E455" s="2">
        <v>99712</v>
      </c>
      <c r="F455" s="767" t="s">
        <v>3676</v>
      </c>
      <c r="G455" s="114">
        <v>8</v>
      </c>
      <c r="H455" s="114">
        <v>5</v>
      </c>
      <c r="I455" s="114">
        <v>3</v>
      </c>
      <c r="J455" s="114">
        <v>2</v>
      </c>
      <c r="K455" s="114">
        <v>0</v>
      </c>
      <c r="L455" s="114">
        <v>0</v>
      </c>
      <c r="M455" s="114">
        <v>0</v>
      </c>
      <c r="N455" s="114">
        <v>0</v>
      </c>
      <c r="O455" s="114">
        <v>0</v>
      </c>
      <c r="P455" s="114">
        <v>0</v>
      </c>
      <c r="Q455" s="114">
        <v>0</v>
      </c>
      <c r="R455" s="114">
        <v>0</v>
      </c>
      <c r="S455" s="114">
        <v>834.49503068156923</v>
      </c>
      <c r="T455" s="114">
        <v>834.49503068156923</v>
      </c>
      <c r="U455" s="114">
        <v>1408.3846153846155</v>
      </c>
      <c r="V455" s="114">
        <v>0</v>
      </c>
      <c r="W455" s="114">
        <v>0</v>
      </c>
      <c r="X455" s="114">
        <v>1365.173957061457</v>
      </c>
      <c r="Y455" s="114">
        <v>0.11456167706167707</v>
      </c>
      <c r="Z455" s="114">
        <v>4.8789414414414418</v>
      </c>
      <c r="AA455" s="114">
        <v>6.4968814968814972E-3</v>
      </c>
      <c r="AB455" s="657">
        <v>0</v>
      </c>
      <c r="AC455" s="657">
        <v>0</v>
      </c>
      <c r="AD455" s="768">
        <v>5</v>
      </c>
      <c r="AE455" s="769">
        <v>6.8737006237006237E-2</v>
      </c>
      <c r="AF455" s="769">
        <v>2.9273648648648654</v>
      </c>
      <c r="AG455" s="770">
        <v>2.9961018711018714</v>
      </c>
      <c r="AH455" s="769">
        <v>3.8981288981288983E-3</v>
      </c>
      <c r="AI455" s="769">
        <v>0.10414965256455638</v>
      </c>
      <c r="AJ455" s="769">
        <v>4.4355151656462963</v>
      </c>
      <c r="AK455" s="769">
        <v>4.539664818210853</v>
      </c>
      <c r="AL455" s="769">
        <v>5.9064075178387361E-3</v>
      </c>
      <c r="AM455" s="769">
        <v>6.27193638767157E-2</v>
      </c>
      <c r="AN455" s="769">
        <v>2.6710861035510929</v>
      </c>
      <c r="AO455" s="769">
        <v>2.7338054674278087</v>
      </c>
      <c r="AP455" s="769">
        <v>3.5568637359196047E-3</v>
      </c>
      <c r="AQ455" s="769">
        <v>0</v>
      </c>
      <c r="AR455" s="769">
        <v>0</v>
      </c>
      <c r="AS455" s="769">
        <v>4.127073954422424</v>
      </c>
      <c r="AT455" s="769">
        <v>4.3284561258081187</v>
      </c>
      <c r="AU455" s="769">
        <v>4.539664818210853</v>
      </c>
      <c r="AV455" s="769">
        <v>4.7611795205279535</v>
      </c>
      <c r="AW455" s="769">
        <v>4.9935031185031189</v>
      </c>
      <c r="AX455" s="769">
        <v>2.4944720357554431</v>
      </c>
      <c r="AY455" s="769">
        <v>2.6113983399117813</v>
      </c>
      <c r="AZ455" s="769">
        <v>2.7338054674278083</v>
      </c>
      <c r="BA455" s="769">
        <v>2.8619503273447959</v>
      </c>
      <c r="BB455" s="769">
        <v>2.9961018711018714</v>
      </c>
      <c r="BC455" s="769">
        <v>0</v>
      </c>
      <c r="BD455" s="769">
        <v>0</v>
      </c>
      <c r="BE455" s="769">
        <v>0</v>
      </c>
      <c r="BF455" s="769">
        <v>0</v>
      </c>
      <c r="BG455" s="769">
        <v>0</v>
      </c>
      <c r="BH455" s="771">
        <v>5.0604490447289807</v>
      </c>
      <c r="BI455" s="771">
        <v>5.1282924885756147</v>
      </c>
      <c r="BJ455" s="771">
        <v>5.197045482707666</v>
      </c>
      <c r="BK455" s="772">
        <v>5.1628771888375251</v>
      </c>
      <c r="BL455" s="772">
        <v>5.1289335365084057</v>
      </c>
      <c r="BM455" s="772">
        <v>5.1657534605114472</v>
      </c>
      <c r="BN455" s="772">
        <v>5.2028377097965253</v>
      </c>
      <c r="BO455" s="772">
        <v>5.2401881819192893</v>
      </c>
      <c r="BP455" s="772">
        <v>5.2778067880576822</v>
      </c>
      <c r="BQ455" s="772">
        <v>5.3156954531097362</v>
      </c>
      <c r="BR455" s="772">
        <v>5.3455357741123866</v>
      </c>
      <c r="BS455" s="772">
        <v>5.3755436074876695</v>
      </c>
      <c r="BT455" s="772">
        <v>5.4057198935872313</v>
      </c>
      <c r="BU455" s="772">
        <v>5.436065578041501</v>
      </c>
      <c r="BV455" s="772">
        <v>5.4665816117893176</v>
      </c>
      <c r="BW455" s="771">
        <v>3.0362694268373884</v>
      </c>
      <c r="BX455" s="771">
        <v>3.076975493145369</v>
      </c>
      <c r="BY455" s="771">
        <v>3.1182272896245999</v>
      </c>
      <c r="BZ455" s="772">
        <v>3.0977263133025152</v>
      </c>
      <c r="CA455" s="772">
        <v>3.0773601219050439</v>
      </c>
      <c r="CB455" s="772">
        <v>3.0994520763068683</v>
      </c>
      <c r="CC455" s="772">
        <v>3.1217026258779157</v>
      </c>
      <c r="CD455" s="772">
        <v>3.1441129091515738</v>
      </c>
      <c r="CE455" s="772">
        <v>3.1666840728346095</v>
      </c>
      <c r="CF455" s="772">
        <v>3.189417271865842</v>
      </c>
      <c r="CG455" s="772">
        <v>3.2073214644674324</v>
      </c>
      <c r="CH455" s="772">
        <v>3.2253261644926017</v>
      </c>
      <c r="CI455" s="772">
        <v>3.2434319361523389</v>
      </c>
      <c r="CJ455" s="772">
        <v>3.2616393468249005</v>
      </c>
      <c r="CK455" s="772">
        <v>3.2799489670735911</v>
      </c>
      <c r="CL455" s="771">
        <v>0</v>
      </c>
      <c r="CM455" s="771">
        <v>0</v>
      </c>
      <c r="CN455" s="771">
        <v>0</v>
      </c>
      <c r="CO455" s="772">
        <v>0</v>
      </c>
      <c r="CP455" s="772">
        <v>0</v>
      </c>
      <c r="CQ455" s="772">
        <v>0</v>
      </c>
      <c r="CR455" s="772">
        <v>0</v>
      </c>
      <c r="CS455" s="772">
        <v>0</v>
      </c>
      <c r="CT455" s="772">
        <v>0</v>
      </c>
      <c r="CU455" s="772">
        <v>0</v>
      </c>
      <c r="CV455" s="772">
        <v>0</v>
      </c>
      <c r="CW455" s="772">
        <v>0</v>
      </c>
      <c r="CX455" s="772">
        <v>0</v>
      </c>
      <c r="CY455" s="772">
        <v>0</v>
      </c>
      <c r="CZ455" s="772">
        <v>0</v>
      </c>
      <c r="DA455" s="773">
        <v>6.583982623899272E-3</v>
      </c>
      <c r="DB455" s="773">
        <v>6.6722514813630169E-3</v>
      </c>
      <c r="DC455" s="773">
        <v>6.7617037245741168E-3</v>
      </c>
      <c r="DD455" s="774">
        <v>6.7172484892499681E-3</v>
      </c>
      <c r="DE455" s="774">
        <v>6.6730855275935544E-3</v>
      </c>
      <c r="DF455" s="774">
        <v>6.7209907110479406E-3</v>
      </c>
      <c r="DG455" s="774">
        <v>6.7692397993709677E-3</v>
      </c>
      <c r="DH455" s="774">
        <v>6.8178352614094318E-3</v>
      </c>
      <c r="DI455" s="774">
        <v>6.8667795837336482E-3</v>
      </c>
      <c r="DJ455" s="774">
        <v>6.9160752707646848E-3</v>
      </c>
      <c r="DK455" s="774">
        <v>6.9548995239557465E-3</v>
      </c>
      <c r="DL455" s="774">
        <v>6.9939417219459657E-3</v>
      </c>
      <c r="DM455" s="774">
        <v>7.0332030881957216E-3</v>
      </c>
      <c r="DN455" s="774">
        <v>7.0726848530334382E-3</v>
      </c>
      <c r="DO455" s="774">
        <v>7.112388253694142E-3</v>
      </c>
      <c r="DP455" s="773">
        <v>0</v>
      </c>
      <c r="DQ455" s="773">
        <v>0</v>
      </c>
      <c r="DR455" s="773">
        <v>0</v>
      </c>
      <c r="DS455" s="774">
        <v>0</v>
      </c>
      <c r="DT455" s="774">
        <v>0</v>
      </c>
      <c r="DU455" s="774">
        <v>0</v>
      </c>
      <c r="DV455" s="774">
        <v>0</v>
      </c>
      <c r="DW455" s="774">
        <v>0</v>
      </c>
      <c r="DX455" s="774">
        <v>0</v>
      </c>
      <c r="DY455" s="774">
        <v>0</v>
      </c>
      <c r="DZ455" s="774">
        <v>0</v>
      </c>
      <c r="EA455" s="774">
        <v>0</v>
      </c>
      <c r="EB455" s="774">
        <v>0</v>
      </c>
      <c r="EC455" s="774">
        <v>0</v>
      </c>
      <c r="ED455" s="774">
        <v>0</v>
      </c>
    </row>
    <row r="456" spans="1:135" ht="15" x14ac:dyDescent="0.25">
      <c r="A456" s="766">
        <v>128</v>
      </c>
      <c r="B456" s="766">
        <v>125</v>
      </c>
      <c r="C456" s="766" t="s">
        <v>4127</v>
      </c>
      <c r="D456" s="2">
        <v>99712</v>
      </c>
      <c r="E456" s="2">
        <v>99712</v>
      </c>
      <c r="F456" s="767" t="s">
        <v>3676</v>
      </c>
      <c r="G456" s="114">
        <v>2</v>
      </c>
      <c r="H456" s="114">
        <v>1</v>
      </c>
      <c r="I456" s="114">
        <v>1</v>
      </c>
      <c r="J456" s="114">
        <v>0</v>
      </c>
      <c r="K456" s="114">
        <v>0</v>
      </c>
      <c r="L456" s="114">
        <v>22</v>
      </c>
      <c r="M456" s="114">
        <v>22</v>
      </c>
      <c r="N456" s="114">
        <v>0</v>
      </c>
      <c r="O456" s="114">
        <v>0</v>
      </c>
      <c r="P456" s="114">
        <v>0</v>
      </c>
      <c r="Q456" s="114">
        <v>22</v>
      </c>
      <c r="R456" s="114">
        <v>0</v>
      </c>
      <c r="S456" s="114">
        <v>816.09090909090912</v>
      </c>
      <c r="T456" s="114">
        <v>816.09090909090912</v>
      </c>
      <c r="U456" s="114">
        <v>0</v>
      </c>
      <c r="V456" s="114">
        <v>0</v>
      </c>
      <c r="W456" s="114">
        <v>0</v>
      </c>
      <c r="X456" s="114">
        <v>816.09090909090912</v>
      </c>
      <c r="Y456" s="114">
        <v>0</v>
      </c>
      <c r="Z456" s="114">
        <v>1</v>
      </c>
      <c r="AA456" s="114">
        <v>0</v>
      </c>
      <c r="AB456" s="657">
        <v>0</v>
      </c>
      <c r="AC456" s="657">
        <v>0</v>
      </c>
      <c r="AD456" s="768">
        <v>1</v>
      </c>
      <c r="AE456" s="769">
        <v>0</v>
      </c>
      <c r="AF456" s="769">
        <v>1</v>
      </c>
      <c r="AG456" s="770">
        <v>1</v>
      </c>
      <c r="AH456" s="769">
        <v>0</v>
      </c>
      <c r="AI456" s="769">
        <v>0</v>
      </c>
      <c r="AJ456" s="769">
        <v>0.90911424514573824</v>
      </c>
      <c r="AK456" s="769">
        <v>0.90911424514573824</v>
      </c>
      <c r="AL456" s="769">
        <v>0</v>
      </c>
      <c r="AM456" s="769">
        <v>0</v>
      </c>
      <c r="AN456" s="769">
        <v>0.91245411038790925</v>
      </c>
      <c r="AO456" s="769">
        <v>0.91245411038790925</v>
      </c>
      <c r="AP456" s="769">
        <v>0</v>
      </c>
      <c r="AQ456" s="769">
        <v>0</v>
      </c>
      <c r="AR456" s="769">
        <v>0</v>
      </c>
      <c r="AS456" s="769">
        <v>0.82648871072690544</v>
      </c>
      <c r="AT456" s="769">
        <v>0.86681754733851879</v>
      </c>
      <c r="AU456" s="769">
        <v>0.90911424514573824</v>
      </c>
      <c r="AV456" s="769">
        <v>0.95347482669745309</v>
      </c>
      <c r="AW456" s="769">
        <v>1</v>
      </c>
      <c r="AX456" s="769">
        <v>0.83257250356379087</v>
      </c>
      <c r="AY456" s="769">
        <v>0.87159864792961517</v>
      </c>
      <c r="AZ456" s="769">
        <v>0.91245411038790925</v>
      </c>
      <c r="BA456" s="769">
        <v>0.9552246387043779</v>
      </c>
      <c r="BB456" s="769">
        <v>1</v>
      </c>
      <c r="BC456" s="769">
        <v>0</v>
      </c>
      <c r="BD456" s="769">
        <v>0</v>
      </c>
      <c r="BE456" s="769">
        <v>0</v>
      </c>
      <c r="BF456" s="769">
        <v>0</v>
      </c>
      <c r="BG456" s="769">
        <v>0</v>
      </c>
      <c r="BH456" s="771">
        <v>1.0134066054705759</v>
      </c>
      <c r="BI456" s="771">
        <v>1.0269929480113955</v>
      </c>
      <c r="BJ456" s="771">
        <v>1.040761437286448</v>
      </c>
      <c r="BK456" s="772">
        <v>1.0339188874653549</v>
      </c>
      <c r="BL456" s="772">
        <v>1.0271213244071997</v>
      </c>
      <c r="BM456" s="772">
        <v>1.034494890244499</v>
      </c>
      <c r="BN456" s="772">
        <v>1.0419213899191793</v>
      </c>
      <c r="BO456" s="772">
        <v>1.0494012034361397</v>
      </c>
      <c r="BP456" s="772">
        <v>1.0569347135282832</v>
      </c>
      <c r="BQ456" s="772">
        <v>1.0645223056761002</v>
      </c>
      <c r="BR456" s="772">
        <v>1.0704981347272684</v>
      </c>
      <c r="BS456" s="772">
        <v>1.076507509841923</v>
      </c>
      <c r="BT456" s="772">
        <v>1.0825506193350853</v>
      </c>
      <c r="BU456" s="772">
        <v>1.0886276525789067</v>
      </c>
      <c r="BV456" s="772">
        <v>1.0947388000086022</v>
      </c>
      <c r="BW456" s="771">
        <v>1.0134066054705759</v>
      </c>
      <c r="BX456" s="771">
        <v>1.0269929480113955</v>
      </c>
      <c r="BY456" s="771">
        <v>1.040761437286448</v>
      </c>
      <c r="BZ456" s="772">
        <v>1.0339188874653549</v>
      </c>
      <c r="CA456" s="772">
        <v>1.0271213244071997</v>
      </c>
      <c r="CB456" s="772">
        <v>1.034494890244499</v>
      </c>
      <c r="CC456" s="772">
        <v>1.0419213899191793</v>
      </c>
      <c r="CD456" s="772">
        <v>1.0494012034361397</v>
      </c>
      <c r="CE456" s="772">
        <v>1.0569347135282832</v>
      </c>
      <c r="CF456" s="772">
        <v>1.0645223056761002</v>
      </c>
      <c r="CG456" s="772">
        <v>1.0704981347272684</v>
      </c>
      <c r="CH456" s="772">
        <v>1.076507509841923</v>
      </c>
      <c r="CI456" s="772">
        <v>1.0825506193350853</v>
      </c>
      <c r="CJ456" s="772">
        <v>1.0886276525789067</v>
      </c>
      <c r="CK456" s="772">
        <v>1.0947388000086022</v>
      </c>
      <c r="CL456" s="771">
        <v>0</v>
      </c>
      <c r="CM456" s="771">
        <v>0</v>
      </c>
      <c r="CN456" s="771">
        <v>0</v>
      </c>
      <c r="CO456" s="772">
        <v>0</v>
      </c>
      <c r="CP456" s="772">
        <v>0</v>
      </c>
      <c r="CQ456" s="772">
        <v>0</v>
      </c>
      <c r="CR456" s="772">
        <v>0</v>
      </c>
      <c r="CS456" s="772">
        <v>0</v>
      </c>
      <c r="CT456" s="772">
        <v>0</v>
      </c>
      <c r="CU456" s="772">
        <v>0</v>
      </c>
      <c r="CV456" s="772">
        <v>0</v>
      </c>
      <c r="CW456" s="772">
        <v>0</v>
      </c>
      <c r="CX456" s="772">
        <v>0</v>
      </c>
      <c r="CY456" s="772">
        <v>0</v>
      </c>
      <c r="CZ456" s="772">
        <v>0</v>
      </c>
      <c r="DA456" s="773">
        <v>0</v>
      </c>
      <c r="DB456" s="773">
        <v>0</v>
      </c>
      <c r="DC456" s="773">
        <v>0</v>
      </c>
      <c r="DD456" s="774">
        <v>0</v>
      </c>
      <c r="DE456" s="774">
        <v>0</v>
      </c>
      <c r="DF456" s="774">
        <v>0</v>
      </c>
      <c r="DG456" s="774">
        <v>0</v>
      </c>
      <c r="DH456" s="774">
        <v>0</v>
      </c>
      <c r="DI456" s="774">
        <v>0</v>
      </c>
      <c r="DJ456" s="774">
        <v>0</v>
      </c>
      <c r="DK456" s="774">
        <v>0</v>
      </c>
      <c r="DL456" s="774">
        <v>0</v>
      </c>
      <c r="DM456" s="774">
        <v>0</v>
      </c>
      <c r="DN456" s="774">
        <v>0</v>
      </c>
      <c r="DO456" s="774">
        <v>0</v>
      </c>
      <c r="DP456" s="773">
        <v>0</v>
      </c>
      <c r="DQ456" s="773">
        <v>0</v>
      </c>
      <c r="DR456" s="773">
        <v>0</v>
      </c>
      <c r="DS456" s="774">
        <v>0</v>
      </c>
      <c r="DT456" s="774">
        <v>0</v>
      </c>
      <c r="DU456" s="774">
        <v>0</v>
      </c>
      <c r="DV456" s="774">
        <v>0</v>
      </c>
      <c r="DW456" s="774">
        <v>0</v>
      </c>
      <c r="DX456" s="774">
        <v>0</v>
      </c>
      <c r="DY456" s="774">
        <v>0</v>
      </c>
      <c r="DZ456" s="774">
        <v>0</v>
      </c>
      <c r="EA456" s="774">
        <v>0</v>
      </c>
      <c r="EB456" s="774">
        <v>0</v>
      </c>
      <c r="EC456" s="774">
        <v>0</v>
      </c>
      <c r="ED456" s="774">
        <v>0</v>
      </c>
    </row>
    <row r="457" spans="1:135" ht="15" x14ac:dyDescent="0.25">
      <c r="A457" s="766">
        <v>130</v>
      </c>
      <c r="B457" s="766">
        <v>125</v>
      </c>
      <c r="C457" s="766" t="s">
        <v>4128</v>
      </c>
      <c r="D457" s="2">
        <v>99712</v>
      </c>
      <c r="E457" s="2">
        <v>99712</v>
      </c>
      <c r="F457" s="767" t="s">
        <v>3676</v>
      </c>
      <c r="G457" s="114">
        <v>1</v>
      </c>
      <c r="H457" s="114">
        <v>1</v>
      </c>
      <c r="I457" s="114">
        <v>1</v>
      </c>
      <c r="J457" s="114">
        <v>0</v>
      </c>
      <c r="K457" s="114">
        <v>0</v>
      </c>
      <c r="L457" s="114">
        <v>0</v>
      </c>
      <c r="M457" s="114">
        <v>0</v>
      </c>
      <c r="N457" s="114">
        <v>0</v>
      </c>
      <c r="O457" s="114">
        <v>0</v>
      </c>
      <c r="P457" s="114">
        <v>0</v>
      </c>
      <c r="Q457" s="114">
        <v>0</v>
      </c>
      <c r="R457" s="114">
        <v>0</v>
      </c>
      <c r="S457" s="114">
        <v>834.49503068156923</v>
      </c>
      <c r="T457" s="114">
        <v>834.49503068156923</v>
      </c>
      <c r="U457" s="114">
        <v>1408.3846153846155</v>
      </c>
      <c r="V457" s="114">
        <v>0</v>
      </c>
      <c r="W457" s="114">
        <v>0</v>
      </c>
      <c r="X457" s="114">
        <v>1365.173957061457</v>
      </c>
      <c r="Y457" s="114">
        <v>2.2912335412335411E-2</v>
      </c>
      <c r="Z457" s="114">
        <v>0.97578828828828834</v>
      </c>
      <c r="AA457" s="114">
        <v>1.2993762993762994E-3</v>
      </c>
      <c r="AB457" s="657">
        <v>0</v>
      </c>
      <c r="AC457" s="657">
        <v>0</v>
      </c>
      <c r="AD457" s="768">
        <v>1</v>
      </c>
      <c r="AE457" s="769">
        <v>2.2912335412335411E-2</v>
      </c>
      <c r="AF457" s="769">
        <v>0.97578828828828834</v>
      </c>
      <c r="AG457" s="770">
        <v>0.99870062370062374</v>
      </c>
      <c r="AH457" s="769">
        <v>1.2993762993762994E-3</v>
      </c>
      <c r="AI457" s="769">
        <v>2.0829930512911272E-2</v>
      </c>
      <c r="AJ457" s="769">
        <v>0.8871030331292592</v>
      </c>
      <c r="AK457" s="769">
        <v>0.90793296364217047</v>
      </c>
      <c r="AL457" s="769">
        <v>1.1812815035677471E-3</v>
      </c>
      <c r="AM457" s="769">
        <v>2.0906454625571898E-2</v>
      </c>
      <c r="AN457" s="769">
        <v>0.89036203451703089</v>
      </c>
      <c r="AO457" s="769">
        <v>0.91126848914260283</v>
      </c>
      <c r="AP457" s="769">
        <v>1.1856212453065351E-3</v>
      </c>
      <c r="AQ457" s="769">
        <v>0</v>
      </c>
      <c r="AR457" s="769">
        <v>0</v>
      </c>
      <c r="AS457" s="769">
        <v>0.82541479088448488</v>
      </c>
      <c r="AT457" s="769">
        <v>0.86569122516162356</v>
      </c>
      <c r="AU457" s="769">
        <v>0.90793296364217047</v>
      </c>
      <c r="AV457" s="769">
        <v>0.95223590410559056</v>
      </c>
      <c r="AW457" s="769">
        <v>0.99870062370062374</v>
      </c>
      <c r="AX457" s="769">
        <v>0.83149067858514769</v>
      </c>
      <c r="AY457" s="769">
        <v>0.87046611330392698</v>
      </c>
      <c r="AZ457" s="769">
        <v>0.91126848914260272</v>
      </c>
      <c r="BA457" s="769">
        <v>0.95398344244826516</v>
      </c>
      <c r="BB457" s="769">
        <v>0.99870062370062374</v>
      </c>
      <c r="BC457" s="769">
        <v>0</v>
      </c>
      <c r="BD457" s="769">
        <v>0</v>
      </c>
      <c r="BE457" s="769">
        <v>0</v>
      </c>
      <c r="BF457" s="769">
        <v>0</v>
      </c>
      <c r="BG457" s="769">
        <v>0</v>
      </c>
      <c r="BH457" s="771">
        <v>1.0120898089457961</v>
      </c>
      <c r="BI457" s="771">
        <v>1.0256584977151229</v>
      </c>
      <c r="BJ457" s="771">
        <v>1.0394090965415332</v>
      </c>
      <c r="BK457" s="772">
        <v>1.0325754377675052</v>
      </c>
      <c r="BL457" s="772">
        <v>1.0257867073016811</v>
      </c>
      <c r="BM457" s="772">
        <v>1.0331506921022895</v>
      </c>
      <c r="BN457" s="772">
        <v>1.040567541959305</v>
      </c>
      <c r="BO457" s="772">
        <v>1.0480376363838579</v>
      </c>
      <c r="BP457" s="772">
        <v>1.0555613576115364</v>
      </c>
      <c r="BQ457" s="772">
        <v>1.0631390906219473</v>
      </c>
      <c r="BR457" s="772">
        <v>1.0691071548224773</v>
      </c>
      <c r="BS457" s="772">
        <v>1.0751087214975339</v>
      </c>
      <c r="BT457" s="772">
        <v>1.0811439787174464</v>
      </c>
      <c r="BU457" s="772">
        <v>1.0872131156083003</v>
      </c>
      <c r="BV457" s="772">
        <v>1.0933163223578635</v>
      </c>
      <c r="BW457" s="771">
        <v>1.0120898089457961</v>
      </c>
      <c r="BX457" s="771">
        <v>1.0256584977151229</v>
      </c>
      <c r="BY457" s="771">
        <v>1.0394090965415332</v>
      </c>
      <c r="BZ457" s="772">
        <v>1.0325754377675052</v>
      </c>
      <c r="CA457" s="772">
        <v>1.0257867073016811</v>
      </c>
      <c r="CB457" s="772">
        <v>1.0331506921022895</v>
      </c>
      <c r="CC457" s="772">
        <v>1.040567541959305</v>
      </c>
      <c r="CD457" s="772">
        <v>1.0480376363838579</v>
      </c>
      <c r="CE457" s="772">
        <v>1.0555613576115364</v>
      </c>
      <c r="CF457" s="772">
        <v>1.0631390906219473</v>
      </c>
      <c r="CG457" s="772">
        <v>1.0691071548224773</v>
      </c>
      <c r="CH457" s="772">
        <v>1.0751087214975339</v>
      </c>
      <c r="CI457" s="772">
        <v>1.0811439787174464</v>
      </c>
      <c r="CJ457" s="772">
        <v>1.0872131156083003</v>
      </c>
      <c r="CK457" s="772">
        <v>1.0933163223578635</v>
      </c>
      <c r="CL457" s="771">
        <v>0</v>
      </c>
      <c r="CM457" s="771">
        <v>0</v>
      </c>
      <c r="CN457" s="771">
        <v>0</v>
      </c>
      <c r="CO457" s="772">
        <v>0</v>
      </c>
      <c r="CP457" s="772">
        <v>0</v>
      </c>
      <c r="CQ457" s="772">
        <v>0</v>
      </c>
      <c r="CR457" s="772">
        <v>0</v>
      </c>
      <c r="CS457" s="772">
        <v>0</v>
      </c>
      <c r="CT457" s="772">
        <v>0</v>
      </c>
      <c r="CU457" s="772">
        <v>0</v>
      </c>
      <c r="CV457" s="772">
        <v>0</v>
      </c>
      <c r="CW457" s="772">
        <v>0</v>
      </c>
      <c r="CX457" s="772">
        <v>0</v>
      </c>
      <c r="CY457" s="772">
        <v>0</v>
      </c>
      <c r="CZ457" s="772">
        <v>0</v>
      </c>
      <c r="DA457" s="773">
        <v>1.3167965247798544E-3</v>
      </c>
      <c r="DB457" s="773">
        <v>1.3344502962726033E-3</v>
      </c>
      <c r="DC457" s="773">
        <v>1.3523407449148232E-3</v>
      </c>
      <c r="DD457" s="774">
        <v>1.3434496978499935E-3</v>
      </c>
      <c r="DE457" s="774">
        <v>1.3346171055187107E-3</v>
      </c>
      <c r="DF457" s="774">
        <v>1.3441981422095879E-3</v>
      </c>
      <c r="DG457" s="774">
        <v>1.3538479598741934E-3</v>
      </c>
      <c r="DH457" s="774">
        <v>1.3635670522818863E-3</v>
      </c>
      <c r="DI457" s="774">
        <v>1.3733559167467295E-3</v>
      </c>
      <c r="DJ457" s="774">
        <v>1.3832150541529368E-3</v>
      </c>
      <c r="DK457" s="774">
        <v>1.3909799047911492E-3</v>
      </c>
      <c r="DL457" s="774">
        <v>1.3987883443891929E-3</v>
      </c>
      <c r="DM457" s="774">
        <v>1.4066406176391441E-3</v>
      </c>
      <c r="DN457" s="774">
        <v>1.4145369706066876E-3</v>
      </c>
      <c r="DO457" s="774">
        <v>1.4224776507388284E-3</v>
      </c>
      <c r="DP457" s="773">
        <v>0</v>
      </c>
      <c r="DQ457" s="773">
        <v>0</v>
      </c>
      <c r="DR457" s="773">
        <v>0</v>
      </c>
      <c r="DS457" s="774">
        <v>0</v>
      </c>
      <c r="DT457" s="774">
        <v>0</v>
      </c>
      <c r="DU457" s="774">
        <v>0</v>
      </c>
      <c r="DV457" s="774">
        <v>0</v>
      </c>
      <c r="DW457" s="774">
        <v>0</v>
      </c>
      <c r="DX457" s="774">
        <v>0</v>
      </c>
      <c r="DY457" s="774">
        <v>0</v>
      </c>
      <c r="DZ457" s="774">
        <v>0</v>
      </c>
      <c r="EA457" s="774">
        <v>0</v>
      </c>
      <c r="EB457" s="774">
        <v>0</v>
      </c>
      <c r="EC457" s="774">
        <v>0</v>
      </c>
      <c r="ED457" s="774">
        <v>0</v>
      </c>
    </row>
    <row r="458" spans="1:135" ht="15" x14ac:dyDescent="0.25">
      <c r="A458" s="766">
        <v>135</v>
      </c>
      <c r="B458" s="766">
        <v>129</v>
      </c>
      <c r="C458" s="766" t="s">
        <v>4129</v>
      </c>
      <c r="D458" s="2">
        <v>99712</v>
      </c>
      <c r="E458" s="2">
        <v>99712</v>
      </c>
      <c r="F458" s="767" t="s">
        <v>3676</v>
      </c>
      <c r="G458" s="114">
        <v>20</v>
      </c>
      <c r="H458" s="114">
        <v>30</v>
      </c>
      <c r="I458" s="114">
        <v>13</v>
      </c>
      <c r="J458" s="114">
        <v>17</v>
      </c>
      <c r="K458" s="114">
        <v>0</v>
      </c>
      <c r="L458" s="114">
        <v>0</v>
      </c>
      <c r="M458" s="114">
        <v>0</v>
      </c>
      <c r="N458" s="114">
        <v>0</v>
      </c>
      <c r="O458" s="114">
        <v>0</v>
      </c>
      <c r="P458" s="114">
        <v>0</v>
      </c>
      <c r="Q458" s="114">
        <v>0</v>
      </c>
      <c r="R458" s="114">
        <v>0</v>
      </c>
      <c r="S458" s="114">
        <v>834.49503068156923</v>
      </c>
      <c r="T458" s="114">
        <v>834.49503068156923</v>
      </c>
      <c r="U458" s="114">
        <v>1408.3846153846155</v>
      </c>
      <c r="V458" s="114">
        <v>0</v>
      </c>
      <c r="W458" s="114">
        <v>0</v>
      </c>
      <c r="X458" s="114">
        <v>1365.173957061457</v>
      </c>
      <c r="Y458" s="114">
        <v>0.68737006237006237</v>
      </c>
      <c r="Z458" s="114">
        <v>29.273648648648649</v>
      </c>
      <c r="AA458" s="114">
        <v>3.8981288981288983E-2</v>
      </c>
      <c r="AB458" s="657">
        <v>0</v>
      </c>
      <c r="AC458" s="657">
        <v>0</v>
      </c>
      <c r="AD458" s="768">
        <v>30</v>
      </c>
      <c r="AE458" s="769">
        <v>0.29786036036036034</v>
      </c>
      <c r="AF458" s="769">
        <v>12.685247747747749</v>
      </c>
      <c r="AG458" s="770">
        <v>12.983108108108109</v>
      </c>
      <c r="AH458" s="769">
        <v>1.6891891891891893E-2</v>
      </c>
      <c r="AI458" s="769">
        <v>0.6248979153873383</v>
      </c>
      <c r="AJ458" s="769">
        <v>26.613090993877776</v>
      </c>
      <c r="AK458" s="769">
        <v>27.237988909265116</v>
      </c>
      <c r="AL458" s="769">
        <v>3.5438445107032417E-2</v>
      </c>
      <c r="AM458" s="769">
        <v>0.27178391013243469</v>
      </c>
      <c r="AN458" s="769">
        <v>11.574706448721402</v>
      </c>
      <c r="AO458" s="769">
        <v>11.846490358853837</v>
      </c>
      <c r="AP458" s="769">
        <v>1.5413076188984954E-2</v>
      </c>
      <c r="AQ458" s="769">
        <v>0</v>
      </c>
      <c r="AR458" s="769">
        <v>0</v>
      </c>
      <c r="AS458" s="769">
        <v>24.762443726534542</v>
      </c>
      <c r="AT458" s="769">
        <v>25.970736754848705</v>
      </c>
      <c r="AU458" s="769">
        <v>27.237988909265113</v>
      </c>
      <c r="AV458" s="769">
        <v>28.567077123167714</v>
      </c>
      <c r="AW458" s="769">
        <v>29.96101871101871</v>
      </c>
      <c r="AX458" s="769">
        <v>10.80937882160692</v>
      </c>
      <c r="AY458" s="769">
        <v>11.316059472951052</v>
      </c>
      <c r="AZ458" s="769">
        <v>11.846490358853837</v>
      </c>
      <c r="BA458" s="769">
        <v>12.401784751827448</v>
      </c>
      <c r="BB458" s="769">
        <v>12.983108108108109</v>
      </c>
      <c r="BC458" s="769">
        <v>0</v>
      </c>
      <c r="BD458" s="769">
        <v>0</v>
      </c>
      <c r="BE458" s="769">
        <v>0</v>
      </c>
      <c r="BF458" s="769">
        <v>0</v>
      </c>
      <c r="BG458" s="769">
        <v>0</v>
      </c>
      <c r="BH458" s="771">
        <v>30.362694268373883</v>
      </c>
      <c r="BI458" s="771">
        <v>30.769754931453686</v>
      </c>
      <c r="BJ458" s="771">
        <v>31.182272896245994</v>
      </c>
      <c r="BK458" s="772">
        <v>30.977263133025147</v>
      </c>
      <c r="BL458" s="772">
        <v>30.77360121905043</v>
      </c>
      <c r="BM458" s="772">
        <v>30.994520763068678</v>
      </c>
      <c r="BN458" s="772">
        <v>31.21702625877915</v>
      </c>
      <c r="BO458" s="772">
        <v>31.441129091515734</v>
      </c>
      <c r="BP458" s="772">
        <v>31.666840728346088</v>
      </c>
      <c r="BQ458" s="772">
        <v>31.894172718658417</v>
      </c>
      <c r="BR458" s="772">
        <v>32.073214644674316</v>
      </c>
      <c r="BS458" s="772">
        <v>32.253261644926013</v>
      </c>
      <c r="BT458" s="772">
        <v>32.434319361523386</v>
      </c>
      <c r="BU458" s="772">
        <v>32.616393468249001</v>
      </c>
      <c r="BV458" s="772">
        <v>32.799489670735902</v>
      </c>
      <c r="BW458" s="771">
        <v>13.157167516295349</v>
      </c>
      <c r="BX458" s="771">
        <v>13.333560470296598</v>
      </c>
      <c r="BY458" s="771">
        <v>13.512318255039931</v>
      </c>
      <c r="BZ458" s="772">
        <v>13.423480690977565</v>
      </c>
      <c r="CA458" s="772">
        <v>13.335227194921854</v>
      </c>
      <c r="CB458" s="772">
        <v>13.430958997329761</v>
      </c>
      <c r="CC458" s="772">
        <v>13.527378045470966</v>
      </c>
      <c r="CD458" s="772">
        <v>13.624489272990152</v>
      </c>
      <c r="CE458" s="772">
        <v>13.722297648949972</v>
      </c>
      <c r="CF458" s="772">
        <v>13.820808178085313</v>
      </c>
      <c r="CG458" s="772">
        <v>13.898393012692203</v>
      </c>
      <c r="CH458" s="772">
        <v>13.976413379467939</v>
      </c>
      <c r="CI458" s="772">
        <v>14.054871723326801</v>
      </c>
      <c r="CJ458" s="772">
        <v>14.1337705029079</v>
      </c>
      <c r="CK458" s="772">
        <v>14.213112190652225</v>
      </c>
      <c r="CL458" s="771">
        <v>0</v>
      </c>
      <c r="CM458" s="771">
        <v>0</v>
      </c>
      <c r="CN458" s="771">
        <v>0</v>
      </c>
      <c r="CO458" s="772">
        <v>0</v>
      </c>
      <c r="CP458" s="772">
        <v>0</v>
      </c>
      <c r="CQ458" s="772">
        <v>0</v>
      </c>
      <c r="CR458" s="772">
        <v>0</v>
      </c>
      <c r="CS458" s="772">
        <v>0</v>
      </c>
      <c r="CT458" s="772">
        <v>0</v>
      </c>
      <c r="CU458" s="772">
        <v>0</v>
      </c>
      <c r="CV458" s="772">
        <v>0</v>
      </c>
      <c r="CW458" s="772">
        <v>0</v>
      </c>
      <c r="CX458" s="772">
        <v>0</v>
      </c>
      <c r="CY458" s="772">
        <v>0</v>
      </c>
      <c r="CZ458" s="772">
        <v>0</v>
      </c>
      <c r="DA458" s="773">
        <v>3.9503895743395634E-2</v>
      </c>
      <c r="DB458" s="773">
        <v>4.0033508888178103E-2</v>
      </c>
      <c r="DC458" s="773">
        <v>4.0570222347444701E-2</v>
      </c>
      <c r="DD458" s="774">
        <v>4.0303490935499807E-2</v>
      </c>
      <c r="DE458" s="774">
        <v>4.0038513165561326E-2</v>
      </c>
      <c r="DF458" s="774">
        <v>4.032594426628764E-2</v>
      </c>
      <c r="DG458" s="774">
        <v>4.0615438796225804E-2</v>
      </c>
      <c r="DH458" s="774">
        <v>4.0907011568456594E-2</v>
      </c>
      <c r="DI458" s="774">
        <v>4.1200677502401889E-2</v>
      </c>
      <c r="DJ458" s="774">
        <v>4.1496451624588107E-2</v>
      </c>
      <c r="DK458" s="774">
        <v>4.1729397143734477E-2</v>
      </c>
      <c r="DL458" s="774">
        <v>4.1963650331675796E-2</v>
      </c>
      <c r="DM458" s="774">
        <v>4.2199218529174326E-2</v>
      </c>
      <c r="DN458" s="774">
        <v>4.2436109118200629E-2</v>
      </c>
      <c r="DO458" s="774">
        <v>4.2674329522164857E-2</v>
      </c>
      <c r="DP458" s="773">
        <v>0</v>
      </c>
      <c r="DQ458" s="773">
        <v>0</v>
      </c>
      <c r="DR458" s="773">
        <v>0</v>
      </c>
      <c r="DS458" s="774">
        <v>0</v>
      </c>
      <c r="DT458" s="774">
        <v>0</v>
      </c>
      <c r="DU458" s="774">
        <v>0</v>
      </c>
      <c r="DV458" s="774">
        <v>0</v>
      </c>
      <c r="DW458" s="774">
        <v>0</v>
      </c>
      <c r="DX458" s="774">
        <v>0</v>
      </c>
      <c r="DY458" s="774">
        <v>0</v>
      </c>
      <c r="DZ458" s="774">
        <v>0</v>
      </c>
      <c r="EA458" s="774">
        <v>0</v>
      </c>
      <c r="EB458" s="774">
        <v>0</v>
      </c>
      <c r="EC458" s="774">
        <v>0</v>
      </c>
      <c r="ED458" s="774">
        <v>0</v>
      </c>
    </row>
    <row r="459" spans="1:135" ht="15" x14ac:dyDescent="0.25">
      <c r="A459" s="776">
        <v>157</v>
      </c>
      <c r="B459" s="776">
        <v>134</v>
      </c>
      <c r="C459" s="776" t="s">
        <v>4130</v>
      </c>
      <c r="D459" s="44">
        <v>99712</v>
      </c>
      <c r="E459" s="44">
        <v>99712</v>
      </c>
      <c r="F459" s="777" t="s">
        <v>3676</v>
      </c>
      <c r="G459" s="245">
        <v>2</v>
      </c>
      <c r="H459" s="245">
        <v>2</v>
      </c>
      <c r="I459" s="245">
        <v>1</v>
      </c>
      <c r="J459" s="245">
        <v>1</v>
      </c>
      <c r="K459" s="245">
        <v>0</v>
      </c>
      <c r="L459" s="245">
        <v>0</v>
      </c>
      <c r="M459" s="245">
        <v>0</v>
      </c>
      <c r="N459" s="245">
        <v>0</v>
      </c>
      <c r="O459" s="245">
        <v>0</v>
      </c>
      <c r="P459" s="245">
        <v>0</v>
      </c>
      <c r="Q459" s="245">
        <v>0</v>
      </c>
      <c r="R459" s="245">
        <v>0</v>
      </c>
      <c r="S459" s="245">
        <v>834.49503068156923</v>
      </c>
      <c r="T459" s="245">
        <v>834.49503068156923</v>
      </c>
      <c r="U459" s="245">
        <v>1408.3846153846155</v>
      </c>
      <c r="V459" s="245">
        <v>0</v>
      </c>
      <c r="W459" s="245">
        <v>0</v>
      </c>
      <c r="X459" s="245">
        <v>1365.173957061457</v>
      </c>
      <c r="Y459" s="245">
        <v>4.5824670824670823E-2</v>
      </c>
      <c r="Z459" s="245">
        <v>1.9515765765765767</v>
      </c>
      <c r="AA459" s="245">
        <v>2.5987525987525989E-3</v>
      </c>
      <c r="AB459" s="778">
        <v>0</v>
      </c>
      <c r="AC459" s="778">
        <v>0</v>
      </c>
      <c r="AD459" s="779">
        <v>2</v>
      </c>
      <c r="AE459" s="780">
        <v>2.2912335412335411E-2</v>
      </c>
      <c r="AF459" s="780">
        <v>0.97578828828828834</v>
      </c>
      <c r="AG459" s="781">
        <v>0.99870062370062374</v>
      </c>
      <c r="AH459" s="780">
        <v>1.2993762993762994E-3</v>
      </c>
      <c r="AI459" s="780">
        <v>4.1659861025822545E-2</v>
      </c>
      <c r="AJ459" s="780">
        <v>1.7742060662585184</v>
      </c>
      <c r="AK459" s="780">
        <v>1.8158659272843409</v>
      </c>
      <c r="AL459" s="780">
        <v>2.3625630071354943E-3</v>
      </c>
      <c r="AM459" s="780">
        <v>2.0906454625571898E-2</v>
      </c>
      <c r="AN459" s="780">
        <v>0.89036203451703089</v>
      </c>
      <c r="AO459" s="780">
        <v>0.91126848914260283</v>
      </c>
      <c r="AP459" s="780">
        <v>1.1856212453065351E-3</v>
      </c>
      <c r="AQ459" s="780">
        <v>0</v>
      </c>
      <c r="AR459" s="780">
        <v>0</v>
      </c>
      <c r="AS459" s="780">
        <v>1.6508295817689698</v>
      </c>
      <c r="AT459" s="780">
        <v>1.7313824503232471</v>
      </c>
      <c r="AU459" s="780">
        <v>1.8158659272843409</v>
      </c>
      <c r="AV459" s="780">
        <v>1.9044718082111811</v>
      </c>
      <c r="AW459" s="780">
        <v>1.9974012474012475</v>
      </c>
      <c r="AX459" s="780">
        <v>0.83149067858514769</v>
      </c>
      <c r="AY459" s="780">
        <v>0.87046611330392698</v>
      </c>
      <c r="AZ459" s="780">
        <v>0.91126848914260272</v>
      </c>
      <c r="BA459" s="780">
        <v>0.95398344244826516</v>
      </c>
      <c r="BB459" s="780">
        <v>0.99870062370062374</v>
      </c>
      <c r="BC459" s="780">
        <v>0</v>
      </c>
      <c r="BD459" s="780">
        <v>0</v>
      </c>
      <c r="BE459" s="780">
        <v>0</v>
      </c>
      <c r="BF459" s="780">
        <v>0</v>
      </c>
      <c r="BG459" s="780">
        <v>0</v>
      </c>
      <c r="BH459" s="782">
        <v>2.0241796178915923</v>
      </c>
      <c r="BI459" s="782">
        <v>2.0513169954302457</v>
      </c>
      <c r="BJ459" s="782">
        <v>2.0788181930830665</v>
      </c>
      <c r="BK459" s="783">
        <v>2.0651508755350103</v>
      </c>
      <c r="BL459" s="783">
        <v>2.0515734146033622</v>
      </c>
      <c r="BM459" s="783">
        <v>2.066301384204579</v>
      </c>
      <c r="BN459" s="783">
        <v>2.08113508391861</v>
      </c>
      <c r="BO459" s="783">
        <v>2.0960752727677159</v>
      </c>
      <c r="BP459" s="783">
        <v>2.1111227152230727</v>
      </c>
      <c r="BQ459" s="783">
        <v>2.1262781812438947</v>
      </c>
      <c r="BR459" s="783">
        <v>2.1382143096449546</v>
      </c>
      <c r="BS459" s="783">
        <v>2.1502174429950678</v>
      </c>
      <c r="BT459" s="783">
        <v>2.1622879574348928</v>
      </c>
      <c r="BU459" s="783">
        <v>2.1744262312166005</v>
      </c>
      <c r="BV459" s="783">
        <v>2.1866326447157269</v>
      </c>
      <c r="BW459" s="782">
        <v>1.0120898089457961</v>
      </c>
      <c r="BX459" s="782">
        <v>1.0256584977151229</v>
      </c>
      <c r="BY459" s="782">
        <v>1.0394090965415332</v>
      </c>
      <c r="BZ459" s="783">
        <v>1.0325754377675052</v>
      </c>
      <c r="CA459" s="783">
        <v>1.0257867073016811</v>
      </c>
      <c r="CB459" s="783">
        <v>1.0331506921022895</v>
      </c>
      <c r="CC459" s="783">
        <v>1.040567541959305</v>
      </c>
      <c r="CD459" s="783">
        <v>1.0480376363838579</v>
      </c>
      <c r="CE459" s="783">
        <v>1.0555613576115364</v>
      </c>
      <c r="CF459" s="783">
        <v>1.0631390906219473</v>
      </c>
      <c r="CG459" s="783">
        <v>1.0691071548224773</v>
      </c>
      <c r="CH459" s="783">
        <v>1.0751087214975339</v>
      </c>
      <c r="CI459" s="783">
        <v>1.0811439787174464</v>
      </c>
      <c r="CJ459" s="783">
        <v>1.0872131156083003</v>
      </c>
      <c r="CK459" s="783">
        <v>1.0933163223578635</v>
      </c>
      <c r="CL459" s="782">
        <v>0</v>
      </c>
      <c r="CM459" s="782">
        <v>0</v>
      </c>
      <c r="CN459" s="782">
        <v>0</v>
      </c>
      <c r="CO459" s="783">
        <v>0</v>
      </c>
      <c r="CP459" s="783">
        <v>0</v>
      </c>
      <c r="CQ459" s="783">
        <v>0</v>
      </c>
      <c r="CR459" s="783">
        <v>0</v>
      </c>
      <c r="CS459" s="783">
        <v>0</v>
      </c>
      <c r="CT459" s="783">
        <v>0</v>
      </c>
      <c r="CU459" s="783">
        <v>0</v>
      </c>
      <c r="CV459" s="783">
        <v>0</v>
      </c>
      <c r="CW459" s="783">
        <v>0</v>
      </c>
      <c r="CX459" s="783">
        <v>0</v>
      </c>
      <c r="CY459" s="783">
        <v>0</v>
      </c>
      <c r="CZ459" s="783">
        <v>0</v>
      </c>
      <c r="DA459" s="784">
        <v>2.6335930495597088E-3</v>
      </c>
      <c r="DB459" s="784">
        <v>2.6689005925452066E-3</v>
      </c>
      <c r="DC459" s="784">
        <v>2.7046814898296465E-3</v>
      </c>
      <c r="DD459" s="785">
        <v>2.6868993956999871E-3</v>
      </c>
      <c r="DE459" s="785">
        <v>2.6692342110374214E-3</v>
      </c>
      <c r="DF459" s="785">
        <v>2.6883962844191757E-3</v>
      </c>
      <c r="DG459" s="785">
        <v>2.7076959197483868E-3</v>
      </c>
      <c r="DH459" s="785">
        <v>2.7271341045637726E-3</v>
      </c>
      <c r="DI459" s="785">
        <v>2.7467118334934589E-3</v>
      </c>
      <c r="DJ459" s="785">
        <v>2.7664301083058737E-3</v>
      </c>
      <c r="DK459" s="785">
        <v>2.7819598095822984E-3</v>
      </c>
      <c r="DL459" s="785">
        <v>2.7975766887783859E-3</v>
      </c>
      <c r="DM459" s="785">
        <v>2.8132812352782881E-3</v>
      </c>
      <c r="DN459" s="785">
        <v>2.8290739412133751E-3</v>
      </c>
      <c r="DO459" s="785">
        <v>2.8449553014776568E-3</v>
      </c>
      <c r="DP459" s="784">
        <v>0</v>
      </c>
      <c r="DQ459" s="784">
        <v>0</v>
      </c>
      <c r="DR459" s="784">
        <v>0</v>
      </c>
      <c r="DS459" s="785">
        <v>0</v>
      </c>
      <c r="DT459" s="785">
        <v>0</v>
      </c>
      <c r="DU459" s="785">
        <v>0</v>
      </c>
      <c r="DV459" s="785">
        <v>0</v>
      </c>
      <c r="DW459" s="785">
        <v>0</v>
      </c>
      <c r="DX459" s="785">
        <v>0</v>
      </c>
      <c r="DY459" s="785">
        <v>0</v>
      </c>
      <c r="DZ459" s="785">
        <v>0</v>
      </c>
      <c r="EA459" s="785">
        <v>0</v>
      </c>
      <c r="EB459" s="785">
        <v>0</v>
      </c>
      <c r="EC459" s="785">
        <v>0</v>
      </c>
      <c r="ED459" s="785">
        <v>0</v>
      </c>
    </row>
    <row r="460" spans="1:135" ht="15" x14ac:dyDescent="0.25">
      <c r="A460"/>
      <c r="B460"/>
      <c r="C460" s="71" t="s">
        <v>2462</v>
      </c>
      <c r="D460" s="71"/>
      <c r="E460" s="71"/>
      <c r="F460" s="755">
        <v>244</v>
      </c>
      <c r="G460" s="244">
        <v>97581</v>
      </c>
      <c r="H460" s="244">
        <v>41783</v>
      </c>
      <c r="I460" s="244">
        <v>36441</v>
      </c>
      <c r="J460" s="244">
        <v>5342</v>
      </c>
      <c r="K460" s="244">
        <v>529</v>
      </c>
      <c r="L460" s="244">
        <v>22529</v>
      </c>
      <c r="M460" s="244">
        <v>23058</v>
      </c>
      <c r="N460" s="244">
        <v>1668</v>
      </c>
      <c r="O460" s="244">
        <v>30</v>
      </c>
      <c r="P460" s="244">
        <v>45</v>
      </c>
      <c r="Q460" s="244">
        <v>24801</v>
      </c>
      <c r="R460" s="244">
        <v>8059.2098298676747</v>
      </c>
      <c r="S460" s="244">
        <v>2191.4200807847665</v>
      </c>
      <c r="T460" s="244">
        <v>2273.1421409939667</v>
      </c>
      <c r="U460" s="244">
        <v>9867.815347721822</v>
      </c>
      <c r="V460" s="244">
        <v>4421.5</v>
      </c>
      <c r="W460" s="244">
        <v>22620.711111111112</v>
      </c>
      <c r="X460" s="244">
        <v>2796.2527475896877</v>
      </c>
      <c r="Y460" s="244">
        <v>1723.0790522968232</v>
      </c>
      <c r="Z460" s="244">
        <v>39958.78813928843</v>
      </c>
      <c r="AA460" s="244">
        <v>101.13280841474675</v>
      </c>
      <c r="AB460" s="786">
        <v>1668</v>
      </c>
      <c r="AC460" s="786">
        <v>45</v>
      </c>
      <c r="AD460" s="787">
        <v>43496</v>
      </c>
      <c r="AE460" s="244">
        <v>1455.6729814296343</v>
      </c>
      <c r="AF460" s="244">
        <v>34899.769602710629</v>
      </c>
      <c r="AG460" s="788">
        <v>36355.442584140263</v>
      </c>
      <c r="AH460" s="244">
        <v>85.557415859728692</v>
      </c>
      <c r="AI460" s="244">
        <v>1643.9067438153506</v>
      </c>
      <c r="AJ460" s="244">
        <v>38014.835934217743</v>
      </c>
      <c r="AK460" s="244">
        <v>39658.742678033093</v>
      </c>
      <c r="AL460" s="244">
        <v>99.92567161211872</v>
      </c>
      <c r="AM460" s="244">
        <v>1398.3635072844274</v>
      </c>
      <c r="AN460" s="244">
        <v>33353.505137145046</v>
      </c>
      <c r="AO460" s="244">
        <v>34751.868644429473</v>
      </c>
      <c r="AP460" s="244">
        <v>84.779842969035542</v>
      </c>
      <c r="AQ460" s="244">
        <v>1617.0074941395769</v>
      </c>
      <c r="AR460" s="244">
        <v>44.767575530227653</v>
      </c>
      <c r="AS460" s="244">
        <v>37787.114195794493</v>
      </c>
      <c r="AT460" s="244">
        <v>38704.569597861955</v>
      </c>
      <c r="AU460" s="244">
        <v>39658.742678033064</v>
      </c>
      <c r="AV460" s="244">
        <v>40650.774187393195</v>
      </c>
      <c r="AW460" s="244">
        <v>41681.867191585196</v>
      </c>
      <c r="AX460" s="244">
        <v>33274.729572709875</v>
      </c>
      <c r="AY460" s="244">
        <v>33997.809701671242</v>
      </c>
      <c r="AZ460" s="244">
        <v>34751.86864442948</v>
      </c>
      <c r="BA460" s="244">
        <v>35537.520282353558</v>
      </c>
      <c r="BB460" s="244">
        <v>36355.442584140248</v>
      </c>
      <c r="BC460" s="244">
        <v>1568.4694983924705</v>
      </c>
      <c r="BD460" s="244">
        <v>1592.4401435542591</v>
      </c>
      <c r="BE460" s="244">
        <v>1617.0074941395769</v>
      </c>
      <c r="BF460" s="244">
        <v>1642.1883466948743</v>
      </c>
      <c r="BG460" s="244">
        <v>1668</v>
      </c>
      <c r="BH460" s="244">
        <v>42184.122437038641</v>
      </c>
      <c r="BI460" s="244">
        <v>42693.961884089709</v>
      </c>
      <c r="BJ460" s="244">
        <v>43211.520118765708</v>
      </c>
      <c r="BK460" s="531">
        <v>43492.345704192732</v>
      </c>
      <c r="BL460" s="531">
        <v>43773.504408190929</v>
      </c>
      <c r="BM460" s="531">
        <v>44159.597672946467</v>
      </c>
      <c r="BN460" s="531">
        <v>44546.082902874114</v>
      </c>
      <c r="BO460" s="531">
        <v>44993.443877491911</v>
      </c>
      <c r="BP460" s="531">
        <v>45441.202465212598</v>
      </c>
      <c r="BQ460" s="531">
        <v>46584.052600311741</v>
      </c>
      <c r="BR460" s="531">
        <v>47922.989982291612</v>
      </c>
      <c r="BS460" s="531">
        <v>48535.96006654713</v>
      </c>
      <c r="BT460" s="531">
        <v>48892.88790105837</v>
      </c>
      <c r="BU460" s="531">
        <v>49261.178770593287</v>
      </c>
      <c r="BV460" s="531">
        <v>49637.500534491941</v>
      </c>
      <c r="BW460" s="244">
        <v>36799.021318671854</v>
      </c>
      <c r="BX460" s="244">
        <v>37249.374060835311</v>
      </c>
      <c r="BY460" s="244">
        <v>37706.621947830106</v>
      </c>
      <c r="BZ460" s="531">
        <v>37965.816543091001</v>
      </c>
      <c r="CA460" s="531">
        <v>38225.260139804341</v>
      </c>
      <c r="CB460" s="531">
        <v>38563.140846596994</v>
      </c>
      <c r="CC460" s="531">
        <v>38901.314541849613</v>
      </c>
      <c r="CD460" s="531">
        <v>39293.983461666619</v>
      </c>
      <c r="CE460" s="531">
        <v>39686.94959169237</v>
      </c>
      <c r="CF460" s="531">
        <v>40702.763153235588</v>
      </c>
      <c r="CG460" s="531">
        <v>41896.074779974522</v>
      </c>
      <c r="CH460" s="531">
        <v>42438.773177208932</v>
      </c>
      <c r="CI460" s="531">
        <v>42751.981926971814</v>
      </c>
      <c r="CJ460" s="531">
        <v>43075.336327126483</v>
      </c>
      <c r="CK460" s="531">
        <v>43405.850066937506</v>
      </c>
      <c r="CL460" s="244">
        <v>1692.4690545722417</v>
      </c>
      <c r="CM460" s="244">
        <v>1717.3556270726835</v>
      </c>
      <c r="CN460" s="244">
        <v>1742.6675394014253</v>
      </c>
      <c r="CO460" s="531">
        <v>1777.5515002930695</v>
      </c>
      <c r="CP460" s="531">
        <v>1812.4395742072984</v>
      </c>
      <c r="CQ460" s="531">
        <v>1848.6232775335832</v>
      </c>
      <c r="CR460" s="531">
        <v>1884.811820462779</v>
      </c>
      <c r="CS460" s="531">
        <v>1927.4940447495592</v>
      </c>
      <c r="CT460" s="531">
        <v>1970.181178374379</v>
      </c>
      <c r="CU460" s="531">
        <v>2087.3064149296451</v>
      </c>
      <c r="CV460" s="531">
        <v>2226.5729593863289</v>
      </c>
      <c r="CW460" s="531">
        <v>2288.0316851931607</v>
      </c>
      <c r="CX460" s="531">
        <v>2322.0329058786269</v>
      </c>
      <c r="CY460" s="531">
        <v>2357.2278135108163</v>
      </c>
      <c r="CZ460" s="531">
        <v>2393.2592498847657</v>
      </c>
      <c r="DA460" s="244">
        <v>102.43246808374707</v>
      </c>
      <c r="DB460" s="244">
        <v>103.74927950089808</v>
      </c>
      <c r="DC460" s="244">
        <v>105.08347126371459</v>
      </c>
      <c r="DD460" s="531">
        <v>105.85634389860192</v>
      </c>
      <c r="DE460" s="531">
        <v>106.62940022828539</v>
      </c>
      <c r="DF460" s="531">
        <v>107.46032163789667</v>
      </c>
      <c r="DG460" s="531">
        <v>108.29145919265447</v>
      </c>
      <c r="DH460" s="531">
        <v>109.26891026941541</v>
      </c>
      <c r="DI460" s="531">
        <v>110.24658060581602</v>
      </c>
      <c r="DJ460" s="531">
        <v>112.90266581827041</v>
      </c>
      <c r="DK460" s="531">
        <v>116.05469719975815</v>
      </c>
      <c r="DL460" s="531">
        <v>117.45251618581557</v>
      </c>
      <c r="DM460" s="531">
        <v>118.23133759751533</v>
      </c>
      <c r="DN460" s="531">
        <v>119.037140853209</v>
      </c>
      <c r="DO460" s="531">
        <v>119.86187373363805</v>
      </c>
      <c r="DP460" s="244">
        <v>45.541755641191791</v>
      </c>
      <c r="DQ460" s="244">
        <v>46.090498420310297</v>
      </c>
      <c r="DR460" s="244">
        <v>46.646320809758933</v>
      </c>
      <c r="DS460" s="531">
        <v>47.002444682383391</v>
      </c>
      <c r="DT460" s="531">
        <v>47.358568555007864</v>
      </c>
      <c r="DU460" s="531">
        <v>47.714692427632336</v>
      </c>
      <c r="DV460" s="531">
        <v>48.070816300256794</v>
      </c>
      <c r="DW460" s="531">
        <v>48.491909422126056</v>
      </c>
      <c r="DX460" s="531">
        <v>48.913002543995326</v>
      </c>
      <c r="DY460" s="531">
        <v>50.080393562373601</v>
      </c>
      <c r="DZ460" s="531">
        <v>51.471260056191007</v>
      </c>
      <c r="EA460" s="531">
        <v>52.081962150217983</v>
      </c>
      <c r="EB460" s="531">
        <v>52.417332919649354</v>
      </c>
      <c r="EC460" s="531">
        <v>52.764640994836633</v>
      </c>
      <c r="ED460" s="531">
        <v>53.120305184053088</v>
      </c>
    </row>
    <row r="461" spans="1:135" ht="15" x14ac:dyDescent="0.25">
      <c r="Z461" s="244">
        <v>41783</v>
      </c>
      <c r="AD461" s="789"/>
      <c r="AG461" s="244">
        <v>36440.999999999993</v>
      </c>
      <c r="AO461" s="789"/>
      <c r="BV461" s="790">
        <v>1.1487098902807538</v>
      </c>
      <c r="CK461" s="790">
        <v>1.1511466109850068</v>
      </c>
      <c r="CZ461" s="790">
        <v>1.3733309399375206</v>
      </c>
      <c r="DO461" s="790">
        <v>1.1406348904561403</v>
      </c>
      <c r="ED461" s="790">
        <v>1.1387887460770481</v>
      </c>
      <c r="EE461" s="326"/>
    </row>
    <row r="462" spans="1:135" ht="15" x14ac:dyDescent="0.25">
      <c r="C462" s="791" t="s">
        <v>4131</v>
      </c>
      <c r="G462" s="244">
        <v>85961</v>
      </c>
      <c r="H462" s="244">
        <v>35685</v>
      </c>
      <c r="I462" s="244">
        <v>32093</v>
      </c>
      <c r="J462" s="244">
        <v>3592</v>
      </c>
      <c r="K462" s="244">
        <v>511</v>
      </c>
      <c r="L462" s="244">
        <v>20198</v>
      </c>
      <c r="M462" s="244">
        <v>20709</v>
      </c>
      <c r="N462" s="244">
        <v>1609</v>
      </c>
      <c r="O462" s="244">
        <v>30</v>
      </c>
      <c r="P462" s="244">
        <v>45</v>
      </c>
      <c r="Q462" s="244">
        <v>22393</v>
      </c>
      <c r="R462" s="244">
        <v>774104.65070895897</v>
      </c>
      <c r="S462" s="244">
        <v>496285.48631449911</v>
      </c>
      <c r="T462" s="244">
        <v>506880.16903114202</v>
      </c>
      <c r="U462" s="244">
        <v>1038454.0093164516</v>
      </c>
      <c r="V462" s="244">
        <v>42947.482758620688</v>
      </c>
      <c r="W462" s="244">
        <v>57842.808270676687</v>
      </c>
      <c r="X462" s="244">
        <v>681270.88641935075</v>
      </c>
      <c r="Y462" s="244">
        <v>1614.7303807280366</v>
      </c>
      <c r="Z462" s="244">
        <v>33973.070022915424</v>
      </c>
      <c r="AA462" s="244">
        <v>97.199596356534698</v>
      </c>
      <c r="AB462" s="244">
        <v>1609</v>
      </c>
      <c r="AC462" s="244">
        <v>45</v>
      </c>
      <c r="AD462" s="244">
        <v>37339</v>
      </c>
      <c r="AE462" s="244">
        <v>1375.7899408732408</v>
      </c>
      <c r="AF462" s="244">
        <v>30634.166936406324</v>
      </c>
      <c r="AG462" s="244">
        <v>32009.956877279561</v>
      </c>
      <c r="AH462" s="244">
        <v>83.043122720435534</v>
      </c>
      <c r="AI462" s="244">
        <v>1539.7239581564361</v>
      </c>
      <c r="AJ462" s="244">
        <v>32299.303057306934</v>
      </c>
      <c r="AK462" s="244">
        <v>33839.027015463354</v>
      </c>
      <c r="AL462" s="244">
        <v>96.069119500122966</v>
      </c>
      <c r="AM462" s="244">
        <v>1320.487652482529</v>
      </c>
      <c r="AN462" s="244">
        <v>29225.099575527911</v>
      </c>
      <c r="AO462" s="244">
        <v>30545.587228010445</v>
      </c>
      <c r="AP462" s="244">
        <v>82.243376244827985</v>
      </c>
      <c r="AQ462" s="244">
        <v>1561.484430255754</v>
      </c>
      <c r="AR462" s="244">
        <v>44.767575530227653</v>
      </c>
      <c r="AS462" s="244">
        <v>32202.168529267714</v>
      </c>
      <c r="AT462" s="244">
        <v>33007.122377380947</v>
      </c>
      <c r="AU462" s="244">
        <v>33839.027015463354</v>
      </c>
      <c r="AV462" s="244">
        <v>34698.900101202169</v>
      </c>
      <c r="AW462" s="244">
        <v>35587.800403643458</v>
      </c>
      <c r="AX462" s="244">
        <v>29172.306855156905</v>
      </c>
      <c r="AY462" s="244">
        <v>29847.960737788013</v>
      </c>
      <c r="AZ462" s="244">
        <v>30545.587228010441</v>
      </c>
      <c r="BA462" s="244">
        <v>31265.978412635606</v>
      </c>
      <c r="BB462" s="244">
        <v>32009.956877279561</v>
      </c>
      <c r="BC462" s="244">
        <v>1516.2064183560797</v>
      </c>
      <c r="BD462" s="244">
        <v>1538.5732906351541</v>
      </c>
      <c r="BE462" s="244">
        <v>1561.484430255754</v>
      </c>
      <c r="BF462" s="244">
        <v>1584.9548493321872</v>
      </c>
      <c r="BG462" s="244">
        <v>1609</v>
      </c>
      <c r="BH462" s="244">
        <v>36031.408028875012</v>
      </c>
      <c r="BI462" s="244">
        <v>36481.925371155972</v>
      </c>
      <c r="BJ462" s="244">
        <v>36939.478074157225</v>
      </c>
      <c r="BK462" s="244">
        <v>37231.887346153853</v>
      </c>
      <c r="BL462" s="244">
        <v>37524.431438708038</v>
      </c>
      <c r="BM462" s="244">
        <v>37859.444901676361</v>
      </c>
      <c r="BN462" s="244">
        <v>38194.617001741535</v>
      </c>
      <c r="BO462" s="244">
        <v>38587.040628010123</v>
      </c>
      <c r="BP462" s="244">
        <v>38979.625177219874</v>
      </c>
      <c r="BQ462" s="244">
        <v>40028.131169260756</v>
      </c>
      <c r="BR462" s="244">
        <v>41268.171006382319</v>
      </c>
      <c r="BS462" s="244">
        <v>41822.794088063529</v>
      </c>
      <c r="BT462" s="244">
        <v>42135.589280588676</v>
      </c>
      <c r="BU462" s="244">
        <v>42458.975248070703</v>
      </c>
      <c r="BV462" s="244">
        <v>42789.805828501587</v>
      </c>
      <c r="BW462" s="244">
        <v>32410.710036832301</v>
      </c>
      <c r="BX462" s="244">
        <v>32817.725965581965</v>
      </c>
      <c r="BY462" s="244">
        <v>33231.118725223052</v>
      </c>
      <c r="BZ462" s="244">
        <v>33493.374682769812</v>
      </c>
      <c r="CA462" s="244">
        <v>33755.751059495109</v>
      </c>
      <c r="CB462" s="244">
        <v>34056.060276680357</v>
      </c>
      <c r="CC462" s="244">
        <v>34356.51118552783</v>
      </c>
      <c r="CD462" s="244">
        <v>34708.295464717623</v>
      </c>
      <c r="CE462" s="792">
        <v>35060.223477242536</v>
      </c>
      <c r="CF462" s="244">
        <v>36000.27472521396</v>
      </c>
      <c r="CG462" s="244">
        <v>37112.079106293444</v>
      </c>
      <c r="CH462" s="244">
        <v>37609.312739387911</v>
      </c>
      <c r="CI462" s="244">
        <v>37889.714056929617</v>
      </c>
      <c r="CJ462" s="244">
        <v>38179.611109584381</v>
      </c>
      <c r="CK462" s="244">
        <v>38476.182928384085</v>
      </c>
      <c r="CL462" s="244">
        <v>1632.7483813699484</v>
      </c>
      <c r="CM462" s="244">
        <v>1656.9045855039067</v>
      </c>
      <c r="CN462" s="244">
        <v>1681.476291599585</v>
      </c>
      <c r="CO462" s="244">
        <v>1716.4263708145834</v>
      </c>
      <c r="CP462" s="244">
        <v>1751.3788179209994</v>
      </c>
      <c r="CQ462" s="244">
        <v>1787.0771665394652</v>
      </c>
      <c r="CR462" s="244">
        <v>1822.7783013459384</v>
      </c>
      <c r="CS462" s="244">
        <v>1864.9346867863435</v>
      </c>
      <c r="CT462" s="244">
        <v>1907.0938985616808</v>
      </c>
      <c r="CU462" s="244">
        <v>2023.27142066294</v>
      </c>
      <c r="CV462" s="244">
        <v>2161.5276976038731</v>
      </c>
      <c r="CW462" s="244">
        <v>2222.4115039263284</v>
      </c>
      <c r="CX462" s="244">
        <v>2255.9905963857627</v>
      </c>
      <c r="CY462" s="244">
        <v>2290.7553786407575</v>
      </c>
      <c r="CZ462" s="244">
        <v>2326.3506894522206</v>
      </c>
      <c r="DA462" s="244">
        <v>98.468818497451934</v>
      </c>
      <c r="DB462" s="244">
        <v>99.754906666117947</v>
      </c>
      <c r="DC462" s="244">
        <v>101.05808637483767</v>
      </c>
      <c r="DD462" s="244">
        <v>101.84549135884315</v>
      </c>
      <c r="DE462" s="244">
        <v>102.63292509851692</v>
      </c>
      <c r="DF462" s="244">
        <v>103.42941706454246</v>
      </c>
      <c r="DG462" s="244">
        <v>104.22594286602906</v>
      </c>
      <c r="DH462" s="244">
        <v>105.16695043854551</v>
      </c>
      <c r="DI462" s="244">
        <v>106.1079923340673</v>
      </c>
      <c r="DJ462" s="244">
        <v>108.70833084137864</v>
      </c>
      <c r="DK462" s="244">
        <v>111.80449749840577</v>
      </c>
      <c r="DL462" s="244">
        <v>113.16612734543388</v>
      </c>
      <c r="DM462" s="244">
        <v>113.91562800703515</v>
      </c>
      <c r="DN462" s="244">
        <v>114.69169085146456</v>
      </c>
      <c r="DO462" s="244">
        <v>115.48635385084822</v>
      </c>
      <c r="DP462" s="244">
        <v>45.541755641191791</v>
      </c>
      <c r="DQ462" s="244">
        <v>46.090498420310297</v>
      </c>
      <c r="DR462" s="244">
        <v>46.646320809758933</v>
      </c>
      <c r="DS462" s="244">
        <v>47.002444682383391</v>
      </c>
      <c r="DT462" s="244">
        <v>47.358568555007864</v>
      </c>
      <c r="DU462" s="244">
        <v>47.714692427632336</v>
      </c>
      <c r="DV462" s="244">
        <v>48.070816300256794</v>
      </c>
      <c r="DW462" s="244">
        <v>48.491909422126056</v>
      </c>
      <c r="DX462" s="244">
        <v>48.913002543995326</v>
      </c>
      <c r="DY462" s="244">
        <v>50.080393562373601</v>
      </c>
      <c r="DZ462" s="244">
        <v>51.471260056191007</v>
      </c>
      <c r="EA462" s="244">
        <v>52.081962150217983</v>
      </c>
      <c r="EB462" s="244">
        <v>52.417332919649354</v>
      </c>
      <c r="EC462" s="244">
        <v>52.764640994836633</v>
      </c>
      <c r="ED462" s="244">
        <v>53.120305184053088</v>
      </c>
    </row>
  </sheetData>
  <mergeCells count="20">
    <mergeCell ref="DA4:DO4"/>
    <mergeCell ref="DP4:ED4"/>
    <mergeCell ref="AM4:AP4"/>
    <mergeCell ref="AQ4:AR4"/>
    <mergeCell ref="AS4:AW4"/>
    <mergeCell ref="AX4:BB4"/>
    <mergeCell ref="BC4:BG4"/>
    <mergeCell ref="BH4:BV4"/>
    <mergeCell ref="A1:X1"/>
    <mergeCell ref="AI1:AR1"/>
    <mergeCell ref="AS1:BG1"/>
    <mergeCell ref="BH1:CZ1"/>
    <mergeCell ref="G4:J4"/>
    <mergeCell ref="K4:Q4"/>
    <mergeCell ref="R4:X4"/>
    <mergeCell ref="Y4:AD4"/>
    <mergeCell ref="AE4:AH4"/>
    <mergeCell ref="AI4:AL4"/>
    <mergeCell ref="BW4:CK4"/>
    <mergeCell ref="CL4:CZ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AE84"/>
  <sheetViews>
    <sheetView zoomScale="84" zoomScaleNormal="84" workbookViewId="0">
      <pane ySplit="5" topLeftCell="A6" activePane="bottomLeft" state="frozen"/>
      <selection activeCell="A2" sqref="A2:W2"/>
      <selection pane="bottomLeft" activeCell="A6" sqref="A6"/>
    </sheetView>
  </sheetViews>
  <sheetFormatPr defaultRowHeight="15" x14ac:dyDescent="0.25"/>
  <cols>
    <col min="2" max="3" width="13.42578125" customWidth="1"/>
  </cols>
  <sheetData>
    <row r="1" spans="1:23" ht="15.75" x14ac:dyDescent="0.25">
      <c r="A1" s="924" t="s">
        <v>2518</v>
      </c>
      <c r="B1" s="924"/>
      <c r="C1" s="924"/>
      <c r="D1" s="924"/>
      <c r="E1" s="924"/>
      <c r="F1" s="924"/>
      <c r="G1" s="924"/>
      <c r="H1" s="924"/>
      <c r="I1" s="924"/>
      <c r="J1" s="924"/>
      <c r="K1" s="924"/>
      <c r="L1" s="924"/>
      <c r="M1" s="924"/>
      <c r="N1" s="924"/>
      <c r="O1" s="924"/>
      <c r="P1" s="924"/>
      <c r="Q1" s="924"/>
      <c r="R1" s="924"/>
      <c r="S1" s="924"/>
      <c r="T1" s="924"/>
      <c r="U1" s="924"/>
      <c r="V1" s="924"/>
      <c r="W1" s="924"/>
    </row>
    <row r="2" spans="1:23" x14ac:dyDescent="0.25">
      <c r="A2" s="946" t="s">
        <v>3499</v>
      </c>
      <c r="B2" s="946"/>
      <c r="C2" s="946"/>
      <c r="D2" s="946"/>
      <c r="E2" s="946"/>
      <c r="F2" s="946"/>
      <c r="G2" s="946"/>
      <c r="H2" s="946"/>
      <c r="I2" s="946"/>
      <c r="J2" s="946"/>
      <c r="K2" s="946"/>
      <c r="L2" s="946"/>
      <c r="M2" s="946"/>
      <c r="N2" s="946"/>
      <c r="O2" s="946"/>
      <c r="P2" s="946"/>
      <c r="Q2" s="946"/>
      <c r="R2" s="946"/>
      <c r="S2" s="946"/>
      <c r="T2" s="946"/>
      <c r="U2" s="946"/>
      <c r="V2" s="946"/>
      <c r="W2" s="946"/>
    </row>
    <row r="3" spans="1:23" x14ac:dyDescent="0.25">
      <c r="D3" s="934" t="s">
        <v>2519</v>
      </c>
      <c r="E3" s="934"/>
      <c r="F3" s="934"/>
      <c r="G3" s="934"/>
      <c r="H3" s="934"/>
      <c r="I3" s="934"/>
      <c r="J3" s="934"/>
      <c r="K3" s="934"/>
      <c r="L3" s="727"/>
      <c r="M3" s="727"/>
      <c r="N3" s="934" t="s">
        <v>2520</v>
      </c>
      <c r="O3" s="934"/>
      <c r="P3" s="934"/>
      <c r="Q3" s="934"/>
      <c r="R3" s="934"/>
      <c r="S3" s="934"/>
      <c r="T3" s="934"/>
      <c r="U3" s="934"/>
    </row>
    <row r="4" spans="1:23" x14ac:dyDescent="0.25">
      <c r="B4" s="2"/>
      <c r="C4" s="2" t="s">
        <v>2124</v>
      </c>
      <c r="D4" s="945" t="s">
        <v>2521</v>
      </c>
      <c r="E4" s="945"/>
      <c r="F4" s="945"/>
      <c r="G4" s="945"/>
      <c r="H4" s="945"/>
      <c r="I4" s="945"/>
      <c r="J4" s="945"/>
      <c r="K4" s="945" t="s">
        <v>2522</v>
      </c>
      <c r="L4" s="945"/>
      <c r="M4" s="728" t="s">
        <v>2523</v>
      </c>
      <c r="N4" s="945" t="s">
        <v>2521</v>
      </c>
      <c r="O4" s="945"/>
      <c r="P4" s="945"/>
      <c r="Q4" s="945"/>
      <c r="R4" s="945"/>
      <c r="S4" s="945"/>
      <c r="T4" s="945"/>
      <c r="U4" s="945" t="s">
        <v>2522</v>
      </c>
      <c r="V4" s="945"/>
      <c r="W4" s="728" t="s">
        <v>2523</v>
      </c>
    </row>
    <row r="5" spans="1:23" ht="15.75" thickBot="1" x14ac:dyDescent="0.3">
      <c r="A5" s="15" t="s">
        <v>2524</v>
      </c>
      <c r="B5" s="15" t="s">
        <v>2139</v>
      </c>
      <c r="C5" s="15" t="s">
        <v>2525</v>
      </c>
      <c r="D5" s="15" t="s">
        <v>2143</v>
      </c>
      <c r="E5" s="15" t="s">
        <v>2144</v>
      </c>
      <c r="F5" s="15" t="s">
        <v>2145</v>
      </c>
      <c r="G5" s="15" t="s">
        <v>2146</v>
      </c>
      <c r="H5" s="15" t="s">
        <v>2147</v>
      </c>
      <c r="I5" s="15" t="s">
        <v>2148</v>
      </c>
      <c r="J5" s="15" t="s">
        <v>2149</v>
      </c>
      <c r="K5" s="242" t="s">
        <v>2460</v>
      </c>
      <c r="L5" s="242" t="s">
        <v>2523</v>
      </c>
      <c r="M5" s="242" t="s">
        <v>2072</v>
      </c>
      <c r="N5" s="15" t="s">
        <v>2143</v>
      </c>
      <c r="O5" s="15" t="s">
        <v>2144</v>
      </c>
      <c r="P5" s="15" t="s">
        <v>2145</v>
      </c>
      <c r="Q5" s="15" t="s">
        <v>2146</v>
      </c>
      <c r="R5" s="15" t="s">
        <v>2147</v>
      </c>
      <c r="S5" s="15" t="s">
        <v>2148</v>
      </c>
      <c r="T5" s="15" t="s">
        <v>2149</v>
      </c>
      <c r="U5" s="242" t="s">
        <v>2460</v>
      </c>
      <c r="V5" s="242" t="s">
        <v>2523</v>
      </c>
      <c r="W5" s="242" t="s">
        <v>2072</v>
      </c>
    </row>
    <row r="6" spans="1:23" ht="15.75" thickTop="1" x14ac:dyDescent="0.25">
      <c r="A6" s="2" t="s">
        <v>2526</v>
      </c>
      <c r="B6" s="2">
        <v>2104008100</v>
      </c>
      <c r="C6" s="2" t="s">
        <v>2152</v>
      </c>
      <c r="D6" s="290">
        <v>5.3322364464837131</v>
      </c>
      <c r="E6" s="290">
        <v>6.0540675811605472E-2</v>
      </c>
      <c r="F6" s="290">
        <v>9.3139501248623805E-3</v>
      </c>
      <c r="G6" s="290">
        <v>0.80565668580059591</v>
      </c>
      <c r="H6" s="290">
        <v>0.80565668580059591</v>
      </c>
      <c r="I6" s="290">
        <v>4.1912775561880715E-2</v>
      </c>
      <c r="J6" s="290">
        <v>5.8817595038505912</v>
      </c>
      <c r="K6" s="114">
        <v>749.30795007131951</v>
      </c>
      <c r="L6" s="291">
        <v>66.528764710879798</v>
      </c>
      <c r="M6" s="114" t="s">
        <v>2531</v>
      </c>
      <c r="N6" s="290">
        <v>4.9132309145343163</v>
      </c>
      <c r="O6" s="290">
        <v>5.5783407763271745E-2</v>
      </c>
      <c r="P6" s="290">
        <v>8.5820627328110338E-3</v>
      </c>
      <c r="Q6" s="290">
        <v>0.74234842638815457</v>
      </c>
      <c r="R6" s="290">
        <v>0.74234842638815457</v>
      </c>
      <c r="S6" s="290">
        <v>3.861928229764966E-2</v>
      </c>
      <c r="T6" s="290">
        <v>5.4195726157701669</v>
      </c>
      <c r="U6" s="114">
        <v>690.4275573196843</v>
      </c>
      <c r="V6" s="291">
        <v>61.300954442638442</v>
      </c>
      <c r="W6" t="s">
        <v>2531</v>
      </c>
    </row>
    <row r="7" spans="1:23" x14ac:dyDescent="0.25">
      <c r="A7" s="2" t="s">
        <v>2526</v>
      </c>
      <c r="B7" s="2">
        <v>2104008210</v>
      </c>
      <c r="C7" s="2" t="s">
        <v>2156</v>
      </c>
      <c r="D7" s="290">
        <v>0.10998828832621642</v>
      </c>
      <c r="E7" s="290">
        <v>5.8107020247812431E-3</v>
      </c>
      <c r="F7" s="290">
        <v>8.3010028925446333E-4</v>
      </c>
      <c r="G7" s="290">
        <v>6.3502672127966453E-2</v>
      </c>
      <c r="H7" s="290">
        <v>6.3502672127966453E-2</v>
      </c>
      <c r="I7" s="290">
        <v>3.527926229331469E-3</v>
      </c>
      <c r="J7" s="290">
        <v>0.47896786689982546</v>
      </c>
      <c r="K7" s="114">
        <v>66.781627317771566</v>
      </c>
      <c r="L7" s="291">
        <v>5.9293367572181905</v>
      </c>
      <c r="M7" s="114" t="s">
        <v>2531</v>
      </c>
      <c r="N7" s="290">
        <v>9.5582427417750179E-2</v>
      </c>
      <c r="O7" s="290">
        <v>5.0496376749000092E-3</v>
      </c>
      <c r="P7" s="290">
        <v>7.2137681070000151E-4</v>
      </c>
      <c r="Q7" s="290">
        <v>5.5185326018550113E-2</v>
      </c>
      <c r="R7" s="290">
        <v>5.5185326018550113E-2</v>
      </c>
      <c r="S7" s="290">
        <v>3.0658514454750059E-3</v>
      </c>
      <c r="T7" s="290">
        <v>0.4162344197739008</v>
      </c>
      <c r="U7" s="114">
        <v>58.034815734273778</v>
      </c>
      <c r="V7" s="291">
        <v>5.1527340670244781</v>
      </c>
      <c r="W7" t="s">
        <v>2531</v>
      </c>
    </row>
    <row r="8" spans="1:23" x14ac:dyDescent="0.25">
      <c r="A8" s="2" t="s">
        <v>2526</v>
      </c>
      <c r="B8" s="2">
        <v>2104008220</v>
      </c>
      <c r="C8" s="2" t="s">
        <v>2159</v>
      </c>
      <c r="D8" s="290">
        <v>5.2431200569447438E-2</v>
      </c>
      <c r="E8" s="290">
        <v>8.7385334282412408E-3</v>
      </c>
      <c r="F8" s="290">
        <v>1.7477066856482475E-3</v>
      </c>
      <c r="G8" s="290">
        <v>5.2431200569447438E-2</v>
      </c>
      <c r="H8" s="290">
        <v>5.2431200569447438E-2</v>
      </c>
      <c r="I8" s="290">
        <v>3.9323400427085584E-3</v>
      </c>
      <c r="J8" s="290">
        <v>0.61519275334818335</v>
      </c>
      <c r="K8" s="114">
        <v>140.6031271794445</v>
      </c>
      <c r="L8" s="291">
        <v>12.483722299816574</v>
      </c>
      <c r="M8" s="114" t="s">
        <v>2531</v>
      </c>
      <c r="N8" s="290">
        <v>4.556395502756623E-2</v>
      </c>
      <c r="O8" s="290">
        <v>7.5939925045943714E-3</v>
      </c>
      <c r="P8" s="290">
        <v>1.5187985009188741E-3</v>
      </c>
      <c r="Q8" s="290">
        <v>4.556395502756623E-2</v>
      </c>
      <c r="R8" s="290">
        <v>4.556395502756623E-2</v>
      </c>
      <c r="S8" s="290">
        <v>3.4172966270674676E-3</v>
      </c>
      <c r="T8" s="290">
        <v>0.53461707232344369</v>
      </c>
      <c r="U8" s="114">
        <v>122.18744743511608</v>
      </c>
      <c r="V8" s="291">
        <v>10.848650331629486</v>
      </c>
      <c r="W8" t="s">
        <v>2531</v>
      </c>
    </row>
    <row r="9" spans="1:23" x14ac:dyDescent="0.25">
      <c r="A9" s="2" t="s">
        <v>2526</v>
      </c>
      <c r="B9" s="2">
        <v>2104008230</v>
      </c>
      <c r="C9" s="2" t="s">
        <v>2162</v>
      </c>
      <c r="D9" s="290">
        <v>3.9459277063463818E-2</v>
      </c>
      <c r="E9" s="290">
        <v>5.2612369417951773E-3</v>
      </c>
      <c r="F9" s="290">
        <v>1.0522473883590351E-3</v>
      </c>
      <c r="G9" s="290">
        <v>3.4198040121668646E-2</v>
      </c>
      <c r="H9" s="290">
        <v>3.4198040121668646E-2</v>
      </c>
      <c r="I9" s="290">
        <v>2.367556623807829E-3</v>
      </c>
      <c r="J9" s="290">
        <v>0.28147617638604183</v>
      </c>
      <c r="K9" s="114">
        <v>84.653377242650663</v>
      </c>
      <c r="L9" s="291">
        <v>7.5161148577452126</v>
      </c>
      <c r="M9" s="114" t="s">
        <v>2531</v>
      </c>
      <c r="N9" s="290">
        <v>3.4291046285665649E-2</v>
      </c>
      <c r="O9" s="290">
        <v>4.5721395047554209E-3</v>
      </c>
      <c r="P9" s="290">
        <v>9.1442790095108424E-4</v>
      </c>
      <c r="Q9" s="290">
        <v>2.9718906780910229E-2</v>
      </c>
      <c r="R9" s="290">
        <v>2.9718906780910229E-2</v>
      </c>
      <c r="S9" s="290">
        <v>2.0574627771399391E-3</v>
      </c>
      <c r="T9" s="290">
        <v>0.24460946350441493</v>
      </c>
      <c r="U9" s="114">
        <v>73.565789677212877</v>
      </c>
      <c r="V9" s="291">
        <v>6.5316818161872279</v>
      </c>
      <c r="W9" t="s">
        <v>2531</v>
      </c>
    </row>
    <row r="10" spans="1:23" x14ac:dyDescent="0.25">
      <c r="A10" s="2" t="s">
        <v>2526</v>
      </c>
      <c r="B10" s="2">
        <v>2104008310</v>
      </c>
      <c r="C10" s="2" t="s">
        <v>2165</v>
      </c>
      <c r="D10" s="290">
        <v>2.232126594792371</v>
      </c>
      <c r="E10" s="290">
        <v>6.1157852663727565E-2</v>
      </c>
      <c r="F10" s="290">
        <v>1.6846238451263183E-2</v>
      </c>
      <c r="G10" s="290">
        <v>0.5113688057705934</v>
      </c>
      <c r="H10" s="290">
        <v>0.5113688057705934</v>
      </c>
      <c r="I10" s="290">
        <v>1.6721093862431955E-2</v>
      </c>
      <c r="J10" s="290">
        <v>5.1031738083710083</v>
      </c>
      <c r="K10" s="114">
        <v>1355.2810817220441</v>
      </c>
      <c r="L10" s="291">
        <v>120.33126859845882</v>
      </c>
      <c r="M10" s="114" t="s">
        <v>2531</v>
      </c>
      <c r="N10" s="290">
        <v>1.9397708745242643</v>
      </c>
      <c r="O10" s="290">
        <v>5.3147622371561724E-2</v>
      </c>
      <c r="P10" s="290">
        <v>1.4639780185088786E-2</v>
      </c>
      <c r="Q10" s="290">
        <v>0.44439160300687203</v>
      </c>
      <c r="R10" s="290">
        <v>0.44439160300687203</v>
      </c>
      <c r="S10" s="290">
        <v>1.4531026573584195E-2</v>
      </c>
      <c r="T10" s="290">
        <v>4.4347788983867815</v>
      </c>
      <c r="U10" s="114">
        <v>1177.771357257046</v>
      </c>
      <c r="V10" s="291">
        <v>104.57072222803676</v>
      </c>
      <c r="W10" t="s">
        <v>2531</v>
      </c>
    </row>
    <row r="11" spans="1:23" x14ac:dyDescent="0.25">
      <c r="A11" s="2" t="s">
        <v>2526</v>
      </c>
      <c r="B11" s="2">
        <v>2104008320</v>
      </c>
      <c r="C11" s="2" t="s">
        <v>2169</v>
      </c>
      <c r="D11" s="290">
        <v>1.0640503545327105</v>
      </c>
      <c r="E11" s="290">
        <v>0.14265719877707031</v>
      </c>
      <c r="F11" s="290">
        <v>3.5468345151090368E-2</v>
      </c>
      <c r="G11" s="290">
        <v>0.70272769529483503</v>
      </c>
      <c r="H11" s="290">
        <v>0.70272769529483503</v>
      </c>
      <c r="I11" s="290">
        <v>2.214481526104178E-2</v>
      </c>
      <c r="J11" s="290">
        <v>10.963349589816234</v>
      </c>
      <c r="K11" s="114">
        <v>2853.4308903633109</v>
      </c>
      <c r="L11" s="291">
        <v>253.34741517912417</v>
      </c>
      <c r="M11" s="114" t="s">
        <v>2531</v>
      </c>
      <c r="N11" s="290">
        <v>0.92468495808669005</v>
      </c>
      <c r="O11" s="290">
        <v>0.12397248430021046</v>
      </c>
      <c r="P11" s="290">
        <v>3.082283193622298E-2</v>
      </c>
      <c r="Q11" s="290">
        <v>0.61068700997278291</v>
      </c>
      <c r="R11" s="290">
        <v>0.61068700997278291</v>
      </c>
      <c r="S11" s="290">
        <v>1.9244368919445167E-2</v>
      </c>
      <c r="T11" s="290">
        <v>9.5274104395191053</v>
      </c>
      <c r="U11" s="114">
        <v>2479.6990217794742</v>
      </c>
      <c r="V11" s="291">
        <v>220.1649038396875</v>
      </c>
      <c r="W11" t="s">
        <v>2531</v>
      </c>
    </row>
    <row r="12" spans="1:23" x14ac:dyDescent="0.25">
      <c r="A12" s="2" t="s">
        <v>2526</v>
      </c>
      <c r="B12" s="2">
        <v>2104008330</v>
      </c>
      <c r="C12" s="2" t="s">
        <v>2172</v>
      </c>
      <c r="D12" s="290">
        <v>0.80079527634256531</v>
      </c>
      <c r="E12" s="290">
        <v>8.589007873944815E-2</v>
      </c>
      <c r="F12" s="290">
        <v>2.1354540702468412E-2</v>
      </c>
      <c r="G12" s="290">
        <v>0.46945993857455504</v>
      </c>
      <c r="H12" s="290">
        <v>0.46945993857455504</v>
      </c>
      <c r="I12" s="290">
        <v>1.333280018636626E-2</v>
      </c>
      <c r="J12" s="290">
        <v>6.600739167666636</v>
      </c>
      <c r="K12" s="114">
        <v>1717.9743185190812</v>
      </c>
      <c r="L12" s="291">
        <v>152.53369353042552</v>
      </c>
      <c r="M12" s="114" t="s">
        <v>2531</v>
      </c>
      <c r="N12" s="290">
        <v>0.69591006044637371</v>
      </c>
      <c r="O12" s="290">
        <v>7.464051256683979E-2</v>
      </c>
      <c r="P12" s="290">
        <v>1.8557601611903302E-2</v>
      </c>
      <c r="Q12" s="290">
        <v>0.40797180488214141</v>
      </c>
      <c r="R12" s="290">
        <v>0.40797180488214141</v>
      </c>
      <c r="S12" s="290">
        <v>1.1586519123827136E-2</v>
      </c>
      <c r="T12" s="290">
        <v>5.7361986625862809</v>
      </c>
      <c r="U12" s="114">
        <v>1492.960369729373</v>
      </c>
      <c r="V12" s="291">
        <v>132.55539214676662</v>
      </c>
      <c r="W12" t="s">
        <v>2531</v>
      </c>
    </row>
    <row r="13" spans="1:23" x14ac:dyDescent="0.25">
      <c r="A13" s="2" t="s">
        <v>2526</v>
      </c>
      <c r="B13" s="2">
        <v>2104008410</v>
      </c>
      <c r="C13" s="2" t="s">
        <v>2175</v>
      </c>
      <c r="D13" s="290">
        <v>1.3418073595034843E-2</v>
      </c>
      <c r="E13" s="290">
        <v>2.3432136380705057E-2</v>
      </c>
      <c r="F13" s="290">
        <v>1.8726982122441605E-3</v>
      </c>
      <c r="G13" s="290">
        <v>1.7322458463258486E-2</v>
      </c>
      <c r="H13" s="290">
        <v>1.7322458463258486E-2</v>
      </c>
      <c r="I13" s="290">
        <v>4.2065483592534469E-4</v>
      </c>
      <c r="J13" s="290">
        <v>5.8123870762528125E-2</v>
      </c>
      <c r="K13" s="114">
        <v>179.91416253065918</v>
      </c>
      <c r="L13" s="291">
        <v>15.974029083793853</v>
      </c>
      <c r="M13" s="114" t="s">
        <v>2531</v>
      </c>
      <c r="N13" s="290">
        <v>1.1660623735497744E-2</v>
      </c>
      <c r="O13" s="290">
        <v>2.0363081460171406E-2</v>
      </c>
      <c r="P13" s="290">
        <v>1.6274190977159971E-3</v>
      </c>
      <c r="Q13" s="290">
        <v>1.5053626653872972E-2</v>
      </c>
      <c r="R13" s="290">
        <v>1.5053626653872972E-2</v>
      </c>
      <c r="S13" s="290">
        <v>3.6555901482445579E-4</v>
      </c>
      <c r="T13" s="290">
        <v>5.0511020245360271E-2</v>
      </c>
      <c r="U13" s="114">
        <v>156.34966816201575</v>
      </c>
      <c r="V13" s="291">
        <v>13.881809588147085</v>
      </c>
      <c r="W13" t="s">
        <v>2531</v>
      </c>
    </row>
    <row r="14" spans="1:23" x14ac:dyDescent="0.25">
      <c r="A14" s="2" t="s">
        <v>2526</v>
      </c>
      <c r="B14" s="2">
        <v>2104008420</v>
      </c>
      <c r="C14" s="2" t="s">
        <v>2179</v>
      </c>
      <c r="D14" s="290">
        <v>4.5259579250948138E-2</v>
      </c>
      <c r="E14" s="290">
        <v>7.9037324250030808E-2</v>
      </c>
      <c r="F14" s="290">
        <v>6.3166692707317344E-3</v>
      </c>
      <c r="G14" s="290">
        <v>5.8429190754268528E-2</v>
      </c>
      <c r="H14" s="290">
        <v>5.8429190754268528E-2</v>
      </c>
      <c r="I14" s="290">
        <v>1.4188818349381159E-3</v>
      </c>
      <c r="J14" s="290">
        <v>0.19605362249033614</v>
      </c>
      <c r="K14" s="114">
        <v>606.85606169558264</v>
      </c>
      <c r="L14" s="291">
        <v>53.880896550041676</v>
      </c>
      <c r="M14" s="114" t="s">
        <v>2531</v>
      </c>
      <c r="N14" s="290">
        <v>3.9331646255654384E-2</v>
      </c>
      <c r="O14" s="290">
        <v>6.8685306621151174E-2</v>
      </c>
      <c r="P14" s="290">
        <v>5.4893351944975974E-3</v>
      </c>
      <c r="Q14" s="290">
        <v>5.0776350549102768E-2</v>
      </c>
      <c r="R14" s="290">
        <v>5.0776350549102768E-2</v>
      </c>
      <c r="S14" s="290">
        <v>1.2330419180640231E-3</v>
      </c>
      <c r="T14" s="290">
        <v>0.17037524109921923</v>
      </c>
      <c r="U14" s="114">
        <v>527.37228983873513</v>
      </c>
      <c r="V14" s="291">
        <v>46.823775167979555</v>
      </c>
      <c r="W14" t="s">
        <v>2531</v>
      </c>
    </row>
    <row r="15" spans="1:23" x14ac:dyDescent="0.25">
      <c r="A15" s="2" t="s">
        <v>2526</v>
      </c>
      <c r="B15" s="2">
        <v>2104008610</v>
      </c>
      <c r="C15" s="2" t="s">
        <v>2182</v>
      </c>
      <c r="D15" s="290">
        <v>1.1473187862455858</v>
      </c>
      <c r="E15" s="290">
        <v>4.0755935084539285E-2</v>
      </c>
      <c r="F15" s="290">
        <v>1.0108535561635115E-2</v>
      </c>
      <c r="G15" s="290">
        <v>0.2494319582310271</v>
      </c>
      <c r="H15" s="290">
        <v>0.2494319582310271</v>
      </c>
      <c r="I15" s="290">
        <v>6.1601054227095114E-3</v>
      </c>
      <c r="J15" s="290">
        <v>1.5307018404395021</v>
      </c>
      <c r="K15" s="114">
        <v>813.2324049806698</v>
      </c>
      <c r="L15" s="291">
        <v>72.204421854956038</v>
      </c>
      <c r="M15" s="114" t="s">
        <v>2531</v>
      </c>
      <c r="N15" s="290">
        <v>1.0489091826282617</v>
      </c>
      <c r="O15" s="290">
        <v>3.7260153907759712E-2</v>
      </c>
      <c r="P15" s="290">
        <v>9.2414905958437179E-3</v>
      </c>
      <c r="Q15" s="290">
        <v>0.2280372940511329</v>
      </c>
      <c r="R15" s="290">
        <v>0.2280372940511329</v>
      </c>
      <c r="S15" s="290">
        <v>5.6317313211457203E-3</v>
      </c>
      <c r="T15" s="290">
        <v>1.3994081118090393</v>
      </c>
      <c r="U15" s="114">
        <v>743.47857580752827</v>
      </c>
      <c r="V15" s="291">
        <v>66.011192371268919</v>
      </c>
      <c r="W15" t="s">
        <v>2531</v>
      </c>
    </row>
    <row r="16" spans="1:23" x14ac:dyDescent="0.25">
      <c r="A16" s="2" t="s">
        <v>2526</v>
      </c>
      <c r="B16" s="2">
        <v>2104004000</v>
      </c>
      <c r="C16" s="2" t="s">
        <v>2196</v>
      </c>
      <c r="D16" s="290">
        <v>9.331114751812869E-2</v>
      </c>
      <c r="E16" s="290">
        <v>1.4620154230994598</v>
      </c>
      <c r="F16" s="290">
        <v>3.7825144418088512</v>
      </c>
      <c r="G16" s="290">
        <v>5.9755398764283117E-2</v>
      </c>
      <c r="H16" s="290">
        <v>5.9755398764283117E-2</v>
      </c>
      <c r="I16" s="290">
        <v>3.2058771437037895E-3</v>
      </c>
      <c r="J16" s="290">
        <v>5.8610086954634349E-2</v>
      </c>
      <c r="K16" s="114">
        <v>35128.613700460912</v>
      </c>
      <c r="L16" s="291">
        <v>261.7423492794635</v>
      </c>
      <c r="M16" s="114" t="s">
        <v>2532</v>
      </c>
      <c r="N16" s="290">
        <v>8.6098633163954136E-2</v>
      </c>
      <c r="O16" s="290">
        <v>1.349008483354337</v>
      </c>
      <c r="P16" s="290">
        <v>3.4901438040871509</v>
      </c>
      <c r="Q16" s="290">
        <v>5.5136586513120055E-2</v>
      </c>
      <c r="R16" s="290">
        <v>5.5136586513120055E-2</v>
      </c>
      <c r="S16" s="290">
        <v>2.9580778664288912E-3</v>
      </c>
      <c r="T16" s="290">
        <v>5.4079801938285252E-2</v>
      </c>
      <c r="U16" s="114">
        <v>32413.336509087792</v>
      </c>
      <c r="V16" s="291">
        <v>241.51089246550964</v>
      </c>
      <c r="W16" t="s">
        <v>2532</v>
      </c>
    </row>
    <row r="17" spans="1:23" x14ac:dyDescent="0.25">
      <c r="A17" s="2" t="s">
        <v>2526</v>
      </c>
      <c r="B17" s="2">
        <v>2103004001</v>
      </c>
      <c r="C17" s="2" t="s">
        <v>2206</v>
      </c>
      <c r="D17" s="290">
        <v>2.735396599030427E-2</v>
      </c>
      <c r="E17" s="290">
        <v>0.6905629562769664</v>
      </c>
      <c r="F17" s="290">
        <v>0.48812058918350548</v>
      </c>
      <c r="G17" s="290">
        <v>1.751716905225827E-2</v>
      </c>
      <c r="H17" s="290">
        <v>1.751716905225827E-2</v>
      </c>
      <c r="I17" s="290">
        <v>9.3979611965365614E-4</v>
      </c>
      <c r="J17" s="290">
        <v>1.7181423312089984E-2</v>
      </c>
      <c r="K17" s="114">
        <v>10626.996604928872</v>
      </c>
      <c r="L17" s="291">
        <v>79.181463888011848</v>
      </c>
      <c r="M17" s="114" t="s">
        <v>2532</v>
      </c>
      <c r="N17" s="290">
        <v>2.6843054193997139E-2</v>
      </c>
      <c r="O17" s="290">
        <v>0.67766476226079753</v>
      </c>
      <c r="P17" s="290">
        <v>0.47900357239980984</v>
      </c>
      <c r="Q17" s="290">
        <v>1.718998694236323E-2</v>
      </c>
      <c r="R17" s="290">
        <v>1.718998694236323E-2</v>
      </c>
      <c r="S17" s="290">
        <v>9.222427994577875E-4</v>
      </c>
      <c r="T17" s="290">
        <v>1.6860512192634597E-2</v>
      </c>
      <c r="U17" s="114">
        <v>10428.507730346717</v>
      </c>
      <c r="V17" s="291">
        <v>77.702528659255947</v>
      </c>
      <c r="W17" t="s">
        <v>2532</v>
      </c>
    </row>
    <row r="18" spans="1:23" x14ac:dyDescent="0.25">
      <c r="A18" s="2" t="s">
        <v>2526</v>
      </c>
      <c r="B18" s="2">
        <v>2104004000</v>
      </c>
      <c r="C18" s="2" t="s">
        <v>2210</v>
      </c>
      <c r="D18" s="290">
        <v>6.2214086109843917E-4</v>
      </c>
      <c r="E18" s="290">
        <v>1.57062208972958E-2</v>
      </c>
      <c r="F18" s="290">
        <v>2.5219460423922486E-2</v>
      </c>
      <c r="G18" s="290">
        <v>3.4902713105101787E-4</v>
      </c>
      <c r="H18" s="290">
        <v>3.4902713105101787E-4</v>
      </c>
      <c r="I18" s="290">
        <v>2.1374800544299198E-5</v>
      </c>
      <c r="J18" s="290">
        <v>3.9077571047903313E-4</v>
      </c>
      <c r="K18" s="114">
        <v>239.07485909167099</v>
      </c>
      <c r="L18" s="291">
        <v>1.7451356552550898</v>
      </c>
      <c r="M18" s="114" t="s">
        <v>2532</v>
      </c>
      <c r="N18" s="290">
        <v>5.8691425128497591E-4</v>
      </c>
      <c r="O18" s="290">
        <v>1.4816909569606681E-2</v>
      </c>
      <c r="P18" s="290">
        <v>2.3791494270901981E-2</v>
      </c>
      <c r="Q18" s="290">
        <v>3.2926465710237068E-4</v>
      </c>
      <c r="R18" s="290">
        <v>3.2926465710237068E-4</v>
      </c>
      <c r="S18" s="290">
        <v>2.0164525177905127E-5</v>
      </c>
      <c r="T18" s="290">
        <v>3.6864936524377644E-4</v>
      </c>
      <c r="U18" s="114">
        <v>225.53805849869639</v>
      </c>
      <c r="V18" s="291">
        <v>1.6463232855118535</v>
      </c>
      <c r="W18" t="s">
        <v>2532</v>
      </c>
    </row>
    <row r="19" spans="1:23" x14ac:dyDescent="0.25">
      <c r="A19" s="2" t="s">
        <v>2526</v>
      </c>
      <c r="B19" s="2">
        <v>2104004000</v>
      </c>
      <c r="C19" s="2" t="s">
        <v>2214</v>
      </c>
      <c r="D19" s="290">
        <v>2.6757526030900237E-3</v>
      </c>
      <c r="E19" s="290">
        <v>4.1924161026485197E-2</v>
      </c>
      <c r="F19" s="290">
        <v>0.10846584929125744</v>
      </c>
      <c r="G19" s="290">
        <v>1.7135215678399946E-3</v>
      </c>
      <c r="H19" s="290">
        <v>1.7135215678399946E-3</v>
      </c>
      <c r="I19" s="290">
        <v>9.1930432114615732E-5</v>
      </c>
      <c r="J19" s="290">
        <v>1.680679071123061E-3</v>
      </c>
      <c r="K19" s="114">
        <v>938.20217499650209</v>
      </c>
      <c r="L19" s="291">
        <v>7.5056173999720173</v>
      </c>
      <c r="M19" s="114" t="s">
        <v>2532</v>
      </c>
      <c r="N19" s="290">
        <v>2.2097059779757236E-3</v>
      </c>
      <c r="O19" s="290">
        <v>3.4622060774549247E-2</v>
      </c>
      <c r="P19" s="290">
        <v>8.9573914758905568E-2</v>
      </c>
      <c r="Q19" s="290">
        <v>1.4150706038644116E-3</v>
      </c>
      <c r="R19" s="290">
        <v>1.4150706038644116E-3</v>
      </c>
      <c r="S19" s="290">
        <v>7.5918537897325667E-5</v>
      </c>
      <c r="T19" s="290">
        <v>1.3879484172903437E-3</v>
      </c>
      <c r="U19" s="114">
        <v>774.79171738279251</v>
      </c>
      <c r="V19" s="291">
        <v>6.1983337390623392</v>
      </c>
      <c r="W19" t="s">
        <v>2532</v>
      </c>
    </row>
    <row r="20" spans="1:23" x14ac:dyDescent="0.25">
      <c r="A20" s="2" t="s">
        <v>2526</v>
      </c>
      <c r="B20" s="2">
        <v>2104006010</v>
      </c>
      <c r="C20" s="2" t="s">
        <v>2217</v>
      </c>
      <c r="D20" s="290">
        <v>6.6969683938961251E-4</v>
      </c>
      <c r="E20" s="290">
        <v>1.1445727800477029E-2</v>
      </c>
      <c r="F20" s="290">
        <v>7.3057837024321397E-5</v>
      </c>
      <c r="G20" s="290">
        <v>9.2539926897473813E-4</v>
      </c>
      <c r="H20" s="290">
        <v>9.2539926897473813E-4</v>
      </c>
      <c r="I20" s="290">
        <v>2.4352612341440464E-3</v>
      </c>
      <c r="J20" s="290">
        <v>4.8705224682880927E-3</v>
      </c>
      <c r="K20" s="114">
        <v>300.62303278688495</v>
      </c>
      <c r="L20" s="291">
        <v>296.18032786885226</v>
      </c>
      <c r="M20" s="114" t="s">
        <v>2533</v>
      </c>
      <c r="N20" s="290">
        <v>6.6969683938961251E-4</v>
      </c>
      <c r="O20" s="290">
        <v>1.1445727800477029E-2</v>
      </c>
      <c r="P20" s="290">
        <v>7.3057837024321397E-5</v>
      </c>
      <c r="Q20" s="290">
        <v>9.2539926897473813E-4</v>
      </c>
      <c r="R20" s="290">
        <v>9.2539926897473813E-4</v>
      </c>
      <c r="S20" s="290">
        <v>2.4352612341440464E-3</v>
      </c>
      <c r="T20" s="290">
        <v>4.8705224682880927E-3</v>
      </c>
      <c r="U20" s="114">
        <v>300.62303278688495</v>
      </c>
      <c r="V20" s="291">
        <v>296.18032786885226</v>
      </c>
      <c r="W20" t="s">
        <v>2533</v>
      </c>
    </row>
    <row r="21" spans="1:23" x14ac:dyDescent="0.25">
      <c r="A21" s="2" t="s">
        <v>2526</v>
      </c>
      <c r="B21" s="2">
        <v>2103006000</v>
      </c>
      <c r="C21" s="2" t="s">
        <v>2221</v>
      </c>
      <c r="D21" s="290">
        <v>5.2612909836065591E-3</v>
      </c>
      <c r="E21" s="290">
        <v>9.5659836065573781E-2</v>
      </c>
      <c r="F21" s="290">
        <v>5.7395901639344278E-4</v>
      </c>
      <c r="G21" s="290">
        <v>7.2701475409836071E-3</v>
      </c>
      <c r="H21" s="290">
        <v>7.2701475409836071E-3</v>
      </c>
      <c r="I21" s="290">
        <v>1.9131967213114765E-2</v>
      </c>
      <c r="J21" s="290">
        <v>3.826393442622953E-2</v>
      </c>
      <c r="K21" s="114">
        <v>1941.8946721311484</v>
      </c>
      <c r="L21" s="291">
        <v>1913.1967213114763</v>
      </c>
      <c r="M21" s="114" t="s">
        <v>2533</v>
      </c>
      <c r="N21" s="290">
        <v>5.2612909836065591E-3</v>
      </c>
      <c r="O21" s="290">
        <v>9.5659836065573781E-2</v>
      </c>
      <c r="P21" s="290">
        <v>5.7395901639344278E-4</v>
      </c>
      <c r="Q21" s="290">
        <v>7.2701475409836071E-3</v>
      </c>
      <c r="R21" s="290">
        <v>7.2701475409836071E-3</v>
      </c>
      <c r="S21" s="290">
        <v>1.9131967213114765E-2</v>
      </c>
      <c r="T21" s="290">
        <v>3.826393442622953E-2</v>
      </c>
      <c r="U21" s="114">
        <v>1941.8946721311484</v>
      </c>
      <c r="V21" s="291">
        <v>1913.1967213114763</v>
      </c>
      <c r="W21" t="s">
        <v>2533</v>
      </c>
    </row>
    <row r="22" spans="1:23" x14ac:dyDescent="0.25">
      <c r="A22" s="2" t="s">
        <v>2526</v>
      </c>
      <c r="B22" s="2">
        <v>2104002000</v>
      </c>
      <c r="C22" s="2" t="s">
        <v>2223</v>
      </c>
      <c r="D22" s="290">
        <v>0.1410730987595932</v>
      </c>
      <c r="E22" s="290">
        <v>6.6586502614528004E-2</v>
      </c>
      <c r="F22" s="290">
        <v>0.13119798184642167</v>
      </c>
      <c r="G22" s="290">
        <v>0.11271740590891499</v>
      </c>
      <c r="H22" s="290">
        <v>0.11271740590891499</v>
      </c>
      <c r="I22" s="290">
        <v>1.7859148937470714E-2</v>
      </c>
      <c r="J22" s="290">
        <v>1.8420619870533885</v>
      </c>
      <c r="K22" s="114">
        <v>428.86222022916337</v>
      </c>
      <c r="L22" s="291">
        <v>28.214619751918647</v>
      </c>
      <c r="M22" s="114" t="s">
        <v>2531</v>
      </c>
      <c r="N22" s="290">
        <v>0.12350390230369465</v>
      </c>
      <c r="O22" s="290">
        <v>5.8293841887343857E-2</v>
      </c>
      <c r="P22" s="290">
        <v>0.11485862914243601</v>
      </c>
      <c r="Q22" s="290">
        <v>9.8679617940651998E-2</v>
      </c>
      <c r="R22" s="290">
        <v>9.8679617940651998E-2</v>
      </c>
      <c r="S22" s="290">
        <v>1.5634976512136224E-2</v>
      </c>
      <c r="T22" s="290">
        <v>1.6126522043304923</v>
      </c>
      <c r="U22" s="114">
        <v>375.45186300323161</v>
      </c>
      <c r="V22" s="291">
        <v>24.700780460738926</v>
      </c>
      <c r="W22" t="s">
        <v>2531</v>
      </c>
    </row>
    <row r="23" spans="1:23" x14ac:dyDescent="0.25">
      <c r="A23" s="2" t="s">
        <v>2526</v>
      </c>
      <c r="B23" s="2">
        <v>2103002000</v>
      </c>
      <c r="C23" s="2" t="s">
        <v>2527</v>
      </c>
      <c r="D23" s="290">
        <v>4.0148138126104761E-4</v>
      </c>
      <c r="E23" s="290">
        <v>1.8949921195521454E-4</v>
      </c>
      <c r="F23" s="290">
        <v>3.7337768457277432E-4</v>
      </c>
      <c r="G23" s="290">
        <v>3.2078362362757709E-4</v>
      </c>
      <c r="H23" s="290">
        <v>3.2078362362757709E-4</v>
      </c>
      <c r="I23" s="290">
        <v>5.0825535460742344E-5</v>
      </c>
      <c r="J23" s="290">
        <v>5.24234313581613E-3</v>
      </c>
      <c r="K23" s="114">
        <v>18.456877950864644</v>
      </c>
      <c r="L23" s="291">
        <v>1.2205033990335847</v>
      </c>
      <c r="M23" s="114" t="s">
        <v>2531</v>
      </c>
      <c r="N23" s="290">
        <v>3.7940475162931149E-4</v>
      </c>
      <c r="O23" s="290">
        <v>1.7907904276903502E-4</v>
      </c>
      <c r="P23" s="290">
        <v>3.5284641901525964E-4</v>
      </c>
      <c r="Q23" s="290">
        <v>3.0314439655181985E-4</v>
      </c>
      <c r="R23" s="290">
        <v>3.0314439655181985E-4</v>
      </c>
      <c r="S23" s="290">
        <v>4.8030744532512681E-5</v>
      </c>
      <c r="T23" s="290">
        <v>4.9540775443997348E-3</v>
      </c>
      <c r="U23" s="114">
        <v>17.43676104884138</v>
      </c>
      <c r="V23" s="291">
        <v>1.1533904449531067</v>
      </c>
      <c r="W23" t="s">
        <v>2531</v>
      </c>
    </row>
    <row r="24" spans="1:23" x14ac:dyDescent="0.25">
      <c r="A24" s="2" t="s">
        <v>2526</v>
      </c>
      <c r="B24" s="2">
        <v>2103008000</v>
      </c>
      <c r="C24" s="2" t="s">
        <v>2528</v>
      </c>
      <c r="D24" s="290">
        <v>1.2267802496122725E-3</v>
      </c>
      <c r="E24" s="290">
        <v>4.8776475754854209E-5</v>
      </c>
      <c r="F24" s="290">
        <v>1.0633485245822148E-5</v>
      </c>
      <c r="G24" s="290">
        <v>3.4500168382878602E-4</v>
      </c>
      <c r="H24" s="290">
        <v>3.4500168382878602E-4</v>
      </c>
      <c r="I24" s="290">
        <v>1.2632663031087651E-5</v>
      </c>
      <c r="J24" s="290">
        <v>2.4538740814386123E-3</v>
      </c>
      <c r="K24" s="114">
        <v>11.138643290370357</v>
      </c>
      <c r="L24" s="291">
        <v>0.91979647376361562</v>
      </c>
      <c r="M24" s="114" t="s">
        <v>2531</v>
      </c>
      <c r="N24" s="290">
        <v>1.0057156829621557E-3</v>
      </c>
      <c r="O24" s="290">
        <v>4.0923651207836456E-5</v>
      </c>
      <c r="P24" s="290">
        <v>8.6857798127814725E-6</v>
      </c>
      <c r="Q24" s="290">
        <v>2.9694131175428135E-4</v>
      </c>
      <c r="R24" s="290">
        <v>2.9694131175428135E-4</v>
      </c>
      <c r="S24" s="290">
        <v>1.1445738305269716E-5</v>
      </c>
      <c r="T24" s="290">
        <v>2.1589395409395405E-3</v>
      </c>
      <c r="U24" s="114">
        <v>9.0984094863238223</v>
      </c>
      <c r="V24" s="291">
        <v>0.75131995380559735</v>
      </c>
      <c r="W24" t="s">
        <v>2531</v>
      </c>
    </row>
    <row r="25" spans="1:23" x14ac:dyDescent="0.25">
      <c r="A25" s="44" t="s">
        <v>2526</v>
      </c>
      <c r="B25" s="44">
        <v>2102012000</v>
      </c>
      <c r="C25" s="44" t="s">
        <v>2228</v>
      </c>
      <c r="D25" s="292">
        <v>5.2382327984415965E-4</v>
      </c>
      <c r="E25" s="292">
        <v>2.734616428960358E-2</v>
      </c>
      <c r="F25" s="292">
        <v>1.9363248899601761E-2</v>
      </c>
      <c r="G25" s="292">
        <v>2.7260720241086738E-3</v>
      </c>
      <c r="H25" s="292">
        <v>2.7260720241086738E-3</v>
      </c>
      <c r="I25" s="292">
        <v>1.9058091583470187E-5</v>
      </c>
      <c r="J25" s="292">
        <v>6.5100227441401174E-3</v>
      </c>
      <c r="K25" s="245">
        <v>145.09904851683226</v>
      </c>
      <c r="L25" s="293">
        <v>1.0476465596883191</v>
      </c>
      <c r="M25" s="245" t="s">
        <v>2532</v>
      </c>
      <c r="N25" s="292">
        <v>5.2382327984415965E-4</v>
      </c>
      <c r="O25" s="292">
        <v>2.734616428960358E-2</v>
      </c>
      <c r="P25" s="292">
        <v>1.9363248899601761E-2</v>
      </c>
      <c r="Q25" s="292">
        <v>2.7260720241086738E-3</v>
      </c>
      <c r="R25" s="292">
        <v>2.7260720241086738E-3</v>
      </c>
      <c r="S25" s="292">
        <v>1.9058091583470187E-5</v>
      </c>
      <c r="T25" s="292">
        <v>6.5100227441401174E-3</v>
      </c>
      <c r="U25" s="245">
        <v>145.09904851683226</v>
      </c>
      <c r="V25" s="293">
        <v>1.0476465596883191</v>
      </c>
      <c r="W25" s="9" t="s">
        <v>2532</v>
      </c>
    </row>
    <row r="26" spans="1:23" x14ac:dyDescent="0.25">
      <c r="A26" s="71" t="s">
        <v>2526</v>
      </c>
      <c r="B26" s="71" t="s">
        <v>2462</v>
      </c>
      <c r="C26" s="71"/>
      <c r="D26" s="294">
        <v>11.110203055667982</v>
      </c>
      <c r="E26" s="294">
        <v>2.9247669418600437</v>
      </c>
      <c r="F26" s="294">
        <v>4.6608236313143543</v>
      </c>
      <c r="G26" s="294">
        <v>3.1681685722740864</v>
      </c>
      <c r="H26" s="294">
        <v>3.1681685722740864</v>
      </c>
      <c r="I26" s="294">
        <v>0.15570682203196273</v>
      </c>
      <c r="J26" s="294">
        <v>33.686803848988511</v>
      </c>
      <c r="K26" s="244">
        <v>58346.996836005746</v>
      </c>
      <c r="L26" s="244"/>
      <c r="M26" s="244"/>
      <c r="N26" s="294">
        <v>9.9960178303703788</v>
      </c>
      <c r="O26" s="294">
        <v>2.7201461273714806</v>
      </c>
      <c r="P26" s="294">
        <v>4.3098583371777046</v>
      </c>
      <c r="Q26" s="294">
        <v>2.8140065345305603</v>
      </c>
      <c r="R26" s="294">
        <v>2.8140065345305603</v>
      </c>
      <c r="S26" s="294">
        <v>0.14100928328100099</v>
      </c>
      <c r="T26" s="294">
        <v>29.675822557985658</v>
      </c>
      <c r="U26" s="244">
        <v>54153.624695029728</v>
      </c>
    </row>
    <row r="27" spans="1:23" x14ac:dyDescent="0.25">
      <c r="A27" s="2"/>
      <c r="B27" s="2"/>
      <c r="C27" s="2"/>
      <c r="D27" s="290"/>
      <c r="E27" s="290"/>
      <c r="F27" s="290"/>
      <c r="G27" s="290"/>
      <c r="H27" s="290"/>
      <c r="I27" s="290"/>
      <c r="J27" s="290"/>
      <c r="K27" s="290"/>
      <c r="L27" s="290"/>
      <c r="M27" s="290"/>
      <c r="N27" s="290"/>
      <c r="O27" s="290"/>
      <c r="P27" s="290"/>
      <c r="Q27" s="290"/>
      <c r="R27" s="290"/>
      <c r="S27" s="290"/>
      <c r="T27" s="290"/>
    </row>
    <row r="28" spans="1:23" x14ac:dyDescent="0.25">
      <c r="A28" s="2" t="s">
        <v>2529</v>
      </c>
      <c r="B28" s="2">
        <v>2104008100</v>
      </c>
      <c r="C28" s="2" t="s">
        <v>2152</v>
      </c>
      <c r="D28" s="290">
        <v>3.3468165617440424</v>
      </c>
      <c r="E28" s="290">
        <v>3.7998790657355959E-2</v>
      </c>
      <c r="F28" s="290">
        <v>5.8459677934393781E-3</v>
      </c>
      <c r="G28" s="290">
        <v>0.50567621413250607</v>
      </c>
      <c r="H28" s="290">
        <v>0.50567621413250607</v>
      </c>
      <c r="I28" s="290">
        <v>2.6306855070477198E-2</v>
      </c>
      <c r="J28" s="290">
        <v>3.6917286615569669</v>
      </c>
      <c r="K28" s="114">
        <v>467.61219659062345</v>
      </c>
      <c r="L28" s="291">
        <v>41.757257728804511</v>
      </c>
      <c r="M28" s="114" t="s">
        <v>2531</v>
      </c>
      <c r="N28" s="290">
        <v>3.095867150973608</v>
      </c>
      <c r="O28" s="290">
        <v>3.5149583373499493E-2</v>
      </c>
      <c r="P28" s="290">
        <v>5.4076282113076123E-3</v>
      </c>
      <c r="Q28" s="290">
        <v>0.46775984027810846</v>
      </c>
      <c r="R28" s="290">
        <v>0.46775984027810846</v>
      </c>
      <c r="S28" s="290">
        <v>2.4334326950884253E-2</v>
      </c>
      <c r="T28" s="290">
        <v>3.4149172154407572</v>
      </c>
      <c r="U28" s="114">
        <v>432.54992083137608</v>
      </c>
      <c r="V28" s="291">
        <v>38.626234851060644</v>
      </c>
      <c r="W28" t="s">
        <v>2531</v>
      </c>
    </row>
    <row r="29" spans="1:23" x14ac:dyDescent="0.25">
      <c r="A29" s="2" t="s">
        <v>2529</v>
      </c>
      <c r="B29" s="2">
        <v>2104008210</v>
      </c>
      <c r="C29" s="2" t="s">
        <v>2156</v>
      </c>
      <c r="D29" s="290">
        <v>7.8539260636745295E-2</v>
      </c>
      <c r="E29" s="290">
        <v>4.1492439581676775E-3</v>
      </c>
      <c r="F29" s="290">
        <v>5.9274913688109668E-4</v>
      </c>
      <c r="G29" s="290">
        <v>4.5345308971403916E-2</v>
      </c>
      <c r="H29" s="290">
        <v>4.5345308971403916E-2</v>
      </c>
      <c r="I29" s="290">
        <v>2.5191838317446622E-3</v>
      </c>
      <c r="J29" s="290">
        <v>0.34201625198039282</v>
      </c>
      <c r="K29" s="114">
        <v>47.413317301410174</v>
      </c>
      <c r="L29" s="291">
        <v>4.233957379143928</v>
      </c>
      <c r="M29" s="114" t="s">
        <v>2531</v>
      </c>
      <c r="N29" s="290">
        <v>6.8561190395400956E-2</v>
      </c>
      <c r="O29" s="290">
        <v>3.6221006246626923E-3</v>
      </c>
      <c r="P29" s="290">
        <v>5.1744294638038466E-4</v>
      </c>
      <c r="Q29" s="290">
        <v>3.9584385398099421E-2</v>
      </c>
      <c r="R29" s="290">
        <v>3.9584385398099421E-2</v>
      </c>
      <c r="S29" s="290">
        <v>2.1991325221166346E-3</v>
      </c>
      <c r="T29" s="290">
        <v>0.29856458006148184</v>
      </c>
      <c r="U29" s="114">
        <v>41.389662296600036</v>
      </c>
      <c r="V29" s="291">
        <v>3.6960515752765701</v>
      </c>
      <c r="W29" t="s">
        <v>2531</v>
      </c>
    </row>
    <row r="30" spans="1:23" x14ac:dyDescent="0.25">
      <c r="A30" s="2" t="s">
        <v>2529</v>
      </c>
      <c r="B30" s="2">
        <v>2104008220</v>
      </c>
      <c r="C30" s="2" t="s">
        <v>2159</v>
      </c>
      <c r="D30" s="290">
        <v>3.7439510966912393E-2</v>
      </c>
      <c r="E30" s="290">
        <v>6.2399184944853994E-3</v>
      </c>
      <c r="F30" s="290">
        <v>1.2479836988970802E-3</v>
      </c>
      <c r="G30" s="290">
        <v>3.7439510966912393E-2</v>
      </c>
      <c r="H30" s="290">
        <v>3.7439510966912393E-2</v>
      </c>
      <c r="I30" s="290">
        <v>2.8079633225184305E-3</v>
      </c>
      <c r="J30" s="290">
        <v>0.43929026201177207</v>
      </c>
      <c r="K30" s="114">
        <v>99.824771427148036</v>
      </c>
      <c r="L30" s="291">
        <v>8.9142429102457843</v>
      </c>
      <c r="M30" s="114" t="s">
        <v>2531</v>
      </c>
      <c r="N30" s="290">
        <v>3.2682984521402995E-2</v>
      </c>
      <c r="O30" s="290">
        <v>5.4471640869004998E-3</v>
      </c>
      <c r="P30" s="290">
        <v>1.0894328173801E-3</v>
      </c>
      <c r="Q30" s="290">
        <v>3.2682984521402995E-2</v>
      </c>
      <c r="R30" s="290">
        <v>3.2682984521402995E-2</v>
      </c>
      <c r="S30" s="290">
        <v>2.4512238391052252E-3</v>
      </c>
      <c r="T30" s="290">
        <v>0.38348035171779521</v>
      </c>
      <c r="U30" s="114">
        <v>87.142469950780267</v>
      </c>
      <c r="V30" s="291">
        <v>7.7817272590197044</v>
      </c>
      <c r="W30" t="s">
        <v>2531</v>
      </c>
    </row>
    <row r="31" spans="1:23" x14ac:dyDescent="0.25">
      <c r="A31" s="2" t="s">
        <v>2529</v>
      </c>
      <c r="B31" s="2">
        <v>2104008230</v>
      </c>
      <c r="C31" s="2" t="s">
        <v>2162</v>
      </c>
      <c r="D31" s="290">
        <v>2.8176658560530039E-2</v>
      </c>
      <c r="E31" s="290">
        <v>3.7568878080706724E-3</v>
      </c>
      <c r="F31" s="290">
        <v>7.5137756161413455E-4</v>
      </c>
      <c r="G31" s="290">
        <v>2.4419770752459373E-2</v>
      </c>
      <c r="H31" s="290">
        <v>2.4419770752459373E-2</v>
      </c>
      <c r="I31" s="290">
        <v>1.6905995136318021E-3</v>
      </c>
      <c r="J31" s="290">
        <v>0.20099349773178093</v>
      </c>
      <c r="K31" s="114">
        <v>60.101821369867508</v>
      </c>
      <c r="L31" s="291">
        <v>5.3670269150598378</v>
      </c>
      <c r="M31" s="114" t="s">
        <v>2531</v>
      </c>
      <c r="N31" s="290">
        <v>2.4596937081056272E-2</v>
      </c>
      <c r="O31" s="290">
        <v>3.2795916108075023E-3</v>
      </c>
      <c r="P31" s="290">
        <v>6.5591832216150062E-4</v>
      </c>
      <c r="Q31" s="290">
        <v>2.1317345470248772E-2</v>
      </c>
      <c r="R31" s="290">
        <v>2.1317345470248772E-2</v>
      </c>
      <c r="S31" s="290">
        <v>1.4758162248633758E-3</v>
      </c>
      <c r="T31" s="290">
        <v>0.17545815117820143</v>
      </c>
      <c r="U31" s="114">
        <v>52.466147308267111</v>
      </c>
      <c r="V31" s="291">
        <v>4.6851695724838658</v>
      </c>
      <c r="W31" t="s">
        <v>2531</v>
      </c>
    </row>
    <row r="32" spans="1:23" x14ac:dyDescent="0.25">
      <c r="A32" s="2" t="s">
        <v>2529</v>
      </c>
      <c r="B32" s="2">
        <v>2104008310</v>
      </c>
      <c r="C32" s="2" t="s">
        <v>2165</v>
      </c>
      <c r="D32" s="290">
        <v>1.5938930868953505</v>
      </c>
      <c r="E32" s="290">
        <v>4.367094536551009E-2</v>
      </c>
      <c r="F32" s="290">
        <v>1.2029381787889438E-2</v>
      </c>
      <c r="G32" s="290">
        <v>0.3651527678910596</v>
      </c>
      <c r="H32" s="290">
        <v>0.3651527678910596</v>
      </c>
      <c r="I32" s="290">
        <v>1.1940019878280094E-2</v>
      </c>
      <c r="J32" s="290">
        <v>3.6440197761922053</v>
      </c>
      <c r="K32" s="114">
        <v>962.21632417731723</v>
      </c>
      <c r="L32" s="291">
        <v>85.924865374524842</v>
      </c>
      <c r="M32" s="114" t="s">
        <v>2531</v>
      </c>
      <c r="N32" s="290">
        <v>1.391395927521861</v>
      </c>
      <c r="O32" s="290">
        <v>3.8122742379765366E-2</v>
      </c>
      <c r="P32" s="290">
        <v>1.0501101339787634E-2</v>
      </c>
      <c r="Q32" s="290">
        <v>0.31876170261620185</v>
      </c>
      <c r="R32" s="290">
        <v>0.31876170261620185</v>
      </c>
      <c r="S32" s="290">
        <v>1.042309247073092E-2</v>
      </c>
      <c r="T32" s="290">
        <v>3.1810629697121322</v>
      </c>
      <c r="U32" s="114">
        <v>839.97094024868989</v>
      </c>
      <c r="V32" s="291">
        <v>75.008486289286267</v>
      </c>
      <c r="W32" t="s">
        <v>2531</v>
      </c>
    </row>
    <row r="33" spans="1:31" x14ac:dyDescent="0.25">
      <c r="A33" s="2" t="s">
        <v>2529</v>
      </c>
      <c r="B33" s="2">
        <v>2104008320</v>
      </c>
      <c r="C33" s="2" t="s">
        <v>2169</v>
      </c>
      <c r="D33" s="290">
        <v>0.7598056974703048</v>
      </c>
      <c r="E33" s="290">
        <v>0.10186712682744539</v>
      </c>
      <c r="F33" s="290">
        <v>2.5326856582343484E-2</v>
      </c>
      <c r="G33" s="290">
        <v>0.50179627719749775</v>
      </c>
      <c r="H33" s="290">
        <v>0.50179627719749775</v>
      </c>
      <c r="I33" s="290">
        <v>1.5812932849551195E-2</v>
      </c>
      <c r="J33" s="290">
        <v>7.8285914254117408</v>
      </c>
      <c r="K33" s="114">
        <v>2025.8659400238698</v>
      </c>
      <c r="L33" s="291">
        <v>180.90761275767773</v>
      </c>
      <c r="M33" s="114" t="s">
        <v>2531</v>
      </c>
      <c r="N33" s="290">
        <v>0.66327570014581605</v>
      </c>
      <c r="O33" s="290">
        <v>8.8925353012316841E-2</v>
      </c>
      <c r="P33" s="290">
        <v>2.2109190004860533E-2</v>
      </c>
      <c r="Q33" s="290">
        <v>0.4380452505118812</v>
      </c>
      <c r="R33" s="290">
        <v>0.4380452505118812</v>
      </c>
      <c r="S33" s="290">
        <v>1.3803968754202133E-2</v>
      </c>
      <c r="T33" s="290">
        <v>6.8340030564833221</v>
      </c>
      <c r="U33" s="114">
        <v>1768.4885152146539</v>
      </c>
      <c r="V33" s="291">
        <v>157.92409021550722</v>
      </c>
      <c r="W33" t="s">
        <v>2531</v>
      </c>
    </row>
    <row r="34" spans="1:31" x14ac:dyDescent="0.25">
      <c r="A34" s="2" t="s">
        <v>2529</v>
      </c>
      <c r="B34" s="2">
        <v>2104008330</v>
      </c>
      <c r="C34" s="2" t="s">
        <v>2172</v>
      </c>
      <c r="D34" s="290">
        <v>0.57182332666915492</v>
      </c>
      <c r="E34" s="290">
        <v>6.133146885803667E-2</v>
      </c>
      <c r="F34" s="290">
        <v>1.5248622044510798E-2</v>
      </c>
      <c r="G34" s="290">
        <v>0.33522693220628086</v>
      </c>
      <c r="H34" s="290">
        <v>0.33522693220628086</v>
      </c>
      <c r="I34" s="290">
        <v>9.520543366843829E-3</v>
      </c>
      <c r="J34" s="290">
        <v>4.7133852319526941</v>
      </c>
      <c r="K34" s="114">
        <v>1219.7196257591461</v>
      </c>
      <c r="L34" s="291">
        <v>108.91962857481836</v>
      </c>
      <c r="M34" s="114" t="s">
        <v>2531</v>
      </c>
      <c r="N34" s="290">
        <v>0.49917566901505955</v>
      </c>
      <c r="O34" s="290">
        <v>5.3539573450455014E-2</v>
      </c>
      <c r="P34" s="290">
        <v>1.3311351173734923E-2</v>
      </c>
      <c r="Q34" s="290">
        <v>0.29263781372940401</v>
      </c>
      <c r="R34" s="290">
        <v>0.29263781372940401</v>
      </c>
      <c r="S34" s="290">
        <v>8.3109998890982823E-3</v>
      </c>
      <c r="T34" s="290">
        <v>4.1145702120805101</v>
      </c>
      <c r="U34" s="114">
        <v>1064.7595713621356</v>
      </c>
      <c r="V34" s="291">
        <v>95.081865196737809</v>
      </c>
      <c r="W34" t="s">
        <v>2531</v>
      </c>
    </row>
    <row r="35" spans="1:31" x14ac:dyDescent="0.25">
      <c r="A35" s="2" t="s">
        <v>2529</v>
      </c>
      <c r="B35" s="2">
        <v>2104008410</v>
      </c>
      <c r="C35" s="2" t="s">
        <v>2175</v>
      </c>
      <c r="D35" s="290">
        <v>9.5814344905327652E-3</v>
      </c>
      <c r="E35" s="290">
        <v>1.6732169347173118E-2</v>
      </c>
      <c r="F35" s="290">
        <v>1.3372363114623879E-3</v>
      </c>
      <c r="G35" s="290">
        <v>1.2369435881027079E-2</v>
      </c>
      <c r="H35" s="290">
        <v>1.2369435881027079E-2</v>
      </c>
      <c r="I35" s="290">
        <v>3.0037670646223879E-4</v>
      </c>
      <c r="J35" s="290">
        <v>4.1504472017013842E-2</v>
      </c>
      <c r="K35" s="114">
        <v>127.73464226160868</v>
      </c>
      <c r="L35" s="291">
        <v>11.406563850780438</v>
      </c>
      <c r="M35" s="114" t="s">
        <v>2531</v>
      </c>
      <c r="N35" s="290">
        <v>8.3641550613112719E-3</v>
      </c>
      <c r="O35" s="290">
        <v>1.460642026725306E-2</v>
      </c>
      <c r="P35" s="290">
        <v>1.1673462751051406E-3</v>
      </c>
      <c r="Q35" s="290">
        <v>1.0797953044722542E-2</v>
      </c>
      <c r="R35" s="290">
        <v>1.0797953044722542E-2</v>
      </c>
      <c r="S35" s="290">
        <v>2.6221515704549211E-4</v>
      </c>
      <c r="T35" s="290">
        <v>3.6231510013575802E-2</v>
      </c>
      <c r="U35" s="114">
        <v>111.50651352184029</v>
      </c>
      <c r="V35" s="291">
        <v>9.957409702998488</v>
      </c>
      <c r="W35" t="s">
        <v>2531</v>
      </c>
    </row>
    <row r="36" spans="1:31" x14ac:dyDescent="0.25">
      <c r="A36" s="2" t="s">
        <v>2529</v>
      </c>
      <c r="B36" s="2">
        <v>2104008420</v>
      </c>
      <c r="C36" s="2" t="s">
        <v>2179</v>
      </c>
      <c r="D36" s="290">
        <v>3.2318476314103825E-2</v>
      </c>
      <c r="E36" s="290">
        <v>5.6438127220355308E-2</v>
      </c>
      <c r="F36" s="290">
        <v>4.510539637990434E-3</v>
      </c>
      <c r="G36" s="290">
        <v>4.1722491651411515E-2</v>
      </c>
      <c r="H36" s="290">
        <v>4.1722491651411515E-2</v>
      </c>
      <c r="I36" s="290">
        <v>1.0131799661836016E-3</v>
      </c>
      <c r="J36" s="290">
        <v>0.13999587401412816</v>
      </c>
      <c r="K36" s="114">
        <v>430.85291816181712</v>
      </c>
      <c r="L36" s="291">
        <v>38.474694368678229</v>
      </c>
      <c r="M36" s="114" t="s">
        <v>2531</v>
      </c>
      <c r="N36" s="290">
        <v>2.8212554968003473E-2</v>
      </c>
      <c r="O36" s="290">
        <v>4.9267909508486966E-2</v>
      </c>
      <c r="P36" s="290">
        <v>3.9374952654135436E-3</v>
      </c>
      <c r="Q36" s="290">
        <v>3.6421831205075285E-2</v>
      </c>
      <c r="R36" s="290">
        <v>3.6421831205075285E-2</v>
      </c>
      <c r="S36" s="290">
        <v>8.844598739935173E-4</v>
      </c>
      <c r="T36" s="290">
        <v>0.12221000930027295</v>
      </c>
      <c r="U36" s="114">
        <v>376.1149355751125</v>
      </c>
      <c r="V36" s="291">
        <v>33.586652390532642</v>
      </c>
      <c r="W36" t="s">
        <v>2531</v>
      </c>
    </row>
    <row r="37" spans="1:31" x14ac:dyDescent="0.25">
      <c r="A37" s="2" t="s">
        <v>2529</v>
      </c>
      <c r="B37" s="2">
        <v>2104008610</v>
      </c>
      <c r="C37" s="2" t="s">
        <v>2182</v>
      </c>
      <c r="D37" s="290">
        <v>1.0669690690537827</v>
      </c>
      <c r="E37" s="290">
        <v>3.7901691000690338E-2</v>
      </c>
      <c r="F37" s="290">
        <v>9.4006085379187889E-3</v>
      </c>
      <c r="G37" s="290">
        <v>0.23196358976820075</v>
      </c>
      <c r="H37" s="290">
        <v>0.23196358976820075</v>
      </c>
      <c r="I37" s="290">
        <v>5.7286972260337755E-3</v>
      </c>
      <c r="J37" s="290">
        <v>1.4235028113128578</v>
      </c>
      <c r="K37" s="114">
        <v>751.94379494153122</v>
      </c>
      <c r="L37" s="291">
        <v>67.147758488510036</v>
      </c>
      <c r="M37" s="114" t="s">
        <v>2531</v>
      </c>
      <c r="N37" s="290">
        <v>0.97571266729588479</v>
      </c>
      <c r="O37" s="290">
        <v>3.4660011329198041E-2</v>
      </c>
      <c r="P37" s="290">
        <v>8.5965873770562536E-3</v>
      </c>
      <c r="Q37" s="290">
        <v>0.21212406193646743</v>
      </c>
      <c r="R37" s="290">
        <v>0.21212406193646743</v>
      </c>
      <c r="S37" s="290">
        <v>5.2387296058178413E-3</v>
      </c>
      <c r="T37" s="290">
        <v>1.3017525673551154</v>
      </c>
      <c r="U37" s="114">
        <v>687.63107300724255</v>
      </c>
      <c r="V37" s="291">
        <v>61.404702758502829</v>
      </c>
      <c r="W37" t="s">
        <v>2531</v>
      </c>
    </row>
    <row r="38" spans="1:31" x14ac:dyDescent="0.25">
      <c r="A38" s="2" t="s">
        <v>2529</v>
      </c>
      <c r="B38" s="2">
        <v>2104004000</v>
      </c>
      <c r="C38" s="2" t="s">
        <v>2196</v>
      </c>
      <c r="D38" s="290">
        <v>7.0220864945884198E-2</v>
      </c>
      <c r="E38" s="290">
        <v>1.1002328264618229</v>
      </c>
      <c r="F38" s="290">
        <v>2.846513442807165</v>
      </c>
      <c r="G38" s="290">
        <v>4.4968644133317026E-2</v>
      </c>
      <c r="H38" s="290">
        <v>4.4968644133317026E-2</v>
      </c>
      <c r="I38" s="290">
        <v>2.4125677577524584E-3</v>
      </c>
      <c r="J38" s="290">
        <v>4.4106745120761792E-2</v>
      </c>
      <c r="K38" s="114">
        <v>26435.872926296983</v>
      </c>
      <c r="L38" s="291">
        <v>196.9729732002362</v>
      </c>
      <c r="M38" s="114" t="s">
        <v>2532</v>
      </c>
      <c r="N38" s="290">
        <v>6.4915329356027313E-2</v>
      </c>
      <c r="O38" s="290">
        <v>1.0171047644190023</v>
      </c>
      <c r="P38" s="290">
        <v>2.6314451950796833</v>
      </c>
      <c r="Q38" s="290">
        <v>4.1571039417670402E-2</v>
      </c>
      <c r="R38" s="290">
        <v>4.1571039417670402E-2</v>
      </c>
      <c r="S38" s="290">
        <v>2.2302862647580169E-3</v>
      </c>
      <c r="T38" s="290">
        <v>4.0774261162165044E-2</v>
      </c>
      <c r="U38" s="114">
        <v>24438.511248005336</v>
      </c>
      <c r="V38" s="291">
        <v>182.09068543065175</v>
      </c>
      <c r="W38" t="s">
        <v>2532</v>
      </c>
    </row>
    <row r="39" spans="1:31" x14ac:dyDescent="0.25">
      <c r="A39" s="2" t="s">
        <v>2529</v>
      </c>
      <c r="B39" s="2">
        <v>2103004001</v>
      </c>
      <c r="C39" s="2" t="s">
        <v>2206</v>
      </c>
      <c r="D39" s="290">
        <v>1.9516593712183384E-2</v>
      </c>
      <c r="E39" s="290">
        <v>0.49270503060210519</v>
      </c>
      <c r="F39" s="290">
        <v>0.34826581363092807</v>
      </c>
      <c r="G39" s="290">
        <v>1.2498204885600002E-2</v>
      </c>
      <c r="H39" s="290">
        <v>1.2498204885600002E-2</v>
      </c>
      <c r="I39" s="290">
        <v>6.7052869211244026E-4</v>
      </c>
      <c r="J39" s="290">
        <v>1.2258655958626E-2</v>
      </c>
      <c r="K39" s="114">
        <v>7582.1829709323965</v>
      </c>
      <c r="L39" s="291">
        <v>56.494639965042182</v>
      </c>
      <c r="M39" s="114" t="s">
        <v>2532</v>
      </c>
      <c r="N39" s="290">
        <v>1.9152066756391216E-2</v>
      </c>
      <c r="O39" s="290">
        <v>0.48350238655686112</v>
      </c>
      <c r="P39" s="290">
        <v>0.34176097581334752</v>
      </c>
      <c r="Q39" s="290">
        <v>1.2264765964495113E-2</v>
      </c>
      <c r="R39" s="290">
        <v>1.2264765964495113E-2</v>
      </c>
      <c r="S39" s="290">
        <v>6.5800469399516278E-4</v>
      </c>
      <c r="T39" s="290">
        <v>1.2029691283508953E-2</v>
      </c>
      <c r="U39" s="114">
        <v>7440.5645042361393</v>
      </c>
      <c r="V39" s="291">
        <v>55.439444605199448</v>
      </c>
      <c r="W39" t="s">
        <v>2532</v>
      </c>
    </row>
    <row r="40" spans="1:31" x14ac:dyDescent="0.25">
      <c r="A40" s="2" t="s">
        <v>2529</v>
      </c>
      <c r="B40" s="2">
        <v>2104004000</v>
      </c>
      <c r="C40" s="2" t="s">
        <v>2210</v>
      </c>
      <c r="D40" s="290">
        <v>4.647737977447306E-4</v>
      </c>
      <c r="E40" s="290">
        <v>1.1733419858913255E-2</v>
      </c>
      <c r="F40" s="290">
        <v>1.8840338468694078E-2</v>
      </c>
      <c r="G40" s="290">
        <v>2.6074266353140577E-4</v>
      </c>
      <c r="H40" s="290">
        <v>2.6074266353140577E-4</v>
      </c>
      <c r="I40" s="290">
        <v>1.5968163877662712E-5</v>
      </c>
      <c r="J40" s="290">
        <v>2.9193117247606408E-4</v>
      </c>
      <c r="K40" s="114">
        <v>178.60220595242461</v>
      </c>
      <c r="L40" s="291">
        <v>1.3037133176570288</v>
      </c>
      <c r="M40" s="114" t="s">
        <v>2532</v>
      </c>
      <c r="N40" s="290">
        <v>4.3944409407394985E-4</v>
      </c>
      <c r="O40" s="290">
        <v>1.1093960299202102E-2</v>
      </c>
      <c r="P40" s="290">
        <v>1.781355900568456E-2</v>
      </c>
      <c r="Q40" s="290">
        <v>2.4653245109337998E-4</v>
      </c>
      <c r="R40" s="290">
        <v>2.4653245109337998E-4</v>
      </c>
      <c r="S40" s="290">
        <v>1.5097915035859868E-5</v>
      </c>
      <c r="T40" s="290">
        <v>2.7602121772611155E-4</v>
      </c>
      <c r="U40" s="114">
        <v>168.868565687688</v>
      </c>
      <c r="V40" s="291">
        <v>1.2326622554669002</v>
      </c>
      <c r="W40" t="s">
        <v>2532</v>
      </c>
    </row>
    <row r="41" spans="1:31" x14ac:dyDescent="0.25">
      <c r="A41" s="2" t="s">
        <v>2529</v>
      </c>
      <c r="B41" s="2">
        <v>2104004000</v>
      </c>
      <c r="C41" s="2" t="s">
        <v>2214</v>
      </c>
      <c r="D41" s="290">
        <v>1.4751175472206149E-3</v>
      </c>
      <c r="E41" s="290">
        <v>2.311240041820499E-2</v>
      </c>
      <c r="F41" s="290">
        <v>5.9796214858933099E-2</v>
      </c>
      <c r="G41" s="290">
        <v>9.4464851845524507E-4</v>
      </c>
      <c r="H41" s="290">
        <v>9.4464851845524507E-4</v>
      </c>
      <c r="I41" s="290">
        <v>5.0680393015123893E-5</v>
      </c>
      <c r="J41" s="290">
        <v>9.2654275518485284E-4</v>
      </c>
      <c r="K41" s="114">
        <v>517.22214138170273</v>
      </c>
      <c r="L41" s="291">
        <v>4.1377771310536211</v>
      </c>
      <c r="M41" s="114" t="s">
        <v>2532</v>
      </c>
      <c r="N41" s="290">
        <v>1.2303774556779066E-3</v>
      </c>
      <c r="O41" s="290">
        <v>1.9277769744343681E-2</v>
      </c>
      <c r="P41" s="290">
        <v>4.9875289488574094E-2</v>
      </c>
      <c r="Q41" s="290">
        <v>7.8791974431922419E-4</v>
      </c>
      <c r="R41" s="290">
        <v>7.8791974431922419E-4</v>
      </c>
      <c r="S41" s="290">
        <v>4.2271894282726399E-5</v>
      </c>
      <c r="T41" s="290">
        <v>7.7281794921977252E-4</v>
      </c>
      <c r="U41" s="114">
        <v>431.40864504835463</v>
      </c>
      <c r="V41" s="291">
        <v>3.4512691603868366</v>
      </c>
      <c r="W41" t="s">
        <v>2532</v>
      </c>
    </row>
    <row r="42" spans="1:31" x14ac:dyDescent="0.25">
      <c r="A42" s="2" t="s">
        <v>2529</v>
      </c>
      <c r="B42" s="2">
        <v>2104006010</v>
      </c>
      <c r="C42" s="2" t="s">
        <v>2217</v>
      </c>
      <c r="D42" s="290">
        <v>6.2640334377998829E-4</v>
      </c>
      <c r="E42" s="290">
        <v>1.0705802602785265E-2</v>
      </c>
      <c r="F42" s="290">
        <v>6.833491023054419E-5</v>
      </c>
      <c r="G42" s="290">
        <v>8.6557552958689261E-4</v>
      </c>
      <c r="H42" s="290">
        <v>8.6557552958689261E-4</v>
      </c>
      <c r="I42" s="290">
        <v>2.2778303410181393E-3</v>
      </c>
      <c r="J42" s="290">
        <v>4.5556606820362786E-3</v>
      </c>
      <c r="K42" s="114">
        <v>281.18883333333304</v>
      </c>
      <c r="L42" s="291">
        <v>277.03333333333325</v>
      </c>
      <c r="M42" s="114" t="s">
        <v>2533</v>
      </c>
      <c r="N42" s="290">
        <v>6.2640334377998829E-4</v>
      </c>
      <c r="O42" s="290">
        <v>1.0705802602785265E-2</v>
      </c>
      <c r="P42" s="290">
        <v>6.833491023054419E-5</v>
      </c>
      <c r="Q42" s="290">
        <v>8.6557552958689261E-4</v>
      </c>
      <c r="R42" s="290">
        <v>8.6557552958689261E-4</v>
      </c>
      <c r="S42" s="290">
        <v>2.2778303410181393E-3</v>
      </c>
      <c r="T42" s="290">
        <v>4.5556606820362786E-3</v>
      </c>
      <c r="U42" s="114">
        <v>281.18883333333304</v>
      </c>
      <c r="V42" s="291">
        <v>277.03333333333325</v>
      </c>
      <c r="W42" t="s">
        <v>2533</v>
      </c>
    </row>
    <row r="43" spans="1:31" x14ac:dyDescent="0.25">
      <c r="A43" s="2" t="s">
        <v>2529</v>
      </c>
      <c r="B43" s="2">
        <v>2103006000</v>
      </c>
      <c r="C43" s="2" t="s">
        <v>2221</v>
      </c>
      <c r="D43" s="290">
        <v>9.70869166666667E-3</v>
      </c>
      <c r="E43" s="290">
        <v>0.17652166666666672</v>
      </c>
      <c r="F43" s="290">
        <v>1.0591300000000004E-3</v>
      </c>
      <c r="G43" s="290">
        <v>1.341564666666667E-2</v>
      </c>
      <c r="H43" s="290">
        <v>1.341564666666667E-2</v>
      </c>
      <c r="I43" s="290">
        <v>3.5304333333333375E-2</v>
      </c>
      <c r="J43" s="290">
        <v>7.060866666666675E-2</v>
      </c>
      <c r="K43" s="114">
        <v>3583.389833333335</v>
      </c>
      <c r="L43" s="291">
        <v>3530.4333333333366</v>
      </c>
      <c r="M43" s="114" t="s">
        <v>2533</v>
      </c>
      <c r="N43" s="290">
        <v>9.70869166666667E-3</v>
      </c>
      <c r="O43" s="290">
        <v>0.17652166666666672</v>
      </c>
      <c r="P43" s="290">
        <v>1.0591300000000004E-3</v>
      </c>
      <c r="Q43" s="290">
        <v>1.341564666666667E-2</v>
      </c>
      <c r="R43" s="290">
        <v>1.341564666666667E-2</v>
      </c>
      <c r="S43" s="290">
        <v>3.5304333333333375E-2</v>
      </c>
      <c r="T43" s="290">
        <v>7.060866666666675E-2</v>
      </c>
      <c r="U43" s="114">
        <v>3583.389833333335</v>
      </c>
      <c r="V43" s="291">
        <v>3530.4333333333366</v>
      </c>
      <c r="W43" t="s">
        <v>2533</v>
      </c>
    </row>
    <row r="44" spans="1:31" x14ac:dyDescent="0.25">
      <c r="A44" s="2" t="s">
        <v>2529</v>
      </c>
      <c r="B44" s="2">
        <v>2104002000</v>
      </c>
      <c r="C44" s="2" t="s">
        <v>2223</v>
      </c>
      <c r="D44" s="290">
        <v>0.1040747212991292</v>
      </c>
      <c r="E44" s="290">
        <v>4.9123268453189005E-2</v>
      </c>
      <c r="F44" s="290">
        <v>9.6789490808190159E-2</v>
      </c>
      <c r="G44" s="290">
        <v>8.3155702318004274E-2</v>
      </c>
      <c r="H44" s="290">
        <v>8.3155702318004274E-2</v>
      </c>
      <c r="I44" s="290">
        <v>1.3175339342863268E-2</v>
      </c>
      <c r="J44" s="290">
        <v>1.3589556733633801</v>
      </c>
      <c r="K44" s="114">
        <v>316.38715274935288</v>
      </c>
      <c r="L44" s="291">
        <v>20.814944259825847</v>
      </c>
      <c r="M44" s="114" t="s">
        <v>2531</v>
      </c>
      <c r="N44" s="290">
        <v>9.1436623950975529E-2</v>
      </c>
      <c r="O44" s="290">
        <v>4.3158086504860464E-2</v>
      </c>
      <c r="P44" s="290">
        <v>8.503606027440723E-2</v>
      </c>
      <c r="Q44" s="290">
        <v>7.3057862536829443E-2</v>
      </c>
      <c r="R44" s="290">
        <v>7.3057862536829443E-2</v>
      </c>
      <c r="S44" s="290">
        <v>1.1575419409073751E-2</v>
      </c>
      <c r="T44" s="290">
        <v>1.1939337172398632</v>
      </c>
      <c r="U44" s="114">
        <v>277.96733681096561</v>
      </c>
      <c r="V44" s="291">
        <v>18.287324790195111</v>
      </c>
      <c r="W44" t="s">
        <v>2531</v>
      </c>
    </row>
    <row r="45" spans="1:31" x14ac:dyDescent="0.25">
      <c r="A45" s="2" t="s">
        <v>2529</v>
      </c>
      <c r="B45" s="2">
        <v>2103002000</v>
      </c>
      <c r="C45" s="2" t="s">
        <v>2527</v>
      </c>
      <c r="D45" s="290">
        <v>2.8645019898962393E-4</v>
      </c>
      <c r="E45" s="290">
        <v>1.3520449392310249E-4</v>
      </c>
      <c r="F45" s="290">
        <v>2.6639868506035018E-4</v>
      </c>
      <c r="G45" s="290">
        <v>2.2887370899270956E-4</v>
      </c>
      <c r="H45" s="290">
        <v>2.2887370899270956E-4</v>
      </c>
      <c r="I45" s="290">
        <v>3.6263162941091441E-5</v>
      </c>
      <c r="J45" s="290">
        <v>3.7403234733070141E-3</v>
      </c>
      <c r="K45" s="114">
        <v>13.168671346965224</v>
      </c>
      <c r="L45" s="291">
        <v>0.8708086049284568</v>
      </c>
      <c r="M45" s="114" t="s">
        <v>2531</v>
      </c>
      <c r="N45" s="290">
        <v>2.7069889582540766E-4</v>
      </c>
      <c r="O45" s="290">
        <v>1.2776987882959242E-4</v>
      </c>
      <c r="P45" s="290">
        <v>2.5174997311762913E-4</v>
      </c>
      <c r="Q45" s="290">
        <v>2.1628841776450075E-4</v>
      </c>
      <c r="R45" s="290">
        <v>2.1628841776450075E-4</v>
      </c>
      <c r="S45" s="290">
        <v>3.4269126717017481E-5</v>
      </c>
      <c r="T45" s="290">
        <v>3.5346508322402601E-3</v>
      </c>
      <c r="U45" s="114">
        <v>12.440835130353117</v>
      </c>
      <c r="V45" s="291">
        <v>0.8229246433092392</v>
      </c>
      <c r="W45" t="s">
        <v>2531</v>
      </c>
    </row>
    <row r="46" spans="1:31" x14ac:dyDescent="0.25">
      <c r="A46" s="2" t="s">
        <v>2529</v>
      </c>
      <c r="B46" s="2">
        <v>2103008000</v>
      </c>
      <c r="C46" s="2" t="s">
        <v>2528</v>
      </c>
      <c r="D46" s="290">
        <v>8.7528703202673379E-4</v>
      </c>
      <c r="E46" s="290">
        <v>3.4801193375654412E-5</v>
      </c>
      <c r="F46" s="290">
        <v>7.5868125068506339E-6</v>
      </c>
      <c r="G46" s="290">
        <v>2.4615288677671822E-4</v>
      </c>
      <c r="H46" s="290">
        <v>2.4615288677671822E-4</v>
      </c>
      <c r="I46" s="290">
        <v>9.0131921626299533E-6</v>
      </c>
      <c r="J46" s="290">
        <v>1.750797799678111E-3</v>
      </c>
      <c r="K46" s="114">
        <v>7.9472342577361532</v>
      </c>
      <c r="L46" s="291">
        <v>0.65625928184257976</v>
      </c>
      <c r="M46" s="114" t="s">
        <v>2531</v>
      </c>
      <c r="N46" s="290">
        <v>7.1756118952917862E-4</v>
      </c>
      <c r="O46" s="290">
        <v>2.9198335412332756E-5</v>
      </c>
      <c r="P46" s="290">
        <v>6.1971575068721741E-6</v>
      </c>
      <c r="Q46" s="290">
        <v>2.1186262130783E-4</v>
      </c>
      <c r="R46" s="290">
        <v>2.1186262130783E-4</v>
      </c>
      <c r="S46" s="290">
        <v>8.1663413751081686E-6</v>
      </c>
      <c r="T46" s="290">
        <v>1.5403669758388852E-3</v>
      </c>
      <c r="U46" s="114">
        <v>6.4915618245119404</v>
      </c>
      <c r="V46" s="291">
        <v>0.53605412434444311</v>
      </c>
      <c r="W46" t="s">
        <v>2531</v>
      </c>
    </row>
    <row r="47" spans="1:31" x14ac:dyDescent="0.25">
      <c r="A47" s="44" t="s">
        <v>2529</v>
      </c>
      <c r="B47" s="44">
        <v>2102012000</v>
      </c>
      <c r="C47" s="44" t="s">
        <v>2228</v>
      </c>
      <c r="D47" s="292">
        <v>3.7373908168656338E-4</v>
      </c>
      <c r="E47" s="292">
        <v>1.9511027330222776E-2</v>
      </c>
      <c r="F47" s="292">
        <v>1.3815351742974291E-2</v>
      </c>
      <c r="G47" s="292">
        <v>1.9450064441674253E-3</v>
      </c>
      <c r="H47" s="292">
        <v>1.9450064441674253E-3</v>
      </c>
      <c r="I47" s="292">
        <v>1.3597627141015245E-5</v>
      </c>
      <c r="J47" s="292">
        <v>4.6447915084595207E-3</v>
      </c>
      <c r="K47" s="245">
        <v>103.52572562717806</v>
      </c>
      <c r="L47" s="293">
        <v>0.74747816337312667</v>
      </c>
      <c r="M47" s="245" t="s">
        <v>2532</v>
      </c>
      <c r="N47" s="292">
        <v>3.7373908168656338E-4</v>
      </c>
      <c r="O47" s="292">
        <v>1.9511027330222776E-2</v>
      </c>
      <c r="P47" s="292">
        <v>1.3815351742974291E-2</v>
      </c>
      <c r="Q47" s="292">
        <v>1.9450064441674253E-3</v>
      </c>
      <c r="R47" s="292">
        <v>1.9450064441674253E-3</v>
      </c>
      <c r="S47" s="292">
        <v>1.3597627141015245E-5</v>
      </c>
      <c r="T47" s="292">
        <v>4.6447915084595207E-3</v>
      </c>
      <c r="U47" s="245">
        <v>103.52572562717806</v>
      </c>
      <c r="V47" s="293">
        <v>0.74747816337312667</v>
      </c>
      <c r="W47" s="9" t="s">
        <v>2532</v>
      </c>
    </row>
    <row r="48" spans="1:31" x14ac:dyDescent="0.25">
      <c r="A48" s="71" t="s">
        <v>2529</v>
      </c>
      <c r="B48" s="71" t="s">
        <v>2462</v>
      </c>
      <c r="C48" s="71"/>
      <c r="D48" s="294">
        <v>7.7329857254267713</v>
      </c>
      <c r="E48" s="294">
        <v>2.2539018176184991</v>
      </c>
      <c r="F48" s="294">
        <v>3.4617134258176292</v>
      </c>
      <c r="G48" s="294">
        <v>2.2596414971738574</v>
      </c>
      <c r="H48" s="294">
        <v>2.2596414971738574</v>
      </c>
      <c r="I48" s="294">
        <v>0.13160647373794404</v>
      </c>
      <c r="J48" s="294">
        <v>23.966868052682123</v>
      </c>
      <c r="K48" s="244">
        <v>45212.773047225754</v>
      </c>
      <c r="L48" s="244"/>
      <c r="M48" s="244"/>
      <c r="N48" s="294">
        <v>6.976715872770038</v>
      </c>
      <c r="O48" s="294">
        <v>2.1076528819815317</v>
      </c>
      <c r="P48" s="294">
        <v>3.2084253371787139</v>
      </c>
      <c r="Q48" s="294">
        <v>2.014715668505513</v>
      </c>
      <c r="R48" s="294">
        <v>2.014715668505513</v>
      </c>
      <c r="S48" s="294">
        <v>0.12154324223458784</v>
      </c>
      <c r="T48" s="294">
        <v>21.194921268860885</v>
      </c>
      <c r="U48" s="244">
        <v>42206.376838353892</v>
      </c>
      <c r="Y48" s="923" t="s">
        <v>3010</v>
      </c>
      <c r="Z48" s="923"/>
      <c r="AA48" s="923"/>
      <c r="AB48" s="923"/>
      <c r="AC48" s="923"/>
      <c r="AD48" s="923"/>
      <c r="AE48" s="923"/>
    </row>
    <row r="49" spans="1:31" ht="15.75" thickBot="1" x14ac:dyDescent="0.3">
      <c r="A49" s="2"/>
      <c r="B49" s="2"/>
      <c r="C49" s="2"/>
      <c r="D49" s="290"/>
      <c r="E49" s="290"/>
      <c r="F49" s="290"/>
      <c r="G49" s="290"/>
      <c r="H49" s="290"/>
      <c r="I49" s="290"/>
      <c r="J49" s="290"/>
      <c r="K49" s="290"/>
      <c r="L49" s="290"/>
      <c r="M49" s="290"/>
      <c r="N49" s="290"/>
      <c r="O49" s="290"/>
      <c r="P49" s="290"/>
      <c r="Q49" s="290"/>
      <c r="R49" s="290"/>
      <c r="S49" s="290"/>
      <c r="T49" s="290"/>
      <c r="Y49" s="15" t="s">
        <v>2143</v>
      </c>
      <c r="Z49" s="15" t="s">
        <v>2144</v>
      </c>
      <c r="AA49" s="509" t="s">
        <v>2145</v>
      </c>
      <c r="AB49" s="15" t="s">
        <v>2146</v>
      </c>
      <c r="AC49" s="510" t="s">
        <v>2147</v>
      </c>
      <c r="AD49" s="15" t="s">
        <v>2148</v>
      </c>
      <c r="AE49" s="15" t="s">
        <v>2149</v>
      </c>
    </row>
    <row r="50" spans="1:31" ht="15.75" thickTop="1" x14ac:dyDescent="0.25">
      <c r="A50" s="2" t="s">
        <v>2530</v>
      </c>
      <c r="B50" s="2">
        <v>2104008100</v>
      </c>
      <c r="C50" s="2" t="s">
        <v>2152</v>
      </c>
      <c r="D50" s="290">
        <v>4.5256596183082216</v>
      </c>
      <c r="E50" s="290">
        <v>5.1383034967691602E-2</v>
      </c>
      <c r="F50" s="290">
        <v>7.9050823027217859E-3</v>
      </c>
      <c r="G50" s="290">
        <v>0.68378961918543435</v>
      </c>
      <c r="H50" s="290">
        <v>0.68378961918543435</v>
      </c>
      <c r="I50" s="290">
        <v>3.5572870362248037E-2</v>
      </c>
      <c r="J50" s="290">
        <v>4.9920594741688058</v>
      </c>
      <c r="K50" s="114">
        <v>634.86905021978669</v>
      </c>
      <c r="L50" s="291">
        <v>56.465339999411725</v>
      </c>
      <c r="M50" s="114" t="s">
        <v>2531</v>
      </c>
      <c r="N50" s="290">
        <v>4.1749268855877775</v>
      </c>
      <c r="O50" s="290">
        <v>4.7400916604926749E-2</v>
      </c>
      <c r="P50" s="290">
        <v>7.2924487084502672E-3</v>
      </c>
      <c r="Q50" s="290">
        <v>0.63079681328094828</v>
      </c>
      <c r="R50" s="290">
        <v>0.63079681328094828</v>
      </c>
      <c r="S50" s="290">
        <v>3.2816019188026214E-2</v>
      </c>
      <c r="T50" s="290">
        <v>4.6051813593863438</v>
      </c>
      <c r="U50" s="114">
        <v>585.66476749630908</v>
      </c>
      <c r="V50" s="291">
        <v>52.089349608559964</v>
      </c>
      <c r="W50" t="s">
        <v>2531</v>
      </c>
      <c r="Y50" s="43">
        <f t="shared" ref="Y50:Y66" si="0">N50/$U50*2000</f>
        <v>14.257053240321779</v>
      </c>
      <c r="Z50" s="11">
        <f t="shared" ref="Z50:AE65" si="1">O50/$U50*2000</f>
        <v>0.16187047347090236</v>
      </c>
      <c r="AA50" s="511">
        <f t="shared" si="1"/>
        <v>2.4903149764754204E-2</v>
      </c>
      <c r="AB50" s="11">
        <f t="shared" si="1"/>
        <v>2.154122454651239</v>
      </c>
      <c r="AC50" s="512">
        <f t="shared" si="1"/>
        <v>2.154122454651239</v>
      </c>
      <c r="AD50" s="11">
        <f t="shared" si="1"/>
        <v>0.11206417394139395</v>
      </c>
      <c r="AE50" s="43">
        <f t="shared" si="1"/>
        <v>15.726339076442278</v>
      </c>
    </row>
    <row r="51" spans="1:31" x14ac:dyDescent="0.25">
      <c r="A51" s="2" t="s">
        <v>2530</v>
      </c>
      <c r="B51" s="2">
        <v>2104008210</v>
      </c>
      <c r="C51" s="2" t="s">
        <v>2156</v>
      </c>
      <c r="D51" s="290">
        <v>9.721212082736877E-2</v>
      </c>
      <c r="E51" s="290">
        <v>5.1357346852194813E-3</v>
      </c>
      <c r="F51" s="290">
        <v>7.3367638360278338E-4</v>
      </c>
      <c r="G51" s="290">
        <v>5.6126243345612906E-2</v>
      </c>
      <c r="H51" s="290">
        <v>5.6126243345612906E-2</v>
      </c>
      <c r="I51" s="290">
        <v>3.1181246303118287E-3</v>
      </c>
      <c r="J51" s="290">
        <v>0.42333127333880594</v>
      </c>
      <c r="K51" s="114">
        <v>58.913251373624746</v>
      </c>
      <c r="L51" s="291">
        <v>5.2405888848755211</v>
      </c>
      <c r="M51" s="114" t="s">
        <v>2531</v>
      </c>
      <c r="N51" s="290">
        <v>8.4605049877420818E-2</v>
      </c>
      <c r="O51" s="290">
        <v>4.4697007482410985E-3</v>
      </c>
      <c r="P51" s="290">
        <v>6.3852867832015707E-4</v>
      </c>
      <c r="Q51" s="290">
        <v>4.8847443891492023E-2</v>
      </c>
      <c r="R51" s="290">
        <v>4.8847443891492023E-2</v>
      </c>
      <c r="S51" s="290">
        <v>2.7137468828606678E-3</v>
      </c>
      <c r="T51" s="290">
        <v>0.36843104739073068</v>
      </c>
      <c r="U51" s="114">
        <v>51.272722150218812</v>
      </c>
      <c r="V51" s="291">
        <v>4.56095680475189</v>
      </c>
      <c r="W51" t="s">
        <v>2531</v>
      </c>
      <c r="Y51" s="43">
        <f t="shared" si="0"/>
        <v>3.3001973107472216</v>
      </c>
      <c r="Z51" s="11">
        <f t="shared" si="1"/>
        <v>0.17435004660551356</v>
      </c>
      <c r="AA51" s="511">
        <f t="shared" si="1"/>
        <v>2.4907149515073369E-2</v>
      </c>
      <c r="AB51" s="11">
        <f t="shared" si="1"/>
        <v>1.9053969379031133</v>
      </c>
      <c r="AC51" s="512">
        <f t="shared" si="1"/>
        <v>1.9053969379031133</v>
      </c>
      <c r="AD51" s="11">
        <f t="shared" si="1"/>
        <v>0.10585538543906184</v>
      </c>
      <c r="AE51" s="43">
        <f t="shared" si="1"/>
        <v>14.371425270197337</v>
      </c>
    </row>
    <row r="52" spans="1:31" x14ac:dyDescent="0.25">
      <c r="A52" s="2" t="s">
        <v>2530</v>
      </c>
      <c r="B52" s="2">
        <v>2104008220</v>
      </c>
      <c r="C52" s="2" t="s">
        <v>2159</v>
      </c>
      <c r="D52" s="290">
        <v>4.634082666841758E-2</v>
      </c>
      <c r="E52" s="290">
        <v>7.7234711114029311E-3</v>
      </c>
      <c r="F52" s="290">
        <v>1.5446942222805862E-3</v>
      </c>
      <c r="G52" s="290">
        <v>4.634082666841758E-2</v>
      </c>
      <c r="H52" s="290">
        <v>4.634082666841758E-2</v>
      </c>
      <c r="I52" s="290">
        <v>3.4755620001313192E-3</v>
      </c>
      <c r="J52" s="290">
        <v>0.54373236624276633</v>
      </c>
      <c r="K52" s="114">
        <v>124.03692015507404</v>
      </c>
      <c r="L52" s="291">
        <v>11.033621297803442</v>
      </c>
      <c r="M52" s="114" t="s">
        <v>2531</v>
      </c>
      <c r="N52" s="290">
        <v>4.0331060759437432E-2</v>
      </c>
      <c r="O52" s="290">
        <v>6.7218434599062371E-3</v>
      </c>
      <c r="P52" s="290">
        <v>1.3443686919812471E-3</v>
      </c>
      <c r="Q52" s="290">
        <v>4.0331060759437432E-2</v>
      </c>
      <c r="R52" s="290">
        <v>4.0331060759437432E-2</v>
      </c>
      <c r="S52" s="290">
        <v>3.024829556957806E-3</v>
      </c>
      <c r="T52" s="290">
        <v>0.47321777957739908</v>
      </c>
      <c r="U52" s="114">
        <v>107.95042533210464</v>
      </c>
      <c r="V52" s="291">
        <v>9.6027128333817622</v>
      </c>
      <c r="W52" t="s">
        <v>2531</v>
      </c>
      <c r="Y52" s="43">
        <f t="shared" si="0"/>
        <v>0.74721448545220137</v>
      </c>
      <c r="Z52" s="11">
        <f t="shared" si="1"/>
        <v>0.12453574757536687</v>
      </c>
      <c r="AA52" s="511">
        <f t="shared" si="1"/>
        <v>2.4907149515073369E-2</v>
      </c>
      <c r="AB52" s="11">
        <f t="shared" si="1"/>
        <v>0.74721448545220137</v>
      </c>
      <c r="AC52" s="512">
        <f t="shared" si="1"/>
        <v>0.74721448545220137</v>
      </c>
      <c r="AD52" s="11">
        <f t="shared" si="1"/>
        <v>5.6041086408915086E-2</v>
      </c>
      <c r="AE52" s="43">
        <f t="shared" si="1"/>
        <v>8.767316629305828</v>
      </c>
    </row>
    <row r="53" spans="1:31" x14ac:dyDescent="0.25">
      <c r="A53" s="2" t="s">
        <v>2530</v>
      </c>
      <c r="B53" s="2">
        <v>2104008230</v>
      </c>
      <c r="C53" s="2" t="s">
        <v>2162</v>
      </c>
      <c r="D53" s="290">
        <v>3.4875713296646967E-2</v>
      </c>
      <c r="E53" s="290">
        <v>4.6500951062195964E-3</v>
      </c>
      <c r="F53" s="290">
        <v>9.300190212439193E-4</v>
      </c>
      <c r="G53" s="290">
        <v>3.0225618190427374E-2</v>
      </c>
      <c r="H53" s="290">
        <v>3.0225618190427374E-2</v>
      </c>
      <c r="I53" s="290">
        <v>2.0925427977988181E-3</v>
      </c>
      <c r="J53" s="290">
        <v>0.24878008818274841</v>
      </c>
      <c r="K53" s="114">
        <v>74.679307669332516</v>
      </c>
      <c r="L53" s="291">
        <v>6.6430478810292772</v>
      </c>
      <c r="M53" s="114" t="s">
        <v>2531</v>
      </c>
      <c r="N53" s="290">
        <v>3.0352814421293086E-2</v>
      </c>
      <c r="O53" s="290">
        <v>4.0470419228390789E-3</v>
      </c>
      <c r="P53" s="290">
        <v>8.0940838456781592E-4</v>
      </c>
      <c r="Q53" s="290">
        <v>2.6305772498454012E-2</v>
      </c>
      <c r="R53" s="290">
        <v>2.6305772498454012E-2</v>
      </c>
      <c r="S53" s="290">
        <v>1.8211688652775859E-3</v>
      </c>
      <c r="T53" s="290">
        <v>0.21651674287189066</v>
      </c>
      <c r="U53" s="114">
        <v>64.994059964828651</v>
      </c>
      <c r="V53" s="291">
        <v>5.7815362171827385</v>
      </c>
      <c r="W53" t="s">
        <v>2531</v>
      </c>
      <c r="Y53" s="43">
        <f t="shared" si="0"/>
        <v>0.93401810681525133</v>
      </c>
      <c r="Z53" s="11">
        <f t="shared" si="1"/>
        <v>0.12453574757536687</v>
      </c>
      <c r="AA53" s="511">
        <f t="shared" si="1"/>
        <v>2.4907149515073373E-2</v>
      </c>
      <c r="AB53" s="11">
        <f t="shared" si="1"/>
        <v>0.80948235923988454</v>
      </c>
      <c r="AC53" s="512">
        <f t="shared" si="1"/>
        <v>0.80948235923988454</v>
      </c>
      <c r="AD53" s="11">
        <f t="shared" si="1"/>
        <v>5.60410864089151E-2</v>
      </c>
      <c r="AE53" s="43">
        <f t="shared" si="1"/>
        <v>6.6626624952821247</v>
      </c>
    </row>
    <row r="54" spans="1:31" x14ac:dyDescent="0.25">
      <c r="A54" s="2" t="s">
        <v>2530</v>
      </c>
      <c r="B54" s="2">
        <v>2104008310</v>
      </c>
      <c r="C54" s="2" t="s">
        <v>2165</v>
      </c>
      <c r="D54" s="290">
        <v>1.9728442322092066</v>
      </c>
      <c r="E54" s="290">
        <v>5.4053796573826703E-2</v>
      </c>
      <c r="F54" s="290">
        <v>1.4889390431767603E-2</v>
      </c>
      <c r="G54" s="290">
        <v>0.45196854038203271</v>
      </c>
      <c r="H54" s="290">
        <v>0.45196854038203271</v>
      </c>
      <c r="I54" s="290">
        <v>1.4778782556370263E-2</v>
      </c>
      <c r="J54" s="290">
        <v>4.5103924827983697</v>
      </c>
      <c r="K54" s="114">
        <v>1195.5985239694985</v>
      </c>
      <c r="L54" s="291">
        <v>106.35366728873565</v>
      </c>
      <c r="M54" s="114" t="s">
        <v>2531</v>
      </c>
      <c r="N54" s="290">
        <v>1.7169935523045381</v>
      </c>
      <c r="O54" s="290">
        <v>4.7043764874894457E-2</v>
      </c>
      <c r="P54" s="290">
        <v>1.2958441904185195E-2</v>
      </c>
      <c r="Q54" s="290">
        <v>0.39335445597316221</v>
      </c>
      <c r="R54" s="290">
        <v>0.39335445597316221</v>
      </c>
      <c r="S54" s="290">
        <v>1.2862178344300054E-2</v>
      </c>
      <c r="T54" s="290">
        <v>3.9254568023627048</v>
      </c>
      <c r="U54" s="114">
        <v>1040.5399378474017</v>
      </c>
      <c r="V54" s="291">
        <v>92.561063877919409</v>
      </c>
      <c r="W54" t="s">
        <v>2531</v>
      </c>
      <c r="Y54" s="43">
        <f t="shared" si="0"/>
        <v>3.3001973107472216</v>
      </c>
      <c r="Z54" s="11">
        <f t="shared" si="1"/>
        <v>9.0421834210833663E-2</v>
      </c>
      <c r="AA54" s="511">
        <f t="shared" si="1"/>
        <v>2.4907149515073373E-2</v>
      </c>
      <c r="AB54" s="11">
        <f t="shared" si="1"/>
        <v>0.75605835329474658</v>
      </c>
      <c r="AC54" s="512">
        <f t="shared" si="1"/>
        <v>0.75605835329474658</v>
      </c>
      <c r="AD54" s="11">
        <f t="shared" si="1"/>
        <v>2.4722123344748218E-2</v>
      </c>
      <c r="AE54" s="43">
        <f t="shared" si="1"/>
        <v>7.5450382240655234</v>
      </c>
    </row>
    <row r="55" spans="1:31" x14ac:dyDescent="0.25">
      <c r="A55" s="2" t="s">
        <v>2530</v>
      </c>
      <c r="B55" s="2">
        <v>2104008320</v>
      </c>
      <c r="C55" s="2" t="s">
        <v>2169</v>
      </c>
      <c r="D55" s="290">
        <v>0.94045096260110816</v>
      </c>
      <c r="E55" s="290">
        <v>0.12608623204753519</v>
      </c>
      <c r="F55" s="290">
        <v>3.1348365420036946E-2</v>
      </c>
      <c r="G55" s="290">
        <v>0.62109930669279168</v>
      </c>
      <c r="H55" s="290">
        <v>0.62109930669279168</v>
      </c>
      <c r="I55" s="290">
        <v>1.9572488031373732E-2</v>
      </c>
      <c r="J55" s="290">
        <v>9.6898540855269104</v>
      </c>
      <c r="K55" s="114">
        <v>2517.2326292879125</v>
      </c>
      <c r="L55" s="291">
        <v>223.9187454454115</v>
      </c>
      <c r="M55" s="114" t="s">
        <v>2531</v>
      </c>
      <c r="N55" s="290">
        <v>0.81848744704820986</v>
      </c>
      <c r="O55" s="290">
        <v>0.1097345872145037</v>
      </c>
      <c r="P55" s="290">
        <v>2.7282914901606978E-2</v>
      </c>
      <c r="Q55" s="290">
        <v>0.54055129519179157</v>
      </c>
      <c r="R55" s="290">
        <v>0.54055129519179157</v>
      </c>
      <c r="S55" s="290">
        <v>1.7034206352315187E-2</v>
      </c>
      <c r="T55" s="290">
        <v>8.4332136901608195</v>
      </c>
      <c r="U55" s="114">
        <v>2190.7697534875156</v>
      </c>
      <c r="V55" s="291">
        <v>194.87957330486429</v>
      </c>
      <c r="W55" t="s">
        <v>2531</v>
      </c>
      <c r="Y55" s="43">
        <f t="shared" si="0"/>
        <v>0.74721448545220126</v>
      </c>
      <c r="Z55" s="11">
        <f t="shared" si="1"/>
        <v>0.10017902341386241</v>
      </c>
      <c r="AA55" s="511">
        <f t="shared" si="1"/>
        <v>2.4907149515073362E-2</v>
      </c>
      <c r="AB55" s="11">
        <f t="shared" si="1"/>
        <v>0.49348069949503431</v>
      </c>
      <c r="AC55" s="512">
        <f t="shared" si="1"/>
        <v>0.49348069949503431</v>
      </c>
      <c r="AD55" s="11">
        <f t="shared" si="1"/>
        <v>1.5550886920177904E-2</v>
      </c>
      <c r="AE55" s="43">
        <f t="shared" si="1"/>
        <v>7.6988589756964414</v>
      </c>
    </row>
    <row r="56" spans="1:31" x14ac:dyDescent="0.25">
      <c r="A56" s="2" t="s">
        <v>2530</v>
      </c>
      <c r="B56" s="2">
        <v>2104008330</v>
      </c>
      <c r="C56" s="2" t="s">
        <v>2172</v>
      </c>
      <c r="D56" s="290">
        <v>0.70777542178774255</v>
      </c>
      <c r="E56" s="290">
        <v>7.5913143475124734E-2</v>
      </c>
      <c r="F56" s="290">
        <v>1.8874011247673128E-2</v>
      </c>
      <c r="G56" s="290">
        <v>0.41492777973744377</v>
      </c>
      <c r="H56" s="290">
        <v>0.41492777973744377</v>
      </c>
      <c r="I56" s="290">
        <v>1.1784070853435274E-2</v>
      </c>
      <c r="J56" s="290">
        <v>5.8340016312828462</v>
      </c>
      <c r="K56" s="114">
        <v>1515.5583495853573</v>
      </c>
      <c r="L56" s="291">
        <v>134.81547964221011</v>
      </c>
      <c r="M56" s="114" t="s">
        <v>2531</v>
      </c>
      <c r="N56" s="290">
        <v>0.61598671392740245</v>
      </c>
      <c r="O56" s="290">
        <v>6.606825605080846E-2</v>
      </c>
      <c r="P56" s="290">
        <v>1.6426312371397394E-2</v>
      </c>
      <c r="Q56" s="290">
        <v>0.36111737097634189</v>
      </c>
      <c r="R56" s="290">
        <v>0.36111737097634189</v>
      </c>
      <c r="S56" s="290">
        <v>1.0255839434718536E-2</v>
      </c>
      <c r="T56" s="290">
        <v>5.0774121045683138</v>
      </c>
      <c r="U56" s="114">
        <v>1319.0037953926831</v>
      </c>
      <c r="V56" s="291">
        <v>117.33177182331742</v>
      </c>
      <c r="W56" t="s">
        <v>2531</v>
      </c>
      <c r="Y56" s="43">
        <f t="shared" si="0"/>
        <v>0.93401810681525133</v>
      </c>
      <c r="Z56" s="11">
        <f t="shared" si="1"/>
        <v>0.10017902341386237</v>
      </c>
      <c r="AA56" s="511">
        <f t="shared" si="1"/>
        <v>2.4907149515073362E-2</v>
      </c>
      <c r="AB56" s="11">
        <f t="shared" si="1"/>
        <v>0.54756077615202459</v>
      </c>
      <c r="AC56" s="512">
        <f t="shared" si="1"/>
        <v>0.54756077615202459</v>
      </c>
      <c r="AD56" s="11">
        <f t="shared" si="1"/>
        <v>1.5550886920177894E-2</v>
      </c>
      <c r="AE56" s="43">
        <f t="shared" si="1"/>
        <v>7.6988589756964387</v>
      </c>
    </row>
    <row r="57" spans="1:31" x14ac:dyDescent="0.25">
      <c r="A57" s="2" t="s">
        <v>2530</v>
      </c>
      <c r="B57" s="2">
        <v>2104008410</v>
      </c>
      <c r="C57" s="2" t="s">
        <v>2175</v>
      </c>
      <c r="D57" s="290">
        <v>1.1859438958830876E-2</v>
      </c>
      <c r="E57" s="290">
        <v>2.0710274773332704E-2</v>
      </c>
      <c r="F57" s="290">
        <v>1.6551668150515649E-3</v>
      </c>
      <c r="G57" s="290">
        <v>1.5310293039226975E-2</v>
      </c>
      <c r="H57" s="290">
        <v>1.5310293039226975E-2</v>
      </c>
      <c r="I57" s="290">
        <v>3.7179184583095796E-4</v>
      </c>
      <c r="J57" s="290">
        <v>5.1372240022162945E-2</v>
      </c>
      <c r="K57" s="114">
        <v>158.71623242135746</v>
      </c>
      <c r="L57" s="291">
        <v>14.118496332882151</v>
      </c>
      <c r="M57" s="114" t="s">
        <v>2531</v>
      </c>
      <c r="N57" s="290">
        <v>1.0321433336609488E-2</v>
      </c>
      <c r="O57" s="290">
        <v>1.802443785054833E-2</v>
      </c>
      <c r="P57" s="290">
        <v>1.4405145135303363E-3</v>
      </c>
      <c r="Q57" s="290">
        <v>1.332475925015561E-2</v>
      </c>
      <c r="R57" s="290">
        <v>1.332475925015561E-2</v>
      </c>
      <c r="S57" s="290">
        <v>3.2357557260175181E-4</v>
      </c>
      <c r="T57" s="290">
        <v>4.4709969213697826E-2</v>
      </c>
      <c r="U57" s="114">
        <v>138.13213658944446</v>
      </c>
      <c r="V57" s="291">
        <v>12.287522134805467</v>
      </c>
      <c r="W57" t="s">
        <v>2531</v>
      </c>
      <c r="Y57" s="43">
        <f t="shared" si="0"/>
        <v>0.1494428970904402</v>
      </c>
      <c r="Z57" s="11">
        <f t="shared" si="1"/>
        <v>0.26097385149583924</v>
      </c>
      <c r="AA57" s="511">
        <f t="shared" si="1"/>
        <v>2.0857051068598545E-2</v>
      </c>
      <c r="AB57" s="11">
        <f t="shared" si="1"/>
        <v>0.19292772238453651</v>
      </c>
      <c r="AC57" s="512">
        <f t="shared" si="1"/>
        <v>0.19292772238453651</v>
      </c>
      <c r="AD57" s="11">
        <f t="shared" si="1"/>
        <v>4.6850150962839477E-3</v>
      </c>
      <c r="AE57" s="43">
        <f t="shared" si="1"/>
        <v>0.64735072254162751</v>
      </c>
    </row>
    <row r="58" spans="1:31" x14ac:dyDescent="0.25">
      <c r="A58" s="2" t="s">
        <v>2530</v>
      </c>
      <c r="B58" s="2">
        <v>2104008420</v>
      </c>
      <c r="C58" s="2" t="s">
        <v>2179</v>
      </c>
      <c r="D58" s="290">
        <v>4.0002256182855134E-2</v>
      </c>
      <c r="E58" s="290">
        <v>6.9856400456725115E-2</v>
      </c>
      <c r="F58" s="290">
        <v>5.5829291074305822E-3</v>
      </c>
      <c r="G58" s="290">
        <v>5.1642094243732867E-2</v>
      </c>
      <c r="H58" s="290">
        <v>5.1642094243732867E-2</v>
      </c>
      <c r="I58" s="290">
        <v>1.2540654507565948E-3</v>
      </c>
      <c r="J58" s="290">
        <v>0.17328016217187664</v>
      </c>
      <c r="K58" s="114">
        <v>535.35478463499032</v>
      </c>
      <c r="L58" s="291">
        <v>47.622126913862772</v>
      </c>
      <c r="M58" s="114" t="s">
        <v>2531</v>
      </c>
      <c r="N58" s="290">
        <v>3.4814515420046203E-2</v>
      </c>
      <c r="O58" s="290">
        <v>6.0796989044131333E-2</v>
      </c>
      <c r="P58" s="290">
        <v>4.8589002233072019E-3</v>
      </c>
      <c r="Q58" s="290">
        <v>4.4944827065591587E-2</v>
      </c>
      <c r="R58" s="290">
        <v>4.4944827065591587E-2</v>
      </c>
      <c r="S58" s="290">
        <v>1.0914304626603805E-3</v>
      </c>
      <c r="T58" s="290">
        <v>0.1508081156808973</v>
      </c>
      <c r="U58" s="114">
        <v>465.92398966913851</v>
      </c>
      <c r="V58" s="291">
        <v>41.446194039641746</v>
      </c>
      <c r="W58" t="s">
        <v>2531</v>
      </c>
      <c r="Y58" s="43">
        <f t="shared" si="0"/>
        <v>0.14944289709044026</v>
      </c>
      <c r="Z58" s="11">
        <f t="shared" si="1"/>
        <v>0.26097385149583918</v>
      </c>
      <c r="AA58" s="511">
        <f t="shared" si="1"/>
        <v>2.0857051068598548E-2</v>
      </c>
      <c r="AB58" s="11">
        <f t="shared" si="1"/>
        <v>0.19292772238453643</v>
      </c>
      <c r="AC58" s="512">
        <f t="shared" si="1"/>
        <v>0.19292772238453643</v>
      </c>
      <c r="AD58" s="11">
        <f t="shared" si="1"/>
        <v>4.6850150962839494E-3</v>
      </c>
      <c r="AE58" s="43">
        <f t="shared" si="1"/>
        <v>0.64735072254162751</v>
      </c>
    </row>
    <row r="59" spans="1:31" x14ac:dyDescent="0.25">
      <c r="A59" s="2" t="s">
        <v>2530</v>
      </c>
      <c r="B59" s="2">
        <v>2104008610</v>
      </c>
      <c r="C59" s="2" t="s">
        <v>2182</v>
      </c>
      <c r="D59" s="290">
        <v>1.1146767136364157</v>
      </c>
      <c r="E59" s="290">
        <v>3.9596398425475653E-2</v>
      </c>
      <c r="F59" s="290">
        <v>9.8209402082503564E-3</v>
      </c>
      <c r="G59" s="290">
        <v>0.24233543354300388</v>
      </c>
      <c r="H59" s="290">
        <v>0.24233543354300388</v>
      </c>
      <c r="I59" s="290">
        <v>5.9848458428099945E-3</v>
      </c>
      <c r="J59" s="290">
        <v>1.4871522348568027</v>
      </c>
      <c r="K59" s="114">
        <v>788.33390715226972</v>
      </c>
      <c r="L59" s="291">
        <v>70.150152362337337</v>
      </c>
      <c r="M59" s="114" t="s">
        <v>2531</v>
      </c>
      <c r="N59" s="290">
        <v>1.0191730982744838</v>
      </c>
      <c r="O59" s="290">
        <v>3.620384598521903E-2</v>
      </c>
      <c r="P59" s="290">
        <v>8.9794986632113112E-3</v>
      </c>
      <c r="Q59" s="290">
        <v>0.22157254350455005</v>
      </c>
      <c r="R59" s="290">
        <v>0.22157254350455005</v>
      </c>
      <c r="S59" s="290">
        <v>5.47207437429377E-3</v>
      </c>
      <c r="T59" s="290">
        <v>1.3597355468746326</v>
      </c>
      <c r="U59" s="114">
        <v>720.79052779491201</v>
      </c>
      <c r="V59" s="291">
        <v>64.139805966082719</v>
      </c>
      <c r="W59" t="s">
        <v>2531</v>
      </c>
      <c r="Y59" s="43">
        <f t="shared" si="0"/>
        <v>2.827931441863984</v>
      </c>
      <c r="Z59" s="11">
        <f t="shared" si="1"/>
        <v>0.10045594271605129</v>
      </c>
      <c r="AA59" s="511">
        <f t="shared" si="1"/>
        <v>2.4915695523030697E-2</v>
      </c>
      <c r="AB59" s="11">
        <f t="shared" si="1"/>
        <v>0.61480425993498777</v>
      </c>
      <c r="AC59" s="512">
        <f t="shared" si="1"/>
        <v>0.61480425993498777</v>
      </c>
      <c r="AD59" s="11">
        <f t="shared" si="1"/>
        <v>1.5183535752153365E-2</v>
      </c>
      <c r="AE59" s="43">
        <f t="shared" si="1"/>
        <v>3.7729007095429563</v>
      </c>
    </row>
    <row r="60" spans="1:31" x14ac:dyDescent="0.25">
      <c r="A60" s="2" t="s">
        <v>2530</v>
      </c>
      <c r="B60" s="2">
        <v>2104004000</v>
      </c>
      <c r="C60" s="2" t="s">
        <v>2196</v>
      </c>
      <c r="D60" s="290">
        <v>8.437297361919531E-2</v>
      </c>
      <c r="E60" s="290">
        <v>1.3219705469816649</v>
      </c>
      <c r="F60" s="290">
        <v>3.4201914744533601</v>
      </c>
      <c r="G60" s="290">
        <v>5.4031493745844622E-2</v>
      </c>
      <c r="H60" s="290">
        <v>5.4031493745844622E-2</v>
      </c>
      <c r="I60" s="290">
        <v>2.8987896394645648E-3</v>
      </c>
      <c r="J60" s="290">
        <v>5.2995890115715941E-2</v>
      </c>
      <c r="K60" s="114">
        <v>31763.681787881327</v>
      </c>
      <c r="L60" s="291">
        <v>236.67033273266586</v>
      </c>
      <c r="M60" s="114" t="s">
        <v>2532</v>
      </c>
      <c r="N60" s="290">
        <v>7.7898644593143759E-2</v>
      </c>
      <c r="O60" s="290">
        <v>1.2205296244116266</v>
      </c>
      <c r="P60" s="290">
        <v>3.1577443425358735</v>
      </c>
      <c r="Q60" s="290">
        <v>4.9885406992300839E-2</v>
      </c>
      <c r="R60" s="290">
        <v>4.9885406992300839E-2</v>
      </c>
      <c r="S60" s="290">
        <v>2.6763520851369399E-3</v>
      </c>
      <c r="T60" s="290">
        <v>4.8929270024948394E-2</v>
      </c>
      <c r="U60" s="114">
        <v>29326.307375765551</v>
      </c>
      <c r="V60" s="291">
        <v>218.50952200040339</v>
      </c>
      <c r="W60" t="s">
        <v>2532</v>
      </c>
      <c r="Y60" s="43">
        <f t="shared" si="0"/>
        <v>5.3125436895281979E-3</v>
      </c>
      <c r="Z60" s="11">
        <f t="shared" si="1"/>
        <v>8.3237866177467576E-2</v>
      </c>
      <c r="AA60" s="511">
        <f t="shared" si="1"/>
        <v>0.21535233209383506</v>
      </c>
      <c r="AB60" s="11">
        <f t="shared" si="1"/>
        <v>3.4020926230572597E-3</v>
      </c>
      <c r="AC60" s="512">
        <f t="shared" si="1"/>
        <v>3.4020926230572597E-3</v>
      </c>
      <c r="AD60" s="11">
        <f t="shared" si="1"/>
        <v>1.8252226922702195E-4</v>
      </c>
      <c r="AE60" s="43">
        <f t="shared" si="1"/>
        <v>3.3368858477819947E-3</v>
      </c>
    </row>
    <row r="61" spans="1:31" x14ac:dyDescent="0.25">
      <c r="A61" s="2" t="s">
        <v>2530</v>
      </c>
      <c r="B61" s="2">
        <v>2103004001</v>
      </c>
      <c r="C61" s="2" t="s">
        <v>2206</v>
      </c>
      <c r="D61" s="290">
        <v>2.4320144463289738E-2</v>
      </c>
      <c r="E61" s="290">
        <v>0.61397279149960104</v>
      </c>
      <c r="F61" s="290">
        <v>0.43398325671153998</v>
      </c>
      <c r="G61" s="290">
        <v>1.5574344213551843E-2</v>
      </c>
      <c r="H61" s="290">
        <v>1.5574344213551843E-2</v>
      </c>
      <c r="I61" s="290">
        <v>8.3556356705705647E-4</v>
      </c>
      <c r="J61" s="290">
        <v>1.5275835949458767E-2</v>
      </c>
      <c r="K61" s="114">
        <v>9448.3590691882982</v>
      </c>
      <c r="L61" s="291">
        <v>70.399467530733276</v>
      </c>
      <c r="M61" s="114" t="s">
        <v>2532</v>
      </c>
      <c r="N61" s="290">
        <v>2.3865897766536782E-2</v>
      </c>
      <c r="O61" s="290">
        <v>0.60250513295604802</v>
      </c>
      <c r="P61" s="290">
        <v>0.42587740597924373</v>
      </c>
      <c r="Q61" s="290">
        <v>1.528344978964009E-2</v>
      </c>
      <c r="R61" s="290">
        <v>1.528344978964009E-2</v>
      </c>
      <c r="S61" s="290">
        <v>8.1995708121419082E-4</v>
      </c>
      <c r="T61" s="290">
        <v>1.4990517002005316E-2</v>
      </c>
      <c r="U61" s="114">
        <v>9271.8845460458488</v>
      </c>
      <c r="V61" s="291">
        <v>69.084560638330871</v>
      </c>
      <c r="W61" t="s">
        <v>2532</v>
      </c>
      <c r="Y61" s="43">
        <f t="shared" si="0"/>
        <v>5.1480144404332118E-3</v>
      </c>
      <c r="Z61" s="11">
        <f t="shared" si="1"/>
        <v>0.12996389891696752</v>
      </c>
      <c r="AA61" s="511">
        <f t="shared" si="1"/>
        <v>9.1864259927797801E-2</v>
      </c>
      <c r="AB61" s="11">
        <f t="shared" si="1"/>
        <v>3.2967299611507727E-3</v>
      </c>
      <c r="AC61" s="512">
        <f t="shared" si="1"/>
        <v>3.2967299611507727E-3</v>
      </c>
      <c r="AD61" s="11">
        <f t="shared" si="1"/>
        <v>1.7686956241573897E-4</v>
      </c>
      <c r="AE61" s="43">
        <f t="shared" si="1"/>
        <v>3.2335426368953818E-3</v>
      </c>
    </row>
    <row r="62" spans="1:31" x14ac:dyDescent="0.25">
      <c r="A62" s="2" t="s">
        <v>2530</v>
      </c>
      <c r="B62" s="2">
        <v>2104004000</v>
      </c>
      <c r="C62" s="2" t="s">
        <v>2210</v>
      </c>
      <c r="D62" s="290">
        <v>5.6122457850990679E-4</v>
      </c>
      <c r="E62" s="290">
        <v>1.4168362430825135E-2</v>
      </c>
      <c r="F62" s="290">
        <v>2.2750122892866331E-2</v>
      </c>
      <c r="G62" s="290">
        <v>3.1485249846278088E-4</v>
      </c>
      <c r="H62" s="290">
        <v>3.1485249846278088E-4</v>
      </c>
      <c r="I62" s="290">
        <v>1.9281908931407659E-5</v>
      </c>
      <c r="J62" s="290">
        <v>3.5251330867143221E-4</v>
      </c>
      <c r="K62" s="114">
        <v>215.66609013454337</v>
      </c>
      <c r="L62" s="291">
        <v>1.5742624923139048</v>
      </c>
      <c r="M62" s="114" t="s">
        <v>2532</v>
      </c>
      <c r="N62" s="290">
        <v>5.2982902913877234E-4</v>
      </c>
      <c r="O62" s="290">
        <v>1.3375767916546842E-2</v>
      </c>
      <c r="P62" s="290">
        <v>2.1477454813398467E-2</v>
      </c>
      <c r="Q62" s="290">
        <v>2.9723928703437433E-4</v>
      </c>
      <c r="R62" s="290">
        <v>2.9723928703437433E-4</v>
      </c>
      <c r="S62" s="290">
        <v>1.820325673582309E-5</v>
      </c>
      <c r="T62" s="290">
        <v>3.3279330814016411E-4</v>
      </c>
      <c r="U62" s="114">
        <v>203.60148063637058</v>
      </c>
      <c r="V62" s="291">
        <v>1.4861964351718715</v>
      </c>
      <c r="W62" t="s">
        <v>2532</v>
      </c>
      <c r="Y62" s="43">
        <f t="shared" si="0"/>
        <v>5.2045695098361265E-3</v>
      </c>
      <c r="Z62" s="11">
        <f t="shared" si="1"/>
        <v>0.13139165662980395</v>
      </c>
      <c r="AA62" s="511">
        <f t="shared" si="1"/>
        <v>0.21097542853096343</v>
      </c>
      <c r="AB62" s="11">
        <f t="shared" si="1"/>
        <v>2.9198145917734221E-3</v>
      </c>
      <c r="AC62" s="512">
        <f t="shared" si="1"/>
        <v>2.9198145917734221E-3</v>
      </c>
      <c r="AD62" s="11">
        <f t="shared" si="1"/>
        <v>1.7881261647928636E-4</v>
      </c>
      <c r="AE62" s="43">
        <f t="shared" si="1"/>
        <v>3.2690656973612909E-3</v>
      </c>
    </row>
    <row r="63" spans="1:31" x14ac:dyDescent="0.25">
      <c r="A63" s="2" t="s">
        <v>2530</v>
      </c>
      <c r="B63" s="2">
        <v>2104004000</v>
      </c>
      <c r="C63" s="2" t="s">
        <v>2214</v>
      </c>
      <c r="D63" s="290">
        <v>2.2109906459792847E-3</v>
      </c>
      <c r="E63" s="290">
        <v>3.4642189178118662E-2</v>
      </c>
      <c r="F63" s="290">
        <v>8.9625990801325439E-2</v>
      </c>
      <c r="G63" s="290">
        <v>1.4158932906588014E-3</v>
      </c>
      <c r="H63" s="290">
        <v>1.4158932906588014E-3</v>
      </c>
      <c r="I63" s="290">
        <v>7.5962675043844718E-5</v>
      </c>
      <c r="J63" s="290">
        <v>1.3887553359211739E-3</v>
      </c>
      <c r="K63" s="114">
        <v>775.2421619843218</v>
      </c>
      <c r="L63" s="291">
        <v>6.2019372958745738</v>
      </c>
      <c r="M63" s="114" t="s">
        <v>2532</v>
      </c>
      <c r="N63" s="290">
        <v>1.8306110661185039E-3</v>
      </c>
      <c r="O63" s="290">
        <v>2.8682335214469678E-2</v>
      </c>
      <c r="P63" s="290">
        <v>7.4206704976841772E-2</v>
      </c>
      <c r="Q63" s="290">
        <v>1.1723025292017584E-3</v>
      </c>
      <c r="R63" s="290">
        <v>1.1723025292017584E-3</v>
      </c>
      <c r="S63" s="290">
        <v>6.2894030691674352E-5</v>
      </c>
      <c r="T63" s="290">
        <v>1.1498333973920581E-3</v>
      </c>
      <c r="U63" s="114">
        <v>641.86923776946151</v>
      </c>
      <c r="V63" s="291">
        <v>5.1349539021556936</v>
      </c>
      <c r="W63" t="s">
        <v>2532</v>
      </c>
      <c r="Y63" s="43">
        <f t="shared" si="0"/>
        <v>5.703999999999999E-3</v>
      </c>
      <c r="Z63" s="11">
        <f t="shared" si="1"/>
        <v>8.9371272298833668E-2</v>
      </c>
      <c r="AA63" s="511">
        <f t="shared" si="1"/>
        <v>0.23122063065279475</v>
      </c>
      <c r="AB63" s="11">
        <f t="shared" si="1"/>
        <v>3.6527767969550561E-3</v>
      </c>
      <c r="AC63" s="512">
        <f t="shared" si="1"/>
        <v>3.6527767969550561E-3</v>
      </c>
      <c r="AD63" s="11">
        <f t="shared" si="1"/>
        <v>1.9597147515663878E-4</v>
      </c>
      <c r="AE63" s="43">
        <f t="shared" si="1"/>
        <v>3.5827652416800843E-3</v>
      </c>
    </row>
    <row r="64" spans="1:31" x14ac:dyDescent="0.25">
      <c r="A64" s="2" t="s">
        <v>2530</v>
      </c>
      <c r="B64" s="2">
        <v>2104006010</v>
      </c>
      <c r="C64" s="2" t="s">
        <v>2217</v>
      </c>
      <c r="D64" s="290">
        <v>6.5293806689556443E-4</v>
      </c>
      <c r="E64" s="290">
        <v>1.1159305143306019E-2</v>
      </c>
      <c r="F64" s="290">
        <v>7.1229607297697961E-5</v>
      </c>
      <c r="G64" s="290">
        <v>9.0224169243750742E-4</v>
      </c>
      <c r="H64" s="290">
        <v>9.0224169243750742E-4</v>
      </c>
      <c r="I64" s="290">
        <v>2.3743202432565981E-3</v>
      </c>
      <c r="J64" s="290">
        <v>4.7486404865131962E-3</v>
      </c>
      <c r="K64" s="114">
        <v>293.10011686938094</v>
      </c>
      <c r="L64" s="291">
        <v>288.76858804865122</v>
      </c>
      <c r="M64" s="114" t="s">
        <v>2533</v>
      </c>
      <c r="N64" s="290">
        <v>6.5293806689556443E-4</v>
      </c>
      <c r="O64" s="290">
        <v>1.1159305143306019E-2</v>
      </c>
      <c r="P64" s="290">
        <v>7.1229607297697961E-5</v>
      </c>
      <c r="Q64" s="290">
        <v>9.0224169243750742E-4</v>
      </c>
      <c r="R64" s="290">
        <v>9.0224169243750742E-4</v>
      </c>
      <c r="S64" s="290">
        <v>2.3743202432565981E-3</v>
      </c>
      <c r="T64" s="290">
        <v>4.7486404865131962E-3</v>
      </c>
      <c r="U64" s="114">
        <v>293.10011686938094</v>
      </c>
      <c r="V64" s="291">
        <v>288.76858804865122</v>
      </c>
      <c r="W64" t="s">
        <v>2533</v>
      </c>
      <c r="Y64" s="43">
        <f t="shared" si="0"/>
        <v>4.455392743405449E-3</v>
      </c>
      <c r="Z64" s="11">
        <f t="shared" si="1"/>
        <v>7.6146712341838646E-2</v>
      </c>
      <c r="AA64" s="511">
        <f t="shared" si="1"/>
        <v>4.8604284473514008E-4</v>
      </c>
      <c r="AB64" s="11">
        <f t="shared" si="1"/>
        <v>6.1565426999784399E-3</v>
      </c>
      <c r="AC64" s="512">
        <f t="shared" si="1"/>
        <v>6.1565426999784399E-3</v>
      </c>
      <c r="AD64" s="11">
        <f t="shared" si="1"/>
        <v>1.6201428157837997E-2</v>
      </c>
      <c r="AE64" s="43">
        <f t="shared" si="1"/>
        <v>3.2402856315675993E-2</v>
      </c>
    </row>
    <row r="65" spans="1:31" x14ac:dyDescent="0.25">
      <c r="A65" s="2" t="s">
        <v>2530</v>
      </c>
      <c r="B65" s="2">
        <v>2103006000</v>
      </c>
      <c r="C65" s="2" t="s">
        <v>2221</v>
      </c>
      <c r="D65" s="290">
        <v>6.982865441565309E-3</v>
      </c>
      <c r="E65" s="290">
        <v>0.12696118984664206</v>
      </c>
      <c r="F65" s="290">
        <v>7.6176713907985234E-4</v>
      </c>
      <c r="G65" s="290">
        <v>9.649050428344793E-3</v>
      </c>
      <c r="H65" s="290">
        <v>9.649050428344793E-3</v>
      </c>
      <c r="I65" s="290">
        <v>2.5392237969328425E-2</v>
      </c>
      <c r="J65" s="290">
        <v>5.0784475938656849E-2</v>
      </c>
      <c r="K65" s="114">
        <v>2577.3121538868331</v>
      </c>
      <c r="L65" s="291">
        <v>2539.2237969328407</v>
      </c>
      <c r="M65" s="114" t="s">
        <v>2533</v>
      </c>
      <c r="N65" s="290">
        <v>6.982865441565309E-3</v>
      </c>
      <c r="O65" s="290">
        <v>0.12696118984664206</v>
      </c>
      <c r="P65" s="290">
        <v>7.6176713907985234E-4</v>
      </c>
      <c r="Q65" s="290">
        <v>9.649050428344793E-3</v>
      </c>
      <c r="R65" s="290">
        <v>9.649050428344793E-3</v>
      </c>
      <c r="S65" s="290">
        <v>2.5392237969328425E-2</v>
      </c>
      <c r="T65" s="290">
        <v>5.0784475938656849E-2</v>
      </c>
      <c r="U65" s="114">
        <v>2577.3121538868331</v>
      </c>
      <c r="V65" s="291">
        <v>2539.2237969328407</v>
      </c>
      <c r="W65" t="s">
        <v>2533</v>
      </c>
      <c r="Y65" s="43">
        <f t="shared" si="0"/>
        <v>5.4187192118226582E-3</v>
      </c>
      <c r="Z65" s="11">
        <f t="shared" si="1"/>
        <v>9.8522167487684761E-2</v>
      </c>
      <c r="AA65" s="511">
        <f t="shared" si="1"/>
        <v>5.9113300492610844E-4</v>
      </c>
      <c r="AB65" s="11">
        <f t="shared" si="1"/>
        <v>7.4876847290640388E-3</v>
      </c>
      <c r="AC65" s="512">
        <f t="shared" si="1"/>
        <v>7.4876847290640388E-3</v>
      </c>
      <c r="AD65" s="11">
        <f t="shared" si="1"/>
        <v>1.970443349753696E-2</v>
      </c>
      <c r="AE65" s="43">
        <f t="shared" si="1"/>
        <v>3.940886699507392E-2</v>
      </c>
    </row>
    <row r="66" spans="1:31" x14ac:dyDescent="0.25">
      <c r="A66" s="2" t="s">
        <v>2530</v>
      </c>
      <c r="B66" s="2">
        <v>2104002000</v>
      </c>
      <c r="C66" s="2" t="s">
        <v>2223</v>
      </c>
      <c r="D66" s="290">
        <v>0.12675114619425229</v>
      </c>
      <c r="E66" s="290">
        <v>5.9826541003687103E-2</v>
      </c>
      <c r="F66" s="290">
        <v>0.11787856596065463</v>
      </c>
      <c r="G66" s="290">
        <v>0.10127416580920763</v>
      </c>
      <c r="H66" s="290">
        <v>0.10127416580920763</v>
      </c>
      <c r="I66" s="290">
        <v>1.604606135246138E-2</v>
      </c>
      <c r="J66" s="290">
        <v>1.6550530914314499</v>
      </c>
      <c r="K66" s="114">
        <v>385.323484430527</v>
      </c>
      <c r="L66" s="291">
        <v>25.350229238850464</v>
      </c>
      <c r="M66" s="114" t="s">
        <v>2531</v>
      </c>
      <c r="N66" s="290">
        <v>0.1110907622961905</v>
      </c>
      <c r="O66" s="290">
        <v>5.2434839803801897E-2</v>
      </c>
      <c r="P66" s="290">
        <v>0.10331440893545714</v>
      </c>
      <c r="Q66" s="290">
        <v>8.8761519074656181E-2</v>
      </c>
      <c r="R66" s="290">
        <v>8.8761519074656181E-2</v>
      </c>
      <c r="S66" s="290">
        <v>1.406353505288623E-2</v>
      </c>
      <c r="T66" s="290">
        <v>1.4505676286825069</v>
      </c>
      <c r="U66" s="114">
        <v>337.71591738041906</v>
      </c>
      <c r="V66" s="291">
        <v>22.218152459238095</v>
      </c>
      <c r="W66" t="s">
        <v>2531</v>
      </c>
      <c r="Y66" s="43">
        <f t="shared" si="0"/>
        <v>0.65789473684210531</v>
      </c>
      <c r="Z66" s="11">
        <f t="shared" ref="Z66:AE66" si="2">O66/$U66*2000</f>
        <v>0.31052631578947359</v>
      </c>
      <c r="AA66" s="511">
        <f t="shared" si="2"/>
        <v>0.61184210526315785</v>
      </c>
      <c r="AB66" s="11">
        <f t="shared" si="2"/>
        <v>0.52565789473684199</v>
      </c>
      <c r="AC66" s="512">
        <f t="shared" si="2"/>
        <v>0.52565789473684199</v>
      </c>
      <c r="AD66" s="11">
        <f t="shared" si="2"/>
        <v>8.3286184210526304E-2</v>
      </c>
      <c r="AE66" s="43">
        <f t="shared" si="2"/>
        <v>8.5904605263157876</v>
      </c>
    </row>
    <row r="67" spans="1:31" x14ac:dyDescent="0.25">
      <c r="A67" s="2" t="s">
        <v>2530</v>
      </c>
      <c r="B67" s="2">
        <v>2103002000</v>
      </c>
      <c r="C67" s="2" t="s">
        <v>2527</v>
      </c>
      <c r="D67" s="290">
        <v>3.5695318167210945E-4</v>
      </c>
      <c r="E67" s="290">
        <v>1.684819017492357E-4</v>
      </c>
      <c r="F67" s="290">
        <v>3.3196645895506167E-4</v>
      </c>
      <c r="G67" s="290">
        <v>2.8520559215601543E-4</v>
      </c>
      <c r="H67" s="290">
        <v>2.8520559215601543E-4</v>
      </c>
      <c r="I67" s="290">
        <v>4.5188488033780734E-5</v>
      </c>
      <c r="J67" s="290">
        <v>4.6609161696835677E-3</v>
      </c>
      <c r="K67" s="114">
        <v>16.409830233226156</v>
      </c>
      <c r="L67" s="291">
        <v>1.0851376722832122</v>
      </c>
      <c r="M67" s="114" t="s">
        <v>2531</v>
      </c>
      <c r="N67" s="290">
        <v>3.373250655116712E-4</v>
      </c>
      <c r="O67" s="290">
        <v>1.5921743092150886E-4</v>
      </c>
      <c r="P67" s="290">
        <v>3.1371231092585424E-4</v>
      </c>
      <c r="Q67" s="290">
        <v>2.6952272734382532E-4</v>
      </c>
      <c r="R67" s="290">
        <v>2.6952272734382532E-4</v>
      </c>
      <c r="S67" s="290">
        <v>4.2703666668450026E-5</v>
      </c>
      <c r="T67" s="290">
        <v>4.4046220429186465E-3</v>
      </c>
      <c r="U67" s="114">
        <v>15.502854241684634</v>
      </c>
      <c r="V67" s="291">
        <v>1.0254681991554806</v>
      </c>
      <c r="W67" t="s">
        <v>2531</v>
      </c>
      <c r="Y67" s="43"/>
      <c r="Z67" s="11"/>
      <c r="AA67" s="511"/>
      <c r="AB67" s="11"/>
      <c r="AC67" s="512"/>
      <c r="AD67" s="11"/>
      <c r="AE67" s="43"/>
    </row>
    <row r="68" spans="1:31" x14ac:dyDescent="0.25">
      <c r="A68" s="2" t="s">
        <v>2530</v>
      </c>
      <c r="B68" s="2">
        <v>2103008000</v>
      </c>
      <c r="C68" s="2" t="s">
        <v>2528</v>
      </c>
      <c r="D68" s="290">
        <v>1.0907183589339993E-3</v>
      </c>
      <c r="E68" s="290">
        <v>4.336668902742203E-5</v>
      </c>
      <c r="F68" s="290">
        <v>9.4541280565428524E-6</v>
      </c>
      <c r="G68" s="290">
        <v>3.0673763335701789E-4</v>
      </c>
      <c r="H68" s="290">
        <v>3.0673763335701789E-4</v>
      </c>
      <c r="I68" s="290">
        <v>1.1231577533620158E-5</v>
      </c>
      <c r="J68" s="290">
        <v>2.1817155207571283E-3</v>
      </c>
      <c r="K68" s="114">
        <v>9.9032591487055033</v>
      </c>
      <c r="L68" s="291">
        <v>0.81778207689095661</v>
      </c>
      <c r="M68" s="114" t="s">
        <v>2531</v>
      </c>
      <c r="N68" s="290">
        <v>8.9417200808487429E-4</v>
      </c>
      <c r="O68" s="290">
        <v>3.6384819286996321E-5</v>
      </c>
      <c r="P68" s="290">
        <v>7.7224421459778723E-6</v>
      </c>
      <c r="Q68" s="290">
        <v>2.6400762512984862E-4</v>
      </c>
      <c r="R68" s="290">
        <v>2.6400762512984862E-4</v>
      </c>
      <c r="S68" s="290">
        <v>1.0176294332303952E-5</v>
      </c>
      <c r="T68" s="290">
        <v>1.919492096384448E-3</v>
      </c>
      <c r="U68" s="114">
        <v>8.0893071656224507</v>
      </c>
      <c r="V68" s="291">
        <v>0.66799124562708578</v>
      </c>
      <c r="W68" t="s">
        <v>2531</v>
      </c>
      <c r="Y68" s="43"/>
      <c r="Z68" s="11"/>
      <c r="AA68" s="511"/>
      <c r="AB68" s="11"/>
      <c r="AC68" s="512"/>
      <c r="AD68" s="11"/>
      <c r="AE68" s="43"/>
    </row>
    <row r="69" spans="1:31" x14ac:dyDescent="0.25">
      <c r="A69" s="44" t="s">
        <v>2530</v>
      </c>
      <c r="B69" s="44">
        <v>2102012000</v>
      </c>
      <c r="C69" s="44" t="s">
        <v>2228</v>
      </c>
      <c r="D69" s="292">
        <v>4.6572617087992893E-4</v>
      </c>
      <c r="E69" s="292">
        <v>2.4313208047262624E-2</v>
      </c>
      <c r="F69" s="292">
        <v>1.7215675806713706E-2</v>
      </c>
      <c r="G69" s="292">
        <v>2.4237240576798031E-3</v>
      </c>
      <c r="H69" s="292">
        <v>2.4237240576798031E-3</v>
      </c>
      <c r="I69" s="292">
        <v>1.694436341219731E-5</v>
      </c>
      <c r="J69" s="292">
        <v>5.7879977496831138E-3</v>
      </c>
      <c r="K69" s="245">
        <v>129.0061493337403</v>
      </c>
      <c r="L69" s="293">
        <v>0.93145234175985725</v>
      </c>
      <c r="M69" s="245" t="s">
        <v>2532</v>
      </c>
      <c r="N69" s="292">
        <v>4.6572617087992893E-4</v>
      </c>
      <c r="O69" s="292">
        <v>2.4313208047262624E-2</v>
      </c>
      <c r="P69" s="292">
        <v>1.7215675806713706E-2</v>
      </c>
      <c r="Q69" s="292">
        <v>2.4237240576798031E-3</v>
      </c>
      <c r="R69" s="292">
        <v>2.4237240576798031E-3</v>
      </c>
      <c r="S69" s="292">
        <v>1.694436341219731E-5</v>
      </c>
      <c r="T69" s="292">
        <v>5.7879977496831138E-3</v>
      </c>
      <c r="U69" s="245">
        <v>129.0061493337403</v>
      </c>
      <c r="V69" s="293">
        <v>0.93145234175985725</v>
      </c>
      <c r="W69" s="9" t="s">
        <v>2532</v>
      </c>
      <c r="Y69" s="513">
        <f t="shared" ref="Y69:AE70" si="3">N69/$U69*2000</f>
        <v>7.2202166064981961E-3</v>
      </c>
      <c r="Z69" s="514">
        <f t="shared" si="3"/>
        <v>0.37693099395384777</v>
      </c>
      <c r="AA69" s="515">
        <f t="shared" si="3"/>
        <v>0.2668969796498083</v>
      </c>
      <c r="AB69" s="514">
        <f t="shared" si="3"/>
        <v>3.7575325985579229E-2</v>
      </c>
      <c r="AC69" s="516">
        <f t="shared" si="3"/>
        <v>3.7575325985579229E-2</v>
      </c>
      <c r="AD69" s="514">
        <f t="shared" si="3"/>
        <v>2.6269078644246735E-4</v>
      </c>
      <c r="AE69" s="513">
        <f t="shared" si="3"/>
        <v>8.973212175660715E-2</v>
      </c>
    </row>
    <row r="70" spans="1:31" x14ac:dyDescent="0.25">
      <c r="A70" s="71" t="s">
        <v>2530</v>
      </c>
      <c r="B70" s="71" t="s">
        <v>2462</v>
      </c>
      <c r="C70" s="71"/>
      <c r="D70" s="294">
        <v>9.7394629851979904</v>
      </c>
      <c r="E70" s="294">
        <v>2.6623345643444378</v>
      </c>
      <c r="F70" s="294">
        <v>4.1961037791199089</v>
      </c>
      <c r="G70" s="294">
        <v>2.799943463989826</v>
      </c>
      <c r="H70" s="294">
        <v>2.799943463989826</v>
      </c>
      <c r="I70" s="294">
        <v>0.1457207261555897</v>
      </c>
      <c r="J70" s="294">
        <v>29.747185870598607</v>
      </c>
      <c r="K70" s="244">
        <v>53217.297059560122</v>
      </c>
      <c r="L70" s="244"/>
      <c r="M70" s="244"/>
      <c r="N70" s="294">
        <v>8.7705413424612857</v>
      </c>
      <c r="O70" s="294">
        <v>2.4806683893459303</v>
      </c>
      <c r="P70" s="294">
        <v>3.8830217615875364</v>
      </c>
      <c r="Q70" s="294">
        <v>2.4900548065956931</v>
      </c>
      <c r="R70" s="294">
        <v>2.4900548065956931</v>
      </c>
      <c r="S70" s="294">
        <v>0.13289239307767481</v>
      </c>
      <c r="T70" s="294">
        <v>26.238298428816574</v>
      </c>
      <c r="U70" s="244">
        <v>49489.431254819472</v>
      </c>
      <c r="Y70" s="43">
        <f t="shared" si="3"/>
        <v>0.35444098346178415</v>
      </c>
      <c r="Z70" s="11">
        <f t="shared" si="3"/>
        <v>0.10025043030189817</v>
      </c>
      <c r="AA70" s="511">
        <f t="shared" si="3"/>
        <v>0.15692327283350596</v>
      </c>
      <c r="AB70" s="11">
        <f t="shared" si="3"/>
        <v>0.1006297604744933</v>
      </c>
      <c r="AC70" s="512">
        <f t="shared" si="3"/>
        <v>0.1006297604744933</v>
      </c>
      <c r="AD70" s="11">
        <f t="shared" si="3"/>
        <v>5.3705362825212594E-3</v>
      </c>
      <c r="AE70" s="43">
        <f t="shared" si="3"/>
        <v>1.0603596672475959</v>
      </c>
    </row>
    <row r="71" spans="1:31" x14ac:dyDescent="0.25">
      <c r="R71" s="290"/>
      <c r="T71" s="1" t="s">
        <v>2077</v>
      </c>
      <c r="U71" s="114">
        <f>SUM(U50:U60,U62:U64,U66)</f>
        <v>37487.636244145739</v>
      </c>
      <c r="V71" t="s">
        <v>3228</v>
      </c>
    </row>
    <row r="72" spans="1:31" x14ac:dyDescent="0.25">
      <c r="L72" s="291"/>
      <c r="U72" s="114">
        <f>U71/Devices!AY41*10^6</f>
        <v>948267.8163983241</v>
      </c>
      <c r="V72" t="s">
        <v>3229</v>
      </c>
      <c r="Y72" s="923" t="s">
        <v>3010</v>
      </c>
      <c r="Z72" s="923"/>
      <c r="AA72" s="923"/>
      <c r="AB72" s="923"/>
      <c r="AC72" s="923"/>
      <c r="AD72" s="923"/>
      <c r="AE72" s="923"/>
    </row>
    <row r="73" spans="1:31" x14ac:dyDescent="0.25">
      <c r="I73" s="923" t="s">
        <v>3177</v>
      </c>
      <c r="J73" s="923"/>
      <c r="K73" s="923"/>
      <c r="L73" s="923"/>
      <c r="M73" s="923"/>
      <c r="N73" s="923"/>
      <c r="O73" s="923"/>
      <c r="P73" s="923"/>
      <c r="Q73" s="923"/>
      <c r="R73" s="923"/>
      <c r="S73" s="923"/>
      <c r="T73" s="923"/>
      <c r="U73" s="923"/>
      <c r="Y73" s="44" t="s">
        <v>2143</v>
      </c>
      <c r="Z73" s="44" t="s">
        <v>2144</v>
      </c>
      <c r="AA73" s="517" t="s">
        <v>2145</v>
      </c>
      <c r="AB73" s="44" t="s">
        <v>2146</v>
      </c>
      <c r="AC73" s="518" t="s">
        <v>2147</v>
      </c>
      <c r="AD73" s="44" t="s">
        <v>2148</v>
      </c>
      <c r="AE73" s="44" t="s">
        <v>2149</v>
      </c>
    </row>
    <row r="74" spans="1:31" x14ac:dyDescent="0.25">
      <c r="I74" s="71"/>
      <c r="J74" s="71"/>
      <c r="K74" s="71"/>
      <c r="L74" s="71"/>
      <c r="M74" s="1" t="s">
        <v>3178</v>
      </c>
      <c r="N74" s="290">
        <f>SUM(N51,N54)</f>
        <v>1.801598602181959</v>
      </c>
      <c r="O74" s="290">
        <f t="shared" ref="O74:U74" si="4">SUM(O51,O54)</f>
        <v>5.1513465623135558E-2</v>
      </c>
      <c r="P74" s="290">
        <f t="shared" si="4"/>
        <v>1.3596970582505351E-2</v>
      </c>
      <c r="Q74" s="290">
        <f t="shared" si="4"/>
        <v>0.44220189986465425</v>
      </c>
      <c r="R74" s="290">
        <f t="shared" si="4"/>
        <v>0.44220189986465425</v>
      </c>
      <c r="S74" s="290">
        <f t="shared" si="4"/>
        <v>1.5575925227160722E-2</v>
      </c>
      <c r="T74" s="290">
        <f t="shared" si="4"/>
        <v>4.2938878497534354</v>
      </c>
      <c r="U74" s="114">
        <f t="shared" si="4"/>
        <v>1091.8126599976206</v>
      </c>
      <c r="Y74" s="43">
        <f t="shared" ref="Y74:AE81" si="5">N74/$U74*2000</f>
        <v>3.3001973107472216</v>
      </c>
      <c r="Z74" s="11">
        <f t="shared" si="5"/>
        <v>9.4363195281593135E-2</v>
      </c>
      <c r="AA74" s="511">
        <f t="shared" si="5"/>
        <v>2.4907149515073369E-2</v>
      </c>
      <c r="AB74" s="11">
        <f t="shared" si="5"/>
        <v>0.81003255607169444</v>
      </c>
      <c r="AC74" s="512">
        <f t="shared" si="5"/>
        <v>0.81003255607169444</v>
      </c>
      <c r="AD74" s="11">
        <f t="shared" si="5"/>
        <v>2.853223047843147E-2</v>
      </c>
      <c r="AE74" s="43">
        <f t="shared" si="5"/>
        <v>7.8656128602919724</v>
      </c>
    </row>
    <row r="75" spans="1:31" x14ac:dyDescent="0.25">
      <c r="M75" s="1" t="s">
        <v>3003</v>
      </c>
      <c r="N75" s="290">
        <f t="shared" ref="N75:U75" si="6">SUM(N52:N53,N55:N56)</f>
        <v>1.5051580361563428</v>
      </c>
      <c r="O75" s="290">
        <f t="shared" si="6"/>
        <v>0.18657172864805749</v>
      </c>
      <c r="P75" s="290">
        <f t="shared" si="6"/>
        <v>4.5863004349553441E-2</v>
      </c>
      <c r="Q75" s="290">
        <f t="shared" si="6"/>
        <v>0.96830549942602484</v>
      </c>
      <c r="R75" s="290">
        <f t="shared" si="6"/>
        <v>0.96830549942602484</v>
      </c>
      <c r="S75" s="290">
        <f t="shared" si="6"/>
        <v>3.2136044209269111E-2</v>
      </c>
      <c r="T75" s="290">
        <f t="shared" si="6"/>
        <v>14.200360317178422</v>
      </c>
      <c r="U75" s="114">
        <f t="shared" si="6"/>
        <v>3682.7180341771318</v>
      </c>
      <c r="Y75" s="43">
        <f t="shared" si="5"/>
        <v>0.81741693074944088</v>
      </c>
      <c r="Z75" s="11">
        <f t="shared" si="5"/>
        <v>0.10132284194260621</v>
      </c>
      <c r="AA75" s="511">
        <f t="shared" si="5"/>
        <v>2.4907149515073366E-2</v>
      </c>
      <c r="AB75" s="11">
        <f t="shared" si="5"/>
        <v>0.5258645872096388</v>
      </c>
      <c r="AC75" s="512">
        <f t="shared" si="5"/>
        <v>0.5258645872096388</v>
      </c>
      <c r="AD75" s="11">
        <f t="shared" si="5"/>
        <v>1.7452351177056433E-2</v>
      </c>
      <c r="AE75" s="43">
        <f t="shared" si="5"/>
        <v>7.7118911550617026</v>
      </c>
    </row>
    <row r="76" spans="1:31" x14ac:dyDescent="0.25">
      <c r="M76" s="1" t="s">
        <v>3004</v>
      </c>
      <c r="N76" s="290">
        <f t="shared" ref="N76:V76" si="7">SUM(N60,N62:N63)</f>
        <v>8.0259084688401039E-2</v>
      </c>
      <c r="O76" s="290">
        <f t="shared" si="7"/>
        <v>1.2625877275426431</v>
      </c>
      <c r="P76" s="290">
        <f t="shared" si="7"/>
        <v>3.2534285023261136</v>
      </c>
      <c r="Q76" s="290">
        <f t="shared" si="7"/>
        <v>5.1354948808536971E-2</v>
      </c>
      <c r="R76" s="290">
        <f t="shared" si="7"/>
        <v>5.1354948808536971E-2</v>
      </c>
      <c r="S76" s="290">
        <f t="shared" si="7"/>
        <v>2.7574493725644376E-3</v>
      </c>
      <c r="T76" s="290">
        <f t="shared" si="7"/>
        <v>5.0411896730480618E-2</v>
      </c>
      <c r="U76" s="114">
        <f t="shared" si="7"/>
        <v>30171.778094171383</v>
      </c>
      <c r="V76" s="291">
        <f t="shared" si="7"/>
        <v>225.13067233773097</v>
      </c>
      <c r="W76" t="s">
        <v>2532</v>
      </c>
      <c r="Y76" s="43">
        <f t="shared" si="5"/>
        <v>5.3201428459336026E-3</v>
      </c>
      <c r="Z76" s="11">
        <f t="shared" si="5"/>
        <v>8.3693292692388663E-2</v>
      </c>
      <c r="AA76" s="511">
        <f t="shared" si="5"/>
        <v>0.21566037587652909</v>
      </c>
      <c r="AB76" s="11">
        <f t="shared" si="5"/>
        <v>3.404171185950607E-3</v>
      </c>
      <c r="AC76" s="512">
        <f t="shared" si="5"/>
        <v>3.404171185950607E-3</v>
      </c>
      <c r="AD76" s="11">
        <f t="shared" si="5"/>
        <v>1.8278335230744155E-4</v>
      </c>
      <c r="AE76" s="43">
        <f t="shared" si="5"/>
        <v>3.3416589882860927E-3</v>
      </c>
    </row>
    <row r="77" spans="1:31" x14ac:dyDescent="0.25">
      <c r="M77" s="1" t="s">
        <v>3005</v>
      </c>
      <c r="N77" s="290">
        <f t="shared" ref="N77:U77" si="8">SUM(N64,N66)</f>
        <v>0.11174370036308606</v>
      </c>
      <c r="O77" s="290">
        <f t="shared" si="8"/>
        <v>6.3594144947107911E-2</v>
      </c>
      <c r="P77" s="290">
        <f t="shared" si="8"/>
        <v>0.10338563854275484</v>
      </c>
      <c r="Q77" s="290">
        <f t="shared" si="8"/>
        <v>8.9663760767093689E-2</v>
      </c>
      <c r="R77" s="290">
        <f t="shared" si="8"/>
        <v>8.9663760767093689E-2</v>
      </c>
      <c r="S77" s="290">
        <f t="shared" si="8"/>
        <v>1.6437855296142827E-2</v>
      </c>
      <c r="T77" s="290">
        <f t="shared" si="8"/>
        <v>1.45531626916902</v>
      </c>
      <c r="U77" s="114">
        <f t="shared" si="8"/>
        <v>630.81603424979994</v>
      </c>
      <c r="Y77" s="43">
        <f t="shared" si="5"/>
        <v>0.35428300580842914</v>
      </c>
      <c r="Z77" s="11">
        <f t="shared" si="5"/>
        <v>0.20162501107866559</v>
      </c>
      <c r="AA77" s="511">
        <f t="shared" si="5"/>
        <v>0.32778380044098454</v>
      </c>
      <c r="AB77" s="11">
        <f t="shared" si="5"/>
        <v>0.28427863560483724</v>
      </c>
      <c r="AC77" s="512">
        <f t="shared" si="5"/>
        <v>0.28427863560483724</v>
      </c>
      <c r="AD77" s="11">
        <f t="shared" si="5"/>
        <v>5.2116161935203818E-2</v>
      </c>
      <c r="AE77" s="43">
        <f t="shared" si="5"/>
        <v>4.6140750715056242</v>
      </c>
    </row>
    <row r="78" spans="1:31" x14ac:dyDescent="0.25">
      <c r="M78" s="1" t="s">
        <v>3006</v>
      </c>
      <c r="N78" s="290">
        <f t="shared" ref="N78:V78" si="9">N61</f>
        <v>2.3865897766536782E-2</v>
      </c>
      <c r="O78" s="290">
        <f t="shared" si="9"/>
        <v>0.60250513295604802</v>
      </c>
      <c r="P78" s="290">
        <f t="shared" si="9"/>
        <v>0.42587740597924373</v>
      </c>
      <c r="Q78" s="290">
        <f t="shared" si="9"/>
        <v>1.528344978964009E-2</v>
      </c>
      <c r="R78" s="290">
        <f t="shared" si="9"/>
        <v>1.528344978964009E-2</v>
      </c>
      <c r="S78" s="290">
        <f t="shared" si="9"/>
        <v>8.1995708121419082E-4</v>
      </c>
      <c r="T78" s="290">
        <f t="shared" si="9"/>
        <v>1.4990517002005316E-2</v>
      </c>
      <c r="U78" s="114">
        <f t="shared" si="9"/>
        <v>9271.8845460458488</v>
      </c>
      <c r="V78" s="291">
        <f t="shared" si="9"/>
        <v>69.084560638330871</v>
      </c>
      <c r="W78" t="s">
        <v>2532</v>
      </c>
      <c r="Y78" s="43">
        <f t="shared" si="5"/>
        <v>5.1480144404332118E-3</v>
      </c>
      <c r="Z78" s="11">
        <f t="shared" si="5"/>
        <v>0.12996389891696752</v>
      </c>
      <c r="AA78" s="511">
        <f t="shared" si="5"/>
        <v>9.1864259927797801E-2</v>
      </c>
      <c r="AB78" s="11">
        <f t="shared" si="5"/>
        <v>3.2967299611507727E-3</v>
      </c>
      <c r="AC78" s="512">
        <f t="shared" si="5"/>
        <v>3.2967299611507727E-3</v>
      </c>
      <c r="AD78" s="11">
        <f t="shared" si="5"/>
        <v>1.7686956241573897E-4</v>
      </c>
      <c r="AE78" s="43">
        <f t="shared" si="5"/>
        <v>3.2335426368953818E-3</v>
      </c>
    </row>
    <row r="79" spans="1:31" x14ac:dyDescent="0.25">
      <c r="M79" s="1" t="s">
        <v>3007</v>
      </c>
      <c r="N79" s="290">
        <f t="shared" ref="N79:V79" si="10">SUM(N50:N59,N68)</f>
        <v>8.5468867429653042</v>
      </c>
      <c r="O79" s="290">
        <f t="shared" si="10"/>
        <v>0.4005477685753055</v>
      </c>
      <c r="P79" s="290">
        <f t="shared" si="10"/>
        <v>8.2039059482703874E-2</v>
      </c>
      <c r="Q79" s="290">
        <f t="shared" si="10"/>
        <v>2.3214103500170542</v>
      </c>
      <c r="R79" s="290">
        <f t="shared" si="10"/>
        <v>2.3214103500170542</v>
      </c>
      <c r="S79" s="290">
        <f t="shared" si="10"/>
        <v>8.7425245328344267E-2</v>
      </c>
      <c r="T79" s="290">
        <f t="shared" si="10"/>
        <v>24.65660265018381</v>
      </c>
      <c r="U79" s="114">
        <f t="shared" si="10"/>
        <v>6693.1314228901792</v>
      </c>
      <c r="V79" s="291">
        <f t="shared" si="10"/>
        <v>595.34847785613442</v>
      </c>
      <c r="W79" t="s">
        <v>3500</v>
      </c>
      <c r="Y79" s="43">
        <f t="shared" si="5"/>
        <v>2.5539276619417253</v>
      </c>
      <c r="Z79" s="11">
        <f t="shared" si="5"/>
        <v>0.11968919875245596</v>
      </c>
      <c r="AA79" s="511">
        <f t="shared" si="5"/>
        <v>2.4514402691133284E-2</v>
      </c>
      <c r="AB79" s="11">
        <f t="shared" si="5"/>
        <v>0.69366943612609944</v>
      </c>
      <c r="AC79" s="512">
        <f t="shared" si="5"/>
        <v>0.69366943612609944</v>
      </c>
      <c r="AD79" s="11">
        <f t="shared" si="5"/>
        <v>2.6123869323514026E-2</v>
      </c>
      <c r="AE79" s="43">
        <f t="shared" si="5"/>
        <v>7.3677330063651363</v>
      </c>
    </row>
    <row r="80" spans="1:31" x14ac:dyDescent="0.25">
      <c r="M80" s="1" t="s">
        <v>3008</v>
      </c>
      <c r="N80" s="290">
        <f t="shared" ref="N80:U80" si="11">SUM(N65,N67,N69)</f>
        <v>7.7859166779569089E-3</v>
      </c>
      <c r="O80" s="290">
        <f t="shared" si="11"/>
        <v>0.15143361532482619</v>
      </c>
      <c r="P80" s="290">
        <f t="shared" si="11"/>
        <v>1.8291155256719413E-2</v>
      </c>
      <c r="Q80" s="290">
        <f t="shared" si="11"/>
        <v>1.2342297213368422E-2</v>
      </c>
      <c r="R80" s="290">
        <f t="shared" si="11"/>
        <v>1.2342297213368422E-2</v>
      </c>
      <c r="S80" s="290">
        <f t="shared" si="11"/>
        <v>2.5451885999409073E-2</v>
      </c>
      <c r="T80" s="290">
        <f t="shared" si="11"/>
        <v>6.0977095731258604E-2</v>
      </c>
      <c r="U80" s="114">
        <f t="shared" si="11"/>
        <v>2721.8211574622578</v>
      </c>
      <c r="Y80" s="43">
        <f t="shared" si="5"/>
        <v>5.7211082047846648E-3</v>
      </c>
      <c r="Z80" s="11">
        <f t="shared" si="5"/>
        <v>0.11127374398545585</v>
      </c>
      <c r="AA80" s="511">
        <f t="shared" si="5"/>
        <v>1.3440379950439891E-2</v>
      </c>
      <c r="AB80" s="11">
        <f t="shared" si="5"/>
        <v>9.0691463541094676E-3</v>
      </c>
      <c r="AC80" s="512">
        <f t="shared" si="5"/>
        <v>9.0691463541094676E-3</v>
      </c>
      <c r="AD80" s="11">
        <f t="shared" si="5"/>
        <v>1.8702100194664978E-2</v>
      </c>
      <c r="AE80" s="43">
        <f t="shared" si="5"/>
        <v>4.4806100183387342E-2</v>
      </c>
    </row>
    <row r="81" spans="13:31" x14ac:dyDescent="0.25">
      <c r="M81" s="1" t="s">
        <v>3009</v>
      </c>
      <c r="N81" s="290">
        <f>SUM(N76:N80)</f>
        <v>8.7705413424612857</v>
      </c>
      <c r="O81" s="290">
        <f t="shared" ref="O81:U81" si="12">SUM(O76:O80)</f>
        <v>2.4806683893459307</v>
      </c>
      <c r="P81" s="290">
        <f t="shared" si="12"/>
        <v>3.883021761587536</v>
      </c>
      <c r="Q81" s="290">
        <f t="shared" si="12"/>
        <v>2.4900548065956936</v>
      </c>
      <c r="R81" s="290">
        <f t="shared" si="12"/>
        <v>2.4900548065956936</v>
      </c>
      <c r="S81" s="290">
        <f t="shared" si="12"/>
        <v>0.13289239307767478</v>
      </c>
      <c r="T81" s="290">
        <f t="shared" si="12"/>
        <v>26.238298428816574</v>
      </c>
      <c r="U81" s="114">
        <f t="shared" si="12"/>
        <v>49489.431254819472</v>
      </c>
      <c r="Y81" s="43">
        <f t="shared" si="5"/>
        <v>0.35444098346178415</v>
      </c>
      <c r="Z81" s="11">
        <f t="shared" si="5"/>
        <v>0.1002504303018982</v>
      </c>
      <c r="AA81" s="511">
        <f t="shared" si="5"/>
        <v>0.15692327283350593</v>
      </c>
      <c r="AB81" s="11">
        <f t="shared" si="5"/>
        <v>0.10062976047449333</v>
      </c>
      <c r="AC81" s="512">
        <f t="shared" si="5"/>
        <v>0.10062976047449333</v>
      </c>
      <c r="AD81" s="11">
        <f t="shared" si="5"/>
        <v>5.3705362825212585E-3</v>
      </c>
      <c r="AE81" s="43">
        <f t="shared" si="5"/>
        <v>1.0603596672475959</v>
      </c>
    </row>
    <row r="83" spans="13:31" x14ac:dyDescent="0.25">
      <c r="V83" s="107">
        <f>V79/Lookup!B37</f>
        <v>353.79379991159567</v>
      </c>
      <c r="W83" t="s">
        <v>3501</v>
      </c>
    </row>
    <row r="84" spans="13:31" x14ac:dyDescent="0.25">
      <c r="T84" s="1" t="s">
        <v>3502</v>
      </c>
      <c r="U84" s="43">
        <v>1.930282922015446</v>
      </c>
      <c r="V84" s="114">
        <f>V83*365/U84</f>
        <v>66899.383243208882</v>
      </c>
      <c r="W84" t="s">
        <v>3503</v>
      </c>
    </row>
  </sheetData>
  <autoFilter ref="A1:W2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9" tint="0.59999389629810485"/>
    <pageSetUpPr fitToPage="1"/>
  </sheetPr>
  <dimension ref="A1:AE99"/>
  <sheetViews>
    <sheetView workbookViewId="0"/>
  </sheetViews>
  <sheetFormatPr defaultRowHeight="15" x14ac:dyDescent="0.25"/>
  <cols>
    <col min="5" max="5" width="11.5703125" bestFit="1" customWidth="1"/>
    <col min="7" max="7" width="10.140625" customWidth="1"/>
    <col min="14" max="14" width="57.42578125" customWidth="1"/>
    <col min="15" max="15" width="11" customWidth="1"/>
    <col min="17" max="17" width="10.140625" customWidth="1"/>
    <col min="18" max="18" width="52.85546875" customWidth="1"/>
    <col min="19" max="19" width="10.28515625" customWidth="1"/>
    <col min="20" max="20" width="34.5703125" customWidth="1"/>
    <col min="22" max="22" width="10" customWidth="1"/>
    <col min="23" max="23" width="11.140625" customWidth="1"/>
  </cols>
  <sheetData>
    <row r="1" spans="1:31" x14ac:dyDescent="0.25">
      <c r="A1" s="327" t="s">
        <v>3274</v>
      </c>
      <c r="O1" s="2" t="s">
        <v>2134</v>
      </c>
    </row>
    <row r="2" spans="1:31" ht="15.75" thickBot="1" x14ac:dyDescent="0.3">
      <c r="O2" s="15" t="s">
        <v>2140</v>
      </c>
      <c r="R2" s="15" t="s">
        <v>2070</v>
      </c>
      <c r="V2" s="118" t="s">
        <v>4344</v>
      </c>
      <c r="W2" s="118"/>
      <c r="X2" s="118"/>
      <c r="Y2" s="118"/>
      <c r="Z2" s="118"/>
    </row>
    <row r="3" spans="1:31" ht="15.75" thickTop="1" x14ac:dyDescent="0.25">
      <c r="E3" s="915" t="s">
        <v>3282</v>
      </c>
      <c r="F3" s="915"/>
      <c r="N3" t="s">
        <v>2151</v>
      </c>
      <c r="O3" s="803">
        <v>7.0000000000000007E-2</v>
      </c>
      <c r="R3" s="6" t="s">
        <v>2074</v>
      </c>
      <c r="S3" s="718">
        <v>17.3</v>
      </c>
      <c r="T3" t="s">
        <v>2075</v>
      </c>
      <c r="V3" t="s">
        <v>4329</v>
      </c>
      <c r="W3" t="s">
        <v>3252</v>
      </c>
      <c r="X3" t="s">
        <v>4330</v>
      </c>
    </row>
    <row r="4" spans="1:31" x14ac:dyDescent="0.25">
      <c r="E4" s="915" t="s">
        <v>3283</v>
      </c>
      <c r="F4" s="915"/>
      <c r="G4" s="299"/>
      <c r="H4" s="1"/>
      <c r="I4" s="1"/>
      <c r="J4" s="1"/>
      <c r="K4" s="1"/>
      <c r="L4" s="1"/>
      <c r="M4" s="1"/>
      <c r="N4" t="s">
        <v>2155</v>
      </c>
      <c r="O4" s="803">
        <v>0.4</v>
      </c>
      <c r="R4" s="6" t="s">
        <v>2079</v>
      </c>
      <c r="S4" s="719">
        <v>16.527501810052286</v>
      </c>
      <c r="T4" t="s">
        <v>2075</v>
      </c>
      <c r="V4" t="s">
        <v>2623</v>
      </c>
      <c r="W4" s="666">
        <v>50000</v>
      </c>
      <c r="X4" t="s">
        <v>4332</v>
      </c>
    </row>
    <row r="5" spans="1:31" x14ac:dyDescent="0.25">
      <c r="A5" s="300" t="s">
        <v>1889</v>
      </c>
      <c r="E5" s="40">
        <v>2018</v>
      </c>
      <c r="F5" s="40" t="s">
        <v>2072</v>
      </c>
      <c r="G5" s="299"/>
      <c r="H5" s="1"/>
      <c r="I5" s="684"/>
      <c r="J5" s="684"/>
      <c r="K5" s="684"/>
      <c r="L5" s="684"/>
      <c r="M5" s="684"/>
      <c r="N5" t="s">
        <v>2158</v>
      </c>
      <c r="O5" s="803">
        <v>0.66</v>
      </c>
      <c r="R5" s="6" t="s">
        <v>2083</v>
      </c>
      <c r="S5" s="719">
        <v>13.772918175043571</v>
      </c>
      <c r="T5" t="s">
        <v>2075</v>
      </c>
      <c r="V5" t="s">
        <v>4331</v>
      </c>
      <c r="W5" s="666">
        <v>100000</v>
      </c>
      <c r="X5" t="s">
        <v>4333</v>
      </c>
    </row>
    <row r="6" spans="1:31" x14ac:dyDescent="0.25">
      <c r="A6" s="117" t="s">
        <v>2561</v>
      </c>
      <c r="E6" s="660">
        <f>Lookup!N16</f>
        <v>0.20050000000000001</v>
      </c>
      <c r="F6" t="str">
        <f>Lookup!C16</f>
        <v>/kWh</v>
      </c>
      <c r="H6" s="420"/>
      <c r="I6" s="291"/>
      <c r="J6" s="107"/>
      <c r="K6" s="107"/>
      <c r="L6" s="107"/>
      <c r="M6" s="107"/>
      <c r="N6" t="s">
        <v>2161</v>
      </c>
      <c r="O6" s="803">
        <v>0.7</v>
      </c>
      <c r="P6" s="117"/>
      <c r="R6" s="6" t="s">
        <v>2087</v>
      </c>
      <c r="S6" s="719">
        <f>Lookup!R26/10^6</f>
        <v>12.10691595953868</v>
      </c>
      <c r="T6" t="s">
        <v>2075</v>
      </c>
      <c r="V6" t="s">
        <v>2622</v>
      </c>
      <c r="W6" s="666">
        <v>1000000</v>
      </c>
      <c r="X6" t="s">
        <v>4334</v>
      </c>
    </row>
    <row r="7" spans="1:31" x14ac:dyDescent="0.25">
      <c r="A7" s="117" t="s">
        <v>2566</v>
      </c>
      <c r="E7" s="660">
        <f>Lookup!N17</f>
        <v>24.41</v>
      </c>
      <c r="F7" t="str">
        <f>Lookup!$C$17</f>
        <v>/mmBTU</v>
      </c>
      <c r="G7" s="917" t="s">
        <v>4327</v>
      </c>
      <c r="H7" s="917"/>
      <c r="I7" s="917"/>
      <c r="J7" s="917"/>
      <c r="K7" s="917"/>
      <c r="L7" s="917"/>
      <c r="M7" s="114"/>
      <c r="N7" t="s">
        <v>2164</v>
      </c>
      <c r="O7" s="803">
        <v>0.54</v>
      </c>
      <c r="P7" s="117"/>
      <c r="R7" s="6" t="s">
        <v>2090</v>
      </c>
      <c r="S7" s="719">
        <v>12.141821186058127</v>
      </c>
      <c r="T7" t="s">
        <v>2075</v>
      </c>
    </row>
    <row r="8" spans="1:31" x14ac:dyDescent="0.25">
      <c r="A8" s="117" t="s">
        <v>2570</v>
      </c>
      <c r="E8" s="660">
        <f>Lookup!N18</f>
        <v>19.59</v>
      </c>
      <c r="F8" t="str">
        <f>Lookup!$C$18</f>
        <v>/1,000 lb</v>
      </c>
      <c r="G8" s="44">
        <v>2019</v>
      </c>
      <c r="H8" s="44">
        <v>2020</v>
      </c>
      <c r="I8" s="44">
        <v>2021</v>
      </c>
      <c r="J8" s="44">
        <v>2022</v>
      </c>
      <c r="K8" s="44">
        <v>2023</v>
      </c>
      <c r="L8" s="44">
        <v>2024</v>
      </c>
      <c r="M8" s="114"/>
      <c r="N8" t="s">
        <v>2168</v>
      </c>
      <c r="O8" s="803">
        <v>0.68</v>
      </c>
      <c r="P8" s="117"/>
      <c r="R8" s="6" t="s">
        <v>2092</v>
      </c>
      <c r="S8" s="719">
        <v>12.07221084835353</v>
      </c>
      <c r="T8" t="s">
        <v>2075</v>
      </c>
      <c r="V8" s="1" t="s">
        <v>4345</v>
      </c>
      <c r="W8" s="114">
        <v>20</v>
      </c>
      <c r="X8" t="s">
        <v>3295</v>
      </c>
      <c r="Y8" s="1" t="s">
        <v>4346</v>
      </c>
      <c r="Z8" s="11">
        <f>(CRR*(1+CRR)^W8)/((1+CRR)^W8-1)</f>
        <v>8.3679330034933205E-2</v>
      </c>
    </row>
    <row r="9" spans="1:31" ht="15.75" thickBot="1" x14ac:dyDescent="0.3">
      <c r="A9" s="117" t="s">
        <v>3405</v>
      </c>
      <c r="E9" s="660">
        <f>Lookup!N19</f>
        <v>2.9279999999999999</v>
      </c>
      <c r="F9" t="str">
        <f>Lookup!$C$19</f>
        <v>/gal</v>
      </c>
      <c r="G9" s="310">
        <f ca="1">OFFSET(Lookup!$Z$15,MATCH(G8,Lookup!$U$16:$U$42,0),0)</f>
        <v>2.8910476436685228</v>
      </c>
      <c r="H9" s="310">
        <f ca="1">OFFSET(Lookup!$Z$15,MATCH(H8,Lookup!$U$16:$U$42,0),0)</f>
        <v>3.3883933603907419</v>
      </c>
      <c r="I9" s="310">
        <f ca="1">OFFSET(Lookup!$Z$15,MATCH(I8,Lookup!$U$16:$U$42,0),0)</f>
        <v>3.6297938947337318</v>
      </c>
      <c r="J9" s="310">
        <f ca="1">OFFSET(Lookup!$Z$15,MATCH(J8,Lookup!$U$16:$U$42,0),0)</f>
        <v>3.7343215676593808</v>
      </c>
      <c r="K9" s="310">
        <f ca="1">OFFSET(Lookup!$Z$15,MATCH(K8,Lookup!$U$16:$U$42,0),0)</f>
        <v>3.8157383488867023</v>
      </c>
      <c r="L9" s="310">
        <f ca="1">OFFSET(Lookup!$Z$15,MATCH(L8,Lookup!$U$16:$U$42,0),0)</f>
        <v>3.8634621824126949</v>
      </c>
      <c r="M9" s="114"/>
      <c r="N9" t="s">
        <v>2171</v>
      </c>
      <c r="O9" s="803">
        <v>0.72</v>
      </c>
      <c r="P9" s="117"/>
      <c r="R9" s="6" t="s">
        <v>4247</v>
      </c>
      <c r="S9" s="824">
        <f>Lookup!B22/10^6</f>
        <v>16</v>
      </c>
      <c r="T9" t="s">
        <v>2075</v>
      </c>
      <c r="AB9" s="118" t="s">
        <v>4351</v>
      </c>
    </row>
    <row r="10" spans="1:31" ht="15.75" thickTop="1" x14ac:dyDescent="0.25">
      <c r="A10" s="117" t="s">
        <v>2110</v>
      </c>
      <c r="E10" s="660">
        <f>Lookup!N20</f>
        <v>20.81</v>
      </c>
      <c r="F10" t="str">
        <f>Lookup!$C$20</f>
        <v>/mcf</v>
      </c>
      <c r="H10" s="420"/>
      <c r="I10" s="114"/>
      <c r="J10" s="114"/>
      <c r="K10" s="114"/>
      <c r="L10" s="114"/>
      <c r="M10" s="114"/>
      <c r="N10" t="s">
        <v>2174</v>
      </c>
      <c r="O10" s="803">
        <v>0.56000000000000005</v>
      </c>
      <c r="P10" s="117"/>
      <c r="R10" s="6" t="s">
        <v>2094</v>
      </c>
      <c r="S10" s="720">
        <v>125000</v>
      </c>
      <c r="T10" t="s">
        <v>2095</v>
      </c>
      <c r="W10" t="s">
        <v>4347</v>
      </c>
      <c r="AB10" t="s">
        <v>4350</v>
      </c>
    </row>
    <row r="11" spans="1:31" x14ac:dyDescent="0.25">
      <c r="A11" s="117" t="s">
        <v>2109</v>
      </c>
      <c r="E11" s="660">
        <f>Lookup!N21</f>
        <v>3.43</v>
      </c>
      <c r="F11" t="str">
        <f>Lookup!$C$21</f>
        <v>/gal</v>
      </c>
      <c r="I11" s="291"/>
      <c r="J11" s="107"/>
      <c r="K11" s="107"/>
      <c r="L11" s="107"/>
      <c r="M11" s="107"/>
      <c r="N11" t="s">
        <v>2178</v>
      </c>
      <c r="O11" s="803">
        <v>0.78</v>
      </c>
      <c r="P11" s="117"/>
      <c r="R11" s="6" t="s">
        <v>2098</v>
      </c>
      <c r="S11" s="720">
        <v>138500</v>
      </c>
      <c r="T11" t="s">
        <v>2095</v>
      </c>
      <c r="V11" t="s">
        <v>2623</v>
      </c>
      <c r="W11" s="680">
        <f>W4*$Z$8</f>
        <v>4183.9665017466605</v>
      </c>
      <c r="X11" s="411" t="s">
        <v>3358</v>
      </c>
      <c r="AB11" t="s">
        <v>2623</v>
      </c>
    </row>
    <row r="12" spans="1:31" x14ac:dyDescent="0.25">
      <c r="A12" s="117" t="s">
        <v>2583</v>
      </c>
      <c r="E12" s="660">
        <f>Lookup!N22</f>
        <v>272</v>
      </c>
      <c r="F12" t="str">
        <f>Lookup!$C$22</f>
        <v>/ton</v>
      </c>
      <c r="I12" s="114"/>
      <c r="J12" s="114"/>
      <c r="K12" s="114"/>
      <c r="L12" s="114"/>
      <c r="M12" s="114"/>
      <c r="N12" t="s">
        <v>2181</v>
      </c>
      <c r="O12" s="803">
        <v>0.43</v>
      </c>
      <c r="P12" s="117"/>
      <c r="R12" s="6" t="s">
        <v>2100</v>
      </c>
      <c r="S12" s="720">
        <v>135000</v>
      </c>
      <c r="T12" t="s">
        <v>2095</v>
      </c>
      <c r="V12" t="s">
        <v>4331</v>
      </c>
      <c r="W12" s="680">
        <f t="shared" ref="W12:W13" si="0">W5*$Z$8</f>
        <v>8367.9330034933209</v>
      </c>
      <c r="X12" s="411" t="s">
        <v>3358</v>
      </c>
      <c r="AB12" t="s">
        <v>4331</v>
      </c>
    </row>
    <row r="13" spans="1:31" x14ac:dyDescent="0.25">
      <c r="A13" s="117" t="s">
        <v>2588</v>
      </c>
      <c r="E13" s="660">
        <f>Lookup!N23</f>
        <v>285</v>
      </c>
      <c r="F13" t="str">
        <f>Lookup!$C$23</f>
        <v>/cord</v>
      </c>
      <c r="H13" s="797">
        <v>0.2</v>
      </c>
      <c r="I13" s="114" t="s">
        <v>4196</v>
      </c>
      <c r="J13" s="114"/>
      <c r="K13" s="114"/>
      <c r="L13" s="114"/>
      <c r="M13" s="114"/>
      <c r="N13" t="s">
        <v>2185</v>
      </c>
      <c r="O13" s="803">
        <v>0.43</v>
      </c>
      <c r="P13" s="117"/>
      <c r="R13" s="6" t="s">
        <v>2103</v>
      </c>
      <c r="S13" s="720">
        <v>136995</v>
      </c>
      <c r="T13" t="s">
        <v>2095</v>
      </c>
      <c r="V13" t="s">
        <v>2622</v>
      </c>
      <c r="W13" s="680">
        <f t="shared" si="0"/>
        <v>83679.330034933198</v>
      </c>
      <c r="X13" s="411" t="s">
        <v>3358</v>
      </c>
      <c r="AB13" t="s">
        <v>2622</v>
      </c>
    </row>
    <row r="14" spans="1:31" x14ac:dyDescent="0.25">
      <c r="A14" s="117" t="s">
        <v>2592</v>
      </c>
      <c r="E14" s="660">
        <f>Lookup!N24</f>
        <v>229.17</v>
      </c>
      <c r="F14" t="str">
        <f>Lookup!$C$24</f>
        <v>/cord</v>
      </c>
      <c r="H14" s="420"/>
      <c r="I14" s="114" t="s">
        <v>2709</v>
      </c>
      <c r="J14" s="114"/>
      <c r="K14" s="114"/>
      <c r="L14" s="114"/>
      <c r="M14" s="114"/>
      <c r="N14" t="s">
        <v>2188</v>
      </c>
      <c r="O14" s="803">
        <v>0.43</v>
      </c>
      <c r="P14" s="117"/>
      <c r="R14" s="6" t="s">
        <v>2107</v>
      </c>
      <c r="S14" s="720">
        <v>135000</v>
      </c>
      <c r="T14" t="s">
        <v>2095</v>
      </c>
    </row>
    <row r="15" spans="1:31" ht="15" customHeight="1" thickBot="1" x14ac:dyDescent="0.3">
      <c r="A15" s="117" t="s">
        <v>2595</v>
      </c>
      <c r="E15" s="660">
        <f>Lookup!N25</f>
        <v>229.17</v>
      </c>
      <c r="F15" t="str">
        <f>Lookup!$C$25</f>
        <v>/cord</v>
      </c>
      <c r="G15" s="2" t="s">
        <v>4207</v>
      </c>
      <c r="H15" t="s">
        <v>4208</v>
      </c>
      <c r="I15" s="114" t="s">
        <v>4158</v>
      </c>
      <c r="J15" s="114"/>
      <c r="K15" s="114"/>
      <c r="L15" s="114"/>
      <c r="M15" s="114"/>
      <c r="N15" t="s">
        <v>2191</v>
      </c>
      <c r="O15" s="803">
        <v>0.43</v>
      </c>
      <c r="P15" s="117"/>
      <c r="R15" s="6" t="s">
        <v>2109</v>
      </c>
      <c r="S15" s="720">
        <v>91333</v>
      </c>
      <c r="T15" t="s">
        <v>2095</v>
      </c>
      <c r="V15" s="118" t="s">
        <v>4335</v>
      </c>
      <c r="W15" s="118"/>
      <c r="X15" s="118"/>
      <c r="Y15" s="118"/>
      <c r="Z15" s="860"/>
      <c r="AA15" s="859"/>
      <c r="AB15" s="859"/>
      <c r="AC15" s="859"/>
      <c r="AD15" s="859"/>
      <c r="AE15" s="859"/>
    </row>
    <row r="16" spans="1:31" ht="15.75" thickTop="1" x14ac:dyDescent="0.25">
      <c r="A16" s="299" t="s">
        <v>3279</v>
      </c>
      <c r="E16" s="660">
        <f>E18+100</f>
        <v>355.05840235039256</v>
      </c>
      <c r="F16" t="str">
        <f>Lookup!$C$26</f>
        <v>/cord</v>
      </c>
      <c r="G16" s="692">
        <v>1.4792057630632425</v>
      </c>
      <c r="H16" s="674">
        <f t="shared" ref="H16:H17" si="1">E16/G16</f>
        <v>240.03313887522506</v>
      </c>
      <c r="J16" s="114"/>
      <c r="K16" s="114"/>
      <c r="L16" s="114"/>
      <c r="M16" s="114"/>
      <c r="N16" t="s">
        <v>10</v>
      </c>
      <c r="O16" s="803">
        <v>0.85</v>
      </c>
      <c r="P16" s="299"/>
      <c r="R16" s="6" t="s">
        <v>2110</v>
      </c>
      <c r="S16" s="720">
        <v>1015</v>
      </c>
      <c r="T16" t="s">
        <v>2111</v>
      </c>
      <c r="V16" t="s">
        <v>4329</v>
      </c>
      <c r="W16" t="s">
        <v>4336</v>
      </c>
      <c r="X16" t="s">
        <v>4330</v>
      </c>
      <c r="Z16" s="859"/>
      <c r="AA16" s="859"/>
      <c r="AB16" s="859"/>
      <c r="AC16" s="859"/>
      <c r="AD16" s="859"/>
      <c r="AE16" s="859"/>
    </row>
    <row r="17" spans="1:31" x14ac:dyDescent="0.25">
      <c r="A17" s="299" t="s">
        <v>3287</v>
      </c>
      <c r="E17" s="660">
        <f>TREND(D21:D22,C21:C22,36.5%)</f>
        <v>317.81235268899297</v>
      </c>
      <c r="F17" t="str">
        <f>Lookup!C$26</f>
        <v>/cord</v>
      </c>
      <c r="G17" s="692">
        <v>1.6825965554844386</v>
      </c>
      <c r="H17" s="674">
        <f t="shared" si="1"/>
        <v>188.88208920497354</v>
      </c>
      <c r="I17" s="674">
        <f>H17*Moisture!$G$72+(H$13*H17)*Moisture!$G$73</f>
        <v>97.493713954151573</v>
      </c>
      <c r="J17" s="411" t="s">
        <v>2584</v>
      </c>
      <c r="K17" s="411"/>
      <c r="L17" s="411"/>
      <c r="M17" s="411"/>
      <c r="O17" s="2"/>
      <c r="R17" s="6" t="s">
        <v>2113</v>
      </c>
      <c r="S17" s="718">
        <v>15.2</v>
      </c>
      <c r="T17" s="108" t="s">
        <v>2075</v>
      </c>
      <c r="V17" t="s">
        <v>2623</v>
      </c>
      <c r="W17">
        <v>0.25</v>
      </c>
      <c r="X17" t="s">
        <v>4337</v>
      </c>
      <c r="Z17" s="859"/>
      <c r="AA17" s="859"/>
      <c r="AB17" s="859"/>
      <c r="AC17" s="859"/>
      <c r="AD17" s="859"/>
      <c r="AE17" s="859"/>
    </row>
    <row r="18" spans="1:31" x14ac:dyDescent="0.25">
      <c r="A18" s="299" t="s">
        <v>3280</v>
      </c>
      <c r="E18" s="660">
        <f>Lookup!N26</f>
        <v>255.05840235039256</v>
      </c>
      <c r="F18" t="str">
        <f>Lookup!$C$26</f>
        <v>/cord</v>
      </c>
      <c r="G18" s="692">
        <v>2.0252792239274231</v>
      </c>
      <c r="H18" s="674">
        <f>E18/G18</f>
        <v>125.93740129115781</v>
      </c>
      <c r="M18" s="107"/>
      <c r="O18" s="2" t="s">
        <v>2134</v>
      </c>
      <c r="P18" s="117"/>
      <c r="R18" s="6" t="s">
        <v>13</v>
      </c>
      <c r="S18" s="720">
        <v>3413</v>
      </c>
      <c r="T18" s="112" t="s">
        <v>2115</v>
      </c>
      <c r="V18" t="s">
        <v>4331</v>
      </c>
      <c r="W18">
        <v>0.5</v>
      </c>
      <c r="X18" t="s">
        <v>4338</v>
      </c>
      <c r="Z18" s="858"/>
      <c r="AA18" s="858"/>
      <c r="AB18" s="858"/>
      <c r="AC18" s="858"/>
      <c r="AD18" s="858"/>
      <c r="AE18" s="858"/>
    </row>
    <row r="19" spans="1:31" ht="15.75" thickBot="1" x14ac:dyDescent="0.3">
      <c r="A19" s="117" t="s">
        <v>2601</v>
      </c>
      <c r="E19" s="660">
        <f>Lookup!M27</f>
        <v>120</v>
      </c>
      <c r="F19" t="str">
        <f>Lookup!$C$27</f>
        <v>/ton</v>
      </c>
      <c r="N19" s="118" t="s">
        <v>2194</v>
      </c>
      <c r="O19" s="15" t="s">
        <v>2140</v>
      </c>
      <c r="R19" s="6" t="s">
        <v>3422</v>
      </c>
      <c r="S19" s="720">
        <v>140000</v>
      </c>
      <c r="T19" t="s">
        <v>3424</v>
      </c>
      <c r="V19" t="s">
        <v>2622</v>
      </c>
      <c r="W19">
        <v>1</v>
      </c>
      <c r="X19" t="s">
        <v>4339</v>
      </c>
      <c r="Y19" s="859"/>
    </row>
    <row r="20" spans="1:31" ht="15.75" thickTop="1" x14ac:dyDescent="0.25">
      <c r="C20" s="1" t="s">
        <v>3288</v>
      </c>
      <c r="D20" s="1" t="s">
        <v>3252</v>
      </c>
      <c r="F20" t="s">
        <v>3252</v>
      </c>
      <c r="N20" t="s">
        <v>2195</v>
      </c>
      <c r="O20" s="803">
        <v>0.81</v>
      </c>
      <c r="Y20" s="859"/>
    </row>
    <row r="21" spans="1:31" x14ac:dyDescent="0.25">
      <c r="C21" s="420">
        <v>0.2</v>
      </c>
      <c r="D21" s="674">
        <f>E16</f>
        <v>355.05840235039256</v>
      </c>
      <c r="E21" s="674" t="str">
        <f>F16</f>
        <v>/cord</v>
      </c>
      <c r="F21" s="674">
        <f>D21/Lookup!$B$37</f>
        <v>210.99820698364326</v>
      </c>
      <c r="G21" s="411" t="s">
        <v>2584</v>
      </c>
      <c r="N21" t="s">
        <v>2201</v>
      </c>
      <c r="O21" s="803">
        <v>0.81</v>
      </c>
      <c r="V21" t="s">
        <v>4343</v>
      </c>
      <c r="Y21" s="859"/>
    </row>
    <row r="22" spans="1:31" x14ac:dyDescent="0.25">
      <c r="C22" s="254">
        <v>0.64300000000000002</v>
      </c>
      <c r="D22" s="674">
        <f>E18</f>
        <v>255.05840235039256</v>
      </c>
      <c r="E22" s="674" t="str">
        <f>F18</f>
        <v>/cord</v>
      </c>
      <c r="F22" s="674">
        <f>D22/Lookup!$B$37</f>
        <v>151.57186878494383</v>
      </c>
      <c r="G22" s="411" t="s">
        <v>2584</v>
      </c>
      <c r="N22" t="s">
        <v>2203</v>
      </c>
      <c r="O22" s="803">
        <v>0.81</v>
      </c>
      <c r="R22" s="795"/>
      <c r="V22" s="666">
        <v>141629</v>
      </c>
      <c r="W22" t="s">
        <v>4341</v>
      </c>
      <c r="X22" s="913" t="s">
        <v>4342</v>
      </c>
      <c r="Y22" s="913"/>
      <c r="Z22" s="913"/>
      <c r="AA22" s="913"/>
      <c r="AB22" s="913"/>
      <c r="AC22" s="913"/>
      <c r="AD22" s="913"/>
    </row>
    <row r="23" spans="1:31" x14ac:dyDescent="0.25">
      <c r="E23" s="916" t="s">
        <v>3275</v>
      </c>
      <c r="F23" s="916"/>
      <c r="N23" t="s">
        <v>2205</v>
      </c>
      <c r="O23" s="803">
        <v>0.81</v>
      </c>
      <c r="R23" s="6"/>
      <c r="X23" s="913"/>
      <c r="Y23" s="913"/>
      <c r="Z23" s="913"/>
      <c r="AA23" s="913"/>
      <c r="AB23" s="913"/>
      <c r="AC23" s="913"/>
      <c r="AD23" s="913"/>
    </row>
    <row r="24" spans="1:31" x14ac:dyDescent="0.25">
      <c r="A24" s="299" t="s">
        <v>2463</v>
      </c>
      <c r="E24" s="665" t="s">
        <v>2236</v>
      </c>
      <c r="F24" s="665" t="s">
        <v>3281</v>
      </c>
      <c r="N24" t="s">
        <v>2209</v>
      </c>
      <c r="O24" s="803">
        <v>0.81</v>
      </c>
      <c r="R24" s="6"/>
      <c r="S24" s="420"/>
      <c r="T24" s="411"/>
      <c r="X24" s="913"/>
      <c r="Y24" s="913"/>
      <c r="Z24" s="913"/>
      <c r="AA24" s="913"/>
      <c r="AB24" s="913"/>
      <c r="AC24" s="913"/>
      <c r="AD24" s="913"/>
    </row>
    <row r="25" spans="1:31" x14ac:dyDescent="0.25">
      <c r="A25" t="s">
        <v>2879</v>
      </c>
      <c r="E25" s="661">
        <v>2333</v>
      </c>
      <c r="F25" s="664">
        <v>9467</v>
      </c>
      <c r="G25" t="s">
        <v>3446</v>
      </c>
      <c r="N25" t="s">
        <v>2213</v>
      </c>
      <c r="O25" s="803">
        <v>0.81</v>
      </c>
      <c r="R25" s="6"/>
      <c r="V25" t="s">
        <v>4340</v>
      </c>
      <c r="X25" s="858"/>
    </row>
    <row r="26" spans="1:31" x14ac:dyDescent="0.25">
      <c r="A26" t="s">
        <v>3263</v>
      </c>
      <c r="E26" s="661">
        <v>2467</v>
      </c>
      <c r="F26" s="664">
        <v>1767</v>
      </c>
      <c r="G26" t="s">
        <v>3446</v>
      </c>
      <c r="J26" s="280"/>
      <c r="K26" s="280"/>
      <c r="L26" s="280"/>
      <c r="M26" s="280"/>
      <c r="N26" t="s">
        <v>2216</v>
      </c>
      <c r="O26" s="803">
        <v>0.81</v>
      </c>
      <c r="R26" s="6"/>
      <c r="S26" s="796"/>
      <c r="T26" s="411"/>
      <c r="V26" t="s">
        <v>4329</v>
      </c>
      <c r="W26" t="s">
        <v>3252</v>
      </c>
    </row>
    <row r="27" spans="1:31" x14ac:dyDescent="0.25">
      <c r="A27" t="s">
        <v>3264</v>
      </c>
      <c r="E27" s="661">
        <v>3393</v>
      </c>
      <c r="F27" s="664">
        <v>2600</v>
      </c>
      <c r="G27" t="s">
        <v>3446</v>
      </c>
      <c r="J27" s="280"/>
      <c r="K27" s="280"/>
      <c r="L27" s="280"/>
      <c r="M27" s="280"/>
      <c r="N27" t="s">
        <v>2220</v>
      </c>
      <c r="O27" s="803">
        <v>0.81</v>
      </c>
      <c r="R27" s="6"/>
      <c r="V27" t="s">
        <v>2623</v>
      </c>
      <c r="W27" s="666">
        <f>$V$22*W17</f>
        <v>35407.25</v>
      </c>
      <c r="X27" s="411" t="s">
        <v>3358</v>
      </c>
    </row>
    <row r="28" spans="1:31" x14ac:dyDescent="0.25">
      <c r="A28" t="s">
        <v>3265</v>
      </c>
      <c r="E28" s="661">
        <v>3200</v>
      </c>
      <c r="F28" s="664">
        <v>2167</v>
      </c>
      <c r="G28" t="s">
        <v>3446</v>
      </c>
      <c r="J28" s="280"/>
      <c r="K28" s="280"/>
      <c r="L28" s="280"/>
      <c r="M28" s="280"/>
      <c r="N28" t="s">
        <v>2222</v>
      </c>
      <c r="O28" s="803">
        <v>0.43</v>
      </c>
      <c r="R28" s="6"/>
      <c r="S28" s="420"/>
      <c r="T28" s="411"/>
      <c r="V28" t="s">
        <v>4331</v>
      </c>
      <c r="W28" s="666">
        <f>$V$22*W18</f>
        <v>70814.5</v>
      </c>
      <c r="X28" s="411" t="s">
        <v>3358</v>
      </c>
    </row>
    <row r="29" spans="1:31" x14ac:dyDescent="0.25">
      <c r="A29" t="s">
        <v>3266</v>
      </c>
      <c r="E29" s="661">
        <v>3333</v>
      </c>
      <c r="F29" s="664">
        <v>2333</v>
      </c>
      <c r="G29" t="s">
        <v>3446</v>
      </c>
      <c r="H29" s="1"/>
      <c r="I29" s="1"/>
      <c r="J29" s="280"/>
      <c r="K29" s="280"/>
      <c r="L29" s="280"/>
      <c r="M29" s="280"/>
      <c r="N29" t="s">
        <v>2227</v>
      </c>
      <c r="O29" s="2" t="s">
        <v>65</v>
      </c>
      <c r="V29" t="s">
        <v>2622</v>
      </c>
      <c r="W29" s="666">
        <f>$V$22*W19</f>
        <v>141629</v>
      </c>
      <c r="X29" s="411" t="s">
        <v>3358</v>
      </c>
    </row>
    <row r="30" spans="1:31" x14ac:dyDescent="0.25">
      <c r="A30" t="s">
        <v>3245</v>
      </c>
      <c r="E30" s="664">
        <v>3000</v>
      </c>
      <c r="F30" s="664">
        <v>2517</v>
      </c>
      <c r="G30" t="s">
        <v>3291</v>
      </c>
      <c r="H30" s="664"/>
      <c r="I30" s="664"/>
      <c r="J30" s="280"/>
      <c r="K30" s="280"/>
      <c r="L30" s="280"/>
      <c r="M30" s="280"/>
      <c r="N30" t="s">
        <v>2231</v>
      </c>
      <c r="O30" s="2" t="s">
        <v>65</v>
      </c>
    </row>
    <row r="31" spans="1:31" x14ac:dyDescent="0.25">
      <c r="A31" t="s">
        <v>3246</v>
      </c>
      <c r="E31" s="661">
        <v>6250</v>
      </c>
      <c r="F31" s="664">
        <v>9000</v>
      </c>
      <c r="G31" t="s">
        <v>3446</v>
      </c>
      <c r="J31" s="662"/>
      <c r="K31" s="662"/>
      <c r="L31" s="662"/>
      <c r="M31" s="662"/>
    </row>
    <row r="32" spans="1:31" x14ac:dyDescent="0.25">
      <c r="A32" t="s">
        <v>3247</v>
      </c>
      <c r="E32" s="661">
        <v>3867</v>
      </c>
      <c r="F32" s="664">
        <v>2233</v>
      </c>
      <c r="G32" t="s">
        <v>3291</v>
      </c>
      <c r="J32" s="662"/>
      <c r="K32" s="662"/>
      <c r="L32" s="662"/>
      <c r="M32" s="662"/>
      <c r="N32" s="917" t="s">
        <v>3026</v>
      </c>
      <c r="O32" s="917"/>
      <c r="P32" s="917"/>
      <c r="R32" t="s">
        <v>4164</v>
      </c>
      <c r="S32" s="114">
        <v>948267.8163983241</v>
      </c>
      <c r="T32" t="s">
        <v>4162</v>
      </c>
    </row>
    <row r="33" spans="1:20" x14ac:dyDescent="0.25">
      <c r="A33" t="s">
        <v>3273</v>
      </c>
      <c r="E33" s="661">
        <v>5860</v>
      </c>
      <c r="F33" s="664">
        <v>1969</v>
      </c>
      <c r="G33" t="s">
        <v>3291</v>
      </c>
      <c r="J33" s="662"/>
      <c r="K33" s="662"/>
      <c r="L33" s="662"/>
      <c r="M33" s="662"/>
      <c r="N33" s="918" t="s">
        <v>3211</v>
      </c>
      <c r="O33" s="918"/>
      <c r="P33" s="918"/>
      <c r="R33" t="s">
        <v>4165</v>
      </c>
      <c r="S33" s="114">
        <v>746362.11042039457</v>
      </c>
      <c r="T33" t="s">
        <v>4163</v>
      </c>
    </row>
    <row r="34" spans="1:20" x14ac:dyDescent="0.25">
      <c r="A34" s="117" t="s">
        <v>2601</v>
      </c>
      <c r="E34" s="661">
        <v>4500</v>
      </c>
      <c r="F34" s="664">
        <v>5000</v>
      </c>
      <c r="G34" t="s">
        <v>3446</v>
      </c>
      <c r="J34" s="662"/>
      <c r="K34" s="662"/>
      <c r="L34" s="662"/>
      <c r="M34" s="662"/>
      <c r="N34" s="6" t="s">
        <v>3210</v>
      </c>
      <c r="O34" s="613">
        <f>'EFs-BTU'!$D$54/'EFs-BTU'!$D$37</f>
        <v>11.571428571428571</v>
      </c>
      <c r="R34" t="s">
        <v>4166</v>
      </c>
      <c r="S34" s="114">
        <v>457622.67324183136</v>
      </c>
      <c r="T34" t="s">
        <v>4163</v>
      </c>
    </row>
    <row r="35" spans="1:20" x14ac:dyDescent="0.25">
      <c r="E35" s="661"/>
      <c r="F35" s="664"/>
      <c r="J35" s="662"/>
      <c r="K35" s="662"/>
      <c r="L35" s="662"/>
      <c r="M35" s="662"/>
      <c r="N35" s="6" t="s">
        <v>3207</v>
      </c>
      <c r="O35" s="613">
        <f>'EFs-BTU'!$D$54/'EFs-BTU'!$D$38</f>
        <v>2.0249999999999999</v>
      </c>
    </row>
    <row r="36" spans="1:20" x14ac:dyDescent="0.25">
      <c r="A36" t="s">
        <v>3313</v>
      </c>
      <c r="E36" s="691">
        <v>180</v>
      </c>
      <c r="F36" t="s">
        <v>3314</v>
      </c>
      <c r="J36" s="662"/>
      <c r="K36" s="662"/>
      <c r="L36" s="662"/>
      <c r="M36" s="662"/>
      <c r="N36" s="6" t="s">
        <v>3208</v>
      </c>
      <c r="O36" s="613">
        <f>'EFs-BTU'!$D$54/'EFs-BTU'!$D$41</f>
        <v>1.5</v>
      </c>
      <c r="R36" t="s">
        <v>4167</v>
      </c>
      <c r="S36" s="646">
        <f>S$34/S32</f>
        <v>0.48258800449429673</v>
      </c>
      <c r="T36" t="s">
        <v>4168</v>
      </c>
    </row>
    <row r="37" spans="1:20" x14ac:dyDescent="0.25">
      <c r="C37" s="1" t="s">
        <v>4161</v>
      </c>
      <c r="E37" s="663">
        <v>5.5E-2</v>
      </c>
      <c r="F37" s="914" t="s">
        <v>4160</v>
      </c>
      <c r="G37" s="914"/>
      <c r="J37" s="662"/>
      <c r="K37" s="662"/>
      <c r="L37" s="662"/>
      <c r="M37" s="662"/>
      <c r="N37" s="6" t="s">
        <v>3209</v>
      </c>
      <c r="O37" s="613">
        <f>'EFs-BTU'!$D$54/'EFs-BTU'!$D$46</f>
        <v>1.8837209302325584</v>
      </c>
      <c r="R37" t="s">
        <v>4176</v>
      </c>
      <c r="S37" s="646">
        <f>S$34/S33</f>
        <v>0.61313760017114438</v>
      </c>
      <c r="T37" t="s">
        <v>4177</v>
      </c>
    </row>
    <row r="38" spans="1:20" x14ac:dyDescent="0.25">
      <c r="C38" s="1" t="s">
        <v>4159</v>
      </c>
      <c r="D38">
        <v>5</v>
      </c>
      <c r="E38">
        <v>10</v>
      </c>
      <c r="F38">
        <v>15</v>
      </c>
      <c r="G38">
        <v>20</v>
      </c>
      <c r="H38">
        <v>30</v>
      </c>
      <c r="I38">
        <v>40</v>
      </c>
      <c r="J38" s="662"/>
      <c r="K38" s="662"/>
      <c r="L38" s="662"/>
      <c r="M38" s="662"/>
      <c r="N38" s="6" t="s">
        <v>3212</v>
      </c>
      <c r="O38" s="613">
        <f>'EFs-BTU'!$D$54/'EFs-BTU'!$D$62</f>
        <v>1.8837209302325584</v>
      </c>
      <c r="R38" t="s">
        <v>4209</v>
      </c>
      <c r="S38" s="646">
        <f>S$33/S32</f>
        <v>0.78707944898435933</v>
      </c>
      <c r="T38" t="s">
        <v>4210</v>
      </c>
    </row>
    <row r="39" spans="1:20" x14ac:dyDescent="0.25">
      <c r="C39" s="1" t="s">
        <v>4169</v>
      </c>
      <c r="D39" s="11">
        <f t="shared" ref="D39:I39" si="2">(CRR*(1+CRR)^D38)/((1+CRR)^D38-1)</f>
        <v>0.2341764361857932</v>
      </c>
      <c r="E39" s="11">
        <f t="shared" si="2"/>
        <v>0.13266776870339814</v>
      </c>
      <c r="F39" s="11">
        <f t="shared" si="2"/>
        <v>9.9625597604811239E-2</v>
      </c>
      <c r="G39" s="11">
        <f t="shared" si="2"/>
        <v>8.3679330034933205E-2</v>
      </c>
      <c r="H39" s="11">
        <f t="shared" si="2"/>
        <v>6.8805389679389581E-2</v>
      </c>
      <c r="I39" s="11">
        <f t="shared" si="2"/>
        <v>6.2320343360637943E-2</v>
      </c>
      <c r="J39" s="280"/>
      <c r="K39" s="280"/>
      <c r="L39" s="280"/>
      <c r="M39" s="280"/>
    </row>
    <row r="40" spans="1:20" x14ac:dyDescent="0.25">
      <c r="J40" s="662"/>
      <c r="K40" s="662"/>
      <c r="L40" s="662"/>
      <c r="M40" s="662"/>
    </row>
    <row r="41" spans="1:20" x14ac:dyDescent="0.25">
      <c r="A41" s="299" t="s">
        <v>2463</v>
      </c>
      <c r="E41" s="520" t="s">
        <v>3276</v>
      </c>
      <c r="J41" s="662"/>
      <c r="K41" s="662"/>
      <c r="L41" s="662"/>
      <c r="M41" s="662"/>
      <c r="N41" s="6" t="s">
        <v>3399</v>
      </c>
      <c r="O41" s="420">
        <v>0.25</v>
      </c>
      <c r="P41" s="900" t="s">
        <v>4383</v>
      </c>
    </row>
    <row r="42" spans="1:20" x14ac:dyDescent="0.25">
      <c r="A42" t="s">
        <v>2879</v>
      </c>
      <c r="E42" s="664">
        <v>165</v>
      </c>
      <c r="F42" s="413" t="s">
        <v>3425</v>
      </c>
      <c r="J42" s="662"/>
      <c r="K42" s="662"/>
      <c r="L42" s="662"/>
      <c r="M42" s="662"/>
      <c r="N42" s="6" t="s">
        <v>3400</v>
      </c>
      <c r="O42" s="420">
        <f>1-O41</f>
        <v>0.75</v>
      </c>
      <c r="P42" s="900" t="s">
        <v>4383</v>
      </c>
    </row>
    <row r="43" spans="1:20" x14ac:dyDescent="0.25">
      <c r="A43" t="s">
        <v>3263</v>
      </c>
      <c r="E43" s="664">
        <v>100</v>
      </c>
      <c r="F43" s="900" t="s">
        <v>4383</v>
      </c>
      <c r="J43" s="662"/>
      <c r="K43" s="662"/>
      <c r="L43" s="662"/>
      <c r="M43" s="662"/>
    </row>
    <row r="44" spans="1:20" x14ac:dyDescent="0.25">
      <c r="A44" t="s">
        <v>3264</v>
      </c>
      <c r="E44" s="664">
        <v>75</v>
      </c>
      <c r="F44" s="900" t="s">
        <v>4383</v>
      </c>
      <c r="J44" s="662"/>
      <c r="K44" s="662"/>
      <c r="L44" s="662"/>
      <c r="M44" s="662"/>
      <c r="N44" t="s">
        <v>3404</v>
      </c>
      <c r="O44" s="254">
        <v>0.41293517842264571</v>
      </c>
      <c r="P44" t="s">
        <v>4197</v>
      </c>
    </row>
    <row r="45" spans="1:20" x14ac:dyDescent="0.25">
      <c r="A45" t="s">
        <v>3265</v>
      </c>
      <c r="E45" s="664">
        <v>50</v>
      </c>
      <c r="F45" s="900" t="s">
        <v>4383</v>
      </c>
      <c r="J45" s="662"/>
      <c r="K45" s="662"/>
      <c r="L45" s="662"/>
      <c r="M45" s="662"/>
    </row>
    <row r="46" spans="1:20" x14ac:dyDescent="0.25">
      <c r="A46" t="s">
        <v>3266</v>
      </c>
      <c r="E46" s="664">
        <v>50</v>
      </c>
      <c r="F46" s="900" t="s">
        <v>4383</v>
      </c>
      <c r="J46" s="662"/>
      <c r="K46" s="662"/>
      <c r="L46" s="662"/>
      <c r="M46" s="662"/>
    </row>
    <row r="47" spans="1:20" x14ac:dyDescent="0.25">
      <c r="A47" t="s">
        <v>3245</v>
      </c>
      <c r="E47" s="664">
        <v>75</v>
      </c>
      <c r="F47" s="900" t="s">
        <v>4383</v>
      </c>
      <c r="J47" s="662"/>
      <c r="K47" s="662"/>
      <c r="L47" s="662"/>
      <c r="M47" s="662"/>
      <c r="N47" s="241"/>
    </row>
    <row r="48" spans="1:20" x14ac:dyDescent="0.25">
      <c r="A48" t="s">
        <v>3246</v>
      </c>
      <c r="E48" s="664">
        <v>50</v>
      </c>
      <c r="F48" s="900" t="s">
        <v>4383</v>
      </c>
      <c r="O48" s="711"/>
      <c r="P48" s="411"/>
    </row>
    <row r="49" spans="1:16" x14ac:dyDescent="0.25">
      <c r="A49" t="s">
        <v>3247</v>
      </c>
      <c r="E49" s="664">
        <v>50</v>
      </c>
      <c r="F49" s="900" t="s">
        <v>4383</v>
      </c>
    </row>
    <row r="50" spans="1:16" x14ac:dyDescent="0.25">
      <c r="A50" t="s">
        <v>3273</v>
      </c>
      <c r="E50" s="664">
        <v>75</v>
      </c>
      <c r="F50" s="900" t="s">
        <v>4383</v>
      </c>
      <c r="P50" s="411"/>
    </row>
    <row r="51" spans="1:16" x14ac:dyDescent="0.25">
      <c r="A51" t="s">
        <v>2601</v>
      </c>
      <c r="E51" s="664">
        <v>75</v>
      </c>
      <c r="F51" s="900" t="s">
        <v>4383</v>
      </c>
      <c r="O51" s="664"/>
    </row>
    <row r="52" spans="1:16" x14ac:dyDescent="0.25">
      <c r="A52" t="s">
        <v>3423</v>
      </c>
      <c r="E52" s="664">
        <f>6*50</f>
        <v>300</v>
      </c>
      <c r="F52" s="900" t="s">
        <v>4383</v>
      </c>
    </row>
    <row r="53" spans="1:16" x14ac:dyDescent="0.25">
      <c r="O53" s="290"/>
    </row>
    <row r="54" spans="1:16" x14ac:dyDescent="0.25">
      <c r="A54" s="299" t="s">
        <v>2463</v>
      </c>
      <c r="E54" s="665" t="s">
        <v>3277</v>
      </c>
      <c r="F54" s="40"/>
      <c r="H54" s="40" t="s">
        <v>3395</v>
      </c>
      <c r="I54" s="665"/>
      <c r="O54" s="664"/>
      <c r="P54" s="411"/>
    </row>
    <row r="55" spans="1:16" x14ac:dyDescent="0.25">
      <c r="A55" t="s">
        <v>2879</v>
      </c>
      <c r="E55">
        <v>40</v>
      </c>
      <c r="F55" s="901" t="s">
        <v>4383</v>
      </c>
      <c r="G55" s="901"/>
      <c r="I55" s="412">
        <f>1/E55</f>
        <v>2.5000000000000001E-2</v>
      </c>
      <c r="O55" s="664"/>
      <c r="P55" s="411"/>
    </row>
    <row r="56" spans="1:16" x14ac:dyDescent="0.25">
      <c r="A56" t="s">
        <v>3263</v>
      </c>
      <c r="E56">
        <v>20</v>
      </c>
      <c r="F56" s="901" t="s">
        <v>4383</v>
      </c>
      <c r="G56" s="901"/>
      <c r="I56" s="412">
        <f t="shared" ref="I56:I63" si="3">1/E56</f>
        <v>0.05</v>
      </c>
      <c r="O56" s="664"/>
      <c r="P56" s="411"/>
    </row>
    <row r="57" spans="1:16" x14ac:dyDescent="0.25">
      <c r="A57" t="s">
        <v>3264</v>
      </c>
      <c r="E57">
        <v>20</v>
      </c>
      <c r="F57" s="901" t="s">
        <v>4383</v>
      </c>
      <c r="G57" s="901"/>
      <c r="I57" s="412">
        <f t="shared" si="3"/>
        <v>0.05</v>
      </c>
      <c r="O57" s="676"/>
      <c r="P57" s="411"/>
    </row>
    <row r="58" spans="1:16" x14ac:dyDescent="0.25">
      <c r="A58" t="s">
        <v>3265</v>
      </c>
      <c r="E58">
        <v>20</v>
      </c>
      <c r="F58" s="901" t="s">
        <v>4383</v>
      </c>
      <c r="G58" s="901"/>
      <c r="I58" s="412">
        <f t="shared" si="3"/>
        <v>0.05</v>
      </c>
    </row>
    <row r="59" spans="1:16" x14ac:dyDescent="0.25">
      <c r="A59" t="s">
        <v>3266</v>
      </c>
      <c r="E59">
        <v>20</v>
      </c>
      <c r="F59" s="901" t="s">
        <v>4383</v>
      </c>
      <c r="G59" s="901"/>
      <c r="I59" s="412">
        <f t="shared" si="3"/>
        <v>0.05</v>
      </c>
      <c r="O59" s="676"/>
      <c r="P59" s="411"/>
    </row>
    <row r="60" spans="1:16" x14ac:dyDescent="0.25">
      <c r="A60" t="s">
        <v>3245</v>
      </c>
      <c r="E60">
        <v>20</v>
      </c>
      <c r="F60" s="901" t="s">
        <v>4383</v>
      </c>
      <c r="G60" s="901"/>
      <c r="I60" s="412">
        <f t="shared" si="3"/>
        <v>0.05</v>
      </c>
    </row>
    <row r="61" spans="1:16" x14ac:dyDescent="0.25">
      <c r="A61" t="s">
        <v>3246</v>
      </c>
      <c r="E61">
        <v>30</v>
      </c>
      <c r="F61" s="901" t="s">
        <v>4383</v>
      </c>
      <c r="G61" s="901"/>
      <c r="I61" s="412">
        <f t="shared" si="3"/>
        <v>3.3333333333333333E-2</v>
      </c>
    </row>
    <row r="62" spans="1:16" x14ac:dyDescent="0.25">
      <c r="A62" t="s">
        <v>3247</v>
      </c>
      <c r="E62">
        <v>20</v>
      </c>
      <c r="F62" s="901" t="s">
        <v>4383</v>
      </c>
      <c r="G62" s="901"/>
      <c r="I62" s="412">
        <f t="shared" si="3"/>
        <v>0.05</v>
      </c>
      <c r="N62" s="241" t="s">
        <v>4384</v>
      </c>
    </row>
    <row r="63" spans="1:16" x14ac:dyDescent="0.25">
      <c r="A63" t="s">
        <v>3273</v>
      </c>
      <c r="E63">
        <v>30</v>
      </c>
      <c r="F63" s="901" t="s">
        <v>4383</v>
      </c>
      <c r="G63" s="901"/>
      <c r="I63" s="412">
        <f t="shared" si="3"/>
        <v>3.3333333333333333E-2</v>
      </c>
      <c r="N63" t="s">
        <v>4298</v>
      </c>
      <c r="O63">
        <v>15</v>
      </c>
      <c r="P63" t="s">
        <v>4299</v>
      </c>
    </row>
    <row r="64" spans="1:16" x14ac:dyDescent="0.25">
      <c r="A64" t="s">
        <v>3278</v>
      </c>
      <c r="E64">
        <v>8</v>
      </c>
      <c r="F64" s="901" t="s">
        <v>4383</v>
      </c>
      <c r="G64" s="901"/>
    </row>
    <row r="65" spans="1:16" x14ac:dyDescent="0.25">
      <c r="A65" t="s">
        <v>4157</v>
      </c>
      <c r="E65">
        <v>20</v>
      </c>
      <c r="F65" s="901" t="s">
        <v>4383</v>
      </c>
    </row>
    <row r="66" spans="1:16" x14ac:dyDescent="0.25">
      <c r="N66" s="241" t="s">
        <v>3409</v>
      </c>
    </row>
    <row r="67" spans="1:16" x14ac:dyDescent="0.25">
      <c r="A67" s="241" t="s">
        <v>3267</v>
      </c>
      <c r="N67" t="s">
        <v>3410</v>
      </c>
      <c r="O67">
        <v>20</v>
      </c>
      <c r="P67" s="411" t="s">
        <v>4223</v>
      </c>
    </row>
    <row r="68" spans="1:16" x14ac:dyDescent="0.25">
      <c r="A68" t="s">
        <v>3268</v>
      </c>
      <c r="E68" s="664">
        <v>34</v>
      </c>
      <c r="F68" t="s">
        <v>3446</v>
      </c>
      <c r="N68" t="s">
        <v>3411</v>
      </c>
      <c r="O68">
        <v>5.2</v>
      </c>
      <c r="P68" t="s">
        <v>3412</v>
      </c>
    </row>
    <row r="69" spans="1:16" x14ac:dyDescent="0.25">
      <c r="A69" t="s">
        <v>3269</v>
      </c>
      <c r="E69" s="664">
        <v>30</v>
      </c>
      <c r="F69" s="902" t="s">
        <v>4383</v>
      </c>
      <c r="G69" s="901"/>
      <c r="N69" t="s">
        <v>3413</v>
      </c>
      <c r="O69" s="114">
        <f>S19</f>
        <v>140000</v>
      </c>
      <c r="P69" t="s">
        <v>3424</v>
      </c>
    </row>
    <row r="70" spans="1:16" x14ac:dyDescent="0.25">
      <c r="A70" t="s">
        <v>3290</v>
      </c>
      <c r="E70" s="664">
        <v>200</v>
      </c>
      <c r="F70" s="901" t="s">
        <v>4383</v>
      </c>
      <c r="G70" s="901"/>
      <c r="N70" t="s">
        <v>3328</v>
      </c>
      <c r="O70" s="11">
        <f>O69/10^6</f>
        <v>0.14000000000000001</v>
      </c>
      <c r="P70" t="s">
        <v>3302</v>
      </c>
    </row>
    <row r="71" spans="1:16" x14ac:dyDescent="0.25">
      <c r="A71" t="s">
        <v>3293</v>
      </c>
      <c r="E71" s="664">
        <f>825+120</f>
        <v>945</v>
      </c>
      <c r="F71" t="s">
        <v>3291</v>
      </c>
      <c r="N71" t="s">
        <v>3415</v>
      </c>
      <c r="O71" s="420">
        <f>O20</f>
        <v>0.81</v>
      </c>
      <c r="P71" s="411" t="s">
        <v>3416</v>
      </c>
    </row>
    <row r="72" spans="1:16" x14ac:dyDescent="0.25">
      <c r="A72" t="s">
        <v>3292</v>
      </c>
      <c r="E72" s="664">
        <v>400</v>
      </c>
      <c r="F72" t="s">
        <v>3291</v>
      </c>
    </row>
    <row r="73" spans="1:16" x14ac:dyDescent="0.25">
      <c r="A73" t="s">
        <v>3294</v>
      </c>
      <c r="E73" s="664">
        <f>E72</f>
        <v>400</v>
      </c>
      <c r="F73" s="901" t="s">
        <v>4383</v>
      </c>
    </row>
    <row r="74" spans="1:16" x14ac:dyDescent="0.25">
      <c r="A74" t="s">
        <v>3309</v>
      </c>
      <c r="E74" s="664">
        <v>35</v>
      </c>
      <c r="F74" s="902" t="s">
        <v>3310</v>
      </c>
      <c r="G74" s="901"/>
      <c r="N74" s="241"/>
    </row>
    <row r="75" spans="1:16" x14ac:dyDescent="0.25">
      <c r="A75" t="s">
        <v>3311</v>
      </c>
      <c r="E75" s="664">
        <v>50</v>
      </c>
      <c r="F75" s="902" t="s">
        <v>3310</v>
      </c>
      <c r="G75" s="901"/>
      <c r="O75" s="723"/>
      <c r="P75" s="411"/>
    </row>
    <row r="76" spans="1:16" x14ac:dyDescent="0.25">
      <c r="A76" t="s">
        <v>3396</v>
      </c>
      <c r="E76" s="664">
        <v>1700</v>
      </c>
      <c r="F76" s="802" t="s">
        <v>4195</v>
      </c>
    </row>
    <row r="77" spans="1:16" x14ac:dyDescent="0.25">
      <c r="A77" t="s">
        <v>3397</v>
      </c>
      <c r="E77" s="664">
        <v>1000</v>
      </c>
      <c r="F77" s="900" t="s">
        <v>4383</v>
      </c>
    </row>
    <row r="78" spans="1:16" x14ac:dyDescent="0.25">
      <c r="A78" t="s">
        <v>3398</v>
      </c>
      <c r="E78" s="664">
        <v>600</v>
      </c>
      <c r="F78" s="900" t="s">
        <v>4383</v>
      </c>
      <c r="N78" s="241"/>
    </row>
    <row r="79" spans="1:16" x14ac:dyDescent="0.25">
      <c r="E79" s="664"/>
      <c r="F79" s="664"/>
      <c r="O79" s="114"/>
    </row>
    <row r="80" spans="1:16" x14ac:dyDescent="0.25">
      <c r="E80" s="664"/>
      <c r="F80" s="664"/>
      <c r="O80" s="254"/>
    </row>
    <row r="81" spans="5:16" x14ac:dyDescent="0.25">
      <c r="E81" s="664"/>
      <c r="F81" s="664"/>
    </row>
    <row r="82" spans="5:16" x14ac:dyDescent="0.25">
      <c r="E82" s="664"/>
      <c r="F82" s="664"/>
      <c r="O82" s="663"/>
    </row>
    <row r="83" spans="5:16" x14ac:dyDescent="0.25">
      <c r="E83" s="664"/>
      <c r="F83" s="664"/>
    </row>
    <row r="84" spans="5:16" x14ac:dyDescent="0.25">
      <c r="E84" s="664"/>
      <c r="F84" s="664"/>
    </row>
    <row r="85" spans="5:16" x14ac:dyDescent="0.25">
      <c r="E85" s="664"/>
      <c r="F85" s="664"/>
      <c r="N85" s="241" t="s">
        <v>4385</v>
      </c>
    </row>
    <row r="86" spans="5:16" x14ac:dyDescent="0.25">
      <c r="E86" s="664"/>
      <c r="F86" s="664"/>
      <c r="N86" t="s">
        <v>4248</v>
      </c>
      <c r="O86" s="420">
        <v>0.5</v>
      </c>
      <c r="P86" s="900" t="s">
        <v>4383</v>
      </c>
    </row>
    <row r="87" spans="5:16" x14ac:dyDescent="0.25">
      <c r="E87" s="664"/>
      <c r="F87" s="664"/>
      <c r="N87" t="s">
        <v>4249</v>
      </c>
      <c r="O87" s="11">
        <v>4.1578947368421056E-2</v>
      </c>
      <c r="P87" t="s">
        <v>4251</v>
      </c>
    </row>
    <row r="88" spans="5:16" x14ac:dyDescent="0.25">
      <c r="N88" t="s">
        <v>4250</v>
      </c>
      <c r="O88" s="11">
        <v>0.41447368421052633</v>
      </c>
      <c r="P88" t="s">
        <v>4251</v>
      </c>
    </row>
    <row r="91" spans="5:16" x14ac:dyDescent="0.25">
      <c r="N91" s="241"/>
    </row>
    <row r="92" spans="5:16" x14ac:dyDescent="0.25">
      <c r="O92" s="420"/>
    </row>
    <row r="93" spans="5:16" x14ac:dyDescent="0.25">
      <c r="O93" s="420"/>
    </row>
    <row r="96" spans="5:16" x14ac:dyDescent="0.25">
      <c r="N96" s="241" t="s">
        <v>4386</v>
      </c>
    </row>
    <row r="97" spans="14:16" x14ac:dyDescent="0.25">
      <c r="N97" t="s">
        <v>4275</v>
      </c>
      <c r="O97" s="420">
        <v>0.8</v>
      </c>
      <c r="P97" t="s">
        <v>4278</v>
      </c>
    </row>
    <row r="98" spans="14:16" x14ac:dyDescent="0.25">
      <c r="N98" t="s">
        <v>4276</v>
      </c>
      <c r="O98" s="420">
        <v>0.8</v>
      </c>
      <c r="P98" t="s">
        <v>4277</v>
      </c>
    </row>
    <row r="99" spans="14:16" x14ac:dyDescent="0.25">
      <c r="N99" t="s">
        <v>4286</v>
      </c>
      <c r="O99" s="420">
        <v>0.1</v>
      </c>
      <c r="P99" t="s">
        <v>4280</v>
      </c>
    </row>
  </sheetData>
  <mergeCells count="8">
    <mergeCell ref="X22:AD24"/>
    <mergeCell ref="F37:G37"/>
    <mergeCell ref="E3:F3"/>
    <mergeCell ref="E4:F4"/>
    <mergeCell ref="E23:F23"/>
    <mergeCell ref="N32:P32"/>
    <mergeCell ref="N33:P33"/>
    <mergeCell ref="G7:L7"/>
  </mergeCells>
  <hyperlinks>
    <hyperlink ref="F76" r:id="rId1"/>
  </hyperlinks>
  <printOptions horizontalCentered="1" verticalCentered="1" headings="1" gridLines="1"/>
  <pageMargins left="0" right="0" top="0" bottom="0" header="0.05" footer="0.05"/>
  <pageSetup scale="47" fitToHeight="0" orientation="landscape" r:id="rId2"/>
  <headerFooter>
    <oddHeader>&amp;A</oddHead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0000"/>
  </sheetPr>
  <dimension ref="A1:AE81"/>
  <sheetViews>
    <sheetView zoomScale="84" zoomScaleNormal="84" workbookViewId="0">
      <pane ySplit="5" topLeftCell="A6" activePane="bottomLeft" state="frozen"/>
      <selection activeCell="A2" sqref="A2:W2"/>
      <selection pane="bottomLeft" activeCell="A6" sqref="A6"/>
    </sheetView>
  </sheetViews>
  <sheetFormatPr defaultRowHeight="15" x14ac:dyDescent="0.25"/>
  <cols>
    <col min="2" max="3" width="13.42578125" customWidth="1"/>
  </cols>
  <sheetData>
    <row r="1" spans="1:23" ht="15.75" x14ac:dyDescent="0.25">
      <c r="A1" s="924" t="s">
        <v>2518</v>
      </c>
      <c r="B1" s="924"/>
      <c r="C1" s="924"/>
      <c r="D1" s="924"/>
      <c r="E1" s="924"/>
      <c r="F1" s="924"/>
      <c r="G1" s="924"/>
      <c r="H1" s="924"/>
      <c r="I1" s="924"/>
      <c r="J1" s="924"/>
      <c r="K1" s="924"/>
      <c r="L1" s="924"/>
      <c r="M1" s="924"/>
      <c r="N1" s="924"/>
      <c r="O1" s="924"/>
      <c r="P1" s="924"/>
      <c r="Q1" s="924"/>
      <c r="R1" s="924"/>
      <c r="S1" s="924"/>
      <c r="T1" s="924"/>
      <c r="U1" s="924"/>
      <c r="V1" s="924"/>
      <c r="W1" s="924"/>
    </row>
    <row r="2" spans="1:23" x14ac:dyDescent="0.25">
      <c r="A2" s="946" t="s">
        <v>3498</v>
      </c>
      <c r="B2" s="946"/>
      <c r="C2" s="946"/>
      <c r="D2" s="946"/>
      <c r="E2" s="946"/>
      <c r="F2" s="946"/>
      <c r="G2" s="946"/>
      <c r="H2" s="946"/>
      <c r="I2" s="946"/>
      <c r="J2" s="946"/>
      <c r="K2" s="946"/>
      <c r="L2" s="946"/>
      <c r="M2" s="946"/>
      <c r="N2" s="946"/>
      <c r="O2" s="946"/>
      <c r="P2" s="946"/>
      <c r="Q2" s="946"/>
      <c r="R2" s="946"/>
      <c r="S2" s="946"/>
      <c r="T2" s="946"/>
      <c r="U2" s="946"/>
      <c r="V2" s="946"/>
      <c r="W2" s="946"/>
    </row>
    <row r="3" spans="1:23" x14ac:dyDescent="0.25">
      <c r="D3" s="934" t="s">
        <v>2519</v>
      </c>
      <c r="E3" s="934"/>
      <c r="F3" s="934"/>
      <c r="G3" s="934"/>
      <c r="H3" s="934"/>
      <c r="I3" s="934"/>
      <c r="J3" s="934"/>
      <c r="K3" s="934"/>
      <c r="L3" s="727"/>
      <c r="M3" s="727"/>
      <c r="N3" s="934" t="s">
        <v>2520</v>
      </c>
      <c r="O3" s="934"/>
      <c r="P3" s="934"/>
      <c r="Q3" s="934"/>
      <c r="R3" s="934"/>
      <c r="S3" s="934"/>
      <c r="T3" s="934"/>
      <c r="U3" s="934"/>
    </row>
    <row r="4" spans="1:23" x14ac:dyDescent="0.25">
      <c r="B4" s="2"/>
      <c r="C4" s="2" t="s">
        <v>2124</v>
      </c>
      <c r="D4" s="945" t="s">
        <v>2521</v>
      </c>
      <c r="E4" s="945"/>
      <c r="F4" s="945"/>
      <c r="G4" s="945"/>
      <c r="H4" s="945"/>
      <c r="I4" s="945"/>
      <c r="J4" s="945"/>
      <c r="K4" s="945" t="s">
        <v>2522</v>
      </c>
      <c r="L4" s="945"/>
      <c r="M4" s="728" t="s">
        <v>2523</v>
      </c>
      <c r="N4" s="945" t="s">
        <v>2521</v>
      </c>
      <c r="O4" s="945"/>
      <c r="P4" s="945"/>
      <c r="Q4" s="945"/>
      <c r="R4" s="945"/>
      <c r="S4" s="945"/>
      <c r="T4" s="945"/>
      <c r="U4" s="945" t="s">
        <v>2522</v>
      </c>
      <c r="V4" s="945"/>
      <c r="W4" s="728" t="s">
        <v>2523</v>
      </c>
    </row>
    <row r="5" spans="1:23" ht="15.75" thickBot="1" x14ac:dyDescent="0.3">
      <c r="A5" s="15" t="s">
        <v>2524</v>
      </c>
      <c r="B5" s="15" t="s">
        <v>2139</v>
      </c>
      <c r="C5" s="15" t="s">
        <v>2525</v>
      </c>
      <c r="D5" s="15" t="s">
        <v>2143</v>
      </c>
      <c r="E5" s="15" t="s">
        <v>2144</v>
      </c>
      <c r="F5" s="15" t="s">
        <v>2145</v>
      </c>
      <c r="G5" s="15" t="s">
        <v>2146</v>
      </c>
      <c r="H5" s="15" t="s">
        <v>2147</v>
      </c>
      <c r="I5" s="15" t="s">
        <v>2148</v>
      </c>
      <c r="J5" s="15" t="s">
        <v>2149</v>
      </c>
      <c r="K5" s="242" t="s">
        <v>2460</v>
      </c>
      <c r="L5" s="242" t="s">
        <v>2523</v>
      </c>
      <c r="M5" s="242" t="s">
        <v>2072</v>
      </c>
      <c r="N5" s="15" t="s">
        <v>2143</v>
      </c>
      <c r="O5" s="15" t="s">
        <v>2144</v>
      </c>
      <c r="P5" s="15" t="s">
        <v>2145</v>
      </c>
      <c r="Q5" s="15" t="s">
        <v>2146</v>
      </c>
      <c r="R5" s="15" t="s">
        <v>2147</v>
      </c>
      <c r="S5" s="15" t="s">
        <v>2148</v>
      </c>
      <c r="T5" s="15" t="s">
        <v>2149</v>
      </c>
      <c r="U5" s="242" t="s">
        <v>2460</v>
      </c>
      <c r="V5" s="242" t="s">
        <v>2523</v>
      </c>
      <c r="W5" s="242" t="s">
        <v>2072</v>
      </c>
    </row>
    <row r="6" spans="1:23" ht="15.75" thickTop="1" x14ac:dyDescent="0.25">
      <c r="A6" s="2" t="s">
        <v>2526</v>
      </c>
      <c r="B6" s="2">
        <v>2104008100</v>
      </c>
      <c r="C6" s="2" t="s">
        <v>2152</v>
      </c>
      <c r="D6" s="290">
        <v>5.7247733631496693</v>
      </c>
      <c r="E6" s="290">
        <v>6.4997426830520275E-2</v>
      </c>
      <c r="F6" s="290">
        <v>9.9996041277723453E-3</v>
      </c>
      <c r="G6" s="290">
        <v>0.86496575705230794</v>
      </c>
      <c r="H6" s="290">
        <v>0.86496575705230794</v>
      </c>
      <c r="I6" s="290">
        <v>4.499821857497556E-2</v>
      </c>
      <c r="J6" s="290">
        <v>6.3147500066882385</v>
      </c>
      <c r="K6" s="114">
        <v>804.46886337782632</v>
      </c>
      <c r="L6" s="291">
        <v>71.426333757433412</v>
      </c>
      <c r="M6" s="114" t="s">
        <v>2531</v>
      </c>
      <c r="N6" s="290">
        <v>5.2750166843604616</v>
      </c>
      <c r="O6" s="290">
        <v>5.9891019123743228E-2</v>
      </c>
      <c r="P6" s="290">
        <v>9.2140029421143438E-3</v>
      </c>
      <c r="Q6" s="290">
        <v>0.79701125449289068</v>
      </c>
      <c r="R6" s="290">
        <v>0.79701125449289068</v>
      </c>
      <c r="S6" s="290">
        <v>4.146301323951454E-2</v>
      </c>
      <c r="T6" s="290">
        <v>5.8186428579452087</v>
      </c>
      <c r="U6" s="114">
        <v>741.2671921097301</v>
      </c>
      <c r="V6" s="291">
        <v>65.814850365685928</v>
      </c>
      <c r="W6" t="s">
        <v>2531</v>
      </c>
    </row>
    <row r="7" spans="1:23" x14ac:dyDescent="0.25">
      <c r="A7" s="2" t="s">
        <v>2526</v>
      </c>
      <c r="B7" s="2">
        <v>2104008210</v>
      </c>
      <c r="C7" s="2" t="s">
        <v>2156</v>
      </c>
      <c r="D7" s="290">
        <v>0.11807626948253522</v>
      </c>
      <c r="E7" s="290">
        <v>6.2379915953037473E-3</v>
      </c>
      <c r="F7" s="290">
        <v>8.9114165647196405E-4</v>
      </c>
      <c r="G7" s="290">
        <v>6.8172336720105239E-2</v>
      </c>
      <c r="H7" s="290">
        <v>6.8172336720105239E-2</v>
      </c>
      <c r="I7" s="290">
        <v>3.7873520400058453E-3</v>
      </c>
      <c r="J7" s="290">
        <v>0.51418873578432311</v>
      </c>
      <c r="K7" s="114">
        <v>71.692409652454941</v>
      </c>
      <c r="L7" s="291">
        <v>6.3653501245652153</v>
      </c>
      <c r="M7" s="114" t="s">
        <v>2531</v>
      </c>
      <c r="N7" s="290">
        <v>0.1026132047390747</v>
      </c>
      <c r="O7" s="290">
        <v>5.4210749673473443E-3</v>
      </c>
      <c r="P7" s="290">
        <v>7.7443928104962046E-4</v>
      </c>
      <c r="Q7" s="290">
        <v>5.9244605000295984E-2</v>
      </c>
      <c r="R7" s="290">
        <v>5.9244605000295984E-2</v>
      </c>
      <c r="S7" s="290">
        <v>3.2913669444608871E-3</v>
      </c>
      <c r="T7" s="290">
        <v>0.44685146516563118</v>
      </c>
      <c r="U7" s="114">
        <v>62.303695248375824</v>
      </c>
      <c r="V7" s="291">
        <v>5.531754843122954</v>
      </c>
      <c r="W7" t="s">
        <v>2531</v>
      </c>
    </row>
    <row r="8" spans="1:23" x14ac:dyDescent="0.25">
      <c r="A8" s="2" t="s">
        <v>2526</v>
      </c>
      <c r="B8" s="2">
        <v>2104008220</v>
      </c>
      <c r="C8" s="2" t="s">
        <v>2159</v>
      </c>
      <c r="D8" s="290">
        <v>5.6286725268141963E-2</v>
      </c>
      <c r="E8" s="290">
        <v>9.3811208780236622E-3</v>
      </c>
      <c r="F8" s="290">
        <v>1.8762241756047331E-3</v>
      </c>
      <c r="G8" s="290">
        <v>5.6286725268141963E-2</v>
      </c>
      <c r="H8" s="290">
        <v>5.6286725268141963E-2</v>
      </c>
      <c r="I8" s="290">
        <v>4.2215043951106474E-3</v>
      </c>
      <c r="J8" s="290">
        <v>0.6604309098128659</v>
      </c>
      <c r="K8" s="114">
        <v>150.94236838823593</v>
      </c>
      <c r="L8" s="291">
        <v>13.401711953607439</v>
      </c>
      <c r="M8" s="114" t="s">
        <v>2531</v>
      </c>
      <c r="N8" s="290">
        <v>4.8915512738875962E-2</v>
      </c>
      <c r="O8" s="290">
        <v>8.1525854564793269E-3</v>
      </c>
      <c r="P8" s="290">
        <v>1.6305170912958653E-3</v>
      </c>
      <c r="Q8" s="290">
        <v>4.8915512738875962E-2</v>
      </c>
      <c r="R8" s="290">
        <v>4.8915512738875962E-2</v>
      </c>
      <c r="S8" s="290">
        <v>3.6686634554156969E-3</v>
      </c>
      <c r="T8" s="290">
        <v>0.57394201613614459</v>
      </c>
      <c r="U8" s="114">
        <v>131.17521597778662</v>
      </c>
      <c r="V8" s="291">
        <v>11.646646854413291</v>
      </c>
      <c r="W8" t="s">
        <v>2531</v>
      </c>
    </row>
    <row r="9" spans="1:23" x14ac:dyDescent="0.25">
      <c r="A9" s="2" t="s">
        <v>2526</v>
      </c>
      <c r="B9" s="2">
        <v>2104008230</v>
      </c>
      <c r="C9" s="2" t="s">
        <v>2162</v>
      </c>
      <c r="D9" s="290">
        <v>4.2360912266520154E-2</v>
      </c>
      <c r="E9" s="290">
        <v>5.6481216355360204E-3</v>
      </c>
      <c r="F9" s="290">
        <v>1.1296243271072038E-3</v>
      </c>
      <c r="G9" s="290">
        <v>3.6712790630984128E-2</v>
      </c>
      <c r="H9" s="290">
        <v>3.6712790630984128E-2</v>
      </c>
      <c r="I9" s="290">
        <v>2.5416547359912085E-3</v>
      </c>
      <c r="J9" s="290">
        <v>0.30217450750117708</v>
      </c>
      <c r="K9" s="114">
        <v>90.878357468969085</v>
      </c>
      <c r="L9" s="291">
        <v>8.0688118426993984</v>
      </c>
      <c r="M9" s="114" t="s">
        <v>2531</v>
      </c>
      <c r="N9" s="290">
        <v>3.6813400206392462E-2</v>
      </c>
      <c r="O9" s="290">
        <v>4.9084533608523273E-3</v>
      </c>
      <c r="P9" s="290">
        <v>9.8169067217046546E-4</v>
      </c>
      <c r="Q9" s="290">
        <v>3.1904946845540127E-2</v>
      </c>
      <c r="R9" s="290">
        <v>3.1904946845540127E-2</v>
      </c>
      <c r="S9" s="290">
        <v>2.2088040123835477E-3</v>
      </c>
      <c r="T9" s="290">
        <v>0.26260225480559957</v>
      </c>
      <c r="U9" s="114">
        <v>78.977084406392621</v>
      </c>
      <c r="V9" s="291">
        <v>7.0121341506173609</v>
      </c>
      <c r="W9" t="s">
        <v>2531</v>
      </c>
    </row>
    <row r="10" spans="1:23" x14ac:dyDescent="0.25">
      <c r="A10" s="2" t="s">
        <v>2526</v>
      </c>
      <c r="B10" s="2">
        <v>2104008310</v>
      </c>
      <c r="C10" s="2" t="s">
        <v>2165</v>
      </c>
      <c r="D10" s="290">
        <v>2.3962658691817857</v>
      </c>
      <c r="E10" s="290">
        <v>6.565509111913545E-2</v>
      </c>
      <c r="F10" s="290">
        <v>1.808502542778706E-2</v>
      </c>
      <c r="G10" s="290">
        <v>0.54897227544851901</v>
      </c>
      <c r="H10" s="290">
        <v>0.54897227544851901</v>
      </c>
      <c r="I10" s="290">
        <v>1.7950678340292701E-2</v>
      </c>
      <c r="J10" s="290">
        <v>5.4784353405543991</v>
      </c>
      <c r="K10" s="114">
        <v>1454.9415821016155</v>
      </c>
      <c r="L10" s="291">
        <v>129.17982009199358</v>
      </c>
      <c r="M10" s="114" t="s">
        <v>2531</v>
      </c>
      <c r="N10" s="290">
        <v>2.0824550209894377</v>
      </c>
      <c r="O10" s="290">
        <v>5.705701354468129E-2</v>
      </c>
      <c r="P10" s="290">
        <v>1.5716641667844811E-2</v>
      </c>
      <c r="Q10" s="290">
        <v>0.47707981242587172</v>
      </c>
      <c r="R10" s="290">
        <v>0.47707981242587172</v>
      </c>
      <c r="S10" s="290">
        <v>1.5599888443377502E-2</v>
      </c>
      <c r="T10" s="290">
        <v>4.7609888906021105</v>
      </c>
      <c r="U10" s="114">
        <v>1264.404940144801</v>
      </c>
      <c r="V10" s="291">
        <v>112.26265349801909</v>
      </c>
      <c r="W10" t="s">
        <v>2531</v>
      </c>
    </row>
    <row r="11" spans="1:23" x14ac:dyDescent="0.25">
      <c r="A11" s="2" t="s">
        <v>2526</v>
      </c>
      <c r="B11" s="2">
        <v>2104008320</v>
      </c>
      <c r="C11" s="2" t="s">
        <v>2169</v>
      </c>
      <c r="D11" s="290">
        <v>1.1422952235801325</v>
      </c>
      <c r="E11" s="290">
        <v>0.15314748599837955</v>
      </c>
      <c r="F11" s="290">
        <v>3.8076507452671091E-2</v>
      </c>
      <c r="G11" s="290">
        <v>0.7544027276465588</v>
      </c>
      <c r="H11" s="290">
        <v>0.7544027276465588</v>
      </c>
      <c r="I11" s="290">
        <v>2.3773232715909802E-2</v>
      </c>
      <c r="J11" s="290">
        <v>11.769538741788281</v>
      </c>
      <c r="K11" s="114">
        <v>3063.2577330510289</v>
      </c>
      <c r="L11" s="291">
        <v>271.97729978914248</v>
      </c>
      <c r="M11" s="114" t="s">
        <v>2531</v>
      </c>
      <c r="N11" s="290">
        <v>0.9927022098799676</v>
      </c>
      <c r="O11" s="290">
        <v>0.13309155518629176</v>
      </c>
      <c r="P11" s="290">
        <v>3.3090073662665587E-2</v>
      </c>
      <c r="Q11" s="290">
        <v>0.65560744666956816</v>
      </c>
      <c r="R11" s="290">
        <v>0.65560744666956816</v>
      </c>
      <c r="S11" s="290">
        <v>2.0659931133309915E-2</v>
      </c>
      <c r="T11" s="290">
        <v>10.228220233314758</v>
      </c>
      <c r="U11" s="114">
        <v>2662.098779946738</v>
      </c>
      <c r="V11" s="291">
        <v>236.35962136974476</v>
      </c>
      <c r="W11" t="s">
        <v>2531</v>
      </c>
    </row>
    <row r="12" spans="1:23" x14ac:dyDescent="0.25">
      <c r="A12" s="2" t="s">
        <v>2526</v>
      </c>
      <c r="B12" s="2">
        <v>2104008330</v>
      </c>
      <c r="C12" s="2" t="s">
        <v>2172</v>
      </c>
      <c r="D12" s="290">
        <v>0.85968170146737588</v>
      </c>
      <c r="E12" s="290">
        <v>9.2205999724590135E-2</v>
      </c>
      <c r="F12" s="290">
        <v>2.2924845372463351E-2</v>
      </c>
      <c r="G12" s="290">
        <v>0.50398164260886136</v>
      </c>
      <c r="H12" s="290">
        <v>0.50398164260886136</v>
      </c>
      <c r="I12" s="290">
        <v>1.431322672367597E-2</v>
      </c>
      <c r="J12" s="290">
        <v>7.0861240647160635</v>
      </c>
      <c r="K12" s="114">
        <v>1844.3054409201377</v>
      </c>
      <c r="L12" s="291">
        <v>163.75024810866179</v>
      </c>
      <c r="M12" s="114" t="s">
        <v>2531</v>
      </c>
      <c r="N12" s="290">
        <v>0.74709926753026223</v>
      </c>
      <c r="O12" s="290">
        <v>8.0130860920448563E-2</v>
      </c>
      <c r="P12" s="290">
        <v>1.9922647134140329E-2</v>
      </c>
      <c r="Q12" s="290">
        <v>0.43798107532019803</v>
      </c>
      <c r="R12" s="290">
        <v>0.43798107532019803</v>
      </c>
      <c r="S12" s="290">
        <v>1.2438791221216539E-2</v>
      </c>
      <c r="T12" s="290">
        <v>6.1581374703470315</v>
      </c>
      <c r="U12" s="114">
        <v>1602.778379092674</v>
      </c>
      <c r="V12" s="291">
        <v>142.3057978447882</v>
      </c>
      <c r="W12" t="s">
        <v>2531</v>
      </c>
    </row>
    <row r="13" spans="1:23" x14ac:dyDescent="0.25">
      <c r="A13" s="2" t="s">
        <v>2526</v>
      </c>
      <c r="B13" s="2">
        <v>2104008410</v>
      </c>
      <c r="C13" s="2" t="s">
        <v>2175</v>
      </c>
      <c r="D13" s="290">
        <v>1.4404770706538795E-2</v>
      </c>
      <c r="E13" s="290">
        <v>2.5155216904854491E-2</v>
      </c>
      <c r="F13" s="290">
        <v>2.0104069454429164E-3</v>
      </c>
      <c r="G13" s="290">
        <v>1.859626424534697E-2</v>
      </c>
      <c r="H13" s="290">
        <v>1.859626424534697E-2</v>
      </c>
      <c r="I13" s="290">
        <v>4.5158766012011502E-4</v>
      </c>
      <c r="J13" s="290">
        <v>6.2398005569184518E-2</v>
      </c>
      <c r="K13" s="114">
        <v>193.1441379984746</v>
      </c>
      <c r="L13" s="291">
        <v>17.148678204953224</v>
      </c>
      <c r="M13" s="114" t="s">
        <v>2531</v>
      </c>
      <c r="N13" s="290">
        <v>1.2518346761862434E-2</v>
      </c>
      <c r="O13" s="290">
        <v>2.1860933054761382E-2</v>
      </c>
      <c r="P13" s="290">
        <v>1.7471275168640461E-3</v>
      </c>
      <c r="Q13" s="290">
        <v>1.6160929530992425E-2</v>
      </c>
      <c r="R13" s="290">
        <v>1.6160929530992425E-2</v>
      </c>
      <c r="S13" s="290">
        <v>3.9244851847558646E-4</v>
      </c>
      <c r="T13" s="290">
        <v>5.4226470304667852E-2</v>
      </c>
      <c r="U13" s="114">
        <v>167.85031457587709</v>
      </c>
      <c r="V13" s="291">
        <v>14.90291686349093</v>
      </c>
      <c r="W13" t="s">
        <v>2531</v>
      </c>
    </row>
    <row r="14" spans="1:23" x14ac:dyDescent="0.25">
      <c r="A14" s="2" t="s">
        <v>2526</v>
      </c>
      <c r="B14" s="2">
        <v>2104008420</v>
      </c>
      <c r="C14" s="2" t="s">
        <v>2179</v>
      </c>
      <c r="D14" s="290">
        <v>4.8587739273212381E-2</v>
      </c>
      <c r="E14" s="290">
        <v>8.4849328408911212E-2</v>
      </c>
      <c r="F14" s="290">
        <v>6.7811651076052941E-3</v>
      </c>
      <c r="G14" s="290">
        <v>6.2725777245348974E-2</v>
      </c>
      <c r="H14" s="290">
        <v>6.2725777245348974E-2</v>
      </c>
      <c r="I14" s="290">
        <v>1.5232192122958392E-3</v>
      </c>
      <c r="J14" s="290">
        <v>0.21047041202729933</v>
      </c>
      <c r="K14" s="114">
        <v>651.48118011759368</v>
      </c>
      <c r="L14" s="291">
        <v>57.843024542158339</v>
      </c>
      <c r="M14" s="114" t="s">
        <v>2531</v>
      </c>
      <c r="N14" s="290">
        <v>4.2224772680410354E-2</v>
      </c>
      <c r="O14" s="290">
        <v>7.3737606600828523E-2</v>
      </c>
      <c r="P14" s="290">
        <v>5.89311541265363E-3</v>
      </c>
      <c r="Q14" s="290">
        <v>5.4511317567046073E-2</v>
      </c>
      <c r="R14" s="290">
        <v>5.4511317567046073E-2</v>
      </c>
      <c r="S14" s="290">
        <v>1.3237410495673216E-3</v>
      </c>
      <c r="T14" s="290">
        <v>0.18290756962023699</v>
      </c>
      <c r="U14" s="114">
        <v>566.16432761663918</v>
      </c>
      <c r="V14" s="291">
        <v>50.268001742295361</v>
      </c>
      <c r="W14" t="s">
        <v>2531</v>
      </c>
    </row>
    <row r="15" spans="1:23" x14ac:dyDescent="0.25">
      <c r="A15" s="2" t="s">
        <v>2526</v>
      </c>
      <c r="B15" s="2">
        <v>2104008610</v>
      </c>
      <c r="C15" s="2" t="s">
        <v>2182</v>
      </c>
      <c r="D15" s="290">
        <v>1.2317164526975362</v>
      </c>
      <c r="E15" s="290">
        <v>4.3753973516785435E-2</v>
      </c>
      <c r="F15" s="290">
        <v>1.0852127336542169E-2</v>
      </c>
      <c r="G15" s="290">
        <v>0.26778036798916133</v>
      </c>
      <c r="H15" s="290">
        <v>0.26778036798916133</v>
      </c>
      <c r="I15" s="290">
        <v>6.6132475912222162E-3</v>
      </c>
      <c r="J15" s="290">
        <v>1.6433014639404344</v>
      </c>
      <c r="K15" s="114">
        <v>873.05441616561041</v>
      </c>
      <c r="L15" s="291">
        <v>77.515835548452472</v>
      </c>
      <c r="M15" s="114" t="s">
        <v>2531</v>
      </c>
      <c r="N15" s="290">
        <v>1.1260832639498242</v>
      </c>
      <c r="O15" s="290">
        <v>4.0001590626357358E-2</v>
      </c>
      <c r="P15" s="290">
        <v>9.9214384488971307E-3</v>
      </c>
      <c r="Q15" s="290">
        <v>0.24481526584021965</v>
      </c>
      <c r="R15" s="290">
        <v>0.24481526584021965</v>
      </c>
      <c r="S15" s="290">
        <v>6.0460891112741741E-3</v>
      </c>
      <c r="T15" s="290">
        <v>1.5023703483986675</v>
      </c>
      <c r="U15" s="114">
        <v>798.18042895218127</v>
      </c>
      <c r="V15" s="291">
        <v>70.868002867892315</v>
      </c>
      <c r="W15" t="s">
        <v>2531</v>
      </c>
    </row>
    <row r="16" spans="1:23" x14ac:dyDescent="0.25">
      <c r="A16" s="2" t="s">
        <v>2526</v>
      </c>
      <c r="B16" s="2">
        <v>2104004000</v>
      </c>
      <c r="C16" s="2" t="s">
        <v>2196</v>
      </c>
      <c r="D16" s="290">
        <v>9.4379208079568705E-2</v>
      </c>
      <c r="E16" s="290">
        <v>1.4787499832797015</v>
      </c>
      <c r="F16" s="290">
        <v>3.8258099601453726</v>
      </c>
      <c r="G16" s="290">
        <v>6.0439372613611785E-2</v>
      </c>
      <c r="H16" s="290">
        <v>6.0439372613611785E-2</v>
      </c>
      <c r="I16" s="290">
        <v>3.2425723407202719E-3</v>
      </c>
      <c r="J16" s="290">
        <v>5.9280951305184217E-2</v>
      </c>
      <c r="K16" s="114">
        <v>35530.703781544013</v>
      </c>
      <c r="L16" s="291">
        <v>264.73831158364283</v>
      </c>
      <c r="M16" s="114" t="s">
        <v>2532</v>
      </c>
      <c r="N16" s="290">
        <v>8.7141194720825807E-2</v>
      </c>
      <c r="O16" s="290">
        <v>1.3653435206592932</v>
      </c>
      <c r="P16" s="290">
        <v>3.5324056800819279</v>
      </c>
      <c r="Q16" s="290">
        <v>5.5804231089616907E-2</v>
      </c>
      <c r="R16" s="290">
        <v>5.5804231089616907E-2</v>
      </c>
      <c r="S16" s="290">
        <v>2.993896997957947E-3</v>
      </c>
      <c r="T16" s="290">
        <v>5.4734649993732586E-2</v>
      </c>
      <c r="U16" s="114">
        <v>32805.827043867466</v>
      </c>
      <c r="V16" s="291">
        <v>244.43532881017046</v>
      </c>
      <c r="W16" t="s">
        <v>2532</v>
      </c>
    </row>
    <row r="17" spans="1:23" x14ac:dyDescent="0.25">
      <c r="A17" s="2" t="s">
        <v>2526</v>
      </c>
      <c r="B17" s="2">
        <v>2103004001</v>
      </c>
      <c r="C17" s="2" t="s">
        <v>2206</v>
      </c>
      <c r="D17" s="290">
        <v>2.8799975308493549E-2</v>
      </c>
      <c r="E17" s="290">
        <v>0.72706810035467584</v>
      </c>
      <c r="F17" s="290">
        <v>0.51392404746847853</v>
      </c>
      <c r="G17" s="290">
        <v>1.8443176991539929E-2</v>
      </c>
      <c r="H17" s="290">
        <v>1.8443176991539929E-2</v>
      </c>
      <c r="I17" s="290">
        <v>9.894764455961175E-4</v>
      </c>
      <c r="J17" s="290">
        <v>1.8089682765868746E-2</v>
      </c>
      <c r="K17" s="114">
        <v>11188.770211013627</v>
      </c>
      <c r="L17" s="291">
        <v>83.367223812204131</v>
      </c>
      <c r="M17" s="114" t="s">
        <v>2532</v>
      </c>
      <c r="N17" s="290">
        <v>2.828246293102879E-2</v>
      </c>
      <c r="O17" s="290">
        <v>0.71400327175107758</v>
      </c>
      <c r="P17" s="290">
        <v>0.50468924595240627</v>
      </c>
      <c r="Q17" s="290">
        <v>1.8111767944460632E-2</v>
      </c>
      <c r="R17" s="290">
        <v>1.8111767944460632E-2</v>
      </c>
      <c r="S17" s="290">
        <v>9.7169635022031301E-4</v>
      </c>
      <c r="T17" s="290">
        <v>1.7764625725525139E-2</v>
      </c>
      <c r="U17" s="114">
        <v>10987.717015280472</v>
      </c>
      <c r="V17" s="291">
        <v>81.869181896002644</v>
      </c>
      <c r="W17" t="s">
        <v>2532</v>
      </c>
    </row>
    <row r="18" spans="1:23" x14ac:dyDescent="0.25">
      <c r="A18" s="2" t="s">
        <v>2526</v>
      </c>
      <c r="B18" s="2">
        <v>2104004000</v>
      </c>
      <c r="C18" s="2" t="s">
        <v>2210</v>
      </c>
      <c r="D18" s="290">
        <v>6.3748391694358128E-4</v>
      </c>
      <c r="E18" s="290">
        <v>1.6093563120595327E-2</v>
      </c>
      <c r="F18" s="290">
        <v>2.5841415376351453E-2</v>
      </c>
      <c r="G18" s="290">
        <v>3.5763473601322938E-4</v>
      </c>
      <c r="H18" s="290">
        <v>3.5763473601322938E-4</v>
      </c>
      <c r="I18" s="290">
        <v>2.1901939619927386E-5</v>
      </c>
      <c r="J18" s="290">
        <v>4.0041290668925953E-4</v>
      </c>
      <c r="K18" s="114">
        <v>244.9708533006617</v>
      </c>
      <c r="L18" s="291">
        <v>1.7881736800661472</v>
      </c>
      <c r="M18" s="114" t="s">
        <v>2532</v>
      </c>
      <c r="N18" s="290">
        <v>6.0141303101347919E-4</v>
      </c>
      <c r="O18" s="290">
        <v>1.5182937669344506E-2</v>
      </c>
      <c r="P18" s="290">
        <v>2.4379225160193814E-2</v>
      </c>
      <c r="Q18" s="290">
        <v>3.3739861487432223E-4</v>
      </c>
      <c r="R18" s="290">
        <v>3.3739861487432223E-4</v>
      </c>
      <c r="S18" s="290">
        <v>2.0662657585227366E-5</v>
      </c>
      <c r="T18" s="290">
        <v>3.777562593633519E-4</v>
      </c>
      <c r="U18" s="114">
        <v>231.10961622353889</v>
      </c>
      <c r="V18" s="291">
        <v>1.6869930743716113</v>
      </c>
      <c r="W18" t="s">
        <v>2532</v>
      </c>
    </row>
    <row r="19" spans="1:23" x14ac:dyDescent="0.25">
      <c r="A19" s="2" t="s">
        <v>2526</v>
      </c>
      <c r="B19" s="2">
        <v>2104004000</v>
      </c>
      <c r="C19" s="2" t="s">
        <v>2214</v>
      </c>
      <c r="D19" s="290">
        <v>2.6984190044155279E-3</v>
      </c>
      <c r="E19" s="290">
        <v>4.2279302177413706E-2</v>
      </c>
      <c r="F19" s="290">
        <v>0.1093846675958003</v>
      </c>
      <c r="G19" s="290">
        <v>1.7280368737362555E-3</v>
      </c>
      <c r="H19" s="290">
        <v>1.7280368737362555E-3</v>
      </c>
      <c r="I19" s="290">
        <v>9.2709178275950151E-5</v>
      </c>
      <c r="J19" s="290">
        <v>1.6949161669896442E-3</v>
      </c>
      <c r="K19" s="114">
        <v>946.14972104331321</v>
      </c>
      <c r="L19" s="291">
        <v>7.5691977683465028</v>
      </c>
      <c r="M19" s="114" t="s">
        <v>2532</v>
      </c>
      <c r="N19" s="290">
        <v>2.2309732349946407E-3</v>
      </c>
      <c r="O19" s="290">
        <v>3.4955279887117101E-2</v>
      </c>
      <c r="P19" s="290">
        <v>9.0436016543647732E-2</v>
      </c>
      <c r="Q19" s="290">
        <v>1.4286899136423884E-3</v>
      </c>
      <c r="R19" s="290">
        <v>1.4286899136423884E-3</v>
      </c>
      <c r="S19" s="290">
        <v>7.6649213866914146E-5</v>
      </c>
      <c r="T19" s="290">
        <v>1.4013066902975758E-3</v>
      </c>
      <c r="U19" s="114">
        <v>782.24867987189384</v>
      </c>
      <c r="V19" s="291">
        <v>6.2579894389751498</v>
      </c>
      <c r="W19" t="s">
        <v>2532</v>
      </c>
    </row>
    <row r="20" spans="1:23" x14ac:dyDescent="0.25">
      <c r="A20" s="2" t="s">
        <v>2526</v>
      </c>
      <c r="B20" s="2">
        <v>2104006010</v>
      </c>
      <c r="C20" s="2" t="s">
        <v>2217</v>
      </c>
      <c r="D20" s="290">
        <v>6.6969683938961262E-4</v>
      </c>
      <c r="E20" s="290">
        <v>1.1445727800477033E-2</v>
      </c>
      <c r="F20" s="290">
        <v>7.3057837024321438E-5</v>
      </c>
      <c r="G20" s="290">
        <v>9.2539926897473835E-4</v>
      </c>
      <c r="H20" s="290">
        <v>9.2539926897473835E-4</v>
      </c>
      <c r="I20" s="290">
        <v>2.4352612341440472E-3</v>
      </c>
      <c r="J20" s="290">
        <v>4.8705224682880945E-3</v>
      </c>
      <c r="K20" s="114">
        <v>300.62303278688501</v>
      </c>
      <c r="L20" s="291">
        <v>296.18032786885243</v>
      </c>
      <c r="M20" s="114" t="s">
        <v>2533</v>
      </c>
      <c r="N20" s="290">
        <v>6.6969683938961262E-4</v>
      </c>
      <c r="O20" s="290">
        <v>1.1445727800477033E-2</v>
      </c>
      <c r="P20" s="290">
        <v>7.3057837024321438E-5</v>
      </c>
      <c r="Q20" s="290">
        <v>9.2539926897473835E-4</v>
      </c>
      <c r="R20" s="290">
        <v>9.2539926897473835E-4</v>
      </c>
      <c r="S20" s="290">
        <v>2.4352612341440472E-3</v>
      </c>
      <c r="T20" s="290">
        <v>4.8705224682880945E-3</v>
      </c>
      <c r="U20" s="114">
        <v>300.62303278688501</v>
      </c>
      <c r="V20" s="291">
        <v>296.18032786885243</v>
      </c>
      <c r="W20" t="s">
        <v>2533</v>
      </c>
    </row>
    <row r="21" spans="1:23" x14ac:dyDescent="0.25">
      <c r="A21" s="2" t="s">
        <v>2526</v>
      </c>
      <c r="B21" s="2">
        <v>2103006000</v>
      </c>
      <c r="C21" s="2" t="s">
        <v>2221</v>
      </c>
      <c r="D21" s="290">
        <v>5.2612909836065582E-3</v>
      </c>
      <c r="E21" s="290">
        <v>9.5659836065573808E-2</v>
      </c>
      <c r="F21" s="290">
        <v>5.7395901639344256E-4</v>
      </c>
      <c r="G21" s="290">
        <v>7.2701475409836062E-3</v>
      </c>
      <c r="H21" s="290">
        <v>7.2701475409836062E-3</v>
      </c>
      <c r="I21" s="290">
        <v>1.9131967213114755E-2</v>
      </c>
      <c r="J21" s="290">
        <v>3.8263934426229509E-2</v>
      </c>
      <c r="K21" s="114">
        <v>1941.8946721311484</v>
      </c>
      <c r="L21" s="291">
        <v>1913.196721311476</v>
      </c>
      <c r="M21" s="114" t="s">
        <v>2533</v>
      </c>
      <c r="N21" s="290">
        <v>5.2612909836065582E-3</v>
      </c>
      <c r="O21" s="290">
        <v>9.5659836065573808E-2</v>
      </c>
      <c r="P21" s="290">
        <v>5.7395901639344256E-4</v>
      </c>
      <c r="Q21" s="290">
        <v>7.2701475409836062E-3</v>
      </c>
      <c r="R21" s="290">
        <v>7.2701475409836062E-3</v>
      </c>
      <c r="S21" s="290">
        <v>1.9131967213114755E-2</v>
      </c>
      <c r="T21" s="290">
        <v>3.8263934426229509E-2</v>
      </c>
      <c r="U21" s="114">
        <v>1941.8946721311484</v>
      </c>
      <c r="V21" s="291">
        <v>1913.196721311476</v>
      </c>
      <c r="W21" t="s">
        <v>2533</v>
      </c>
    </row>
    <row r="22" spans="1:23" x14ac:dyDescent="0.25">
      <c r="A22" s="2" t="s">
        <v>2526</v>
      </c>
      <c r="B22" s="2">
        <v>2104002000</v>
      </c>
      <c r="C22" s="2" t="s">
        <v>2223</v>
      </c>
      <c r="D22" s="290">
        <v>0.14455322698898571</v>
      </c>
      <c r="E22" s="290">
        <v>6.8229123138801251E-2</v>
      </c>
      <c r="F22" s="290">
        <v>0.13443450109975663</v>
      </c>
      <c r="G22" s="290">
        <v>0.11549802836419956</v>
      </c>
      <c r="H22" s="290">
        <v>0.11549802836419956</v>
      </c>
      <c r="I22" s="290">
        <v>1.829971577067065E-2</v>
      </c>
      <c r="J22" s="290">
        <v>1.8875037614086807</v>
      </c>
      <c r="K22" s="114">
        <v>439.44181004651654</v>
      </c>
      <c r="L22" s="291">
        <v>28.910645397797136</v>
      </c>
      <c r="M22" s="114" t="s">
        <v>2531</v>
      </c>
      <c r="N22" s="290">
        <v>0.12656282613761127</v>
      </c>
      <c r="O22" s="290">
        <v>5.9737653936952566E-2</v>
      </c>
      <c r="P22" s="290">
        <v>0.11770342830797846</v>
      </c>
      <c r="Q22" s="290">
        <v>0.10112369808395143</v>
      </c>
      <c r="R22" s="290">
        <v>0.10112369808395143</v>
      </c>
      <c r="S22" s="290">
        <v>1.6022220974890901E-2</v>
      </c>
      <c r="T22" s="290">
        <v>1.65259410229186</v>
      </c>
      <c r="U22" s="114">
        <v>384.75099145833855</v>
      </c>
      <c r="V22" s="291">
        <v>25.312565227522271</v>
      </c>
      <c r="W22" t="s">
        <v>2531</v>
      </c>
    </row>
    <row r="23" spans="1:23" x14ac:dyDescent="0.25">
      <c r="A23" s="2" t="s">
        <v>2526</v>
      </c>
      <c r="B23" s="2">
        <v>2103002000</v>
      </c>
      <c r="C23" s="2" t="s">
        <v>2527</v>
      </c>
      <c r="D23" s="290">
        <v>4.0148138126104761E-4</v>
      </c>
      <c r="E23" s="290">
        <v>1.8949921195521454E-4</v>
      </c>
      <c r="F23" s="290">
        <v>3.7337768457277432E-4</v>
      </c>
      <c r="G23" s="290">
        <v>3.2078362362757709E-4</v>
      </c>
      <c r="H23" s="290">
        <v>3.2078362362757709E-4</v>
      </c>
      <c r="I23" s="290">
        <v>5.0825535460742337E-5</v>
      </c>
      <c r="J23" s="290">
        <v>5.24234313581613E-3</v>
      </c>
      <c r="K23" s="114">
        <v>18.456877950864644</v>
      </c>
      <c r="L23" s="291">
        <v>1.2205033990335847</v>
      </c>
      <c r="M23" s="114" t="s">
        <v>2531</v>
      </c>
      <c r="N23" s="290">
        <v>3.7940475162931149E-4</v>
      </c>
      <c r="O23" s="290">
        <v>1.7907904276903502E-4</v>
      </c>
      <c r="P23" s="290">
        <v>3.5284641901525964E-4</v>
      </c>
      <c r="Q23" s="290">
        <v>3.0314439655181985E-4</v>
      </c>
      <c r="R23" s="290">
        <v>3.0314439655181985E-4</v>
      </c>
      <c r="S23" s="290">
        <v>4.8030744532512688E-5</v>
      </c>
      <c r="T23" s="290">
        <v>4.9540775443997339E-3</v>
      </c>
      <c r="U23" s="114">
        <v>17.43676104884138</v>
      </c>
      <c r="V23" s="291">
        <v>1.1533904449531067</v>
      </c>
      <c r="W23" t="s">
        <v>2531</v>
      </c>
    </row>
    <row r="24" spans="1:23" x14ac:dyDescent="0.25">
      <c r="A24" s="2" t="s">
        <v>2526</v>
      </c>
      <c r="B24" s="2">
        <v>2103008000</v>
      </c>
      <c r="C24" s="2" t="s">
        <v>2528</v>
      </c>
      <c r="D24" s="290">
        <v>1.2267802496122725E-3</v>
      </c>
      <c r="E24" s="290">
        <v>4.8776475754854209E-5</v>
      </c>
      <c r="F24" s="290">
        <v>1.0633485245822149E-5</v>
      </c>
      <c r="G24" s="290">
        <v>3.4500168382878608E-4</v>
      </c>
      <c r="H24" s="290">
        <v>3.4500168382878608E-4</v>
      </c>
      <c r="I24" s="290">
        <v>1.2632663031087653E-5</v>
      </c>
      <c r="J24" s="290">
        <v>2.4538740814386123E-3</v>
      </c>
      <c r="K24" s="114">
        <v>11.138643290370357</v>
      </c>
      <c r="L24" s="291">
        <v>0.91979647376361562</v>
      </c>
      <c r="M24" s="114" t="s">
        <v>2531</v>
      </c>
      <c r="N24" s="290">
        <v>1.0057156829621557E-3</v>
      </c>
      <c r="O24" s="290">
        <v>4.0923651207836456E-5</v>
      </c>
      <c r="P24" s="290">
        <v>8.6857798127814725E-6</v>
      </c>
      <c r="Q24" s="290">
        <v>2.969413117542813E-4</v>
      </c>
      <c r="R24" s="290">
        <v>2.969413117542813E-4</v>
      </c>
      <c r="S24" s="290">
        <v>1.1445738305269717E-5</v>
      </c>
      <c r="T24" s="290">
        <v>2.1589395409395405E-3</v>
      </c>
      <c r="U24" s="114">
        <v>9.0984094863238223</v>
      </c>
      <c r="V24" s="291">
        <v>0.75131995380559735</v>
      </c>
      <c r="W24" t="s">
        <v>2531</v>
      </c>
    </row>
    <row r="25" spans="1:23" x14ac:dyDescent="0.25">
      <c r="A25" s="44" t="s">
        <v>2526</v>
      </c>
      <c r="B25" s="44">
        <v>2102012000</v>
      </c>
      <c r="C25" s="44" t="s">
        <v>2228</v>
      </c>
      <c r="D25" s="292">
        <v>5.2382327984415976E-4</v>
      </c>
      <c r="E25" s="292">
        <v>2.7346164289603587E-2</v>
      </c>
      <c r="F25" s="292">
        <v>1.9363248899601757E-2</v>
      </c>
      <c r="G25" s="292">
        <v>2.7260720241086738E-3</v>
      </c>
      <c r="H25" s="292">
        <v>2.7260720241086738E-3</v>
      </c>
      <c r="I25" s="292">
        <v>1.9058091583470184E-5</v>
      </c>
      <c r="J25" s="292">
        <v>6.5100227441401174E-3</v>
      </c>
      <c r="K25" s="245">
        <v>145.09904851683226</v>
      </c>
      <c r="L25" s="293">
        <v>1.0476465596883191</v>
      </c>
      <c r="M25" s="245" t="s">
        <v>2532</v>
      </c>
      <c r="N25" s="292">
        <v>5.2382327984415976E-4</v>
      </c>
      <c r="O25" s="292">
        <v>2.7346164289603587E-2</v>
      </c>
      <c r="P25" s="292">
        <v>1.9363248899601757E-2</v>
      </c>
      <c r="Q25" s="292">
        <v>2.7260720241086738E-3</v>
      </c>
      <c r="R25" s="292">
        <v>2.7260720241086738E-3</v>
      </c>
      <c r="S25" s="292">
        <v>1.9058091583470184E-5</v>
      </c>
      <c r="T25" s="292">
        <v>6.5100227441401174E-3</v>
      </c>
      <c r="U25" s="245">
        <v>145.09904851683226</v>
      </c>
      <c r="V25" s="293">
        <v>1.0476465596883191</v>
      </c>
      <c r="W25" s="9" t="s">
        <v>2532</v>
      </c>
    </row>
    <row r="26" spans="1:23" x14ac:dyDescent="0.25">
      <c r="A26" s="71" t="s">
        <v>2526</v>
      </c>
      <c r="B26" s="71" t="s">
        <v>2462</v>
      </c>
      <c r="C26" s="71"/>
      <c r="D26" s="294">
        <v>11.913600413105568</v>
      </c>
      <c r="E26" s="294">
        <v>3.0181418325265912</v>
      </c>
      <c r="F26" s="294">
        <v>4.742415540538067</v>
      </c>
      <c r="G26" s="294">
        <v>3.3906503185759602</v>
      </c>
      <c r="H26" s="294">
        <v>3.3906503185759602</v>
      </c>
      <c r="I26" s="294">
        <v>0.16447004240181692</v>
      </c>
      <c r="J26" s="294">
        <v>36.066122609791599</v>
      </c>
      <c r="K26" s="244">
        <v>59965.415140866186</v>
      </c>
      <c r="L26" s="244"/>
      <c r="M26" s="244"/>
      <c r="N26" s="294">
        <v>10.719100485429474</v>
      </c>
      <c r="O26" s="294">
        <v>2.8081470875952075</v>
      </c>
      <c r="P26" s="294">
        <v>4.3888770878276979</v>
      </c>
      <c r="Q26" s="294">
        <v>3.0115596566204177</v>
      </c>
      <c r="R26" s="294">
        <v>3.0115596566204177</v>
      </c>
      <c r="S26" s="294">
        <v>0.14882362634519708</v>
      </c>
      <c r="T26" s="294">
        <v>31.772519514324838</v>
      </c>
      <c r="U26" s="244">
        <v>55681.005628742932</v>
      </c>
    </row>
    <row r="27" spans="1:23" x14ac:dyDescent="0.25">
      <c r="A27" s="2"/>
      <c r="B27" s="2"/>
      <c r="C27" s="2"/>
      <c r="D27" s="290"/>
      <c r="E27" s="290"/>
      <c r="F27" s="290"/>
      <c r="G27" s="290"/>
      <c r="H27" s="290"/>
      <c r="I27" s="290"/>
      <c r="J27" s="290"/>
      <c r="K27" s="290"/>
      <c r="L27" s="290"/>
      <c r="M27" s="290"/>
      <c r="N27" s="290"/>
      <c r="O27" s="290"/>
      <c r="P27" s="290"/>
      <c r="Q27" s="290"/>
      <c r="R27" s="290"/>
      <c r="S27" s="290"/>
      <c r="T27" s="290"/>
    </row>
    <row r="28" spans="1:23" x14ac:dyDescent="0.25">
      <c r="A28" s="2" t="s">
        <v>2529</v>
      </c>
      <c r="B28" s="2">
        <v>2104008100</v>
      </c>
      <c r="C28" s="2" t="s">
        <v>2152</v>
      </c>
      <c r="D28" s="290">
        <v>3.5931909729025695</v>
      </c>
      <c r="E28" s="290">
        <v>4.0796054714177646E-2</v>
      </c>
      <c r="F28" s="290">
        <v>6.2763161098734832E-3</v>
      </c>
      <c r="G28" s="290">
        <v>0.54290134350405628</v>
      </c>
      <c r="H28" s="290">
        <v>0.54290134350405628</v>
      </c>
      <c r="I28" s="290">
        <v>2.8243422494430681E-2</v>
      </c>
      <c r="J28" s="290">
        <v>3.9634936233851055</v>
      </c>
      <c r="K28" s="114">
        <v>502.03526025728712</v>
      </c>
      <c r="L28" s="291">
        <v>44.831199665785967</v>
      </c>
      <c r="M28" s="114" t="s">
        <v>2531</v>
      </c>
      <c r="N28" s="290">
        <v>3.3238230683724703</v>
      </c>
      <c r="O28" s="290">
        <v>3.7737729160560812E-2</v>
      </c>
      <c r="P28" s="290">
        <v>5.8058044862401249E-3</v>
      </c>
      <c r="Q28" s="290">
        <v>0.50220208805977073</v>
      </c>
      <c r="R28" s="290">
        <v>0.50220208805977073</v>
      </c>
      <c r="S28" s="290">
        <v>2.6126120188080561E-2</v>
      </c>
      <c r="T28" s="290">
        <v>3.6663655330606391</v>
      </c>
      <c r="U28" s="114">
        <v>464.39958014021067</v>
      </c>
      <c r="V28" s="291">
        <v>41.470374593416331</v>
      </c>
      <c r="W28" t="s">
        <v>2531</v>
      </c>
    </row>
    <row r="29" spans="1:23" x14ac:dyDescent="0.25">
      <c r="A29" s="2" t="s">
        <v>2529</v>
      </c>
      <c r="B29" s="2">
        <v>2104008210</v>
      </c>
      <c r="C29" s="2" t="s">
        <v>2156</v>
      </c>
      <c r="D29" s="290">
        <v>8.4314694238230958E-2</v>
      </c>
      <c r="E29" s="290">
        <v>4.4543612050386159E-3</v>
      </c>
      <c r="F29" s="290">
        <v>6.3633731500551652E-4</v>
      </c>
      <c r="G29" s="290">
        <v>4.8679804597922031E-2</v>
      </c>
      <c r="H29" s="290">
        <v>4.8679804597922031E-2</v>
      </c>
      <c r="I29" s="290">
        <v>2.7044335887734458E-3</v>
      </c>
      <c r="J29" s="290">
        <v>0.36716663075818301</v>
      </c>
      <c r="K29" s="114">
        <v>50.899885212546685</v>
      </c>
      <c r="L29" s="291">
        <v>4.5453040803544722</v>
      </c>
      <c r="M29" s="114" t="s">
        <v>2531</v>
      </c>
      <c r="N29" s="290">
        <v>7.3604338096931954E-2</v>
      </c>
      <c r="O29" s="290">
        <v>3.8885310692718766E-3</v>
      </c>
      <c r="P29" s="290">
        <v>5.5550443846741099E-4</v>
      </c>
      <c r="Q29" s="290">
        <v>4.2496089542756951E-2</v>
      </c>
      <c r="R29" s="290">
        <v>4.2496089542756951E-2</v>
      </c>
      <c r="S29" s="290">
        <v>2.3608938634864969E-3</v>
      </c>
      <c r="T29" s="290">
        <v>0.32052606099569608</v>
      </c>
      <c r="U29" s="114">
        <v>44.434156989216163</v>
      </c>
      <c r="V29" s="291">
        <v>3.9679216215680411</v>
      </c>
      <c r="W29" t="s">
        <v>2531</v>
      </c>
    </row>
    <row r="30" spans="1:23" x14ac:dyDescent="0.25">
      <c r="A30" s="2" t="s">
        <v>2529</v>
      </c>
      <c r="B30" s="2">
        <v>2104008220</v>
      </c>
      <c r="C30" s="2" t="s">
        <v>2159</v>
      </c>
      <c r="D30" s="290">
        <v>4.01926487977049E-2</v>
      </c>
      <c r="E30" s="290">
        <v>6.6987747996174827E-3</v>
      </c>
      <c r="F30" s="290">
        <v>1.3397549599234967E-3</v>
      </c>
      <c r="G30" s="290">
        <v>4.01926487977049E-2</v>
      </c>
      <c r="H30" s="290">
        <v>4.01926487977049E-2</v>
      </c>
      <c r="I30" s="290">
        <v>3.014448659827868E-3</v>
      </c>
      <c r="J30" s="290">
        <v>0.47159374589307085</v>
      </c>
      <c r="K30" s="114">
        <v>107.1654483635851</v>
      </c>
      <c r="L30" s="291">
        <v>9.5697573321825686</v>
      </c>
      <c r="M30" s="114" t="s">
        <v>2531</v>
      </c>
      <c r="N30" s="290">
        <v>3.5087043104950325E-2</v>
      </c>
      <c r="O30" s="290">
        <v>5.8478405174917222E-3</v>
      </c>
      <c r="P30" s="290">
        <v>1.1695681034983446E-3</v>
      </c>
      <c r="Q30" s="290">
        <v>3.5087043104950325E-2</v>
      </c>
      <c r="R30" s="290">
        <v>3.5087043104950325E-2</v>
      </c>
      <c r="S30" s="290">
        <v>2.6315282328712749E-3</v>
      </c>
      <c r="T30" s="290">
        <v>0.41168797243141725</v>
      </c>
      <c r="U30" s="114">
        <v>93.552398723946524</v>
      </c>
      <c r="V30" s="291">
        <v>8.354126887934239</v>
      </c>
      <c r="W30" t="s">
        <v>2531</v>
      </c>
    </row>
    <row r="31" spans="1:23" x14ac:dyDescent="0.25">
      <c r="A31" s="2" t="s">
        <v>2529</v>
      </c>
      <c r="B31" s="2">
        <v>2104008230</v>
      </c>
      <c r="C31" s="2" t="s">
        <v>2162</v>
      </c>
      <c r="D31" s="290">
        <v>3.0248646752279555E-2</v>
      </c>
      <c r="E31" s="290">
        <v>4.033152900303939E-3</v>
      </c>
      <c r="F31" s="290">
        <v>8.0663058006078794E-4</v>
      </c>
      <c r="G31" s="290">
        <v>2.6215493851975604E-2</v>
      </c>
      <c r="H31" s="290">
        <v>2.6215493851975604E-2</v>
      </c>
      <c r="I31" s="290">
        <v>1.8149188051367728E-3</v>
      </c>
      <c r="J31" s="290">
        <v>0.21577368016626078</v>
      </c>
      <c r="K31" s="114">
        <v>64.521446355331406</v>
      </c>
      <c r="L31" s="291">
        <v>5.7616945925247336</v>
      </c>
      <c r="M31" s="114" t="s">
        <v>2531</v>
      </c>
      <c r="N31" s="290">
        <v>2.6406211190645727E-2</v>
      </c>
      <c r="O31" s="290">
        <v>3.5208281587527628E-3</v>
      </c>
      <c r="P31" s="290">
        <v>7.0416563175055246E-4</v>
      </c>
      <c r="Q31" s="290">
        <v>2.2885383031892963E-2</v>
      </c>
      <c r="R31" s="290">
        <v>2.2885383031892963E-2</v>
      </c>
      <c r="S31" s="290">
        <v>1.5843726714387428E-3</v>
      </c>
      <c r="T31" s="290">
        <v>0.18836430649327282</v>
      </c>
      <c r="U31" s="114">
        <v>56.325393751917282</v>
      </c>
      <c r="V31" s="291">
        <v>5.0297960590499446</v>
      </c>
      <c r="W31" t="s">
        <v>2531</v>
      </c>
    </row>
    <row r="32" spans="1:23" x14ac:dyDescent="0.25">
      <c r="A32" s="2" t="s">
        <v>2529</v>
      </c>
      <c r="B32" s="2">
        <v>2104008310</v>
      </c>
      <c r="C32" s="2" t="s">
        <v>2165</v>
      </c>
      <c r="D32" s="290">
        <v>1.711101010889025</v>
      </c>
      <c r="E32" s="290">
        <v>4.6882315618142781E-2</v>
      </c>
      <c r="F32" s="290">
        <v>1.2913969893502077E-2</v>
      </c>
      <c r="G32" s="290">
        <v>0.39200450482180965</v>
      </c>
      <c r="H32" s="290">
        <v>0.39200450482180965</v>
      </c>
      <c r="I32" s="290">
        <v>1.2818036700037162E-2</v>
      </c>
      <c r="J32" s="290">
        <v>3.9119850471824456</v>
      </c>
      <c r="K32" s="114">
        <v>1032.9735027590527</v>
      </c>
      <c r="L32" s="291">
        <v>92.243404034856766</v>
      </c>
      <c r="M32" s="114" t="s">
        <v>2531</v>
      </c>
      <c r="N32" s="290">
        <v>1.4937426798657671</v>
      </c>
      <c r="O32" s="290">
        <v>4.0926932614791828E-2</v>
      </c>
      <c r="P32" s="290">
        <v>1.1273529659364279E-2</v>
      </c>
      <c r="Q32" s="290">
        <v>0.34220882100218653</v>
      </c>
      <c r="R32" s="290">
        <v>0.34220882100218653</v>
      </c>
      <c r="S32" s="290">
        <v>1.1189782700778876E-2</v>
      </c>
      <c r="T32" s="290">
        <v>3.4150520575854553</v>
      </c>
      <c r="U32" s="114">
        <v>901.75658737993012</v>
      </c>
      <c r="V32" s="291">
        <v>80.525877003239032</v>
      </c>
      <c r="W32" t="s">
        <v>2531</v>
      </c>
    </row>
    <row r="33" spans="1:31" x14ac:dyDescent="0.25">
      <c r="A33" s="2" t="s">
        <v>2529</v>
      </c>
      <c r="B33" s="2">
        <v>2104008320</v>
      </c>
      <c r="C33" s="2" t="s">
        <v>2169</v>
      </c>
      <c r="D33" s="290">
        <v>0.81567848415295841</v>
      </c>
      <c r="E33" s="290">
        <v>0.10935798964428696</v>
      </c>
      <c r="F33" s="290">
        <v>2.7189282805098615E-2</v>
      </c>
      <c r="G33" s="290">
        <v>0.53869617995862629</v>
      </c>
      <c r="H33" s="290">
        <v>0.53869617995862629</v>
      </c>
      <c r="I33" s="290">
        <v>1.6975746746408869E-2</v>
      </c>
      <c r="J33" s="290">
        <v>8.4042717871068149</v>
      </c>
      <c r="K33" s="114">
        <v>2174.839257664768</v>
      </c>
      <c r="L33" s="291">
        <v>194.21076709112216</v>
      </c>
      <c r="M33" s="114" t="s">
        <v>2531</v>
      </c>
      <c r="N33" s="290">
        <v>0.71206419555233869</v>
      </c>
      <c r="O33" s="290">
        <v>9.5466425112517461E-2</v>
      </c>
      <c r="P33" s="290">
        <v>2.3735473185077943E-2</v>
      </c>
      <c r="Q33" s="290">
        <v>0.47026649529402792</v>
      </c>
      <c r="R33" s="290">
        <v>0.47026649529402792</v>
      </c>
      <c r="S33" s="290">
        <v>1.4819345717368596E-2</v>
      </c>
      <c r="T33" s="290">
        <v>7.3366910437804558</v>
      </c>
      <c r="U33" s="114">
        <v>1898.5730242386837</v>
      </c>
      <c r="V33" s="291">
        <v>169.54049459812626</v>
      </c>
      <c r="W33" t="s">
        <v>2531</v>
      </c>
    </row>
    <row r="34" spans="1:31" x14ac:dyDescent="0.25">
      <c r="A34" s="2" t="s">
        <v>2529</v>
      </c>
      <c r="B34" s="2">
        <v>2104008330</v>
      </c>
      <c r="C34" s="2" t="s">
        <v>2172</v>
      </c>
      <c r="D34" s="290">
        <v>0.61387271226539797</v>
      </c>
      <c r="E34" s="290">
        <v>6.5841516739814823E-2</v>
      </c>
      <c r="F34" s="290">
        <v>1.6369938993743942E-2</v>
      </c>
      <c r="G34" s="290">
        <v>0.35987805411258122</v>
      </c>
      <c r="H34" s="290">
        <v>0.35987805411258122</v>
      </c>
      <c r="I34" s="290">
        <v>1.0220642471667154E-2</v>
      </c>
      <c r="J34" s="290">
        <v>5.0599869598613703</v>
      </c>
      <c r="K34" s="114">
        <v>1309.4124705082481</v>
      </c>
      <c r="L34" s="291">
        <v>116.92910151398723</v>
      </c>
      <c r="M34" s="114" t="s">
        <v>2531</v>
      </c>
      <c r="N34" s="290">
        <v>0.53589347705391133</v>
      </c>
      <c r="O34" s="290">
        <v>5.7477777779032783E-2</v>
      </c>
      <c r="P34" s="290">
        <v>1.4290492721437632E-2</v>
      </c>
      <c r="Q34" s="290">
        <v>0.31416334018510417</v>
      </c>
      <c r="R34" s="290">
        <v>0.31416334018510417</v>
      </c>
      <c r="S34" s="290">
        <v>8.9223311648011904E-3</v>
      </c>
      <c r="T34" s="290">
        <v>4.4172251862455107</v>
      </c>
      <c r="U34" s="114">
        <v>1143.0799703229784</v>
      </c>
      <c r="V34" s="291">
        <v>102.07579116504154</v>
      </c>
      <c r="W34" t="s">
        <v>2531</v>
      </c>
    </row>
    <row r="35" spans="1:31" x14ac:dyDescent="0.25">
      <c r="A35" s="2" t="s">
        <v>2529</v>
      </c>
      <c r="B35" s="2">
        <v>2104008410</v>
      </c>
      <c r="C35" s="2" t="s">
        <v>2175</v>
      </c>
      <c r="D35" s="290">
        <v>1.0286011262180735E-2</v>
      </c>
      <c r="E35" s="290">
        <v>1.7962579874213395E-2</v>
      </c>
      <c r="F35" s="290">
        <v>1.4355708191179537E-3</v>
      </c>
      <c r="G35" s="290">
        <v>1.3279030076841074E-2</v>
      </c>
      <c r="H35" s="290">
        <v>1.3279030076841074E-2</v>
      </c>
      <c r="I35" s="290">
        <v>3.2246509524437052E-4</v>
      </c>
      <c r="J35" s="290">
        <v>4.4556529298373497E-2</v>
      </c>
      <c r="K35" s="114">
        <v>137.12768898767231</v>
      </c>
      <c r="L35" s="291">
        <v>12.245352650257207</v>
      </c>
      <c r="M35" s="114" t="s">
        <v>2531</v>
      </c>
      <c r="N35" s="290">
        <v>8.9793962659845562E-3</v>
      </c>
      <c r="O35" s="290">
        <v>1.5680823065302128E-2</v>
      </c>
      <c r="P35" s="290">
        <v>1.2532126325915788E-3</v>
      </c>
      <c r="Q35" s="290">
        <v>1.1592216851472104E-2</v>
      </c>
      <c r="R35" s="290">
        <v>1.1592216851472104E-2</v>
      </c>
      <c r="S35" s="290">
        <v>2.8150288759588345E-4</v>
      </c>
      <c r="T35" s="290">
        <v>3.8896587084061122E-2</v>
      </c>
      <c r="U35" s="114">
        <v>119.70858548311016</v>
      </c>
      <c r="V35" s="291">
        <v>10.689845758546438</v>
      </c>
      <c r="W35" t="s">
        <v>2531</v>
      </c>
    </row>
    <row r="36" spans="1:31" x14ac:dyDescent="0.25">
      <c r="A36" s="2" t="s">
        <v>2529</v>
      </c>
      <c r="B36" s="2">
        <v>2104008420</v>
      </c>
      <c r="C36" s="2" t="s">
        <v>2179</v>
      </c>
      <c r="D36" s="290">
        <v>3.4695035662129635E-2</v>
      </c>
      <c r="E36" s="290">
        <v>6.0588340167494509E-2</v>
      </c>
      <c r="F36" s="290">
        <v>4.8422249884111507E-3</v>
      </c>
      <c r="G36" s="290">
        <v>4.4790581142803133E-2</v>
      </c>
      <c r="H36" s="290">
        <v>4.4790581142803133E-2</v>
      </c>
      <c r="I36" s="290">
        <v>1.0876847880218544E-3</v>
      </c>
      <c r="J36" s="290">
        <v>0.15029055807781111</v>
      </c>
      <c r="K36" s="114">
        <v>462.53595669153924</v>
      </c>
      <c r="L36" s="291">
        <v>41.303955057692065</v>
      </c>
      <c r="M36" s="114" t="s">
        <v>2531</v>
      </c>
      <c r="N36" s="290">
        <v>3.0287782672199622E-2</v>
      </c>
      <c r="O36" s="290">
        <v>5.2891903537237522E-2</v>
      </c>
      <c r="P36" s="290">
        <v>4.2271251578211815E-3</v>
      </c>
      <c r="Q36" s="290">
        <v>3.9100907709845929E-2</v>
      </c>
      <c r="R36" s="290">
        <v>3.9100907709845929E-2</v>
      </c>
      <c r="S36" s="290">
        <v>9.4951798857558292E-4</v>
      </c>
      <c r="T36" s="290">
        <v>0.13119939708587494</v>
      </c>
      <c r="U36" s="114">
        <v>403.78077920936119</v>
      </c>
      <c r="V36" s="291">
        <v>36.057181968980544</v>
      </c>
      <c r="W36" t="s">
        <v>2531</v>
      </c>
    </row>
    <row r="37" spans="1:31" x14ac:dyDescent="0.25">
      <c r="A37" s="2" t="s">
        <v>2529</v>
      </c>
      <c r="B37" s="2">
        <v>2104008610</v>
      </c>
      <c r="C37" s="2" t="s">
        <v>2182</v>
      </c>
      <c r="D37" s="290">
        <v>1.1454561754247077</v>
      </c>
      <c r="E37" s="290">
        <v>4.0689769998938349E-2</v>
      </c>
      <c r="F37" s="290">
        <v>1.0092124893609758E-2</v>
      </c>
      <c r="G37" s="290">
        <v>0.249027018758194</v>
      </c>
      <c r="H37" s="290">
        <v>0.249027018758194</v>
      </c>
      <c r="I37" s="290">
        <v>6.1501048203000995E-3</v>
      </c>
      <c r="J37" s="290">
        <v>1.5282168276900201</v>
      </c>
      <c r="K37" s="114">
        <v>807.25738774405863</v>
      </c>
      <c r="L37" s="291">
        <v>72.087201829384639</v>
      </c>
      <c r="M37" s="114" t="s">
        <v>2531</v>
      </c>
      <c r="N37" s="290">
        <v>1.0475012335268126</v>
      </c>
      <c r="O37" s="290">
        <v>3.7210139663358829E-2</v>
      </c>
      <c r="P37" s="290">
        <v>9.2290857579454856E-3</v>
      </c>
      <c r="Q37" s="290">
        <v>0.22773119995969621</v>
      </c>
      <c r="R37" s="290">
        <v>0.22773119995969621</v>
      </c>
      <c r="S37" s="290">
        <v>5.6241718572907634E-3</v>
      </c>
      <c r="T37" s="290">
        <v>1.3975296885611419</v>
      </c>
      <c r="U37" s="114">
        <v>738.22388632372144</v>
      </c>
      <c r="V37" s="291">
        <v>65.922585654382502</v>
      </c>
      <c r="W37" t="s">
        <v>2531</v>
      </c>
    </row>
    <row r="38" spans="1:31" x14ac:dyDescent="0.25">
      <c r="A38" s="2" t="s">
        <v>2529</v>
      </c>
      <c r="B38" s="2">
        <v>2104004000</v>
      </c>
      <c r="C38" s="2" t="s">
        <v>2196</v>
      </c>
      <c r="D38" s="290">
        <v>7.1028051179477983E-2</v>
      </c>
      <c r="E38" s="290">
        <v>1.112879961924373</v>
      </c>
      <c r="F38" s="290">
        <v>2.8792340090739628</v>
      </c>
      <c r="G38" s="290">
        <v>4.5485557026881722E-2</v>
      </c>
      <c r="H38" s="290">
        <v>4.5485557026881722E-2</v>
      </c>
      <c r="I38" s="290">
        <v>2.4403001344922054E-3</v>
      </c>
      <c r="J38" s="290">
        <v>4.4613750517199846E-2</v>
      </c>
      <c r="K38" s="114">
        <v>26739.752303396468</v>
      </c>
      <c r="L38" s="291">
        <v>199.23717020891453</v>
      </c>
      <c r="M38" s="114" t="s">
        <v>2532</v>
      </c>
      <c r="N38" s="290">
        <v>6.5703663517529889E-2</v>
      </c>
      <c r="O38" s="290">
        <v>1.0294565223099772</v>
      </c>
      <c r="P38" s="290">
        <v>2.6634015628896015</v>
      </c>
      <c r="Q38" s="290">
        <v>4.2075879658445926E-2</v>
      </c>
      <c r="R38" s="290">
        <v>4.2075879658445926E-2</v>
      </c>
      <c r="S38" s="290">
        <v>2.2573709436756245E-3</v>
      </c>
      <c r="T38" s="290">
        <v>4.1269425298325731E-2</v>
      </c>
      <c r="U38" s="114">
        <v>24735.29343280186</v>
      </c>
      <c r="V38" s="291">
        <v>184.30200145169684</v>
      </c>
      <c r="W38" t="s">
        <v>2532</v>
      </c>
    </row>
    <row r="39" spans="1:31" x14ac:dyDescent="0.25">
      <c r="A39" s="2" t="s">
        <v>2529</v>
      </c>
      <c r="B39" s="2">
        <v>2103004001</v>
      </c>
      <c r="C39" s="2" t="s">
        <v>2206</v>
      </c>
      <c r="D39" s="290">
        <v>2.0548296989767872E-2</v>
      </c>
      <c r="E39" s="290">
        <v>0.51875083564631386</v>
      </c>
      <c r="F39" s="290">
        <v>0.3666761462275101</v>
      </c>
      <c r="G39" s="290">
        <v>1.3158895943402088E-2</v>
      </c>
      <c r="H39" s="290">
        <v>1.3158895943402088E-2</v>
      </c>
      <c r="I39" s="290">
        <v>7.0597476736352196E-4</v>
      </c>
      <c r="J39" s="290">
        <v>1.2906683771153546E-2</v>
      </c>
      <c r="K39" s="114">
        <v>7982.9989707793839</v>
      </c>
      <c r="L39" s="291">
        <v>59.481109124437751</v>
      </c>
      <c r="M39" s="114" t="s">
        <v>2532</v>
      </c>
      <c r="N39" s="290">
        <v>2.0179060630565491E-2</v>
      </c>
      <c r="O39" s="290">
        <v>0.50942930063138692</v>
      </c>
      <c r="P39" s="290">
        <v>0.36008727098851456</v>
      </c>
      <c r="Q39" s="290">
        <v>1.2922441173856743E-2</v>
      </c>
      <c r="R39" s="290">
        <v>1.2922441173856743E-2</v>
      </c>
      <c r="S39" s="290">
        <v>6.9328896897741449E-4</v>
      </c>
      <c r="T39" s="290">
        <v>1.2674761051357822E-2</v>
      </c>
      <c r="U39" s="114">
        <v>7839.5509041607884</v>
      </c>
      <c r="V39" s="291">
        <v>58.412281465125496</v>
      </c>
      <c r="W39" t="s">
        <v>2532</v>
      </c>
    </row>
    <row r="40" spans="1:31" x14ac:dyDescent="0.25">
      <c r="A40" s="2" t="s">
        <v>2529</v>
      </c>
      <c r="B40" s="2">
        <v>2104004000</v>
      </c>
      <c r="C40" s="2" t="s">
        <v>2210</v>
      </c>
      <c r="D40" s="290">
        <v>4.7610375578592242E-4</v>
      </c>
      <c r="E40" s="290">
        <v>1.2019449655184576E-2</v>
      </c>
      <c r="F40" s="290">
        <v>1.9299616176189544E-2</v>
      </c>
      <c r="G40" s="290">
        <v>2.6709888122632386E-4</v>
      </c>
      <c r="H40" s="290">
        <v>2.6709888122632386E-4</v>
      </c>
      <c r="I40" s="290">
        <v>1.6357425552065794E-5</v>
      </c>
      <c r="J40" s="290">
        <v>2.9904768367165942E-4</v>
      </c>
      <c r="K40" s="114">
        <v>182.9560561680012</v>
      </c>
      <c r="L40" s="291">
        <v>1.3354944061316203</v>
      </c>
      <c r="M40" s="114" t="s">
        <v>2532</v>
      </c>
      <c r="N40" s="290">
        <v>4.5017800736704195E-4</v>
      </c>
      <c r="O40" s="290">
        <v>1.1364942682477923E-2</v>
      </c>
      <c r="P40" s="290">
        <v>1.8248675099829231E-2</v>
      </c>
      <c r="Q40" s="290">
        <v>2.5255428183284265E-4</v>
      </c>
      <c r="R40" s="290">
        <v>2.5255428183284265E-4</v>
      </c>
      <c r="S40" s="290">
        <v>1.5466698489971145E-5</v>
      </c>
      <c r="T40" s="290">
        <v>2.827633445588076E-4</v>
      </c>
      <c r="U40" s="114">
        <v>172.99336919845135</v>
      </c>
      <c r="V40" s="291">
        <v>1.262771409164213</v>
      </c>
      <c r="W40" t="s">
        <v>2532</v>
      </c>
    </row>
    <row r="41" spans="1:31" x14ac:dyDescent="0.25">
      <c r="A41" s="2" t="s">
        <v>2529</v>
      </c>
      <c r="B41" s="2">
        <v>2104004000</v>
      </c>
      <c r="C41" s="2" t="s">
        <v>2214</v>
      </c>
      <c r="D41" s="290">
        <v>1.4878743962789948E-3</v>
      </c>
      <c r="E41" s="290">
        <v>2.3312276966394246E-2</v>
      </c>
      <c r="F41" s="290">
        <v>6.0313333842877868E-2</v>
      </c>
      <c r="G41" s="290">
        <v>9.5281785966189051E-4</v>
      </c>
      <c r="H41" s="290">
        <v>9.5281785966189051E-4</v>
      </c>
      <c r="I41" s="290">
        <v>5.1118678170860425E-5</v>
      </c>
      <c r="J41" s="290">
        <v>9.3455551735170423E-4</v>
      </c>
      <c r="K41" s="114">
        <v>521.69508985939501</v>
      </c>
      <c r="L41" s="291">
        <v>4.1735607188751613</v>
      </c>
      <c r="M41" s="114" t="s">
        <v>2532</v>
      </c>
      <c r="N41" s="290">
        <v>1.2423773792281081E-3</v>
      </c>
      <c r="O41" s="290">
        <v>1.9465786650930333E-2</v>
      </c>
      <c r="P41" s="290">
        <v>5.0361725303977832E-2</v>
      </c>
      <c r="Q41" s="290">
        <v>7.9560435902985033E-4</v>
      </c>
      <c r="R41" s="290">
        <v>7.9560435902985033E-4</v>
      </c>
      <c r="S41" s="290">
        <v>4.2684173861951474E-5</v>
      </c>
      <c r="T41" s="290">
        <v>7.8035527548177806E-4</v>
      </c>
      <c r="U41" s="114">
        <v>435.61619187521336</v>
      </c>
      <c r="V41" s="291">
        <v>3.4849295350017067</v>
      </c>
      <c r="W41" t="s">
        <v>2532</v>
      </c>
    </row>
    <row r="42" spans="1:31" x14ac:dyDescent="0.25">
      <c r="A42" s="2" t="s">
        <v>2529</v>
      </c>
      <c r="B42" s="2">
        <v>2104006010</v>
      </c>
      <c r="C42" s="2" t="s">
        <v>2217</v>
      </c>
      <c r="D42" s="290">
        <v>6.2640334377998895E-4</v>
      </c>
      <c r="E42" s="290">
        <v>1.0705802602785267E-2</v>
      </c>
      <c r="F42" s="290">
        <v>6.8334910230544217E-5</v>
      </c>
      <c r="G42" s="290">
        <v>8.6557552958689294E-4</v>
      </c>
      <c r="H42" s="290">
        <v>8.6557552958689294E-4</v>
      </c>
      <c r="I42" s="290">
        <v>2.2778303410181406E-3</v>
      </c>
      <c r="J42" s="290">
        <v>4.5556606820362812E-3</v>
      </c>
      <c r="K42" s="114">
        <v>281.18883333333309</v>
      </c>
      <c r="L42" s="291">
        <v>277.03333333333336</v>
      </c>
      <c r="M42" s="114" t="s">
        <v>2533</v>
      </c>
      <c r="N42" s="290">
        <v>6.2640334377998895E-4</v>
      </c>
      <c r="O42" s="290">
        <v>1.0705802602785267E-2</v>
      </c>
      <c r="P42" s="290">
        <v>6.8334910230544217E-5</v>
      </c>
      <c r="Q42" s="290">
        <v>8.6557552958689294E-4</v>
      </c>
      <c r="R42" s="290">
        <v>8.6557552958689294E-4</v>
      </c>
      <c r="S42" s="290">
        <v>2.2778303410181406E-3</v>
      </c>
      <c r="T42" s="290">
        <v>4.5556606820362812E-3</v>
      </c>
      <c r="U42" s="114">
        <v>281.18883333333309</v>
      </c>
      <c r="V42" s="291">
        <v>277.03333333333336</v>
      </c>
      <c r="W42" t="s">
        <v>2533</v>
      </c>
    </row>
    <row r="43" spans="1:31" x14ac:dyDescent="0.25">
      <c r="A43" s="2" t="s">
        <v>2529</v>
      </c>
      <c r="B43" s="2">
        <v>2103006000</v>
      </c>
      <c r="C43" s="2" t="s">
        <v>2221</v>
      </c>
      <c r="D43" s="290">
        <v>9.7086916666666665E-3</v>
      </c>
      <c r="E43" s="290">
        <v>0.17652166666666649</v>
      </c>
      <c r="F43" s="290">
        <v>1.0591300000000004E-3</v>
      </c>
      <c r="G43" s="290">
        <v>1.3415646666666668E-2</v>
      </c>
      <c r="H43" s="290">
        <v>1.3415646666666668E-2</v>
      </c>
      <c r="I43" s="290">
        <v>3.530433333333334E-2</v>
      </c>
      <c r="J43" s="290">
        <v>7.0608666666666681E-2</v>
      </c>
      <c r="K43" s="114">
        <v>3583.3898333333323</v>
      </c>
      <c r="L43" s="291">
        <v>3530.4333333333338</v>
      </c>
      <c r="M43" s="114" t="s">
        <v>2533</v>
      </c>
      <c r="N43" s="290">
        <v>9.7086916666666665E-3</v>
      </c>
      <c r="O43" s="290">
        <v>0.17652166666666649</v>
      </c>
      <c r="P43" s="290">
        <v>1.0591300000000004E-3</v>
      </c>
      <c r="Q43" s="290">
        <v>1.3415646666666668E-2</v>
      </c>
      <c r="R43" s="290">
        <v>1.3415646666666668E-2</v>
      </c>
      <c r="S43" s="290">
        <v>3.530433333333334E-2</v>
      </c>
      <c r="T43" s="290">
        <v>7.0608666666666681E-2</v>
      </c>
      <c r="U43" s="114">
        <v>3583.3898333333323</v>
      </c>
      <c r="V43" s="291">
        <v>3530.4333333333338</v>
      </c>
      <c r="W43" t="s">
        <v>2533</v>
      </c>
    </row>
    <row r="44" spans="1:31" x14ac:dyDescent="0.25">
      <c r="A44" s="2" t="s">
        <v>2529</v>
      </c>
      <c r="B44" s="2">
        <v>2104002000</v>
      </c>
      <c r="C44" s="2" t="s">
        <v>2223</v>
      </c>
      <c r="D44" s="290">
        <v>0.1066046788102661</v>
      </c>
      <c r="E44" s="290">
        <v>5.031740839844559E-2</v>
      </c>
      <c r="F44" s="290">
        <v>9.9142351293547468E-2</v>
      </c>
      <c r="G44" s="290">
        <v>8.5177138369402605E-2</v>
      </c>
      <c r="H44" s="290">
        <v>8.5177138369402605E-2</v>
      </c>
      <c r="I44" s="290">
        <v>1.3495619313985635E-2</v>
      </c>
      <c r="J44" s="290">
        <v>1.3919905935650494</v>
      </c>
      <c r="K44" s="114">
        <v>324.07822358320885</v>
      </c>
      <c r="L44" s="291">
        <v>21.320935762053224</v>
      </c>
      <c r="M44" s="114" t="s">
        <v>2531</v>
      </c>
      <c r="N44" s="290">
        <v>9.3669053034454178E-2</v>
      </c>
      <c r="O44" s="290">
        <v>4.4211793032262366E-2</v>
      </c>
      <c r="P44" s="290">
        <v>8.7112219322042383E-2</v>
      </c>
      <c r="Q44" s="290">
        <v>7.4841573374528889E-2</v>
      </c>
      <c r="R44" s="290">
        <v>7.4841573374528889E-2</v>
      </c>
      <c r="S44" s="290">
        <v>1.1858033768896728E-2</v>
      </c>
      <c r="T44" s="290">
        <v>1.2230836599973853</v>
      </c>
      <c r="U44" s="114">
        <v>284.75392122474074</v>
      </c>
      <c r="V44" s="291">
        <v>18.733810606890835</v>
      </c>
      <c r="W44" t="s">
        <v>2531</v>
      </c>
    </row>
    <row r="45" spans="1:31" x14ac:dyDescent="0.25">
      <c r="A45" s="2" t="s">
        <v>2529</v>
      </c>
      <c r="B45" s="2">
        <v>2103002000</v>
      </c>
      <c r="C45" s="2" t="s">
        <v>2527</v>
      </c>
      <c r="D45" s="290">
        <v>2.8645019898962393E-4</v>
      </c>
      <c r="E45" s="290">
        <v>1.3520449392310247E-4</v>
      </c>
      <c r="F45" s="290">
        <v>2.6639868506035024E-4</v>
      </c>
      <c r="G45" s="290">
        <v>2.288737089927095E-4</v>
      </c>
      <c r="H45" s="290">
        <v>2.288737089927095E-4</v>
      </c>
      <c r="I45" s="290">
        <v>3.6263162941091441E-5</v>
      </c>
      <c r="J45" s="290">
        <v>3.7403234733070141E-3</v>
      </c>
      <c r="K45" s="114">
        <v>13.168671346965224</v>
      </c>
      <c r="L45" s="291">
        <v>0.8708086049284568</v>
      </c>
      <c r="M45" s="114" t="s">
        <v>2531</v>
      </c>
      <c r="N45" s="290">
        <v>2.7069889582540766E-4</v>
      </c>
      <c r="O45" s="290">
        <v>1.2776987882959239E-4</v>
      </c>
      <c r="P45" s="290">
        <v>2.5174997311762913E-4</v>
      </c>
      <c r="Q45" s="290">
        <v>2.1628841776450067E-4</v>
      </c>
      <c r="R45" s="290">
        <v>2.1628841776450067E-4</v>
      </c>
      <c r="S45" s="290">
        <v>3.4269126717017481E-5</v>
      </c>
      <c r="T45" s="290">
        <v>3.5346508322402601E-3</v>
      </c>
      <c r="U45" s="114">
        <v>12.440835130353117</v>
      </c>
      <c r="V45" s="291">
        <v>0.8229246433092392</v>
      </c>
      <c r="W45" t="s">
        <v>2531</v>
      </c>
    </row>
    <row r="46" spans="1:31" x14ac:dyDescent="0.25">
      <c r="A46" s="2" t="s">
        <v>2529</v>
      </c>
      <c r="B46" s="2">
        <v>2103008000</v>
      </c>
      <c r="C46" s="2" t="s">
        <v>2528</v>
      </c>
      <c r="D46" s="290">
        <v>8.7528703202673379E-4</v>
      </c>
      <c r="E46" s="290">
        <v>3.4801193375654412E-5</v>
      </c>
      <c r="F46" s="290">
        <v>7.5868125068506339E-6</v>
      </c>
      <c r="G46" s="290">
        <v>2.4615288677671822E-4</v>
      </c>
      <c r="H46" s="290">
        <v>2.4615288677671822E-4</v>
      </c>
      <c r="I46" s="290">
        <v>9.013192162629955E-6</v>
      </c>
      <c r="J46" s="290">
        <v>1.750797799678111E-3</v>
      </c>
      <c r="K46" s="114">
        <v>7.9472342577361532</v>
      </c>
      <c r="L46" s="291">
        <v>0.65625928184257976</v>
      </c>
      <c r="M46" s="114" t="s">
        <v>2531</v>
      </c>
      <c r="N46" s="290">
        <v>7.1756118952917862E-4</v>
      </c>
      <c r="O46" s="290">
        <v>2.9198335412332746E-5</v>
      </c>
      <c r="P46" s="290">
        <v>6.1971575068721741E-6</v>
      </c>
      <c r="Q46" s="290">
        <v>2.1186262130783E-4</v>
      </c>
      <c r="R46" s="290">
        <v>2.1186262130783E-4</v>
      </c>
      <c r="S46" s="290">
        <v>8.1663413751081686E-6</v>
      </c>
      <c r="T46" s="290">
        <v>1.5403669758388852E-3</v>
      </c>
      <c r="U46" s="114">
        <v>6.4915618245119404</v>
      </c>
      <c r="V46" s="291">
        <v>0.53605412434444311</v>
      </c>
      <c r="W46" t="s">
        <v>2531</v>
      </c>
    </row>
    <row r="47" spans="1:31" x14ac:dyDescent="0.25">
      <c r="A47" s="44" t="s">
        <v>2529</v>
      </c>
      <c r="B47" s="44">
        <v>2102012000</v>
      </c>
      <c r="C47" s="44" t="s">
        <v>2228</v>
      </c>
      <c r="D47" s="292">
        <v>3.7373908168656338E-4</v>
      </c>
      <c r="E47" s="292">
        <v>1.9511027330222776E-2</v>
      </c>
      <c r="F47" s="292">
        <v>1.3815351742974291E-2</v>
      </c>
      <c r="G47" s="292">
        <v>1.9450064441674253E-3</v>
      </c>
      <c r="H47" s="292">
        <v>1.9450064441674253E-3</v>
      </c>
      <c r="I47" s="292">
        <v>1.3597627141015247E-5</v>
      </c>
      <c r="J47" s="292">
        <v>4.6447915084595216E-3</v>
      </c>
      <c r="K47" s="245">
        <v>103.52572562717806</v>
      </c>
      <c r="L47" s="293">
        <v>0.74747816337312667</v>
      </c>
      <c r="M47" s="245" t="s">
        <v>2532</v>
      </c>
      <c r="N47" s="292">
        <v>3.7373908168656338E-4</v>
      </c>
      <c r="O47" s="292">
        <v>1.9511027330222776E-2</v>
      </c>
      <c r="P47" s="292">
        <v>1.3815351742974291E-2</v>
      </c>
      <c r="Q47" s="292">
        <v>1.9450064441674253E-3</v>
      </c>
      <c r="R47" s="292">
        <v>1.9450064441674253E-3</v>
      </c>
      <c r="S47" s="292">
        <v>1.3597627141015247E-5</v>
      </c>
      <c r="T47" s="292">
        <v>4.6447915084595216E-3</v>
      </c>
      <c r="U47" s="245">
        <v>103.52572562717806</v>
      </c>
      <c r="V47" s="293">
        <v>0.74747816337312667</v>
      </c>
      <c r="W47" s="9" t="s">
        <v>2532</v>
      </c>
    </row>
    <row r="48" spans="1:31" x14ac:dyDescent="0.25">
      <c r="A48" s="71" t="s">
        <v>2529</v>
      </c>
      <c r="B48" s="71" t="s">
        <v>2462</v>
      </c>
      <c r="C48" s="71"/>
      <c r="D48" s="294">
        <v>8.2910519688019093</v>
      </c>
      <c r="E48" s="294">
        <v>2.3214932905397121</v>
      </c>
      <c r="F48" s="294">
        <v>3.5217844101232063</v>
      </c>
      <c r="G48" s="294">
        <v>2.417407422939279</v>
      </c>
      <c r="H48" s="294">
        <v>2.417407422939279</v>
      </c>
      <c r="I48" s="294">
        <v>0.13770231214600873</v>
      </c>
      <c r="J48" s="294">
        <v>25.65338026060402</v>
      </c>
      <c r="K48" s="244">
        <v>46389.469246229106</v>
      </c>
      <c r="L48" s="244"/>
      <c r="M48" s="244"/>
      <c r="N48" s="294">
        <v>7.4803308524486436</v>
      </c>
      <c r="O48" s="294">
        <v>2.1714727407992682</v>
      </c>
      <c r="P48" s="294">
        <v>3.266656179161989</v>
      </c>
      <c r="Q48" s="294">
        <v>2.1552760172688914</v>
      </c>
      <c r="R48" s="294">
        <v>2.1552760172688914</v>
      </c>
      <c r="S48" s="294">
        <v>0.12699460859577427</v>
      </c>
      <c r="T48" s="294">
        <v>22.686512934955868</v>
      </c>
      <c r="U48" s="244">
        <v>43319.078971072842</v>
      </c>
      <c r="Y48" s="923" t="s">
        <v>3010</v>
      </c>
      <c r="Z48" s="923"/>
      <c r="AA48" s="923"/>
      <c r="AB48" s="923"/>
      <c r="AC48" s="923"/>
      <c r="AD48" s="923"/>
      <c r="AE48" s="923"/>
    </row>
    <row r="49" spans="1:31" ht="15.75" thickBot="1" x14ac:dyDescent="0.3">
      <c r="A49" s="2"/>
      <c r="B49" s="2"/>
      <c r="C49" s="2"/>
      <c r="D49" s="290"/>
      <c r="E49" s="290"/>
      <c r="F49" s="290"/>
      <c r="G49" s="290"/>
      <c r="H49" s="290"/>
      <c r="I49" s="290"/>
      <c r="J49" s="290"/>
      <c r="K49" s="290"/>
      <c r="L49" s="290"/>
      <c r="M49" s="290"/>
      <c r="N49" s="290"/>
      <c r="O49" s="290"/>
      <c r="P49" s="290"/>
      <c r="Q49" s="290"/>
      <c r="R49" s="290"/>
      <c r="S49" s="290"/>
      <c r="T49" s="290"/>
      <c r="Y49" s="15" t="s">
        <v>2143</v>
      </c>
      <c r="Z49" s="15" t="s">
        <v>2144</v>
      </c>
      <c r="AA49" s="509" t="s">
        <v>2145</v>
      </c>
      <c r="AB49" s="15" t="s">
        <v>2146</v>
      </c>
      <c r="AC49" s="510" t="s">
        <v>2147</v>
      </c>
      <c r="AD49" s="15" t="s">
        <v>2148</v>
      </c>
      <c r="AE49" s="15" t="s">
        <v>2149</v>
      </c>
    </row>
    <row r="50" spans="1:31" ht="15.75" thickTop="1" x14ac:dyDescent="0.25">
      <c r="A50" s="2" t="s">
        <v>2530</v>
      </c>
      <c r="B50" s="2">
        <v>2104008100</v>
      </c>
      <c r="C50" s="2" t="s">
        <v>2152</v>
      </c>
      <c r="D50" s="290">
        <v>4.8588180171117843</v>
      </c>
      <c r="E50" s="290">
        <v>5.5165619408256088E-2</v>
      </c>
      <c r="F50" s="290">
        <v>8.4870183705009344E-3</v>
      </c>
      <c r="G50" s="290">
        <v>0.73412708904833057</v>
      </c>
      <c r="H50" s="290">
        <v>0.73412708904833057</v>
      </c>
      <c r="I50" s="290">
        <v>3.8191582667254205E-2</v>
      </c>
      <c r="J50" s="290">
        <v>5.3595521009713405</v>
      </c>
      <c r="K50" s="114">
        <v>681.60521211010712</v>
      </c>
      <c r="L50" s="291">
        <v>60.622060532701639</v>
      </c>
      <c r="M50" s="114" t="s">
        <v>2531</v>
      </c>
      <c r="N50" s="290">
        <v>4.4823442778653417</v>
      </c>
      <c r="O50" s="290">
        <v>5.0891245076200388E-2</v>
      </c>
      <c r="P50" s="290">
        <v>7.8294223194154428E-3</v>
      </c>
      <c r="Q50" s="290">
        <v>0.67724503062943586</v>
      </c>
      <c r="R50" s="290">
        <v>0.67724503062943586</v>
      </c>
      <c r="S50" s="290">
        <v>3.5232400437369485E-2</v>
      </c>
      <c r="T50" s="290">
        <v>4.9442801947108519</v>
      </c>
      <c r="U50" s="114">
        <v>628.78972474711281</v>
      </c>
      <c r="V50" s="291">
        <v>55.924907083201404</v>
      </c>
      <c r="W50" t="s">
        <v>2531</v>
      </c>
      <c r="Y50" s="43">
        <f t="shared" ref="Y50:Y66" si="0">N50/$U50*2000</f>
        <v>14.257053197451835</v>
      </c>
      <c r="Z50" s="11">
        <f t="shared" ref="Z50:AE65" si="1">O50/$U50*2000</f>
        <v>0.16187047298416929</v>
      </c>
      <c r="AA50" s="511">
        <f t="shared" si="1"/>
        <v>2.4903149689872194E-2</v>
      </c>
      <c r="AB50" s="11">
        <f t="shared" si="1"/>
        <v>2.1541224481739452</v>
      </c>
      <c r="AC50" s="512">
        <f t="shared" si="1"/>
        <v>2.1541224481739452</v>
      </c>
      <c r="AD50" s="11">
        <f t="shared" si="1"/>
        <v>0.11206417360442485</v>
      </c>
      <c r="AE50" s="43">
        <f t="shared" si="1"/>
        <v>15.726339029154289</v>
      </c>
    </row>
    <row r="51" spans="1:31" x14ac:dyDescent="0.25">
      <c r="A51" s="2" t="s">
        <v>2530</v>
      </c>
      <c r="B51" s="2">
        <v>2104008210</v>
      </c>
      <c r="C51" s="2" t="s">
        <v>2156</v>
      </c>
      <c r="D51" s="290">
        <v>0.10436062953953662</v>
      </c>
      <c r="E51" s="290">
        <v>5.5133917492585383E-3</v>
      </c>
      <c r="F51" s="290">
        <v>7.8762739275121984E-4</v>
      </c>
      <c r="G51" s="290">
        <v>6.0253495545468314E-2</v>
      </c>
      <c r="H51" s="290">
        <v>6.0253495545468314E-2</v>
      </c>
      <c r="I51" s="290">
        <v>3.3474164191926829E-3</v>
      </c>
      <c r="J51" s="290">
        <v>0.45446100561745373</v>
      </c>
      <c r="K51" s="114">
        <v>63.245446598742198</v>
      </c>
      <c r="L51" s="291">
        <v>5.6259564191045994</v>
      </c>
      <c r="M51" s="114" t="s">
        <v>2531</v>
      </c>
      <c r="N51" s="290">
        <v>9.0828352665704201E-2</v>
      </c>
      <c r="O51" s="290">
        <v>4.7984790087541853E-3</v>
      </c>
      <c r="P51" s="290">
        <v>6.8549700125059791E-4</v>
      </c>
      <c r="Q51" s="290">
        <v>5.2440520595670746E-2</v>
      </c>
      <c r="R51" s="290">
        <v>5.2440520595670746E-2</v>
      </c>
      <c r="S51" s="290">
        <v>2.91336225531504E-3</v>
      </c>
      <c r="T51" s="290">
        <v>0.39553176972159504</v>
      </c>
      <c r="U51" s="114">
        <v>55.04419533059221</v>
      </c>
      <c r="V51" s="291">
        <v>4.8964475968662704</v>
      </c>
      <c r="W51" t="s">
        <v>2531</v>
      </c>
      <c r="Y51" s="43">
        <f t="shared" si="0"/>
        <v>3.3001973094599513</v>
      </c>
      <c r="Z51" s="11">
        <f t="shared" si="1"/>
        <v>0.17435004653750688</v>
      </c>
      <c r="AA51" s="511">
        <f t="shared" si="1"/>
        <v>2.4907149505358127E-2</v>
      </c>
      <c r="AB51" s="11">
        <f t="shared" si="1"/>
        <v>1.9053969371598969</v>
      </c>
      <c r="AC51" s="512">
        <f t="shared" si="1"/>
        <v>1.9053969371598969</v>
      </c>
      <c r="AD51" s="11">
        <f t="shared" si="1"/>
        <v>0.10585538539777201</v>
      </c>
      <c r="AE51" s="43">
        <f t="shared" si="1"/>
        <v>14.37142526459164</v>
      </c>
    </row>
    <row r="52" spans="1:31" x14ac:dyDescent="0.25">
      <c r="A52" s="2" t="s">
        <v>2530</v>
      </c>
      <c r="B52" s="2">
        <v>2104008220</v>
      </c>
      <c r="C52" s="2" t="s">
        <v>2159</v>
      </c>
      <c r="D52" s="290">
        <v>4.9748506702026914E-2</v>
      </c>
      <c r="E52" s="290">
        <v>8.2914177836711511E-3</v>
      </c>
      <c r="F52" s="290">
        <v>1.6582835567342307E-3</v>
      </c>
      <c r="G52" s="290">
        <v>4.9748506702026914E-2</v>
      </c>
      <c r="H52" s="290">
        <v>4.9748506702026914E-2</v>
      </c>
      <c r="I52" s="290">
        <v>3.7311380026520177E-3</v>
      </c>
      <c r="J52" s="290">
        <v>0.58371581197044919</v>
      </c>
      <c r="K52" s="114">
        <v>133.15799462822156</v>
      </c>
      <c r="L52" s="291">
        <v>11.844980388653584</v>
      </c>
      <c r="M52" s="114" t="s">
        <v>2531</v>
      </c>
      <c r="N52" s="290">
        <v>4.3297696950093653E-2</v>
      </c>
      <c r="O52" s="290">
        <v>7.2162828250156123E-3</v>
      </c>
      <c r="P52" s="290">
        <v>1.4432565650031224E-3</v>
      </c>
      <c r="Q52" s="290">
        <v>4.3297696950093653E-2</v>
      </c>
      <c r="R52" s="290">
        <v>4.3297696950093653E-2</v>
      </c>
      <c r="S52" s="290">
        <v>3.247327271257025E-3</v>
      </c>
      <c r="T52" s="290">
        <v>0.50802631088109917</v>
      </c>
      <c r="U52" s="114">
        <v>115.89094646841406</v>
      </c>
      <c r="V52" s="291">
        <v>10.309060618031177</v>
      </c>
      <c r="W52" t="s">
        <v>2531</v>
      </c>
      <c r="Y52" s="43">
        <f t="shared" si="0"/>
        <v>0.74721448516074351</v>
      </c>
      <c r="Z52" s="11">
        <f t="shared" si="1"/>
        <v>0.12453574752679065</v>
      </c>
      <c r="AA52" s="511">
        <f t="shared" si="1"/>
        <v>2.490714950535813E-2</v>
      </c>
      <c r="AB52" s="11">
        <f t="shared" si="1"/>
        <v>0.74721448516074351</v>
      </c>
      <c r="AC52" s="512">
        <f t="shared" si="1"/>
        <v>0.74721448516074351</v>
      </c>
      <c r="AD52" s="11">
        <f t="shared" si="1"/>
        <v>5.6041086387055787E-2</v>
      </c>
      <c r="AE52" s="43">
        <f t="shared" si="1"/>
        <v>8.767316625886064</v>
      </c>
    </row>
    <row r="53" spans="1:31" x14ac:dyDescent="0.25">
      <c r="A53" s="2" t="s">
        <v>2530</v>
      </c>
      <c r="B53" s="2">
        <v>2104008230</v>
      </c>
      <c r="C53" s="2" t="s">
        <v>2162</v>
      </c>
      <c r="D53" s="290">
        <v>3.7440304401359918E-2</v>
      </c>
      <c r="E53" s="290">
        <v>4.9920405868479874E-3</v>
      </c>
      <c r="F53" s="290">
        <v>9.9840811736959744E-4</v>
      </c>
      <c r="G53" s="290">
        <v>3.2448263814511928E-2</v>
      </c>
      <c r="H53" s="290">
        <v>3.2448263814511928E-2</v>
      </c>
      <c r="I53" s="290">
        <v>2.2464182640815943E-3</v>
      </c>
      <c r="J53" s="290">
        <v>0.2670741713963673</v>
      </c>
      <c r="K53" s="114">
        <v>80.170862329053776</v>
      </c>
      <c r="L53" s="291">
        <v>7.13154545981594</v>
      </c>
      <c r="M53" s="114" t="s">
        <v>2531</v>
      </c>
      <c r="N53" s="290">
        <v>3.2585479668745351E-2</v>
      </c>
      <c r="O53" s="290">
        <v>4.3447306224993791E-3</v>
      </c>
      <c r="P53" s="290">
        <v>8.6894612449987579E-4</v>
      </c>
      <c r="Q53" s="290">
        <v>2.8240749046245961E-2</v>
      </c>
      <c r="R53" s="290">
        <v>2.8240749046245961E-2</v>
      </c>
      <c r="S53" s="290">
        <v>1.9551287801247209E-3</v>
      </c>
      <c r="T53" s="290">
        <v>0.23244308830371685</v>
      </c>
      <c r="U53" s="114">
        <v>69.774835078012018</v>
      </c>
      <c r="V53" s="291">
        <v>6.2068093009180982</v>
      </c>
      <c r="W53" t="s">
        <v>2531</v>
      </c>
      <c r="Y53" s="43">
        <f t="shared" si="0"/>
        <v>0.93401810645092986</v>
      </c>
      <c r="Z53" s="11">
        <f t="shared" si="1"/>
        <v>0.1245357475267906</v>
      </c>
      <c r="AA53" s="511">
        <f t="shared" si="1"/>
        <v>2.4907149505358123E-2</v>
      </c>
      <c r="AB53" s="11">
        <f t="shared" si="1"/>
        <v>0.80948235892413889</v>
      </c>
      <c r="AC53" s="512">
        <f t="shared" si="1"/>
        <v>0.80948235892413889</v>
      </c>
      <c r="AD53" s="11">
        <f t="shared" si="1"/>
        <v>5.6041086387055787E-2</v>
      </c>
      <c r="AE53" s="43">
        <f t="shared" si="1"/>
        <v>6.6626624926833005</v>
      </c>
    </row>
    <row r="54" spans="1:31" x14ac:dyDescent="0.25">
      <c r="A54" s="2" t="s">
        <v>2530</v>
      </c>
      <c r="B54" s="2">
        <v>2104008310</v>
      </c>
      <c r="C54" s="2" t="s">
        <v>2165</v>
      </c>
      <c r="D54" s="290">
        <v>2.1179176455003521</v>
      </c>
      <c r="E54" s="290">
        <v>5.8028651071857187E-2</v>
      </c>
      <c r="F54" s="290">
        <v>1.5984284116983785E-2</v>
      </c>
      <c r="G54" s="290">
        <v>0.48520411863141832</v>
      </c>
      <c r="H54" s="290">
        <v>0.48520411863141832</v>
      </c>
      <c r="I54" s="290">
        <v>1.5865542673938891E-2</v>
      </c>
      <c r="J54" s="290">
        <v>4.8420649088720422</v>
      </c>
      <c r="K54" s="114">
        <v>1283.5170498686994</v>
      </c>
      <c r="L54" s="291">
        <v>114.17440106878175</v>
      </c>
      <c r="M54" s="114" t="s">
        <v>2531</v>
      </c>
      <c r="N54" s="290">
        <v>1.8432906324079465</v>
      </c>
      <c r="O54" s="290">
        <v>5.0504168166913707E-2</v>
      </c>
      <c r="P54" s="290">
        <v>1.3911627414399594E-2</v>
      </c>
      <c r="Q54" s="290">
        <v>0.42228847215999959</v>
      </c>
      <c r="R54" s="290">
        <v>0.42228847215999959</v>
      </c>
      <c r="S54" s="290">
        <v>1.3808282985446809E-2</v>
      </c>
      <c r="T54" s="290">
        <v>4.2142020521890942</v>
      </c>
      <c r="U54" s="114">
        <v>1117.0790468340724</v>
      </c>
      <c r="V54" s="291">
        <v>99.369588047014702</v>
      </c>
      <c r="W54" t="s">
        <v>2531</v>
      </c>
      <c r="Y54" s="43">
        <f t="shared" si="0"/>
        <v>3.3001973094599517</v>
      </c>
      <c r="Z54" s="11">
        <f t="shared" si="1"/>
        <v>9.0421834175563848E-2</v>
      </c>
      <c r="AA54" s="511">
        <f t="shared" si="1"/>
        <v>2.490714950535812E-2</v>
      </c>
      <c r="AB54" s="11">
        <f t="shared" si="1"/>
        <v>0.75605835299983926</v>
      </c>
      <c r="AC54" s="512">
        <f t="shared" si="1"/>
        <v>0.75605835299983926</v>
      </c>
      <c r="AD54" s="11">
        <f t="shared" si="1"/>
        <v>2.472212333510513E-2</v>
      </c>
      <c r="AE54" s="43">
        <f t="shared" si="1"/>
        <v>7.5450382211225184</v>
      </c>
    </row>
    <row r="55" spans="1:31" x14ac:dyDescent="0.25">
      <c r="A55" s="2" t="s">
        <v>2530</v>
      </c>
      <c r="B55" s="2">
        <v>2104008320</v>
      </c>
      <c r="C55" s="2" t="s">
        <v>2169</v>
      </c>
      <c r="D55" s="290">
        <v>1.0096071731878429</v>
      </c>
      <c r="E55" s="290">
        <v>0.13535800310452939</v>
      </c>
      <c r="F55" s="290">
        <v>3.365357243959477E-2</v>
      </c>
      <c r="G55" s="290">
        <v>0.66677194264833617</v>
      </c>
      <c r="H55" s="290">
        <v>0.66677194264833617</v>
      </c>
      <c r="I55" s="290">
        <v>2.1011754040800048E-2</v>
      </c>
      <c r="J55" s="290">
        <v>10.402399041448936</v>
      </c>
      <c r="K55" s="114">
        <v>2702.3377274253608</v>
      </c>
      <c r="L55" s="291">
        <v>240.38464588057178</v>
      </c>
      <c r="M55" s="114" t="s">
        <v>2531</v>
      </c>
      <c r="N55" s="290">
        <v>0.87869301655936816</v>
      </c>
      <c r="O55" s="290">
        <v>0.11780634609382096</v>
      </c>
      <c r="P55" s="290">
        <v>2.9289767218645603E-2</v>
      </c>
      <c r="Q55" s="290">
        <v>0.58031268517325485</v>
      </c>
      <c r="R55" s="290">
        <v>0.58031268517325485</v>
      </c>
      <c r="S55" s="290">
        <v>1.8287193308083753E-2</v>
      </c>
      <c r="T55" s="290">
        <v>9.0535365000664481</v>
      </c>
      <c r="U55" s="114">
        <v>2351.9164416903404</v>
      </c>
      <c r="V55" s="291">
        <v>209.2143511187748</v>
      </c>
      <c r="W55" t="s">
        <v>2531</v>
      </c>
      <c r="Y55" s="43">
        <f t="shared" si="0"/>
        <v>0.74721448516074374</v>
      </c>
      <c r="Z55" s="11">
        <f t="shared" si="1"/>
        <v>0.10017902337478676</v>
      </c>
      <c r="AA55" s="511">
        <f t="shared" si="1"/>
        <v>2.4907149505358127E-2</v>
      </c>
      <c r="AB55" s="11">
        <f t="shared" si="1"/>
        <v>0.49348069930254806</v>
      </c>
      <c r="AC55" s="512">
        <f t="shared" si="1"/>
        <v>0.49348069930254806</v>
      </c>
      <c r="AD55" s="11">
        <f t="shared" si="1"/>
        <v>1.5550886914112142E-2</v>
      </c>
      <c r="AE55" s="43">
        <f t="shared" si="1"/>
        <v>7.6988589726934364</v>
      </c>
    </row>
    <row r="56" spans="1:31" x14ac:dyDescent="0.25">
      <c r="A56" s="2" t="s">
        <v>2530</v>
      </c>
      <c r="B56" s="2">
        <v>2104008330</v>
      </c>
      <c r="C56" s="2" t="s">
        <v>2172</v>
      </c>
      <c r="D56" s="290">
        <v>0.75982179960407237</v>
      </c>
      <c r="E56" s="290">
        <v>8.1495428512025167E-2</v>
      </c>
      <c r="F56" s="290">
        <v>2.026191465610859E-2</v>
      </c>
      <c r="G56" s="290">
        <v>0.44543955978224753</v>
      </c>
      <c r="H56" s="290">
        <v>0.44543955978224753</v>
      </c>
      <c r="I56" s="290">
        <v>1.265061437129739E-2</v>
      </c>
      <c r="J56" s="290">
        <v>6.263005865868843</v>
      </c>
      <c r="K56" s="114">
        <v>1627.0051716903074</v>
      </c>
      <c r="L56" s="291">
        <v>144.72915730457524</v>
      </c>
      <c r="M56" s="114" t="s">
        <v>2531</v>
      </c>
      <c r="N56" s="290">
        <v>0.6612969151492446</v>
      </c>
      <c r="O56" s="290">
        <v>7.0928045894248379E-2</v>
      </c>
      <c r="P56" s="290">
        <v>1.7634584403979858E-2</v>
      </c>
      <c r="Q56" s="290">
        <v>0.38768012042156619</v>
      </c>
      <c r="R56" s="290">
        <v>0.38768012042156619</v>
      </c>
      <c r="S56" s="290">
        <v>1.1010229323297803E-2</v>
      </c>
      <c r="T56" s="290">
        <v>5.4508918549307896</v>
      </c>
      <c r="U56" s="114">
        <v>1416.0259005299849</v>
      </c>
      <c r="V56" s="291">
        <v>125.96235763114113</v>
      </c>
      <c r="W56" t="s">
        <v>2531</v>
      </c>
      <c r="Y56" s="43">
        <f t="shared" si="0"/>
        <v>0.93401810645092975</v>
      </c>
      <c r="Z56" s="11">
        <f t="shared" si="1"/>
        <v>0.10017902337478671</v>
      </c>
      <c r="AA56" s="511">
        <f t="shared" si="1"/>
        <v>2.490714950535813E-2</v>
      </c>
      <c r="AB56" s="11">
        <f t="shared" si="1"/>
        <v>0.54756077593844388</v>
      </c>
      <c r="AC56" s="512">
        <f t="shared" si="1"/>
        <v>0.54756077593844388</v>
      </c>
      <c r="AD56" s="11">
        <f t="shared" si="1"/>
        <v>1.5550886914112145E-2</v>
      </c>
      <c r="AE56" s="43">
        <f t="shared" si="1"/>
        <v>7.6988589726934373</v>
      </c>
    </row>
    <row r="57" spans="1:31" x14ac:dyDescent="0.25">
      <c r="A57" s="2" t="s">
        <v>2530</v>
      </c>
      <c r="B57" s="2">
        <v>2104008410</v>
      </c>
      <c r="C57" s="2" t="s">
        <v>2175</v>
      </c>
      <c r="D57" s="290">
        <v>1.2731524682268335E-2</v>
      </c>
      <c r="E57" s="290">
        <v>2.2233208111156547E-2</v>
      </c>
      <c r="F57" s="290">
        <v>1.7768797691234E-3</v>
      </c>
      <c r="G57" s="290">
        <v>1.6436137864391454E-2</v>
      </c>
      <c r="H57" s="290">
        <v>1.6436137864391454E-2</v>
      </c>
      <c r="I57" s="290">
        <v>3.9913161813934374E-4</v>
      </c>
      <c r="J57" s="290">
        <v>5.514990583416754E-2</v>
      </c>
      <c r="K57" s="114">
        <v>170.3874555878362</v>
      </c>
      <c r="L57" s="291">
        <v>15.156702198357969</v>
      </c>
      <c r="M57" s="114" t="s">
        <v>2531</v>
      </c>
      <c r="N57" s="290">
        <v>1.1080648122912045E-2</v>
      </c>
      <c r="O57" s="290">
        <v>1.9350263371543556E-2</v>
      </c>
      <c r="P57" s="290">
        <v>1.5464745951283563E-3</v>
      </c>
      <c r="Q57" s="290">
        <v>1.4304890004937293E-2</v>
      </c>
      <c r="R57" s="290">
        <v>1.4304890004937293E-2</v>
      </c>
      <c r="S57" s="290">
        <v>3.4737685593070711E-4</v>
      </c>
      <c r="T57" s="290">
        <v>4.7998705246296361E-2</v>
      </c>
      <c r="U57" s="114">
        <v>148.2927371319405</v>
      </c>
      <c r="V57" s="291">
        <v>13.19135672710723</v>
      </c>
      <c r="W57" t="s">
        <v>2531</v>
      </c>
      <c r="Y57" s="43">
        <f t="shared" si="0"/>
        <v>0.1494428970321488</v>
      </c>
      <c r="Z57" s="11">
        <f t="shared" si="1"/>
        <v>0.26097385139404433</v>
      </c>
      <c r="AA57" s="511">
        <f t="shared" si="1"/>
        <v>2.085705106046308E-2</v>
      </c>
      <c r="AB57" s="11">
        <f t="shared" si="1"/>
        <v>0.19292772230928348</v>
      </c>
      <c r="AC57" s="512">
        <f t="shared" si="1"/>
        <v>0.19292772230928348</v>
      </c>
      <c r="AD57" s="11">
        <f t="shared" si="1"/>
        <v>4.6850150944565214E-3</v>
      </c>
      <c r="AE57" s="43">
        <f t="shared" si="1"/>
        <v>0.64735072228912294</v>
      </c>
    </row>
    <row r="58" spans="1:31" x14ac:dyDescent="0.25">
      <c r="A58" s="2" t="s">
        <v>2530</v>
      </c>
      <c r="B58" s="2">
        <v>2104008420</v>
      </c>
      <c r="C58" s="2" t="s">
        <v>2179</v>
      </c>
      <c r="D58" s="290">
        <v>4.2943828431210009E-2</v>
      </c>
      <c r="E58" s="290">
        <v>7.4993301935835685E-2</v>
      </c>
      <c r="F58" s="290">
        <v>5.9934706841826731E-3</v>
      </c>
      <c r="G58" s="290">
        <v>5.5439603828689718E-2</v>
      </c>
      <c r="H58" s="290">
        <v>5.5439603828689718E-2</v>
      </c>
      <c r="I58" s="290">
        <v>1.3462833524345329E-3</v>
      </c>
      <c r="J58" s="290">
        <v>0.18602234636031975</v>
      </c>
      <c r="K58" s="114">
        <v>574.72218310075903</v>
      </c>
      <c r="L58" s="291">
        <v>51.124027564093922</v>
      </c>
      <c r="M58" s="114" t="s">
        <v>2531</v>
      </c>
      <c r="N58" s="290">
        <v>3.7375370489574754E-2</v>
      </c>
      <c r="O58" s="290">
        <v>6.5269039731244677E-2</v>
      </c>
      <c r="P58" s="290">
        <v>5.2163068716279491E-3</v>
      </c>
      <c r="Q58" s="290">
        <v>4.8250838562558511E-2</v>
      </c>
      <c r="R58" s="290">
        <v>4.8250838562558511E-2</v>
      </c>
      <c r="S58" s="290">
        <v>1.1717129310394279E-3</v>
      </c>
      <c r="T58" s="290">
        <v>0.16190112452815242</v>
      </c>
      <c r="U58" s="114">
        <v>500.19601107618246</v>
      </c>
      <c r="V58" s="291">
        <v>44.494856209386214</v>
      </c>
      <c r="W58" t="s">
        <v>2531</v>
      </c>
      <c r="Y58" s="43">
        <f t="shared" si="0"/>
        <v>0.14944289703214883</v>
      </c>
      <c r="Z58" s="11">
        <f t="shared" si="1"/>
        <v>0.26097385139404428</v>
      </c>
      <c r="AA58" s="511">
        <f t="shared" si="1"/>
        <v>2.0857051060463087E-2</v>
      </c>
      <c r="AB58" s="11">
        <f t="shared" si="1"/>
        <v>0.19292772230928351</v>
      </c>
      <c r="AC58" s="512">
        <f t="shared" si="1"/>
        <v>0.19292772230928351</v>
      </c>
      <c r="AD58" s="11">
        <f t="shared" si="1"/>
        <v>4.6850150944565214E-3</v>
      </c>
      <c r="AE58" s="43">
        <f t="shared" si="1"/>
        <v>0.64735072228912294</v>
      </c>
    </row>
    <row r="59" spans="1:31" x14ac:dyDescent="0.25">
      <c r="A59" s="2" t="s">
        <v>2530</v>
      </c>
      <c r="B59" s="2">
        <v>2104008610</v>
      </c>
      <c r="C59" s="2" t="s">
        <v>2182</v>
      </c>
      <c r="D59" s="290">
        <v>1.19667321505545</v>
      </c>
      <c r="E59" s="290">
        <v>4.2509140837660067E-2</v>
      </c>
      <c r="F59" s="290">
        <v>1.0543376344100878E-2</v>
      </c>
      <c r="G59" s="290">
        <v>0.26016181986408088</v>
      </c>
      <c r="H59" s="290">
        <v>0.26016181986408088</v>
      </c>
      <c r="I59" s="290">
        <v>6.4250958405351064E-3</v>
      </c>
      <c r="J59" s="290">
        <v>1.5965483304637031</v>
      </c>
      <c r="K59" s="114">
        <v>846.32437336935538</v>
      </c>
      <c r="L59" s="291">
        <v>75.310453100081162</v>
      </c>
      <c r="M59" s="114" t="s">
        <v>2531</v>
      </c>
      <c r="N59" s="290">
        <v>1.0941593140904757</v>
      </c>
      <c r="O59" s="290">
        <v>3.8867563672639202E-2</v>
      </c>
      <c r="P59" s="290">
        <v>9.6401701681980249E-3</v>
      </c>
      <c r="Q59" s="290">
        <v>0.23787486407625699</v>
      </c>
      <c r="R59" s="290">
        <v>0.23787486407625699</v>
      </c>
      <c r="S59" s="290">
        <v>5.8746852268434131E-3</v>
      </c>
      <c r="T59" s="290">
        <v>1.4597788303396724</v>
      </c>
      <c r="U59" s="114">
        <v>773.82308350936967</v>
      </c>
      <c r="V59" s="291">
        <v>68.858927124903957</v>
      </c>
      <c r="W59" t="s">
        <v>2531</v>
      </c>
      <c r="Y59" s="43">
        <f t="shared" si="0"/>
        <v>2.8279314417149388</v>
      </c>
      <c r="Z59" s="11">
        <f t="shared" si="1"/>
        <v>0.10045594271075679</v>
      </c>
      <c r="AA59" s="511">
        <f t="shared" si="1"/>
        <v>2.4915695521717528E-2</v>
      </c>
      <c r="AB59" s="11">
        <f t="shared" si="1"/>
        <v>0.61480425990258458</v>
      </c>
      <c r="AC59" s="512">
        <f t="shared" si="1"/>
        <v>0.61480425990258458</v>
      </c>
      <c r="AD59" s="11">
        <f t="shared" si="1"/>
        <v>1.518353575135312E-2</v>
      </c>
      <c r="AE59" s="43">
        <f t="shared" si="1"/>
        <v>3.7729007093441069</v>
      </c>
    </row>
    <row r="60" spans="1:31" x14ac:dyDescent="0.25">
      <c r="A60" s="2" t="s">
        <v>2530</v>
      </c>
      <c r="B60" s="2">
        <v>2104004000</v>
      </c>
      <c r="C60" s="2" t="s">
        <v>2196</v>
      </c>
      <c r="D60" s="290">
        <v>8.5340050569856191E-2</v>
      </c>
      <c r="E60" s="290">
        <v>1.3371228782389293</v>
      </c>
      <c r="F60" s="290">
        <v>3.4593934629564398</v>
      </c>
      <c r="G60" s="290">
        <v>5.4650798838103372E-2</v>
      </c>
      <c r="H60" s="290">
        <v>5.4650798838103372E-2</v>
      </c>
      <c r="I60" s="290">
        <v>2.9320153576642464E-3</v>
      </c>
      <c r="J60" s="290">
        <v>5.3603325193706385E-2</v>
      </c>
      <c r="K60" s="114">
        <v>32127.754822261093</v>
      </c>
      <c r="L60" s="291">
        <v>239.38303105148992</v>
      </c>
      <c r="M60" s="114" t="s">
        <v>2532</v>
      </c>
      <c r="N60" s="290">
        <v>7.8842795545356434E-2</v>
      </c>
      <c r="O60" s="290">
        <v>1.235322747104719</v>
      </c>
      <c r="P60" s="290">
        <v>3.1960169895558659</v>
      </c>
      <c r="Q60" s="290">
        <v>5.0490030535615231E-2</v>
      </c>
      <c r="R60" s="290">
        <v>5.0490030535615231E-2</v>
      </c>
      <c r="S60" s="290">
        <v>2.7087901382357575E-3</v>
      </c>
      <c r="T60" s="290">
        <v>4.9522304950349295E-2</v>
      </c>
      <c r="U60" s="114">
        <v>29681.749517003362</v>
      </c>
      <c r="V60" s="291">
        <v>221.15791176818067</v>
      </c>
      <c r="W60" t="s">
        <v>2532</v>
      </c>
      <c r="Y60" s="43">
        <f t="shared" si="0"/>
        <v>5.3125436895281987E-3</v>
      </c>
      <c r="Z60" s="11">
        <f t="shared" si="1"/>
        <v>8.3237866177467548E-2</v>
      </c>
      <c r="AA60" s="511">
        <f t="shared" si="1"/>
        <v>0.21535233209383492</v>
      </c>
      <c r="AB60" s="11">
        <f t="shared" si="1"/>
        <v>3.4020926230572579E-3</v>
      </c>
      <c r="AC60" s="512">
        <f t="shared" si="1"/>
        <v>3.4020926230572579E-3</v>
      </c>
      <c r="AD60" s="11">
        <f t="shared" si="1"/>
        <v>1.825222692270219E-4</v>
      </c>
      <c r="AE60" s="43">
        <f t="shared" si="1"/>
        <v>3.3368858477819956E-3</v>
      </c>
    </row>
    <row r="61" spans="1:31" x14ac:dyDescent="0.25">
      <c r="A61" s="2" t="s">
        <v>2530</v>
      </c>
      <c r="B61" s="2">
        <v>2103004001</v>
      </c>
      <c r="C61" s="2" t="s">
        <v>2206</v>
      </c>
      <c r="D61" s="290">
        <v>2.5605777249631995E-2</v>
      </c>
      <c r="E61" s="290">
        <v>0.64642915917724542</v>
      </c>
      <c r="F61" s="290">
        <v>0.4569248598913293</v>
      </c>
      <c r="G61" s="290">
        <v>1.6397648843873663E-2</v>
      </c>
      <c r="H61" s="290">
        <v>1.6397648843873663E-2</v>
      </c>
      <c r="I61" s="290">
        <v>8.7973386047382235E-4</v>
      </c>
      <c r="J61" s="290">
        <v>1.6083360574366087E-2</v>
      </c>
      <c r="K61" s="114">
        <v>9947.8265051164999</v>
      </c>
      <c r="L61" s="291">
        <v>74.120985868552609</v>
      </c>
      <c r="M61" s="114" t="s">
        <v>2532</v>
      </c>
      <c r="N61" s="290">
        <v>2.5145662040526866E-2</v>
      </c>
      <c r="O61" s="290">
        <v>0.63481334744668105</v>
      </c>
      <c r="P61" s="290">
        <v>0.44871428790186768</v>
      </c>
      <c r="Q61" s="290">
        <v>1.6102996291323644E-2</v>
      </c>
      <c r="R61" s="290">
        <v>1.6102996291323644E-2</v>
      </c>
      <c r="S61" s="290">
        <v>8.6392575102951362E-4</v>
      </c>
      <c r="T61" s="290">
        <v>1.5794355529073278E-2</v>
      </c>
      <c r="U61" s="114">
        <v>9769.0720690405942</v>
      </c>
      <c r="V61" s="291">
        <v>72.789091406630845</v>
      </c>
      <c r="W61" t="s">
        <v>2532</v>
      </c>
      <c r="Y61" s="43">
        <f t="shared" si="0"/>
        <v>5.1480144404332118E-3</v>
      </c>
      <c r="Z61" s="11">
        <f t="shared" si="1"/>
        <v>0.12996389891696747</v>
      </c>
      <c r="AA61" s="511">
        <f t="shared" si="1"/>
        <v>9.186425992779787E-2</v>
      </c>
      <c r="AB61" s="11">
        <f t="shared" si="1"/>
        <v>3.2967299611507718E-3</v>
      </c>
      <c r="AC61" s="512">
        <f t="shared" si="1"/>
        <v>3.2967299611507718E-3</v>
      </c>
      <c r="AD61" s="11">
        <f t="shared" si="1"/>
        <v>1.7686956241573894E-4</v>
      </c>
      <c r="AE61" s="43">
        <f t="shared" si="1"/>
        <v>3.2335426368953826E-3</v>
      </c>
    </row>
    <row r="62" spans="1:31" x14ac:dyDescent="0.25">
      <c r="A62" s="2" t="s">
        <v>2530</v>
      </c>
      <c r="B62" s="2">
        <v>2104004000</v>
      </c>
      <c r="C62" s="2" t="s">
        <v>2210</v>
      </c>
      <c r="D62" s="290">
        <v>5.7501417714061662E-4</v>
      </c>
      <c r="E62" s="290">
        <v>1.4516486940436325E-2</v>
      </c>
      <c r="F62" s="290">
        <v>2.330910600854684E-2</v>
      </c>
      <c r="G62" s="290">
        <v>3.2258859867636267E-4</v>
      </c>
      <c r="H62" s="290">
        <v>3.2258859867636267E-4</v>
      </c>
      <c r="I62" s="290">
        <v>1.9755676109787412E-5</v>
      </c>
      <c r="J62" s="290">
        <v>3.6117475584373696E-4</v>
      </c>
      <c r="K62" s="114">
        <v>220.9651253783415</v>
      </c>
      <c r="L62" s="291">
        <v>1.6129429933818145</v>
      </c>
      <c r="M62" s="114" t="s">
        <v>2532</v>
      </c>
      <c r="N62" s="290">
        <v>5.4287044121485825E-4</v>
      </c>
      <c r="O62" s="290">
        <v>1.3705004126041314E-2</v>
      </c>
      <c r="P62" s="290">
        <v>2.2006109007794625E-2</v>
      </c>
      <c r="Q62" s="290">
        <v>3.0455564724536242E-4</v>
      </c>
      <c r="R62" s="290">
        <v>3.0455564724536242E-4</v>
      </c>
      <c r="S62" s="290">
        <v>1.8651318580612057E-5</v>
      </c>
      <c r="T62" s="290">
        <v>3.4098480847127025E-4</v>
      </c>
      <c r="U62" s="114">
        <v>208.61300447189214</v>
      </c>
      <c r="V62" s="291">
        <v>1.5227782362268121</v>
      </c>
      <c r="W62" t="s">
        <v>2532</v>
      </c>
      <c r="Y62" s="43">
        <f t="shared" si="0"/>
        <v>5.204569509836123E-3</v>
      </c>
      <c r="Z62" s="11">
        <f t="shared" si="1"/>
        <v>0.13139165662980404</v>
      </c>
      <c r="AA62" s="511">
        <f t="shared" si="1"/>
        <v>0.21097542853096349</v>
      </c>
      <c r="AB62" s="11">
        <f t="shared" si="1"/>
        <v>2.9198145917734221E-3</v>
      </c>
      <c r="AC62" s="512">
        <f t="shared" si="1"/>
        <v>2.9198145917734221E-3</v>
      </c>
      <c r="AD62" s="11">
        <f t="shared" si="1"/>
        <v>1.7881261647928644E-4</v>
      </c>
      <c r="AE62" s="43">
        <f t="shared" si="1"/>
        <v>3.2690656973612922E-3</v>
      </c>
    </row>
    <row r="63" spans="1:31" x14ac:dyDescent="0.25">
      <c r="A63" s="2" t="s">
        <v>2530</v>
      </c>
      <c r="B63" s="2">
        <v>2104004000</v>
      </c>
      <c r="C63" s="2" t="s">
        <v>2214</v>
      </c>
      <c r="D63" s="290">
        <v>2.2298210915884823E-3</v>
      </c>
      <c r="E63" s="290">
        <v>3.4937227902180366E-2</v>
      </c>
      <c r="F63" s="290">
        <v>9.038931259466905E-2</v>
      </c>
      <c r="G63" s="290">
        <v>1.427952094094566E-3</v>
      </c>
      <c r="H63" s="290">
        <v>1.427952094094566E-3</v>
      </c>
      <c r="I63" s="290">
        <v>7.6609629848173493E-5</v>
      </c>
      <c r="J63" s="290">
        <v>1.4005830122910867E-3</v>
      </c>
      <c r="K63" s="114">
        <v>781.84470252050608</v>
      </c>
      <c r="L63" s="291">
        <v>6.2547576201640469</v>
      </c>
      <c r="M63" s="114" t="s">
        <v>2532</v>
      </c>
      <c r="N63" s="290">
        <v>1.8482909682463052E-3</v>
      </c>
      <c r="O63" s="290">
        <v>2.8959347021496412E-2</v>
      </c>
      <c r="P63" s="290">
        <v>7.4923387676678735E-2</v>
      </c>
      <c r="Q63" s="290">
        <v>1.1836245376633412E-3</v>
      </c>
      <c r="R63" s="290">
        <v>1.1836245376633412E-3</v>
      </c>
      <c r="S63" s="290">
        <v>6.3501456445638285E-5</v>
      </c>
      <c r="T63" s="290">
        <v>1.1609384006914603E-3</v>
      </c>
      <c r="U63" s="114">
        <v>648.06836193769493</v>
      </c>
      <c r="V63" s="291">
        <v>5.1845468955015592</v>
      </c>
      <c r="W63" t="s">
        <v>2532</v>
      </c>
      <c r="Y63" s="43">
        <f t="shared" si="0"/>
        <v>5.7039999999999973E-3</v>
      </c>
      <c r="Z63" s="11">
        <f t="shared" si="1"/>
        <v>8.9371272298833668E-2</v>
      </c>
      <c r="AA63" s="511">
        <f t="shared" si="1"/>
        <v>0.23122063065279475</v>
      </c>
      <c r="AB63" s="11">
        <f t="shared" si="1"/>
        <v>3.6527767969550548E-3</v>
      </c>
      <c r="AC63" s="512">
        <f t="shared" si="1"/>
        <v>3.6527767969550548E-3</v>
      </c>
      <c r="AD63" s="11">
        <f t="shared" si="1"/>
        <v>1.9597147515663878E-4</v>
      </c>
      <c r="AE63" s="43">
        <f t="shared" si="1"/>
        <v>3.5827652416800821E-3</v>
      </c>
    </row>
    <row r="64" spans="1:31" x14ac:dyDescent="0.25">
      <c r="A64" s="2" t="s">
        <v>2530</v>
      </c>
      <c r="B64" s="2">
        <v>2104006010</v>
      </c>
      <c r="C64" s="2" t="s">
        <v>2217</v>
      </c>
      <c r="D64" s="290">
        <v>6.5293806689556443E-4</v>
      </c>
      <c r="E64" s="290">
        <v>1.1159305143306025E-2</v>
      </c>
      <c r="F64" s="290">
        <v>7.1229607297697989E-5</v>
      </c>
      <c r="G64" s="290">
        <v>9.0224169243750753E-4</v>
      </c>
      <c r="H64" s="290">
        <v>9.0224169243750753E-4</v>
      </c>
      <c r="I64" s="290">
        <v>2.374320243256599E-3</v>
      </c>
      <c r="J64" s="290">
        <v>4.7486404865131979E-3</v>
      </c>
      <c r="K64" s="114">
        <v>293.10011686938094</v>
      </c>
      <c r="L64" s="291">
        <v>288.76858804865157</v>
      </c>
      <c r="M64" s="114" t="s">
        <v>2533</v>
      </c>
      <c r="N64" s="290">
        <v>6.5293806689556443E-4</v>
      </c>
      <c r="O64" s="290">
        <v>1.1159305143306025E-2</v>
      </c>
      <c r="P64" s="290">
        <v>7.1229607297697989E-5</v>
      </c>
      <c r="Q64" s="290">
        <v>9.0224169243750753E-4</v>
      </c>
      <c r="R64" s="290">
        <v>9.0224169243750753E-4</v>
      </c>
      <c r="S64" s="290">
        <v>2.374320243256599E-3</v>
      </c>
      <c r="T64" s="290">
        <v>4.7486404865131979E-3</v>
      </c>
      <c r="U64" s="114">
        <v>293.10011686938094</v>
      </c>
      <c r="V64" s="291">
        <v>288.76858804865157</v>
      </c>
      <c r="W64" t="s">
        <v>2533</v>
      </c>
      <c r="Y64" s="43">
        <f t="shared" si="0"/>
        <v>4.455392743405449E-3</v>
      </c>
      <c r="Z64" s="11">
        <f t="shared" si="1"/>
        <v>7.6146712341838688E-2</v>
      </c>
      <c r="AA64" s="511">
        <f t="shared" si="1"/>
        <v>4.8604284473514019E-4</v>
      </c>
      <c r="AB64" s="11">
        <f t="shared" si="1"/>
        <v>6.1565426999784408E-3</v>
      </c>
      <c r="AC64" s="512">
        <f t="shared" si="1"/>
        <v>6.1565426999784408E-3</v>
      </c>
      <c r="AD64" s="11">
        <f t="shared" si="1"/>
        <v>1.6201428157838003E-2</v>
      </c>
      <c r="AE64" s="43">
        <f t="shared" si="1"/>
        <v>3.2402856315676007E-2</v>
      </c>
    </row>
    <row r="65" spans="1:31" x14ac:dyDescent="0.25">
      <c r="A65" s="2" t="s">
        <v>2530</v>
      </c>
      <c r="B65" s="2">
        <v>2103006000</v>
      </c>
      <c r="C65" s="2" t="s">
        <v>2221</v>
      </c>
      <c r="D65" s="290">
        <v>6.9828654415653082E-3</v>
      </c>
      <c r="E65" s="290">
        <v>0.12696118984664193</v>
      </c>
      <c r="F65" s="290">
        <v>7.6176713907985234E-4</v>
      </c>
      <c r="G65" s="290">
        <v>9.6490504283447912E-3</v>
      </c>
      <c r="H65" s="290">
        <v>9.6490504283447912E-3</v>
      </c>
      <c r="I65" s="290">
        <v>2.5392237969328414E-2</v>
      </c>
      <c r="J65" s="290">
        <v>5.0784475938656828E-2</v>
      </c>
      <c r="K65" s="114">
        <v>2577.3121538868331</v>
      </c>
      <c r="L65" s="291">
        <v>2539.2237969328403</v>
      </c>
      <c r="M65" s="114" t="s">
        <v>2533</v>
      </c>
      <c r="N65" s="290">
        <v>6.9828654415653082E-3</v>
      </c>
      <c r="O65" s="290">
        <v>0.12696118984664193</v>
      </c>
      <c r="P65" s="290">
        <v>7.6176713907985234E-4</v>
      </c>
      <c r="Q65" s="290">
        <v>9.6490504283447912E-3</v>
      </c>
      <c r="R65" s="290">
        <v>9.6490504283447912E-3</v>
      </c>
      <c r="S65" s="290">
        <v>2.5392237969328414E-2</v>
      </c>
      <c r="T65" s="290">
        <v>5.0784475938656828E-2</v>
      </c>
      <c r="U65" s="114">
        <v>2577.3121538868331</v>
      </c>
      <c r="V65" s="291">
        <v>2539.2237969328403</v>
      </c>
      <c r="W65" t="s">
        <v>2533</v>
      </c>
      <c r="Y65" s="43">
        <f t="shared" si="0"/>
        <v>5.4187192118226573E-3</v>
      </c>
      <c r="Z65" s="11">
        <f t="shared" si="1"/>
        <v>9.852216748768465E-2</v>
      </c>
      <c r="AA65" s="511">
        <f t="shared" si="1"/>
        <v>5.9113300492610844E-4</v>
      </c>
      <c r="AB65" s="11">
        <f t="shared" si="1"/>
        <v>7.4876847290640371E-3</v>
      </c>
      <c r="AC65" s="512">
        <f t="shared" si="1"/>
        <v>7.4876847290640371E-3</v>
      </c>
      <c r="AD65" s="11">
        <f t="shared" si="1"/>
        <v>1.9704433497536953E-2</v>
      </c>
      <c r="AE65" s="43">
        <f t="shared" si="1"/>
        <v>3.9408866995073906E-2</v>
      </c>
    </row>
    <row r="66" spans="1:31" x14ac:dyDescent="0.25">
      <c r="A66" s="2" t="s">
        <v>2530</v>
      </c>
      <c r="B66" s="2">
        <v>2104002000</v>
      </c>
      <c r="C66" s="2" t="s">
        <v>2223</v>
      </c>
      <c r="D66" s="290">
        <v>0.12986346640367491</v>
      </c>
      <c r="E66" s="290">
        <v>6.1295556142534548E-2</v>
      </c>
      <c r="F66" s="290">
        <v>0.12077302375541761</v>
      </c>
      <c r="G66" s="290">
        <v>0.10376090965653623</v>
      </c>
      <c r="H66" s="290">
        <v>0.10376090965653623</v>
      </c>
      <c r="I66" s="290">
        <v>1.644006552937323E-2</v>
      </c>
      <c r="J66" s="290">
        <v>1.6956922125659848</v>
      </c>
      <c r="K66" s="114">
        <v>394.78493786717161</v>
      </c>
      <c r="L66" s="291">
        <v>25.972693280734983</v>
      </c>
      <c r="M66" s="114" t="s">
        <v>2531</v>
      </c>
      <c r="N66" s="290">
        <v>0.11382975267832468</v>
      </c>
      <c r="O66" s="290">
        <v>5.3727643264169268E-2</v>
      </c>
      <c r="P66" s="290">
        <v>0.10586166999084194</v>
      </c>
      <c r="Q66" s="290">
        <v>9.0949972389981398E-2</v>
      </c>
      <c r="R66" s="290">
        <v>9.0949972389981398E-2</v>
      </c>
      <c r="S66" s="290">
        <v>1.4410277540312511E-2</v>
      </c>
      <c r="T66" s="290">
        <v>1.4863319955972252</v>
      </c>
      <c r="U66" s="114">
        <v>346.04244814210716</v>
      </c>
      <c r="V66" s="291">
        <v>22.765950535664938</v>
      </c>
      <c r="W66" t="s">
        <v>2531</v>
      </c>
      <c r="Y66" s="43">
        <f t="shared" si="0"/>
        <v>0.65789473684210498</v>
      </c>
      <c r="Z66" s="11">
        <f t="shared" ref="Z66:AE66" si="2">O66/$U66*2000</f>
        <v>0.31052631578947365</v>
      </c>
      <c r="AA66" s="511">
        <f t="shared" si="2"/>
        <v>0.61184210526315763</v>
      </c>
      <c r="AB66" s="11">
        <f t="shared" si="2"/>
        <v>0.52565789473684177</v>
      </c>
      <c r="AC66" s="512">
        <f t="shared" si="2"/>
        <v>0.52565789473684177</v>
      </c>
      <c r="AD66" s="11">
        <f t="shared" si="2"/>
        <v>8.3286184210526276E-2</v>
      </c>
      <c r="AE66" s="43">
        <f t="shared" si="2"/>
        <v>8.5904605263157912</v>
      </c>
    </row>
    <row r="67" spans="1:31" x14ac:dyDescent="0.25">
      <c r="A67" s="2" t="s">
        <v>2530</v>
      </c>
      <c r="B67" s="2">
        <v>2103002000</v>
      </c>
      <c r="C67" s="2" t="s">
        <v>2527</v>
      </c>
      <c r="D67" s="290">
        <v>3.5695318167210945E-4</v>
      </c>
      <c r="E67" s="290">
        <v>1.684819017492357E-4</v>
      </c>
      <c r="F67" s="290">
        <v>3.3196645895506162E-4</v>
      </c>
      <c r="G67" s="290">
        <v>2.8520559215601543E-4</v>
      </c>
      <c r="H67" s="290">
        <v>2.8520559215601543E-4</v>
      </c>
      <c r="I67" s="290">
        <v>4.5188488033780734E-5</v>
      </c>
      <c r="J67" s="290">
        <v>4.6609161696835677E-3</v>
      </c>
      <c r="K67" s="114">
        <v>16.409830233226156</v>
      </c>
      <c r="L67" s="291">
        <v>1.0851376722832122</v>
      </c>
      <c r="M67" s="114" t="s">
        <v>2531</v>
      </c>
      <c r="N67" s="290">
        <v>3.373250655116712E-4</v>
      </c>
      <c r="O67" s="290">
        <v>1.5921743092150886E-4</v>
      </c>
      <c r="P67" s="290">
        <v>3.1371231092585424E-4</v>
      </c>
      <c r="Q67" s="290">
        <v>2.6952272734382532E-4</v>
      </c>
      <c r="R67" s="290">
        <v>2.6952272734382532E-4</v>
      </c>
      <c r="S67" s="290">
        <v>4.2703666668450033E-5</v>
      </c>
      <c r="T67" s="290">
        <v>4.4046220429186473E-3</v>
      </c>
      <c r="U67" s="114">
        <v>15.502854241684634</v>
      </c>
      <c r="V67" s="291">
        <v>1.0254681991554806</v>
      </c>
      <c r="W67" t="s">
        <v>2531</v>
      </c>
      <c r="Y67" s="43"/>
      <c r="Z67" s="11"/>
      <c r="AA67" s="511"/>
      <c r="AB67" s="11"/>
      <c r="AC67" s="512"/>
      <c r="AD67" s="11"/>
      <c r="AE67" s="43"/>
    </row>
    <row r="68" spans="1:31" x14ac:dyDescent="0.25">
      <c r="A68" s="2" t="s">
        <v>2530</v>
      </c>
      <c r="B68" s="2">
        <v>2103008000</v>
      </c>
      <c r="C68" s="2" t="s">
        <v>2528</v>
      </c>
      <c r="D68" s="290">
        <v>1.0907183589339991E-3</v>
      </c>
      <c r="E68" s="290">
        <v>4.336668902742203E-5</v>
      </c>
      <c r="F68" s="290">
        <v>9.4541280565428541E-6</v>
      </c>
      <c r="G68" s="290">
        <v>3.0673763335701783E-4</v>
      </c>
      <c r="H68" s="290">
        <v>3.0673763335701783E-4</v>
      </c>
      <c r="I68" s="290">
        <v>1.123157753362016E-5</v>
      </c>
      <c r="J68" s="290">
        <v>2.1817155207571283E-3</v>
      </c>
      <c r="K68" s="114">
        <v>9.9032591487055033</v>
      </c>
      <c r="L68" s="291">
        <v>0.81778207689095661</v>
      </c>
      <c r="M68" s="114" t="s">
        <v>2531</v>
      </c>
      <c r="N68" s="290">
        <v>8.9417200808487439E-4</v>
      </c>
      <c r="O68" s="290">
        <v>3.6384819286996321E-5</v>
      </c>
      <c r="P68" s="290">
        <v>7.722442145977874E-6</v>
      </c>
      <c r="Q68" s="290">
        <v>2.6400762512984857E-4</v>
      </c>
      <c r="R68" s="290">
        <v>2.6400762512984857E-4</v>
      </c>
      <c r="S68" s="290">
        <v>1.0176294332303954E-5</v>
      </c>
      <c r="T68" s="290">
        <v>1.9194920963844482E-3</v>
      </c>
      <c r="U68" s="114">
        <v>8.0893071656224507</v>
      </c>
      <c r="V68" s="291">
        <v>0.66799124562708578</v>
      </c>
      <c r="W68" t="s">
        <v>2531</v>
      </c>
      <c r="Y68" s="43"/>
      <c r="Z68" s="11"/>
      <c r="AA68" s="511"/>
      <c r="AB68" s="11"/>
      <c r="AC68" s="512"/>
      <c r="AD68" s="11"/>
      <c r="AE68" s="43"/>
    </row>
    <row r="69" spans="1:31" x14ac:dyDescent="0.25">
      <c r="A69" s="44" t="s">
        <v>2530</v>
      </c>
      <c r="B69" s="44">
        <v>2102012000</v>
      </c>
      <c r="C69" s="44" t="s">
        <v>2228</v>
      </c>
      <c r="D69" s="292">
        <v>4.6572617087992899E-4</v>
      </c>
      <c r="E69" s="292">
        <v>2.4313208047262627E-2</v>
      </c>
      <c r="F69" s="292">
        <v>1.7215675806713706E-2</v>
      </c>
      <c r="G69" s="292">
        <v>2.4237240576798036E-3</v>
      </c>
      <c r="H69" s="292">
        <v>2.4237240576798036E-3</v>
      </c>
      <c r="I69" s="292">
        <v>1.6944363412197303E-5</v>
      </c>
      <c r="J69" s="292">
        <v>5.7879977496831138E-3</v>
      </c>
      <c r="K69" s="245">
        <v>129.0061493337403</v>
      </c>
      <c r="L69" s="293">
        <v>0.93145234175985725</v>
      </c>
      <c r="M69" s="245" t="s">
        <v>2532</v>
      </c>
      <c r="N69" s="292">
        <v>4.6572617087992899E-4</v>
      </c>
      <c r="O69" s="292">
        <v>2.4313208047262627E-2</v>
      </c>
      <c r="P69" s="292">
        <v>1.7215675806713706E-2</v>
      </c>
      <c r="Q69" s="292">
        <v>2.4237240576798036E-3</v>
      </c>
      <c r="R69" s="292">
        <v>2.4237240576798036E-3</v>
      </c>
      <c r="S69" s="292">
        <v>1.6944363412197303E-5</v>
      </c>
      <c r="T69" s="292">
        <v>5.7879977496831138E-3</v>
      </c>
      <c r="U69" s="245">
        <v>129.0061493337403</v>
      </c>
      <c r="V69" s="293">
        <v>0.93145234175985725</v>
      </c>
      <c r="W69" s="9" t="s">
        <v>2532</v>
      </c>
      <c r="Y69" s="513">
        <f t="shared" ref="Y69:AE70" si="3">N69/$U69*2000</f>
        <v>7.2202166064981969E-3</v>
      </c>
      <c r="Z69" s="514">
        <f t="shared" si="3"/>
        <v>0.37693099395384783</v>
      </c>
      <c r="AA69" s="515">
        <f t="shared" si="3"/>
        <v>0.2668969796498083</v>
      </c>
      <c r="AB69" s="514">
        <f t="shared" si="3"/>
        <v>3.7575325985579236E-2</v>
      </c>
      <c r="AC69" s="516">
        <f t="shared" si="3"/>
        <v>3.7575325985579236E-2</v>
      </c>
      <c r="AD69" s="514">
        <f t="shared" si="3"/>
        <v>2.6269078644246724E-4</v>
      </c>
      <c r="AE69" s="513">
        <f t="shared" si="3"/>
        <v>8.973212175660715E-2</v>
      </c>
    </row>
    <row r="70" spans="1:31" x14ac:dyDescent="0.25">
      <c r="A70" s="71" t="s">
        <v>2530</v>
      </c>
      <c r="B70" s="71" t="s">
        <v>2462</v>
      </c>
      <c r="C70" s="71"/>
      <c r="D70" s="294">
        <v>10.443225974927744</v>
      </c>
      <c r="E70" s="294">
        <v>2.7455270631304112</v>
      </c>
      <c r="F70" s="294">
        <v>4.2693246937939566</v>
      </c>
      <c r="G70" s="294">
        <v>2.9961573951647611</v>
      </c>
      <c r="H70" s="294">
        <v>2.9961573951647611</v>
      </c>
      <c r="I70" s="294">
        <v>0.1534030799453597</v>
      </c>
      <c r="J70" s="294">
        <v>31.845297890771107</v>
      </c>
      <c r="K70" s="244">
        <v>54661.381079323961</v>
      </c>
      <c r="L70" s="244"/>
      <c r="M70" s="244"/>
      <c r="N70" s="294">
        <v>9.4044941023960114</v>
      </c>
      <c r="O70" s="294">
        <v>2.5591335587134059</v>
      </c>
      <c r="P70" s="294">
        <v>3.953958604121361</v>
      </c>
      <c r="Q70" s="294">
        <v>2.6644755935527851</v>
      </c>
      <c r="R70" s="294">
        <v>2.6644755935527851</v>
      </c>
      <c r="S70" s="294">
        <v>0.13974922811631021</v>
      </c>
      <c r="T70" s="294">
        <v>28.089386238517683</v>
      </c>
      <c r="U70" s="244">
        <v>50853.388904488944</v>
      </c>
      <c r="Y70" s="43">
        <f t="shared" si="3"/>
        <v>0.36986695695184457</v>
      </c>
      <c r="Z70" s="11">
        <f t="shared" si="3"/>
        <v>0.10064751293251591</v>
      </c>
      <c r="AA70" s="511">
        <f t="shared" si="3"/>
        <v>0.15550423243365541</v>
      </c>
      <c r="AB70" s="11">
        <f t="shared" si="3"/>
        <v>0.10479048303180384</v>
      </c>
      <c r="AC70" s="512">
        <f t="shared" si="3"/>
        <v>0.10479048303180384</v>
      </c>
      <c r="AD70" s="11">
        <f t="shared" si="3"/>
        <v>5.4961618537864732E-3</v>
      </c>
      <c r="AE70" s="43">
        <f t="shared" si="3"/>
        <v>1.1047203281289351</v>
      </c>
    </row>
    <row r="71" spans="1:31" x14ac:dyDescent="0.25">
      <c r="R71" s="290"/>
    </row>
    <row r="72" spans="1:31" x14ac:dyDescent="0.25">
      <c r="L72" s="291"/>
      <c r="Y72" s="923" t="s">
        <v>3010</v>
      </c>
      <c r="Z72" s="923"/>
      <c r="AA72" s="923"/>
      <c r="AB72" s="923"/>
      <c r="AC72" s="923"/>
      <c r="AD72" s="923"/>
      <c r="AE72" s="923"/>
    </row>
    <row r="73" spans="1:31" x14ac:dyDescent="0.25">
      <c r="I73" s="923" t="s">
        <v>3177</v>
      </c>
      <c r="J73" s="923"/>
      <c r="K73" s="923"/>
      <c r="L73" s="923"/>
      <c r="M73" s="923"/>
      <c r="N73" s="923"/>
      <c r="O73" s="923"/>
      <c r="P73" s="923"/>
      <c r="Q73" s="923"/>
      <c r="R73" s="923"/>
      <c r="S73" s="923"/>
      <c r="T73" s="923"/>
      <c r="U73" s="923"/>
      <c r="Y73" s="44" t="s">
        <v>2143</v>
      </c>
      <c r="Z73" s="44" t="s">
        <v>2144</v>
      </c>
      <c r="AA73" s="517" t="s">
        <v>2145</v>
      </c>
      <c r="AB73" s="44" t="s">
        <v>2146</v>
      </c>
      <c r="AC73" s="518" t="s">
        <v>2147</v>
      </c>
      <c r="AD73" s="44" t="s">
        <v>2148</v>
      </c>
      <c r="AE73" s="44" t="s">
        <v>2149</v>
      </c>
    </row>
    <row r="74" spans="1:31" x14ac:dyDescent="0.25">
      <c r="I74" s="71"/>
      <c r="J74" s="71"/>
      <c r="K74" s="71"/>
      <c r="L74" s="71"/>
      <c r="M74" s="1" t="s">
        <v>3178</v>
      </c>
      <c r="N74" s="290">
        <f>SUM(N51,N54)</f>
        <v>1.9341189850736507</v>
      </c>
      <c r="O74" s="290">
        <f t="shared" ref="O74:U74" si="4">SUM(O51,O54)</f>
        <v>5.5302647175667893E-2</v>
      </c>
      <c r="P74" s="290">
        <f t="shared" si="4"/>
        <v>1.4597124415650191E-2</v>
      </c>
      <c r="Q74" s="290">
        <f t="shared" si="4"/>
        <v>0.47472899275567032</v>
      </c>
      <c r="R74" s="290">
        <f t="shared" si="4"/>
        <v>0.47472899275567032</v>
      </c>
      <c r="S74" s="290">
        <f t="shared" si="4"/>
        <v>1.6721645240761848E-2</v>
      </c>
      <c r="T74" s="290">
        <f t="shared" si="4"/>
        <v>4.6097338219106891</v>
      </c>
      <c r="U74" s="114">
        <f t="shared" si="4"/>
        <v>1172.1232421646646</v>
      </c>
      <c r="Y74" s="43">
        <f t="shared" ref="Y74:AE81" si="5">N74/$U74*2000</f>
        <v>3.3001973094599517</v>
      </c>
      <c r="Z74" s="11">
        <f t="shared" si="5"/>
        <v>9.4363195244785966E-2</v>
      </c>
      <c r="AA74" s="511">
        <f t="shared" si="5"/>
        <v>2.490714950535812E-2</v>
      </c>
      <c r="AB74" s="11">
        <f t="shared" si="5"/>
        <v>0.81003255575573418</v>
      </c>
      <c r="AC74" s="512">
        <f t="shared" si="5"/>
        <v>0.81003255575573418</v>
      </c>
      <c r="AD74" s="11">
        <f t="shared" si="5"/>
        <v>2.8532230467302216E-2</v>
      </c>
      <c r="AE74" s="43">
        <f t="shared" si="5"/>
        <v>7.8656128572239243</v>
      </c>
    </row>
    <row r="75" spans="1:31" x14ac:dyDescent="0.25">
      <c r="M75" s="1" t="s">
        <v>3003</v>
      </c>
      <c r="N75" s="290">
        <f t="shared" ref="N75:U75" si="6">SUM(N52:N53,N55:N56)</f>
        <v>1.6158731083274518</v>
      </c>
      <c r="O75" s="290">
        <f t="shared" si="6"/>
        <v>0.20029540543558433</v>
      </c>
      <c r="P75" s="290">
        <f t="shared" si="6"/>
        <v>4.9236554312128457E-2</v>
      </c>
      <c r="Q75" s="290">
        <f t="shared" si="6"/>
        <v>1.0395312515911606</v>
      </c>
      <c r="R75" s="290">
        <f t="shared" si="6"/>
        <v>1.0395312515911606</v>
      </c>
      <c r="S75" s="290">
        <f t="shared" si="6"/>
        <v>3.4499878682763302E-2</v>
      </c>
      <c r="T75" s="290">
        <f t="shared" si="6"/>
        <v>15.244897754182054</v>
      </c>
      <c r="U75" s="114">
        <f t="shared" si="6"/>
        <v>3953.6081237667513</v>
      </c>
      <c r="Y75" s="43">
        <f t="shared" si="5"/>
        <v>0.81741693043060049</v>
      </c>
      <c r="Z75" s="11">
        <f t="shared" si="5"/>
        <v>0.10132284190308438</v>
      </c>
      <c r="AA75" s="511">
        <f t="shared" si="5"/>
        <v>2.4907149505358127E-2</v>
      </c>
      <c r="AB75" s="11">
        <f t="shared" si="5"/>
        <v>0.52586458700452088</v>
      </c>
      <c r="AC75" s="512">
        <f t="shared" si="5"/>
        <v>0.52586458700452088</v>
      </c>
      <c r="AD75" s="11">
        <f t="shared" si="5"/>
        <v>1.7452351170248997E-2</v>
      </c>
      <c r="AE75" s="43">
        <f t="shared" si="5"/>
        <v>7.7118911520536164</v>
      </c>
    </row>
    <row r="76" spans="1:31" x14ac:dyDescent="0.25">
      <c r="M76" s="1" t="s">
        <v>3004</v>
      </c>
      <c r="N76" s="290">
        <f t="shared" ref="N76:V76" si="7">SUM(N60,N62:N63)</f>
        <v>8.1233956954817596E-2</v>
      </c>
      <c r="O76" s="290">
        <f t="shared" si="7"/>
        <v>1.2779870982522568</v>
      </c>
      <c r="P76" s="290">
        <f t="shared" si="7"/>
        <v>3.2929464862403393</v>
      </c>
      <c r="Q76" s="290">
        <f t="shared" si="7"/>
        <v>5.1978210720523929E-2</v>
      </c>
      <c r="R76" s="290">
        <f t="shared" si="7"/>
        <v>5.1978210720523929E-2</v>
      </c>
      <c r="S76" s="290">
        <f t="shared" si="7"/>
        <v>2.7909429132620079E-3</v>
      </c>
      <c r="T76" s="290">
        <f t="shared" si="7"/>
        <v>5.1024228159512026E-2</v>
      </c>
      <c r="U76" s="114">
        <f t="shared" si="7"/>
        <v>30538.430883412948</v>
      </c>
      <c r="V76" s="291">
        <f t="shared" si="7"/>
        <v>227.86523689990904</v>
      </c>
      <c r="W76" t="s">
        <v>2532</v>
      </c>
      <c r="Y76" s="43">
        <f t="shared" si="5"/>
        <v>5.3201133525783142E-3</v>
      </c>
      <c r="Z76" s="11">
        <f t="shared" si="5"/>
        <v>8.3696972063250288E-2</v>
      </c>
      <c r="AA76" s="511">
        <f t="shared" si="5"/>
        <v>0.21565918031688486</v>
      </c>
      <c r="AB76" s="11">
        <f t="shared" si="5"/>
        <v>3.4041179731180015E-3</v>
      </c>
      <c r="AC76" s="512">
        <f t="shared" si="5"/>
        <v>3.4041179731180015E-3</v>
      </c>
      <c r="AD76" s="11">
        <f t="shared" si="5"/>
        <v>1.8278233900864357E-4</v>
      </c>
      <c r="AE76" s="43">
        <f t="shared" si="5"/>
        <v>3.3416404630812911E-3</v>
      </c>
    </row>
    <row r="77" spans="1:31" x14ac:dyDescent="0.25">
      <c r="M77" s="1" t="s">
        <v>3005</v>
      </c>
      <c r="N77" s="290">
        <f t="shared" ref="N77:U77" si="8">SUM(N64,N66)</f>
        <v>0.11448269074522024</v>
      </c>
      <c r="O77" s="290">
        <f t="shared" si="8"/>
        <v>6.4886948407475289E-2</v>
      </c>
      <c r="P77" s="290">
        <f t="shared" si="8"/>
        <v>0.10593289959813965</v>
      </c>
      <c r="Q77" s="290">
        <f t="shared" si="8"/>
        <v>9.1852214082418907E-2</v>
      </c>
      <c r="R77" s="290">
        <f t="shared" si="8"/>
        <v>9.1852214082418907E-2</v>
      </c>
      <c r="S77" s="290">
        <f t="shared" si="8"/>
        <v>1.6784597783569111E-2</v>
      </c>
      <c r="T77" s="290">
        <f t="shared" si="8"/>
        <v>1.4910806360837383</v>
      </c>
      <c r="U77" s="114">
        <f t="shared" si="8"/>
        <v>639.14256501148816</v>
      </c>
      <c r="Y77" s="43">
        <f t="shared" si="5"/>
        <v>0.35823835561057493</v>
      </c>
      <c r="Z77" s="11">
        <f t="shared" si="5"/>
        <v>0.20304374003414713</v>
      </c>
      <c r="AA77" s="511">
        <f t="shared" si="5"/>
        <v>0.33148441489336755</v>
      </c>
      <c r="AB77" s="11">
        <f t="shared" si="5"/>
        <v>0.28742324204543607</v>
      </c>
      <c r="AC77" s="512">
        <f t="shared" si="5"/>
        <v>0.28742324204543607</v>
      </c>
      <c r="AD77" s="11">
        <f t="shared" si="5"/>
        <v>5.2522234325818741E-2</v>
      </c>
      <c r="AE77" s="43">
        <f t="shared" si="5"/>
        <v>4.6658780613584607</v>
      </c>
    </row>
    <row r="78" spans="1:31" x14ac:dyDescent="0.25">
      <c r="M78" s="1" t="s">
        <v>3006</v>
      </c>
      <c r="N78" s="290">
        <f t="shared" ref="N78:V78" si="9">N61</f>
        <v>2.5145662040526866E-2</v>
      </c>
      <c r="O78" s="290">
        <f t="shared" si="9"/>
        <v>0.63481334744668105</v>
      </c>
      <c r="P78" s="290">
        <f t="shared" si="9"/>
        <v>0.44871428790186768</v>
      </c>
      <c r="Q78" s="290">
        <f t="shared" si="9"/>
        <v>1.6102996291323644E-2</v>
      </c>
      <c r="R78" s="290">
        <f t="shared" si="9"/>
        <v>1.6102996291323644E-2</v>
      </c>
      <c r="S78" s="290">
        <f t="shared" si="9"/>
        <v>8.6392575102951362E-4</v>
      </c>
      <c r="T78" s="290">
        <f t="shared" si="9"/>
        <v>1.5794355529073278E-2</v>
      </c>
      <c r="U78" s="114">
        <f t="shared" si="9"/>
        <v>9769.0720690405942</v>
      </c>
      <c r="V78" s="291">
        <f t="shared" si="9"/>
        <v>72.789091406630845</v>
      </c>
      <c r="W78" t="s">
        <v>2532</v>
      </c>
      <c r="Y78" s="43">
        <f t="shared" si="5"/>
        <v>5.1480144404332118E-3</v>
      </c>
      <c r="Z78" s="11">
        <f t="shared" si="5"/>
        <v>0.12996389891696747</v>
      </c>
      <c r="AA78" s="511">
        <f t="shared" si="5"/>
        <v>9.186425992779787E-2</v>
      </c>
      <c r="AB78" s="11">
        <f t="shared" si="5"/>
        <v>3.2967299611507718E-3</v>
      </c>
      <c r="AC78" s="512">
        <f t="shared" si="5"/>
        <v>3.2967299611507718E-3</v>
      </c>
      <c r="AD78" s="11">
        <f t="shared" si="5"/>
        <v>1.7686956241573894E-4</v>
      </c>
      <c r="AE78" s="43">
        <f t="shared" si="5"/>
        <v>3.2335426368953826E-3</v>
      </c>
    </row>
    <row r="79" spans="1:31" x14ac:dyDescent="0.25">
      <c r="M79" s="1" t="s">
        <v>3007</v>
      </c>
      <c r="N79" s="290">
        <f t="shared" ref="N79:U79" si="10">SUM(N50:N59,N68)</f>
        <v>9.1758458759774904</v>
      </c>
      <c r="O79" s="290">
        <f t="shared" si="10"/>
        <v>0.43001254928216698</v>
      </c>
      <c r="P79" s="290">
        <f t="shared" si="10"/>
        <v>8.8073775124294401E-2</v>
      </c>
      <c r="Q79" s="290">
        <f t="shared" si="10"/>
        <v>2.4921998752451495</v>
      </c>
      <c r="R79" s="290">
        <f t="shared" si="10"/>
        <v>2.4921998752451495</v>
      </c>
      <c r="S79" s="290">
        <f t="shared" si="10"/>
        <v>9.3857875669040511E-2</v>
      </c>
      <c r="T79" s="290">
        <f t="shared" si="10"/>
        <v>26.470509923014099</v>
      </c>
      <c r="U79" s="114">
        <f t="shared" si="10"/>
        <v>7184.9222295616446</v>
      </c>
      <c r="Y79" s="43">
        <f t="shared" si="5"/>
        <v>2.554194905053917</v>
      </c>
      <c r="Z79" s="11">
        <f t="shared" si="5"/>
        <v>0.11969859534816488</v>
      </c>
      <c r="AA79" s="511">
        <f t="shared" si="5"/>
        <v>2.4516277924880984E-2</v>
      </c>
      <c r="AB79" s="11">
        <f t="shared" si="5"/>
        <v>0.69373050831120819</v>
      </c>
      <c r="AC79" s="512">
        <f t="shared" si="5"/>
        <v>0.69373050831120819</v>
      </c>
      <c r="AD79" s="11">
        <f t="shared" si="5"/>
        <v>2.6126344216468107E-2</v>
      </c>
      <c r="AE79" s="43">
        <f t="shared" si="5"/>
        <v>7.3683497405452298</v>
      </c>
    </row>
    <row r="80" spans="1:31" x14ac:dyDescent="0.25">
      <c r="M80" s="1" t="s">
        <v>3008</v>
      </c>
      <c r="N80" s="290">
        <f t="shared" ref="N80:U80" si="11">SUM(N65,N67,N69)</f>
        <v>7.785916677956908E-3</v>
      </c>
      <c r="O80" s="290">
        <f t="shared" si="11"/>
        <v>0.15143361532482608</v>
      </c>
      <c r="P80" s="290">
        <f t="shared" si="11"/>
        <v>1.8291155256719413E-2</v>
      </c>
      <c r="Q80" s="290">
        <f t="shared" si="11"/>
        <v>1.234229721336842E-2</v>
      </c>
      <c r="R80" s="290">
        <f t="shared" si="11"/>
        <v>1.234229721336842E-2</v>
      </c>
      <c r="S80" s="290">
        <f t="shared" si="11"/>
        <v>2.5451885999409063E-2</v>
      </c>
      <c r="T80" s="290">
        <f t="shared" si="11"/>
        <v>6.097709573125859E-2</v>
      </c>
      <c r="U80" s="114">
        <f t="shared" si="11"/>
        <v>2721.8211574622578</v>
      </c>
      <c r="Y80" s="43">
        <f t="shared" si="5"/>
        <v>5.7211082047846648E-3</v>
      </c>
      <c r="Z80" s="11">
        <f t="shared" si="5"/>
        <v>0.11127374398545577</v>
      </c>
      <c r="AA80" s="511">
        <f t="shared" si="5"/>
        <v>1.3440379950439891E-2</v>
      </c>
      <c r="AB80" s="11">
        <f t="shared" si="5"/>
        <v>9.0691463541094659E-3</v>
      </c>
      <c r="AC80" s="512">
        <f t="shared" si="5"/>
        <v>9.0691463541094659E-3</v>
      </c>
      <c r="AD80" s="11">
        <f t="shared" si="5"/>
        <v>1.8702100194664971E-2</v>
      </c>
      <c r="AE80" s="43">
        <f t="shared" si="5"/>
        <v>4.4806100183387328E-2</v>
      </c>
    </row>
    <row r="81" spans="13:31" x14ac:dyDescent="0.25">
      <c r="M81" s="1" t="s">
        <v>3009</v>
      </c>
      <c r="N81" s="290">
        <f>SUM(N76:N80)</f>
        <v>9.4044941023960114</v>
      </c>
      <c r="O81" s="290">
        <f t="shared" ref="O81:U81" si="12">SUM(O76:O80)</f>
        <v>2.5591335587134063</v>
      </c>
      <c r="P81" s="290">
        <f t="shared" si="12"/>
        <v>3.9539586041213606</v>
      </c>
      <c r="Q81" s="290">
        <f t="shared" si="12"/>
        <v>2.6644755935527846</v>
      </c>
      <c r="R81" s="290">
        <f t="shared" si="12"/>
        <v>2.6644755935527846</v>
      </c>
      <c r="S81" s="290">
        <f t="shared" si="12"/>
        <v>0.13974922811631021</v>
      </c>
      <c r="T81" s="290">
        <f t="shared" si="12"/>
        <v>28.08938623851768</v>
      </c>
      <c r="U81" s="114">
        <f t="shared" si="12"/>
        <v>50853.388904488929</v>
      </c>
      <c r="Y81" s="43">
        <f t="shared" si="5"/>
        <v>0.36986695695184468</v>
      </c>
      <c r="Z81" s="11">
        <f t="shared" si="5"/>
        <v>0.10064751293251595</v>
      </c>
      <c r="AA81" s="511">
        <f t="shared" si="5"/>
        <v>0.15550423243365544</v>
      </c>
      <c r="AB81" s="11">
        <f t="shared" si="5"/>
        <v>0.10479048303180385</v>
      </c>
      <c r="AC81" s="512">
        <f t="shared" si="5"/>
        <v>0.10479048303180385</v>
      </c>
      <c r="AD81" s="11">
        <f t="shared" si="5"/>
        <v>5.496161853786475E-3</v>
      </c>
      <c r="AE81" s="43">
        <f t="shared" si="5"/>
        <v>1.1047203281289351</v>
      </c>
    </row>
  </sheetData>
  <autoFilter ref="A1:W2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AE81"/>
  <sheetViews>
    <sheetView zoomScale="84" zoomScaleNormal="84" workbookViewId="0">
      <pane ySplit="5" topLeftCell="A6" activePane="bottomLeft" state="frozen"/>
      <selection activeCell="A2" sqref="A2:W2"/>
      <selection pane="bottomLeft" activeCell="A6" sqref="A6"/>
    </sheetView>
  </sheetViews>
  <sheetFormatPr defaultRowHeight="15" x14ac:dyDescent="0.25"/>
  <cols>
    <col min="2" max="3" width="13.42578125" customWidth="1"/>
  </cols>
  <sheetData>
    <row r="1" spans="1:23" ht="15.75" x14ac:dyDescent="0.25">
      <c r="A1" s="924" t="s">
        <v>2518</v>
      </c>
      <c r="B1" s="924"/>
      <c r="C1" s="924"/>
      <c r="D1" s="924"/>
      <c r="E1" s="924"/>
      <c r="F1" s="924"/>
      <c r="G1" s="924"/>
      <c r="H1" s="924"/>
      <c r="I1" s="924"/>
      <c r="J1" s="924"/>
      <c r="K1" s="924"/>
      <c r="L1" s="924"/>
      <c r="M1" s="924"/>
      <c r="N1" s="924"/>
      <c r="O1" s="924"/>
      <c r="P1" s="924"/>
      <c r="Q1" s="924"/>
      <c r="R1" s="924"/>
      <c r="S1" s="924"/>
      <c r="T1" s="924"/>
      <c r="U1" s="924"/>
      <c r="V1" s="924"/>
      <c r="W1" s="924"/>
    </row>
    <row r="2" spans="1:23" x14ac:dyDescent="0.25">
      <c r="A2" s="946" t="s">
        <v>3497</v>
      </c>
      <c r="B2" s="946"/>
      <c r="C2" s="946"/>
      <c r="D2" s="946"/>
      <c r="E2" s="946"/>
      <c r="F2" s="946"/>
      <c r="G2" s="946"/>
      <c r="H2" s="946"/>
      <c r="I2" s="946"/>
      <c r="J2" s="946"/>
      <c r="K2" s="946"/>
      <c r="L2" s="946"/>
      <c r="M2" s="946"/>
      <c r="N2" s="946"/>
      <c r="O2" s="946"/>
      <c r="P2" s="946"/>
      <c r="Q2" s="946"/>
      <c r="R2" s="946"/>
      <c r="S2" s="946"/>
      <c r="T2" s="946"/>
      <c r="U2" s="946"/>
      <c r="V2" s="946"/>
      <c r="W2" s="946"/>
    </row>
    <row r="3" spans="1:23" x14ac:dyDescent="0.25">
      <c r="D3" s="934" t="s">
        <v>2519</v>
      </c>
      <c r="E3" s="934"/>
      <c r="F3" s="934"/>
      <c r="G3" s="934"/>
      <c r="H3" s="934"/>
      <c r="I3" s="934"/>
      <c r="J3" s="934"/>
      <c r="K3" s="934"/>
      <c r="L3" s="727"/>
      <c r="M3" s="727"/>
      <c r="N3" s="934" t="s">
        <v>2520</v>
      </c>
      <c r="O3" s="934"/>
      <c r="P3" s="934"/>
      <c r="Q3" s="934"/>
      <c r="R3" s="934"/>
      <c r="S3" s="934"/>
      <c r="T3" s="934"/>
      <c r="U3" s="934"/>
    </row>
    <row r="4" spans="1:23" x14ac:dyDescent="0.25">
      <c r="B4" s="2"/>
      <c r="C4" s="2" t="s">
        <v>2124</v>
      </c>
      <c r="D4" s="945" t="s">
        <v>2521</v>
      </c>
      <c r="E4" s="945"/>
      <c r="F4" s="945"/>
      <c r="G4" s="945"/>
      <c r="H4" s="945"/>
      <c r="I4" s="945"/>
      <c r="J4" s="945"/>
      <c r="K4" s="945" t="s">
        <v>2522</v>
      </c>
      <c r="L4" s="945"/>
      <c r="M4" s="728" t="s">
        <v>2523</v>
      </c>
      <c r="N4" s="945" t="s">
        <v>2521</v>
      </c>
      <c r="O4" s="945"/>
      <c r="P4" s="945"/>
      <c r="Q4" s="945"/>
      <c r="R4" s="945"/>
      <c r="S4" s="945"/>
      <c r="T4" s="945"/>
      <c r="U4" s="945" t="s">
        <v>2522</v>
      </c>
      <c r="V4" s="945"/>
      <c r="W4" s="728" t="s">
        <v>2523</v>
      </c>
    </row>
    <row r="5" spans="1:23" ht="15.75" thickBot="1" x14ac:dyDescent="0.3">
      <c r="A5" s="15" t="s">
        <v>2524</v>
      </c>
      <c r="B5" s="15" t="s">
        <v>2139</v>
      </c>
      <c r="C5" s="15" t="s">
        <v>2525</v>
      </c>
      <c r="D5" s="15" t="s">
        <v>2143</v>
      </c>
      <c r="E5" s="15" t="s">
        <v>2144</v>
      </c>
      <c r="F5" s="15" t="s">
        <v>2145</v>
      </c>
      <c r="G5" s="15" t="s">
        <v>2146</v>
      </c>
      <c r="H5" s="15" t="s">
        <v>2147</v>
      </c>
      <c r="I5" s="15" t="s">
        <v>2148</v>
      </c>
      <c r="J5" s="15" t="s">
        <v>2149</v>
      </c>
      <c r="K5" s="242" t="s">
        <v>2460</v>
      </c>
      <c r="L5" s="242" t="s">
        <v>2523</v>
      </c>
      <c r="M5" s="242" t="s">
        <v>2072</v>
      </c>
      <c r="N5" s="15" t="s">
        <v>2143</v>
      </c>
      <c r="O5" s="15" t="s">
        <v>2144</v>
      </c>
      <c r="P5" s="15" t="s">
        <v>2145</v>
      </c>
      <c r="Q5" s="15" t="s">
        <v>2146</v>
      </c>
      <c r="R5" s="15" t="s">
        <v>2147</v>
      </c>
      <c r="S5" s="15" t="s">
        <v>2148</v>
      </c>
      <c r="T5" s="15" t="s">
        <v>2149</v>
      </c>
      <c r="U5" s="242" t="s">
        <v>2460</v>
      </c>
      <c r="V5" s="242" t="s">
        <v>2523</v>
      </c>
      <c r="W5" s="242" t="s">
        <v>2072</v>
      </c>
    </row>
    <row r="6" spans="1:23" ht="15.75" thickTop="1" x14ac:dyDescent="0.25">
      <c r="A6" s="2" t="s">
        <v>2526</v>
      </c>
      <c r="B6" s="2">
        <v>2104008100</v>
      </c>
      <c r="C6" s="2" t="s">
        <v>2152</v>
      </c>
      <c r="D6" s="290">
        <v>6.0205307660667549</v>
      </c>
      <c r="E6" s="290">
        <v>6.8355371143116003E-2</v>
      </c>
      <c r="F6" s="290">
        <v>1.0516210945094764E-2</v>
      </c>
      <c r="G6" s="290">
        <v>0.90965224675069722</v>
      </c>
      <c r="H6" s="290">
        <v>0.90965224675069722</v>
      </c>
      <c r="I6" s="290">
        <v>4.732294925292644E-2</v>
      </c>
      <c r="J6" s="290">
        <v>6.640987211827345</v>
      </c>
      <c r="K6" s="114">
        <v>846.02991857903726</v>
      </c>
      <c r="L6" s="291">
        <v>75.116412932963428</v>
      </c>
      <c r="M6" s="114" t="s">
        <v>2531</v>
      </c>
      <c r="N6" s="290">
        <v>5.5475866193302732</v>
      </c>
      <c r="O6" s="290">
        <v>6.2985699608116674E-2</v>
      </c>
      <c r="P6" s="290">
        <v>9.6901076320179465E-3</v>
      </c>
      <c r="Q6" s="290">
        <v>0.8381943101695527</v>
      </c>
      <c r="R6" s="290">
        <v>0.8381943101695527</v>
      </c>
      <c r="S6" s="290">
        <v>4.3605484344080785E-2</v>
      </c>
      <c r="T6" s="290">
        <v>6.1193029696193344</v>
      </c>
      <c r="U6" s="114">
        <v>779.56984827907286</v>
      </c>
      <c r="V6" s="291">
        <v>69.215626241411528</v>
      </c>
      <c r="W6" t="s">
        <v>2531</v>
      </c>
    </row>
    <row r="7" spans="1:23" x14ac:dyDescent="0.25">
      <c r="A7" s="2" t="s">
        <v>2526</v>
      </c>
      <c r="B7" s="2">
        <v>2104008210</v>
      </c>
      <c r="C7" s="2" t="s">
        <v>2156</v>
      </c>
      <c r="D7" s="290">
        <v>0.1241718705159798</v>
      </c>
      <c r="E7" s="290">
        <v>6.5600233480140255E-3</v>
      </c>
      <c r="F7" s="290">
        <v>9.3714619257343238E-4</v>
      </c>
      <c r="G7" s="290">
        <v>7.1691683731867586E-2</v>
      </c>
      <c r="H7" s="290">
        <v>7.1691683731867586E-2</v>
      </c>
      <c r="I7" s="290">
        <v>3.9828713184370881E-3</v>
      </c>
      <c r="J7" s="290">
        <v>0.54073335311487047</v>
      </c>
      <c r="K7" s="114">
        <v>75.393477854243557</v>
      </c>
      <c r="L7" s="291">
        <v>6.6939566681796006</v>
      </c>
      <c r="M7" s="114" t="s">
        <v>2531</v>
      </c>
      <c r="N7" s="290">
        <v>0.10791162593761598</v>
      </c>
      <c r="O7" s="290">
        <v>5.7009915589683897E-3</v>
      </c>
      <c r="P7" s="290">
        <v>8.1442736556691284E-4</v>
      </c>
      <c r="Q7" s="290">
        <v>6.2303693465868858E-2</v>
      </c>
      <c r="R7" s="290">
        <v>6.2303693465868858E-2</v>
      </c>
      <c r="S7" s="290">
        <v>3.4613163036593805E-3</v>
      </c>
      <c r="T7" s="290">
        <v>0.46992458993210889</v>
      </c>
      <c r="U7" s="114">
        <v>65.520739492251238</v>
      </c>
      <c r="V7" s="291">
        <v>5.8173863775873995</v>
      </c>
      <c r="W7" t="s">
        <v>2531</v>
      </c>
    </row>
    <row r="8" spans="1:23" x14ac:dyDescent="0.25">
      <c r="A8" s="2" t="s">
        <v>2526</v>
      </c>
      <c r="B8" s="2">
        <v>2104008220</v>
      </c>
      <c r="C8" s="2" t="s">
        <v>2159</v>
      </c>
      <c r="D8" s="290">
        <v>5.9192486283605343E-2</v>
      </c>
      <c r="E8" s="290">
        <v>9.8654143806008905E-3</v>
      </c>
      <c r="F8" s="290">
        <v>1.9730828761201774E-3</v>
      </c>
      <c r="G8" s="290">
        <v>5.9192486283605343E-2</v>
      </c>
      <c r="H8" s="290">
        <v>5.9192486283605343E-2</v>
      </c>
      <c r="I8" s="290">
        <v>4.4394364712704E-3</v>
      </c>
      <c r="J8" s="290">
        <v>0.69452517239430245</v>
      </c>
      <c r="K8" s="114">
        <v>158.73465773452151</v>
      </c>
      <c r="L8" s="291">
        <v>14.093565529201809</v>
      </c>
      <c r="M8" s="114" t="s">
        <v>2531</v>
      </c>
      <c r="N8" s="290">
        <v>5.1441259696026413E-2</v>
      </c>
      <c r="O8" s="290">
        <v>8.57354328267107E-3</v>
      </c>
      <c r="P8" s="290">
        <v>1.7147086565342145E-3</v>
      </c>
      <c r="Q8" s="290">
        <v>5.1441259696026413E-2</v>
      </c>
      <c r="R8" s="290">
        <v>5.1441259696026413E-2</v>
      </c>
      <c r="S8" s="290">
        <v>3.8580944772019818E-3</v>
      </c>
      <c r="T8" s="290">
        <v>0.60357744710004346</v>
      </c>
      <c r="U8" s="114">
        <v>137.94843338998263</v>
      </c>
      <c r="V8" s="291">
        <v>12.248020144939211</v>
      </c>
      <c r="W8" t="s">
        <v>2531</v>
      </c>
    </row>
    <row r="9" spans="1:23" x14ac:dyDescent="0.25">
      <c r="A9" s="2" t="s">
        <v>2526</v>
      </c>
      <c r="B9" s="2">
        <v>2104008230</v>
      </c>
      <c r="C9" s="2" t="s">
        <v>2162</v>
      </c>
      <c r="D9" s="290">
        <v>4.4547763373191059E-2</v>
      </c>
      <c r="E9" s="290">
        <v>5.9397017830921427E-3</v>
      </c>
      <c r="F9" s="290">
        <v>1.1879403566184283E-3</v>
      </c>
      <c r="G9" s="290">
        <v>3.8608061590098906E-2</v>
      </c>
      <c r="H9" s="290">
        <v>3.8608061590098906E-2</v>
      </c>
      <c r="I9" s="290">
        <v>2.672865802391464E-3</v>
      </c>
      <c r="J9" s="290">
        <v>0.31777404539542958</v>
      </c>
      <c r="K9" s="114">
        <v>95.56988619132197</v>
      </c>
      <c r="L9" s="291">
        <v>8.4853583513465303</v>
      </c>
      <c r="M9" s="114" t="s">
        <v>2531</v>
      </c>
      <c r="N9" s="290">
        <v>3.8714255954343357E-2</v>
      </c>
      <c r="O9" s="290">
        <v>5.1619007939124493E-3</v>
      </c>
      <c r="P9" s="290">
        <v>1.0323801587824896E-3</v>
      </c>
      <c r="Q9" s="290">
        <v>3.3552355160430918E-2</v>
      </c>
      <c r="R9" s="290">
        <v>3.3552355160430918E-2</v>
      </c>
      <c r="S9" s="290">
        <v>2.3228553572606017E-3</v>
      </c>
      <c r="T9" s="290">
        <v>0.27616169247431599</v>
      </c>
      <c r="U9" s="114">
        <v>83.055057210008499</v>
      </c>
      <c r="V9" s="291">
        <v>7.3742049028672252</v>
      </c>
      <c r="W9" t="s">
        <v>2531</v>
      </c>
    </row>
    <row r="10" spans="1:23" x14ac:dyDescent="0.25">
      <c r="A10" s="2" t="s">
        <v>2526</v>
      </c>
      <c r="B10" s="2">
        <v>2104008310</v>
      </c>
      <c r="C10" s="2" t="s">
        <v>2165</v>
      </c>
      <c r="D10" s="290">
        <v>2.5199713416921008</v>
      </c>
      <c r="E10" s="290">
        <v>6.9044487168236524E-2</v>
      </c>
      <c r="F10" s="290">
        <v>1.9018651635412089E-2</v>
      </c>
      <c r="G10" s="290">
        <v>0.57731256756836258</v>
      </c>
      <c r="H10" s="290">
        <v>0.57731256756836258</v>
      </c>
      <c r="I10" s="290">
        <v>1.887736897780733E-2</v>
      </c>
      <c r="J10" s="290">
        <v>5.7612555572659563</v>
      </c>
      <c r="K10" s="114">
        <v>1530.0518769163739</v>
      </c>
      <c r="L10" s="291">
        <v>135.84863380285873</v>
      </c>
      <c r="M10" s="114" t="s">
        <v>2531</v>
      </c>
      <c r="N10" s="290">
        <v>2.1899823500137643</v>
      </c>
      <c r="O10" s="290">
        <v>6.0003145973342061E-2</v>
      </c>
      <c r="P10" s="290">
        <v>1.652816867934917E-2</v>
      </c>
      <c r="Q10" s="290">
        <v>0.5017137744776462</v>
      </c>
      <c r="R10" s="290">
        <v>0.5017137744776462</v>
      </c>
      <c r="S10" s="290">
        <v>1.6405386915366998E-2</v>
      </c>
      <c r="T10" s="290">
        <v>5.0068220124515799</v>
      </c>
      <c r="U10" s="114">
        <v>1329.6923459464097</v>
      </c>
      <c r="V10" s="291">
        <v>118.05932288974985</v>
      </c>
      <c r="W10" t="s">
        <v>2531</v>
      </c>
    </row>
    <row r="11" spans="1:23" x14ac:dyDescent="0.25">
      <c r="A11" s="2" t="s">
        <v>2526</v>
      </c>
      <c r="B11" s="2">
        <v>2104008320</v>
      </c>
      <c r="C11" s="2" t="s">
        <v>2169</v>
      </c>
      <c r="D11" s="290">
        <v>1.201265378852389</v>
      </c>
      <c r="E11" s="290">
        <v>0.16105361292813689</v>
      </c>
      <c r="F11" s="290">
        <v>4.0042179295079638E-2</v>
      </c>
      <c r="G11" s="290">
        <v>0.79334821657865928</v>
      </c>
      <c r="H11" s="290">
        <v>0.79334821657865928</v>
      </c>
      <c r="I11" s="290">
        <v>2.5000508463581116E-2</v>
      </c>
      <c r="J11" s="290">
        <v>12.377132569337366</v>
      </c>
      <c r="K11" s="114">
        <v>3221.3961725962845</v>
      </c>
      <c r="L11" s="291">
        <v>286.01792892600207</v>
      </c>
      <c r="M11" s="114" t="s">
        <v>2531</v>
      </c>
      <c r="N11" s="290">
        <v>1.0439602759937907</v>
      </c>
      <c r="O11" s="290">
        <v>0.13996372255635872</v>
      </c>
      <c r="P11" s="290">
        <v>3.4798675866459704E-2</v>
      </c>
      <c r="Q11" s="290">
        <v>0.68945966288470795</v>
      </c>
      <c r="R11" s="290">
        <v>0.68945966288470795</v>
      </c>
      <c r="S11" s="290">
        <v>2.1726704336188441E-2</v>
      </c>
      <c r="T11" s="290">
        <v>10.75635322599681</v>
      </c>
      <c r="U11" s="114">
        <v>2799.5559487794112</v>
      </c>
      <c r="V11" s="291">
        <v>248.56402363482442</v>
      </c>
      <c r="W11" t="s">
        <v>2531</v>
      </c>
    </row>
    <row r="12" spans="1:23" x14ac:dyDescent="0.25">
      <c r="A12" s="2" t="s">
        <v>2526</v>
      </c>
      <c r="B12" s="2">
        <v>2104008330</v>
      </c>
      <c r="C12" s="2" t="s">
        <v>2172</v>
      </c>
      <c r="D12" s="290">
        <v>0.90406214040623478</v>
      </c>
      <c r="E12" s="290">
        <v>9.6966067007153947E-2</v>
      </c>
      <c r="F12" s="290">
        <v>2.4108323744166257E-2</v>
      </c>
      <c r="G12" s="290">
        <v>0.52999932622121548</v>
      </c>
      <c r="H12" s="290">
        <v>0.52999932622121548</v>
      </c>
      <c r="I12" s="290">
        <v>1.5052136582457298E-2</v>
      </c>
      <c r="J12" s="290">
        <v>7.4519400357091916</v>
      </c>
      <c r="K12" s="114">
        <v>1939.5163601076144</v>
      </c>
      <c r="L12" s="291">
        <v>172.20373487592119</v>
      </c>
      <c r="M12" s="114" t="s">
        <v>2531</v>
      </c>
      <c r="N12" s="290">
        <v>0.78567565354766167</v>
      </c>
      <c r="O12" s="290">
        <v>8.426840884362137E-2</v>
      </c>
      <c r="P12" s="290">
        <v>2.0951350761270977E-2</v>
      </c>
      <c r="Q12" s="290">
        <v>0.4605961785122023</v>
      </c>
      <c r="R12" s="290">
        <v>0.4605961785122023</v>
      </c>
      <c r="S12" s="290">
        <v>1.3081066796356299E-2</v>
      </c>
      <c r="T12" s="290">
        <v>6.4761122007863099</v>
      </c>
      <c r="U12" s="114">
        <v>1685.5376590697711</v>
      </c>
      <c r="V12" s="291">
        <v>149.65374159036574</v>
      </c>
      <c r="W12" t="s">
        <v>2531</v>
      </c>
    </row>
    <row r="13" spans="1:23" x14ac:dyDescent="0.25">
      <c r="A13" s="2" t="s">
        <v>2526</v>
      </c>
      <c r="B13" s="2">
        <v>2104008410</v>
      </c>
      <c r="C13" s="2" t="s">
        <v>2175</v>
      </c>
      <c r="D13" s="290">
        <v>1.5148406456466491E-2</v>
      </c>
      <c r="E13" s="290">
        <v>2.6453836575290757E-2</v>
      </c>
      <c r="F13" s="290">
        <v>2.1141927332899704E-3</v>
      </c>
      <c r="G13" s="290">
        <v>1.9556282782932227E-2</v>
      </c>
      <c r="H13" s="290">
        <v>1.9556282782932227E-2</v>
      </c>
      <c r="I13" s="290">
        <v>4.7490054271525956E-4</v>
      </c>
      <c r="J13" s="290">
        <v>6.5619256959487449E-2</v>
      </c>
      <c r="K13" s="114">
        <v>203.11506282822123</v>
      </c>
      <c r="L13" s="291">
        <v>18.033966172183447</v>
      </c>
      <c r="M13" s="114" t="s">
        <v>2531</v>
      </c>
      <c r="N13" s="290">
        <v>1.3164730178328185E-2</v>
      </c>
      <c r="O13" s="290">
        <v>2.2989719855756124E-2</v>
      </c>
      <c r="P13" s="290">
        <v>1.837340248212278E-3</v>
      </c>
      <c r="Q13" s="290">
        <v>1.6995397295963565E-2</v>
      </c>
      <c r="R13" s="290">
        <v>1.6995397295963565E-2</v>
      </c>
      <c r="S13" s="290">
        <v>4.1271255325468293E-4</v>
      </c>
      <c r="T13" s="290">
        <v>5.7026447953888587E-2</v>
      </c>
      <c r="U13" s="114">
        <v>176.51724654815172</v>
      </c>
      <c r="V13" s="291">
        <v>15.672427286934022</v>
      </c>
      <c r="W13" t="s">
        <v>2531</v>
      </c>
    </row>
    <row r="14" spans="1:23" x14ac:dyDescent="0.25">
      <c r="A14" s="2" t="s">
        <v>2526</v>
      </c>
      <c r="B14" s="2">
        <v>2104008420</v>
      </c>
      <c r="C14" s="2" t="s">
        <v>2179</v>
      </c>
      <c r="D14" s="290">
        <v>5.1096045768873978E-2</v>
      </c>
      <c r="E14" s="290">
        <v>8.922961291656957E-2</v>
      </c>
      <c r="F14" s="290">
        <v>7.1312377955300363E-3</v>
      </c>
      <c r="G14" s="290">
        <v>6.596394960865283E-2</v>
      </c>
      <c r="H14" s="290">
        <v>6.596394960865283E-2</v>
      </c>
      <c r="I14" s="290">
        <v>1.6018542898209342E-3</v>
      </c>
      <c r="J14" s="290">
        <v>0.22133579307876347</v>
      </c>
      <c r="K14" s="114">
        <v>685.1134194506792</v>
      </c>
      <c r="L14" s="291">
        <v>60.829128369133457</v>
      </c>
      <c r="M14" s="114" t="s">
        <v>2531</v>
      </c>
      <c r="N14" s="290">
        <v>4.4405044032838729E-2</v>
      </c>
      <c r="O14" s="290">
        <v>7.7545039561693396E-2</v>
      </c>
      <c r="P14" s="290">
        <v>6.1974057591762943E-3</v>
      </c>
      <c r="Q14" s="290">
        <v>5.7326003272380729E-2</v>
      </c>
      <c r="R14" s="290">
        <v>5.7326003272380729E-2</v>
      </c>
      <c r="S14" s="290">
        <v>1.3920922686549749E-3</v>
      </c>
      <c r="T14" s="290">
        <v>0.19235198125043426</v>
      </c>
      <c r="U14" s="114">
        <v>595.3981585152037</v>
      </c>
      <c r="V14" s="291">
        <v>52.863584315872906</v>
      </c>
      <c r="W14" t="s">
        <v>2531</v>
      </c>
    </row>
    <row r="15" spans="1:23" x14ac:dyDescent="0.25">
      <c r="A15" s="2" t="s">
        <v>2526</v>
      </c>
      <c r="B15" s="2">
        <v>2104008610</v>
      </c>
      <c r="C15" s="2" t="s">
        <v>2182</v>
      </c>
      <c r="D15" s="290">
        <v>1.2953180707665759</v>
      </c>
      <c r="E15" s="290">
        <v>4.6013278819172942E-2</v>
      </c>
      <c r="F15" s="290">
        <v>1.1412494015564548E-2</v>
      </c>
      <c r="G15" s="290">
        <v>0.28160762884447754</v>
      </c>
      <c r="H15" s="290">
        <v>0.28160762884447754</v>
      </c>
      <c r="I15" s="290">
        <v>6.9547330415234976E-3</v>
      </c>
      <c r="J15" s="290">
        <v>1.7281559220041682</v>
      </c>
      <c r="K15" s="114">
        <v>918.13595535333889</v>
      </c>
      <c r="L15" s="291">
        <v>81.518487746576383</v>
      </c>
      <c r="M15" s="114" t="s">
        <v>2531</v>
      </c>
      <c r="N15" s="290">
        <v>1.1842382726154181</v>
      </c>
      <c r="O15" s="290">
        <v>4.206741730541988E-2</v>
      </c>
      <c r="P15" s="290">
        <v>1.0433817379871525E-2</v>
      </c>
      <c r="Q15" s="290">
        <v>0.25745841076759346</v>
      </c>
      <c r="R15" s="290">
        <v>0.25745841076759346</v>
      </c>
      <c r="S15" s="290">
        <v>6.3583309995212311E-3</v>
      </c>
      <c r="T15" s="290">
        <v>1.5799581817562103</v>
      </c>
      <c r="U15" s="114">
        <v>839.40135039595327</v>
      </c>
      <c r="V15" s="291">
        <v>74.527882605772206</v>
      </c>
      <c r="W15" t="s">
        <v>2531</v>
      </c>
    </row>
    <row r="16" spans="1:23" x14ac:dyDescent="0.25">
      <c r="A16" s="2" t="s">
        <v>2526</v>
      </c>
      <c r="B16" s="2">
        <v>2104004000</v>
      </c>
      <c r="C16" s="2" t="s">
        <v>2196</v>
      </c>
      <c r="D16" s="290">
        <v>9.6453479440618384E-2</v>
      </c>
      <c r="E16" s="290">
        <v>1.5112500307253613</v>
      </c>
      <c r="F16" s="290">
        <v>3.9098938192349508</v>
      </c>
      <c r="G16" s="290">
        <v>6.1767712427467127E-2</v>
      </c>
      <c r="H16" s="290">
        <v>6.1767712427467127E-2</v>
      </c>
      <c r="I16" s="290">
        <v>3.3138377717336111E-3</v>
      </c>
      <c r="J16" s="290">
        <v>6.058383127260733E-2</v>
      </c>
      <c r="K16" s="114">
        <v>36311.599518980838</v>
      </c>
      <c r="L16" s="291">
        <v>270.55674457396475</v>
      </c>
      <c r="M16" s="114" t="s">
        <v>2532</v>
      </c>
      <c r="N16" s="290">
        <v>8.9085245384140643E-2</v>
      </c>
      <c r="O16" s="290">
        <v>1.3958032473763058</v>
      </c>
      <c r="P16" s="290">
        <v>3.6112108379347765</v>
      </c>
      <c r="Q16" s="290">
        <v>5.7049179048077908E-2</v>
      </c>
      <c r="R16" s="290">
        <v>5.7049179048077908E-2</v>
      </c>
      <c r="S16" s="290">
        <v>3.06068845592938E-3</v>
      </c>
      <c r="T16" s="290">
        <v>5.5955736449656415E-2</v>
      </c>
      <c r="U16" s="114">
        <v>33537.698921795491</v>
      </c>
      <c r="V16" s="291">
        <v>249.88848635102568</v>
      </c>
      <c r="W16" t="s">
        <v>2532</v>
      </c>
    </row>
    <row r="17" spans="1:23" x14ac:dyDescent="0.25">
      <c r="A17" s="2" t="s">
        <v>2526</v>
      </c>
      <c r="B17" s="2">
        <v>2103004001</v>
      </c>
      <c r="C17" s="2" t="s">
        <v>2206</v>
      </c>
      <c r="D17" s="290">
        <v>3.0520565446904999E-2</v>
      </c>
      <c r="E17" s="290">
        <v>0.77050515854739132</v>
      </c>
      <c r="F17" s="290">
        <v>0.54462729073500948</v>
      </c>
      <c r="G17" s="290">
        <v>1.9545023368583939E-2</v>
      </c>
      <c r="H17" s="290">
        <v>1.9545023368583939E-2</v>
      </c>
      <c r="I17" s="290">
        <v>1.0485905037245285E-3</v>
      </c>
      <c r="J17" s="290">
        <v>1.9170410420686079E-2</v>
      </c>
      <c r="K17" s="114">
        <v>11857.218273201528</v>
      </c>
      <c r="L17" s="291">
        <v>88.347812219712765</v>
      </c>
      <c r="M17" s="114" t="s">
        <v>2532</v>
      </c>
      <c r="N17" s="290">
        <v>2.999629974862315E-2</v>
      </c>
      <c r="O17" s="290">
        <v>0.75726983937618064</v>
      </c>
      <c r="P17" s="290">
        <v>0.53527197890839018</v>
      </c>
      <c r="Q17" s="290">
        <v>1.9209289571577737E-2</v>
      </c>
      <c r="R17" s="290">
        <v>1.9209289571577737E-2</v>
      </c>
      <c r="S17" s="290">
        <v>1.0305783855151455E-3</v>
      </c>
      <c r="T17" s="290">
        <v>1.8841111521455834E-2</v>
      </c>
      <c r="U17" s="114">
        <v>11653.541417066783</v>
      </c>
      <c r="V17" s="291">
        <v>86.83022148091672</v>
      </c>
      <c r="W17" t="s">
        <v>2532</v>
      </c>
    </row>
    <row r="18" spans="1:23" x14ac:dyDescent="0.25">
      <c r="A18" s="2" t="s">
        <v>2526</v>
      </c>
      <c r="B18" s="2">
        <v>2104004000</v>
      </c>
      <c r="C18" s="2" t="s">
        <v>2210</v>
      </c>
      <c r="D18" s="290">
        <v>6.5565500951728659E-4</v>
      </c>
      <c r="E18" s="290">
        <v>1.6552300380520558E-2</v>
      </c>
      <c r="F18" s="290">
        <v>2.6578009255128168E-2</v>
      </c>
      <c r="G18" s="290">
        <v>3.6782889734490119E-4</v>
      </c>
      <c r="H18" s="290">
        <v>3.6782889734490119E-4</v>
      </c>
      <c r="I18" s="290">
        <v>2.2526241130600039E-5</v>
      </c>
      <c r="J18" s="290">
        <v>4.1182643384150738E-4</v>
      </c>
      <c r="K18" s="114">
        <v>251.95359895882379</v>
      </c>
      <c r="L18" s="291">
        <v>1.8391444867245066</v>
      </c>
      <c r="M18" s="114" t="s">
        <v>2532</v>
      </c>
      <c r="N18" s="290">
        <v>6.1856817126149479E-4</v>
      </c>
      <c r="O18" s="290">
        <v>1.5616026763964803E-2</v>
      </c>
      <c r="P18" s="290">
        <v>2.5074635810103208E-2</v>
      </c>
      <c r="Q18" s="290">
        <v>3.470228169769956E-4</v>
      </c>
      <c r="R18" s="290">
        <v>3.470228169769956E-4</v>
      </c>
      <c r="S18" s="290">
        <v>2.1252054173748152E-5</v>
      </c>
      <c r="T18" s="290">
        <v>3.8853165210471529E-4</v>
      </c>
      <c r="U18" s="114">
        <v>237.70195405881756</v>
      </c>
      <c r="V18" s="291">
        <v>1.7351140848849784</v>
      </c>
      <c r="W18" t="s">
        <v>2532</v>
      </c>
    </row>
    <row r="19" spans="1:23" x14ac:dyDescent="0.25">
      <c r="A19" s="2" t="s">
        <v>2526</v>
      </c>
      <c r="B19" s="2">
        <v>2104004000</v>
      </c>
      <c r="C19" s="2" t="s">
        <v>2214</v>
      </c>
      <c r="D19" s="290">
        <v>2.7536974090964948E-3</v>
      </c>
      <c r="E19" s="290">
        <v>4.3145413916016062E-2</v>
      </c>
      <c r="F19" s="290">
        <v>0.11162546485944221</v>
      </c>
      <c r="G19" s="290">
        <v>1.7634365360769501E-3</v>
      </c>
      <c r="H19" s="290">
        <v>1.7634365360769501E-3</v>
      </c>
      <c r="I19" s="290">
        <v>9.4608370160528449E-5</v>
      </c>
      <c r="J19" s="290">
        <v>1.7296373358021428E-3</v>
      </c>
      <c r="K19" s="114">
        <v>965.53205087534832</v>
      </c>
      <c r="L19" s="291">
        <v>7.7242564070027893</v>
      </c>
      <c r="M19" s="114" t="s">
        <v>2532</v>
      </c>
      <c r="N19" s="290">
        <v>2.2779683659632935E-3</v>
      </c>
      <c r="O19" s="290">
        <v>3.5691607840574104E-2</v>
      </c>
      <c r="P19" s="290">
        <v>9.2341038251253324E-2</v>
      </c>
      <c r="Q19" s="290">
        <v>1.4587850616038464E-3</v>
      </c>
      <c r="R19" s="290">
        <v>1.4587850616038464E-3</v>
      </c>
      <c r="S19" s="290">
        <v>7.8263818555046369E-5</v>
      </c>
      <c r="T19" s="290">
        <v>1.4308250145897723E-3</v>
      </c>
      <c r="U19" s="114">
        <v>798.72663603201033</v>
      </c>
      <c r="V19" s="291">
        <v>6.3898130882560844</v>
      </c>
      <c r="W19" t="s">
        <v>2532</v>
      </c>
    </row>
    <row r="20" spans="1:23" x14ac:dyDescent="0.25">
      <c r="A20" s="2" t="s">
        <v>2526</v>
      </c>
      <c r="B20" s="2">
        <v>2104006010</v>
      </c>
      <c r="C20" s="2" t="s">
        <v>2217</v>
      </c>
      <c r="D20" s="290">
        <v>6.6969683938961262E-4</v>
      </c>
      <c r="E20" s="290">
        <v>1.1445727800477033E-2</v>
      </c>
      <c r="F20" s="290">
        <v>7.3057837024321452E-5</v>
      </c>
      <c r="G20" s="290">
        <v>9.2539926897473835E-4</v>
      </c>
      <c r="H20" s="290">
        <v>9.2539926897473835E-4</v>
      </c>
      <c r="I20" s="290">
        <v>2.4352612341440472E-3</v>
      </c>
      <c r="J20" s="290">
        <v>4.8705224682880945E-3</v>
      </c>
      <c r="K20" s="114">
        <v>300.62303278688501</v>
      </c>
      <c r="L20" s="291">
        <v>296.18032786885243</v>
      </c>
      <c r="M20" s="114" t="s">
        <v>2533</v>
      </c>
      <c r="N20" s="290">
        <v>6.6969683938961262E-4</v>
      </c>
      <c r="O20" s="290">
        <v>1.1445727800477033E-2</v>
      </c>
      <c r="P20" s="290">
        <v>7.3057837024321452E-5</v>
      </c>
      <c r="Q20" s="290">
        <v>9.2539926897473835E-4</v>
      </c>
      <c r="R20" s="290">
        <v>9.2539926897473835E-4</v>
      </c>
      <c r="S20" s="290">
        <v>2.4352612341440472E-3</v>
      </c>
      <c r="T20" s="290">
        <v>4.8705224682880945E-3</v>
      </c>
      <c r="U20" s="114">
        <v>300.62303278688501</v>
      </c>
      <c r="V20" s="291">
        <v>296.18032786885243</v>
      </c>
      <c r="W20" t="s">
        <v>2533</v>
      </c>
    </row>
    <row r="21" spans="1:23" x14ac:dyDescent="0.25">
      <c r="A21" s="2" t="s">
        <v>2526</v>
      </c>
      <c r="B21" s="2">
        <v>2103006000</v>
      </c>
      <c r="C21" s="2" t="s">
        <v>2221</v>
      </c>
      <c r="D21" s="290">
        <v>5.2612909836065582E-3</v>
      </c>
      <c r="E21" s="290">
        <v>9.5659836065573794E-2</v>
      </c>
      <c r="F21" s="290">
        <v>5.7395901639344256E-4</v>
      </c>
      <c r="G21" s="290">
        <v>7.2701475409836071E-3</v>
      </c>
      <c r="H21" s="290">
        <v>7.2701475409836071E-3</v>
      </c>
      <c r="I21" s="290">
        <v>1.9131967213114758E-2</v>
      </c>
      <c r="J21" s="290">
        <v>3.8263934426229516E-2</v>
      </c>
      <c r="K21" s="114">
        <v>1941.894672131147</v>
      </c>
      <c r="L21" s="291">
        <v>1913.1967213114763</v>
      </c>
      <c r="M21" s="114" t="s">
        <v>2533</v>
      </c>
      <c r="N21" s="290">
        <v>5.2612909836065582E-3</v>
      </c>
      <c r="O21" s="290">
        <v>9.5659836065573794E-2</v>
      </c>
      <c r="P21" s="290">
        <v>5.7395901639344256E-4</v>
      </c>
      <c r="Q21" s="290">
        <v>7.2701475409836071E-3</v>
      </c>
      <c r="R21" s="290">
        <v>7.2701475409836071E-3</v>
      </c>
      <c r="S21" s="290">
        <v>1.9131967213114758E-2</v>
      </c>
      <c r="T21" s="290">
        <v>3.8263934426229516E-2</v>
      </c>
      <c r="U21" s="114">
        <v>1941.894672131147</v>
      </c>
      <c r="V21" s="291">
        <v>1913.1967213114763</v>
      </c>
      <c r="W21" t="s">
        <v>2533</v>
      </c>
    </row>
    <row r="22" spans="1:23" x14ac:dyDescent="0.25">
      <c r="A22" s="2" t="s">
        <v>2526</v>
      </c>
      <c r="B22" s="2">
        <v>2104002000</v>
      </c>
      <c r="C22" s="2" t="s">
        <v>2223</v>
      </c>
      <c r="D22" s="290">
        <v>0.1486741410003487</v>
      </c>
      <c r="E22" s="290">
        <v>7.0174194552164573E-2</v>
      </c>
      <c r="F22" s="290">
        <v>0.13826695113032428</v>
      </c>
      <c r="G22" s="290">
        <v>0.11879063865927864</v>
      </c>
      <c r="H22" s="290">
        <v>0.11879063865927864</v>
      </c>
      <c r="I22" s="290">
        <v>1.8821402879939147E-2</v>
      </c>
      <c r="J22" s="290">
        <v>1.941312596112053</v>
      </c>
      <c r="K22" s="114">
        <v>451.96938864106005</v>
      </c>
      <c r="L22" s="291">
        <v>29.734828200069735</v>
      </c>
      <c r="M22" s="114" t="s">
        <v>2531</v>
      </c>
      <c r="N22" s="290">
        <v>0.13017697087252439</v>
      </c>
      <c r="O22" s="290">
        <v>6.1443530251831524E-2</v>
      </c>
      <c r="P22" s="290">
        <v>0.12106458291144766</v>
      </c>
      <c r="Q22" s="290">
        <v>0.104011399727147</v>
      </c>
      <c r="R22" s="290">
        <v>0.104011399727147</v>
      </c>
      <c r="S22" s="290">
        <v>1.647975362760723E-2</v>
      </c>
      <c r="T22" s="290">
        <v>1.6997857971679873</v>
      </c>
      <c r="U22" s="114">
        <v>395.73799145247426</v>
      </c>
      <c r="V22" s="291">
        <v>26.035394174504884</v>
      </c>
      <c r="W22" t="s">
        <v>2531</v>
      </c>
    </row>
    <row r="23" spans="1:23" x14ac:dyDescent="0.25">
      <c r="A23" s="2" t="s">
        <v>2526</v>
      </c>
      <c r="B23" s="2">
        <v>2103002000</v>
      </c>
      <c r="C23" s="2" t="s">
        <v>2527</v>
      </c>
      <c r="D23" s="290">
        <v>4.0148138126104761E-4</v>
      </c>
      <c r="E23" s="290">
        <v>1.8949921195521454E-4</v>
      </c>
      <c r="F23" s="290">
        <v>3.7337768457277432E-4</v>
      </c>
      <c r="G23" s="290">
        <v>3.2078362362757709E-4</v>
      </c>
      <c r="H23" s="290">
        <v>3.2078362362757709E-4</v>
      </c>
      <c r="I23" s="290">
        <v>5.0825535460742337E-5</v>
      </c>
      <c r="J23" s="290">
        <v>5.24234313581613E-3</v>
      </c>
      <c r="K23" s="114">
        <v>18.456877950864644</v>
      </c>
      <c r="L23" s="291">
        <v>1.2205033990335847</v>
      </c>
      <c r="M23" s="114" t="s">
        <v>2531</v>
      </c>
      <c r="N23" s="290">
        <v>3.7940475162931143E-4</v>
      </c>
      <c r="O23" s="290">
        <v>1.7907904276903499E-4</v>
      </c>
      <c r="P23" s="290">
        <v>3.5284641901525959E-4</v>
      </c>
      <c r="Q23" s="290">
        <v>3.0314439655181985E-4</v>
      </c>
      <c r="R23" s="290">
        <v>3.0314439655181985E-4</v>
      </c>
      <c r="S23" s="290">
        <v>4.8030744532512695E-5</v>
      </c>
      <c r="T23" s="290">
        <v>4.9540775443997331E-3</v>
      </c>
      <c r="U23" s="114">
        <v>17.43676104884138</v>
      </c>
      <c r="V23" s="291">
        <v>1.1533904449531067</v>
      </c>
      <c r="W23" t="s">
        <v>2531</v>
      </c>
    </row>
    <row r="24" spans="1:23" x14ac:dyDescent="0.25">
      <c r="A24" s="2" t="s">
        <v>2526</v>
      </c>
      <c r="B24" s="2">
        <v>2103008000</v>
      </c>
      <c r="C24" s="2" t="s">
        <v>2528</v>
      </c>
      <c r="D24" s="290">
        <v>1.2267802496122727E-3</v>
      </c>
      <c r="E24" s="290">
        <v>4.8776475754854215E-5</v>
      </c>
      <c r="F24" s="290">
        <v>1.0633485245822149E-5</v>
      </c>
      <c r="G24" s="290">
        <v>3.4500168382878608E-4</v>
      </c>
      <c r="H24" s="290">
        <v>3.4500168382878608E-4</v>
      </c>
      <c r="I24" s="290">
        <v>1.2632663031087653E-5</v>
      </c>
      <c r="J24" s="290">
        <v>2.4538740814386119E-3</v>
      </c>
      <c r="K24" s="114">
        <v>11.138643290370357</v>
      </c>
      <c r="L24" s="291">
        <v>0.91979647376361562</v>
      </c>
      <c r="M24" s="114" t="s">
        <v>2531</v>
      </c>
      <c r="N24" s="290">
        <v>1.0057156829621557E-3</v>
      </c>
      <c r="O24" s="290">
        <v>4.0923651207836456E-5</v>
      </c>
      <c r="P24" s="290">
        <v>8.6857798127814725E-6</v>
      </c>
      <c r="Q24" s="290">
        <v>2.9694131175428135E-4</v>
      </c>
      <c r="R24" s="290">
        <v>2.9694131175428135E-4</v>
      </c>
      <c r="S24" s="290">
        <v>1.1445738305269716E-5</v>
      </c>
      <c r="T24" s="290">
        <v>2.1589395409395405E-3</v>
      </c>
      <c r="U24" s="114">
        <v>9.0984094863238223</v>
      </c>
      <c r="V24" s="291">
        <v>0.75131995380559735</v>
      </c>
      <c r="W24" t="s">
        <v>2531</v>
      </c>
    </row>
    <row r="25" spans="1:23" x14ac:dyDescent="0.25">
      <c r="A25" s="44" t="s">
        <v>2526</v>
      </c>
      <c r="B25" s="44">
        <v>2102012000</v>
      </c>
      <c r="C25" s="44" t="s">
        <v>2228</v>
      </c>
      <c r="D25" s="292">
        <v>5.2382327984415965E-4</v>
      </c>
      <c r="E25" s="292">
        <v>2.7346164289603576E-2</v>
      </c>
      <c r="F25" s="292">
        <v>1.9363248899601764E-2</v>
      </c>
      <c r="G25" s="292">
        <v>2.7260720241086738E-3</v>
      </c>
      <c r="H25" s="292">
        <v>2.7260720241086738E-3</v>
      </c>
      <c r="I25" s="292">
        <v>1.9058091583470184E-5</v>
      </c>
      <c r="J25" s="292">
        <v>6.5100227441401166E-3</v>
      </c>
      <c r="K25" s="245">
        <v>145.09904851683226</v>
      </c>
      <c r="L25" s="293">
        <v>1.0476465596883191</v>
      </c>
      <c r="M25" s="245" t="s">
        <v>2532</v>
      </c>
      <c r="N25" s="292">
        <v>5.2382327984415965E-4</v>
      </c>
      <c r="O25" s="292">
        <v>2.7346164289603576E-2</v>
      </c>
      <c r="P25" s="292">
        <v>1.9363248899601764E-2</v>
      </c>
      <c r="Q25" s="292">
        <v>2.7260720241086738E-3</v>
      </c>
      <c r="R25" s="292">
        <v>2.7260720241086738E-3</v>
      </c>
      <c r="S25" s="292">
        <v>1.9058091583470184E-5</v>
      </c>
      <c r="T25" s="292">
        <v>6.5100227441401166E-3</v>
      </c>
      <c r="U25" s="245">
        <v>145.09904851683226</v>
      </c>
      <c r="V25" s="293">
        <v>1.0476465596883191</v>
      </c>
      <c r="W25" s="9" t="s">
        <v>2532</v>
      </c>
    </row>
    <row r="26" spans="1:23" x14ac:dyDescent="0.25">
      <c r="A26" s="71" t="s">
        <v>2526</v>
      </c>
      <c r="B26" s="71" t="s">
        <v>2462</v>
      </c>
      <c r="C26" s="71"/>
      <c r="D26" s="294">
        <v>12.52244488122237</v>
      </c>
      <c r="E26" s="294">
        <v>3.1257985080342019</v>
      </c>
      <c r="F26" s="294">
        <v>4.8698272717271438</v>
      </c>
      <c r="G26" s="294">
        <v>3.560754493990844</v>
      </c>
      <c r="H26" s="294">
        <v>3.560754493990844</v>
      </c>
      <c r="I26" s="294">
        <v>0.17133033524695335</v>
      </c>
      <c r="J26" s="294">
        <v>37.880007915517787</v>
      </c>
      <c r="K26" s="244">
        <v>61928.541892945323</v>
      </c>
      <c r="L26" s="244"/>
      <c r="M26" s="244"/>
      <c r="N26" s="294">
        <v>11.267075071380006</v>
      </c>
      <c r="O26" s="294">
        <v>2.9097555717983483</v>
      </c>
      <c r="P26" s="294">
        <v>4.5093332542750604</v>
      </c>
      <c r="Q26" s="294">
        <v>3.1626384264701293</v>
      </c>
      <c r="R26" s="294">
        <v>3.1626384264701293</v>
      </c>
      <c r="S26" s="294">
        <v>0.15494034371500601</v>
      </c>
      <c r="T26" s="294">
        <v>33.370750247850829</v>
      </c>
      <c r="U26" s="244">
        <v>57529.755632001805</v>
      </c>
    </row>
    <row r="27" spans="1:23" x14ac:dyDescent="0.25">
      <c r="A27" s="2"/>
      <c r="B27" s="2"/>
      <c r="C27" s="2"/>
      <c r="D27" s="290"/>
      <c r="E27" s="290"/>
      <c r="F27" s="290"/>
      <c r="G27" s="290"/>
      <c r="H27" s="290"/>
      <c r="I27" s="290"/>
      <c r="J27" s="290"/>
      <c r="K27" s="290"/>
      <c r="L27" s="290"/>
      <c r="M27" s="290"/>
      <c r="N27" s="290"/>
      <c r="O27" s="290"/>
      <c r="P27" s="290"/>
      <c r="Q27" s="290"/>
      <c r="R27" s="290"/>
      <c r="S27" s="290"/>
      <c r="T27" s="290"/>
    </row>
    <row r="28" spans="1:23" x14ac:dyDescent="0.25">
      <c r="A28" s="2" t="s">
        <v>2529</v>
      </c>
      <c r="B28" s="2">
        <v>2104008100</v>
      </c>
      <c r="C28" s="2" t="s">
        <v>2152</v>
      </c>
      <c r="D28" s="290">
        <v>3.7788228828994486</v>
      </c>
      <c r="E28" s="290">
        <v>4.2903665919382397E-2</v>
      </c>
      <c r="F28" s="290">
        <v>6.6005639875972907E-3</v>
      </c>
      <c r="G28" s="290">
        <v>0.57094878492716561</v>
      </c>
      <c r="H28" s="290">
        <v>0.57094878492716561</v>
      </c>
      <c r="I28" s="290">
        <v>2.9702537944187809E-2</v>
      </c>
      <c r="J28" s="290">
        <v>4.1682561581676874</v>
      </c>
      <c r="K28" s="114">
        <v>527.97147265182582</v>
      </c>
      <c r="L28" s="291">
        <v>47.147275066222775</v>
      </c>
      <c r="M28" s="114" t="s">
        <v>2531</v>
      </c>
      <c r="N28" s="290">
        <v>3.4955669866843255</v>
      </c>
      <c r="O28" s="290">
        <v>3.968766011082641E-2</v>
      </c>
      <c r="P28" s="290">
        <v>6.1057938632040629E-3</v>
      </c>
      <c r="Q28" s="290">
        <v>0.52815116916715144</v>
      </c>
      <c r="R28" s="290">
        <v>0.52815116916715144</v>
      </c>
      <c r="S28" s="290">
        <v>2.7476072384418286E-2</v>
      </c>
      <c r="T28" s="290">
        <v>3.8558088246133644</v>
      </c>
      <c r="U28" s="114">
        <v>488.39538314025231</v>
      </c>
      <c r="V28" s="291">
        <v>43.613173557147306</v>
      </c>
      <c r="W28" t="s">
        <v>2531</v>
      </c>
    </row>
    <row r="29" spans="1:23" x14ac:dyDescent="0.25">
      <c r="A29" s="2" t="s">
        <v>2529</v>
      </c>
      <c r="B29" s="2">
        <v>2104008210</v>
      </c>
      <c r="C29" s="2" t="s">
        <v>2156</v>
      </c>
      <c r="D29" s="290">
        <v>8.8667406587459724E-2</v>
      </c>
      <c r="E29" s="290">
        <v>4.6843158197148521E-3</v>
      </c>
      <c r="F29" s="290">
        <v>6.6918797424497919E-4</v>
      </c>
      <c r="G29" s="290">
        <v>5.1192880029740886E-2</v>
      </c>
      <c r="H29" s="290">
        <v>5.1192880029740886E-2</v>
      </c>
      <c r="I29" s="290">
        <v>2.8440488905411608E-3</v>
      </c>
      <c r="J29" s="290">
        <v>0.38612146113935297</v>
      </c>
      <c r="K29" s="114">
        <v>53.527571417669868</v>
      </c>
      <c r="L29" s="291">
        <v>4.7799535845756234</v>
      </c>
      <c r="M29" s="114" t="s">
        <v>2531</v>
      </c>
      <c r="N29" s="290">
        <v>7.7404878228390539E-2</v>
      </c>
      <c r="O29" s="290">
        <v>4.0893143214998746E-3</v>
      </c>
      <c r="P29" s="290">
        <v>5.8418776021426806E-4</v>
      </c>
      <c r="Q29" s="290">
        <v>4.46903636563915E-2</v>
      </c>
      <c r="R29" s="290">
        <v>4.46903636563915E-2</v>
      </c>
      <c r="S29" s="290">
        <v>2.4827979809106393E-3</v>
      </c>
      <c r="T29" s="290">
        <v>0.33707633764363276</v>
      </c>
      <c r="U29" s="114">
        <v>46.72850269235461</v>
      </c>
      <c r="V29" s="291">
        <v>4.1728041835359466</v>
      </c>
      <c r="W29" t="s">
        <v>2531</v>
      </c>
    </row>
    <row r="30" spans="1:23" x14ac:dyDescent="0.25">
      <c r="A30" s="2" t="s">
        <v>2529</v>
      </c>
      <c r="B30" s="2">
        <v>2104008220</v>
      </c>
      <c r="C30" s="2" t="s">
        <v>2159</v>
      </c>
      <c r="D30" s="290">
        <v>4.2267578207703965E-2</v>
      </c>
      <c r="E30" s="290">
        <v>7.0445963679506615E-3</v>
      </c>
      <c r="F30" s="290">
        <v>1.4089192735901323E-3</v>
      </c>
      <c r="G30" s="290">
        <v>4.2267578207703965E-2</v>
      </c>
      <c r="H30" s="290">
        <v>4.2267578207703965E-2</v>
      </c>
      <c r="I30" s="290">
        <v>3.1700683655777979E-3</v>
      </c>
      <c r="J30" s="290">
        <v>0.49593958430372653</v>
      </c>
      <c r="K30" s="114">
        <v>112.697821750184</v>
      </c>
      <c r="L30" s="291">
        <v>10.063792224857611</v>
      </c>
      <c r="M30" s="114" t="s">
        <v>2531</v>
      </c>
      <c r="N30" s="290">
        <v>3.6898753105507193E-2</v>
      </c>
      <c r="O30" s="290">
        <v>6.1497921842511996E-3</v>
      </c>
      <c r="P30" s="290">
        <v>1.2299584368502398E-3</v>
      </c>
      <c r="Q30" s="290">
        <v>3.6898753105507193E-2</v>
      </c>
      <c r="R30" s="290">
        <v>3.6898753105507193E-2</v>
      </c>
      <c r="S30" s="290">
        <v>2.7674064829130399E-3</v>
      </c>
      <c r="T30" s="290">
        <v>0.43294536977128434</v>
      </c>
      <c r="U30" s="114">
        <v>98.382951581800327</v>
      </c>
      <c r="V30" s="291">
        <v>8.7854899749723714</v>
      </c>
      <c r="W30" t="s">
        <v>2531</v>
      </c>
    </row>
    <row r="31" spans="1:23" x14ac:dyDescent="0.25">
      <c r="A31" s="2" t="s">
        <v>2529</v>
      </c>
      <c r="B31" s="2">
        <v>2104008230</v>
      </c>
      <c r="C31" s="2" t="s">
        <v>2162</v>
      </c>
      <c r="D31" s="290">
        <v>3.1810221036046617E-2</v>
      </c>
      <c r="E31" s="290">
        <v>4.2413628048062167E-3</v>
      </c>
      <c r="F31" s="290">
        <v>8.4827256096124324E-4</v>
      </c>
      <c r="G31" s="290">
        <v>2.7568858231240397E-2</v>
      </c>
      <c r="H31" s="290">
        <v>2.7568858231240397E-2</v>
      </c>
      <c r="I31" s="290">
        <v>1.9086132621627971E-3</v>
      </c>
      <c r="J31" s="290">
        <v>0.22691291005713252</v>
      </c>
      <c r="K31" s="114">
        <v>67.852340203412354</v>
      </c>
      <c r="L31" s="291">
        <v>6.0591397701649026</v>
      </c>
      <c r="M31" s="114" t="s">
        <v>2531</v>
      </c>
      <c r="N31" s="290">
        <v>2.7769688778307114E-2</v>
      </c>
      <c r="O31" s="290">
        <v>3.7026251704409497E-3</v>
      </c>
      <c r="P31" s="290">
        <v>7.4052503408818997E-4</v>
      </c>
      <c r="Q31" s="290">
        <v>2.4067063607866167E-2</v>
      </c>
      <c r="R31" s="290">
        <v>2.4067063607866167E-2</v>
      </c>
      <c r="S31" s="290">
        <v>1.6661813266984269E-3</v>
      </c>
      <c r="T31" s="290">
        <v>0.19809044661859079</v>
      </c>
      <c r="U31" s="114">
        <v>59.233740255793911</v>
      </c>
      <c r="V31" s="291">
        <v>5.2895082209920457</v>
      </c>
      <c r="W31" t="s">
        <v>2531</v>
      </c>
    </row>
    <row r="32" spans="1:23" x14ac:dyDescent="0.25">
      <c r="A32" s="2" t="s">
        <v>2529</v>
      </c>
      <c r="B32" s="2">
        <v>2104008310</v>
      </c>
      <c r="C32" s="2" t="s">
        <v>2165</v>
      </c>
      <c r="D32" s="290">
        <v>1.7994359158325257</v>
      </c>
      <c r="E32" s="290">
        <v>4.9302596400694711E-2</v>
      </c>
      <c r="F32" s="290">
        <v>1.3580648421377555E-2</v>
      </c>
      <c r="G32" s="290">
        <v>0.41224158051196275</v>
      </c>
      <c r="H32" s="290">
        <v>0.41224158051196275</v>
      </c>
      <c r="I32" s="290">
        <v>1.3479762715190293E-2</v>
      </c>
      <c r="J32" s="290">
        <v>4.1139397097559405</v>
      </c>
      <c r="K32" s="114">
        <v>1086.3003464665251</v>
      </c>
      <c r="L32" s="291">
        <v>97.005432854447307</v>
      </c>
      <c r="M32" s="114" t="s">
        <v>2531</v>
      </c>
      <c r="N32" s="290">
        <v>1.570871679972065</v>
      </c>
      <c r="O32" s="290">
        <v>4.3040183733974162E-2</v>
      </c>
      <c r="P32" s="290">
        <v>1.1855635320543892E-2</v>
      </c>
      <c r="Q32" s="290">
        <v>0.35987868111077354</v>
      </c>
      <c r="R32" s="290">
        <v>0.35987868111077354</v>
      </c>
      <c r="S32" s="290">
        <v>1.1767564110355653E-2</v>
      </c>
      <c r="T32" s="290">
        <v>3.5913873488393628</v>
      </c>
      <c r="U32" s="114">
        <v>948.31854538070991</v>
      </c>
      <c r="V32" s="291">
        <v>84.68380892796705</v>
      </c>
      <c r="W32" t="s">
        <v>2531</v>
      </c>
    </row>
    <row r="33" spans="1:31" x14ac:dyDescent="0.25">
      <c r="A33" s="2" t="s">
        <v>2529</v>
      </c>
      <c r="B33" s="2">
        <v>2104008320</v>
      </c>
      <c r="C33" s="2" t="s">
        <v>2169</v>
      </c>
      <c r="D33" s="290">
        <v>0.85778755948140695</v>
      </c>
      <c r="E33" s="290">
        <v>0.11500355209709706</v>
      </c>
      <c r="F33" s="290">
        <v>2.8592918649380225E-2</v>
      </c>
      <c r="G33" s="290">
        <v>0.56650615467505083</v>
      </c>
      <c r="H33" s="290">
        <v>0.56650615467505083</v>
      </c>
      <c r="I33" s="290">
        <v>1.785211287888509E-2</v>
      </c>
      <c r="J33" s="290">
        <v>8.8381389549180902</v>
      </c>
      <c r="K33" s="114">
        <v>2287.1144640205835</v>
      </c>
      <c r="L33" s="291">
        <v>204.23682022347654</v>
      </c>
      <c r="M33" s="114" t="s">
        <v>2531</v>
      </c>
      <c r="N33" s="290">
        <v>0.7488314381000194</v>
      </c>
      <c r="O33" s="290">
        <v>0.10039580820633986</v>
      </c>
      <c r="P33" s="290">
        <v>2.496104793666731E-2</v>
      </c>
      <c r="Q33" s="290">
        <v>0.4945485788512714</v>
      </c>
      <c r="R33" s="290">
        <v>0.4945485788512714</v>
      </c>
      <c r="S33" s="290">
        <v>1.5584538633669895E-2</v>
      </c>
      <c r="T33" s="290">
        <v>7.7155191056166963</v>
      </c>
      <c r="U33" s="114">
        <v>1996.6053299109565</v>
      </c>
      <c r="V33" s="291">
        <v>178.29467227687871</v>
      </c>
      <c r="W33" t="s">
        <v>2531</v>
      </c>
    </row>
    <row r="34" spans="1:31" x14ac:dyDescent="0.25">
      <c r="A34" s="2" t="s">
        <v>2529</v>
      </c>
      <c r="B34" s="2">
        <v>2104008330</v>
      </c>
      <c r="C34" s="2" t="s">
        <v>2172</v>
      </c>
      <c r="D34" s="290">
        <v>0.64556364537822375</v>
      </c>
      <c r="E34" s="290">
        <v>6.9240558693232632E-2</v>
      </c>
      <c r="F34" s="290">
        <v>1.7215030543419298E-2</v>
      </c>
      <c r="G34" s="290">
        <v>0.37845661464114405</v>
      </c>
      <c r="H34" s="290">
        <v>0.37845661464114405</v>
      </c>
      <c r="I34" s="290">
        <v>1.0748279049198683E-2</v>
      </c>
      <c r="J34" s="290">
        <v>5.3212067617727001</v>
      </c>
      <c r="K34" s="114">
        <v>1377.0103653011943</v>
      </c>
      <c r="L34" s="291">
        <v>122.96551958728406</v>
      </c>
      <c r="M34" s="114" t="s">
        <v>2531</v>
      </c>
      <c r="N34" s="290">
        <v>0.56356419210127817</v>
      </c>
      <c r="O34" s="290">
        <v>6.0445627321115351E-2</v>
      </c>
      <c r="P34" s="290">
        <v>1.5028378456034082E-2</v>
      </c>
      <c r="Q34" s="290">
        <v>0.33038507946131573</v>
      </c>
      <c r="R34" s="290">
        <v>0.33038507946131573</v>
      </c>
      <c r="S34" s="290">
        <v>9.3830333263141899E-3</v>
      </c>
      <c r="T34" s="290">
        <v>4.6453074165062755</v>
      </c>
      <c r="U34" s="114">
        <v>1202.1025960676425</v>
      </c>
      <c r="V34" s="291">
        <v>107.34644709108527</v>
      </c>
      <c r="W34" t="s">
        <v>2531</v>
      </c>
    </row>
    <row r="35" spans="1:31" x14ac:dyDescent="0.25">
      <c r="A35" s="2" t="s">
        <v>2529</v>
      </c>
      <c r="B35" s="2">
        <v>2104008410</v>
      </c>
      <c r="C35" s="2" t="s">
        <v>2175</v>
      </c>
      <c r="D35" s="290">
        <v>1.0817022477363426E-2</v>
      </c>
      <c r="E35" s="290">
        <v>1.8889890872004392E-2</v>
      </c>
      <c r="F35" s="290">
        <v>1.5096815881721786E-3</v>
      </c>
      <c r="G35" s="290">
        <v>1.3964554690592657E-2</v>
      </c>
      <c r="H35" s="290">
        <v>1.3964554690592657E-2</v>
      </c>
      <c r="I35" s="290">
        <v>3.3911222674317575E-4</v>
      </c>
      <c r="J35" s="290">
        <v>4.6856742292894021E-2</v>
      </c>
      <c r="K35" s="114">
        <v>144.2068510562836</v>
      </c>
      <c r="L35" s="291">
        <v>12.877514080515549</v>
      </c>
      <c r="M35" s="114" t="s">
        <v>2531</v>
      </c>
      <c r="N35" s="290">
        <v>9.4430449685950022E-3</v>
      </c>
      <c r="O35" s="290">
        <v>1.6490498131946949E-2</v>
      </c>
      <c r="P35" s="290">
        <v>1.3179219286271293E-3</v>
      </c>
      <c r="Q35" s="290">
        <v>1.2190777839800946E-2</v>
      </c>
      <c r="R35" s="290">
        <v>1.2190777839800946E-2</v>
      </c>
      <c r="S35" s="290">
        <v>2.9603821321786902E-4</v>
      </c>
      <c r="T35" s="290">
        <v>4.0905001859764527E-2</v>
      </c>
      <c r="U35" s="114">
        <v>125.88970598458862</v>
      </c>
      <c r="V35" s="291">
        <v>11.241813059046503</v>
      </c>
      <c r="W35" t="s">
        <v>2531</v>
      </c>
    </row>
    <row r="36" spans="1:31" x14ac:dyDescent="0.25">
      <c r="A36" s="2" t="s">
        <v>2529</v>
      </c>
      <c r="B36" s="2">
        <v>2104008420</v>
      </c>
      <c r="C36" s="2" t="s">
        <v>2179</v>
      </c>
      <c r="D36" s="290">
        <v>3.6486152994024162E-2</v>
      </c>
      <c r="E36" s="290">
        <v>6.3716188982567909E-2</v>
      </c>
      <c r="F36" s="290">
        <v>5.092202915689745E-3</v>
      </c>
      <c r="G36" s="290">
        <v>4.7102876970130124E-2</v>
      </c>
      <c r="H36" s="290">
        <v>4.7102876970130124E-2</v>
      </c>
      <c r="I36" s="290">
        <v>1.1438360799368088E-3</v>
      </c>
      <c r="J36" s="290">
        <v>0.1580492479957204</v>
      </c>
      <c r="K36" s="114">
        <v>486.41419035938691</v>
      </c>
      <c r="L36" s="291">
        <v>43.436255208643502</v>
      </c>
      <c r="M36" s="114" t="s">
        <v>2531</v>
      </c>
      <c r="N36" s="290">
        <v>3.1851684155655632E-2</v>
      </c>
      <c r="O36" s="290">
        <v>5.562296270059526E-2</v>
      </c>
      <c r="P36" s="290">
        <v>4.4453916244231988E-3</v>
      </c>
      <c r="Q36" s="290">
        <v>4.1119872525914584E-2</v>
      </c>
      <c r="R36" s="290">
        <v>4.1119872525914584E-2</v>
      </c>
      <c r="S36" s="290">
        <v>9.9854609363606061E-4</v>
      </c>
      <c r="T36" s="290">
        <v>0.13797384254303499</v>
      </c>
      <c r="U36" s="114">
        <v>424.62989076139831</v>
      </c>
      <c r="V36" s="291">
        <v>37.918984827936299</v>
      </c>
      <c r="W36" t="s">
        <v>2531</v>
      </c>
    </row>
    <row r="37" spans="1:31" x14ac:dyDescent="0.25">
      <c r="A37" s="2" t="s">
        <v>2529</v>
      </c>
      <c r="B37" s="2">
        <v>2104008610</v>
      </c>
      <c r="C37" s="2" t="s">
        <v>2182</v>
      </c>
      <c r="D37" s="290">
        <v>1.2046036226525472</v>
      </c>
      <c r="E37" s="290">
        <v>4.2790850839357936E-2</v>
      </c>
      <c r="F37" s="290">
        <v>1.0613247776674422E-2</v>
      </c>
      <c r="G37" s="290">
        <v>0.26188592402783051</v>
      </c>
      <c r="H37" s="290">
        <v>0.26188592402783051</v>
      </c>
      <c r="I37" s="290">
        <v>6.4676752416822272E-3</v>
      </c>
      <c r="J37" s="290">
        <v>1.6071287285621563</v>
      </c>
      <c r="K37" s="114">
        <v>848.94140391619374</v>
      </c>
      <c r="L37" s="291">
        <v>75.809538883812053</v>
      </c>
      <c r="M37" s="114" t="s">
        <v>2531</v>
      </c>
      <c r="N37" s="290">
        <v>1.1015979616272999</v>
      </c>
      <c r="O37" s="290">
        <v>3.9131804997510782E-2</v>
      </c>
      <c r="P37" s="290">
        <v>9.705708913015856E-3</v>
      </c>
      <c r="Q37" s="290">
        <v>0.23949205752235408</v>
      </c>
      <c r="R37" s="290">
        <v>0.23949205752235408</v>
      </c>
      <c r="S37" s="290">
        <v>5.9146243035660771E-3</v>
      </c>
      <c r="T37" s="290">
        <v>1.4697031439755173</v>
      </c>
      <c r="U37" s="114">
        <v>776.34842076582527</v>
      </c>
      <c r="V37" s="291">
        <v>69.32706488331786</v>
      </c>
      <c r="W37" t="s">
        <v>2531</v>
      </c>
    </row>
    <row r="38" spans="1:31" x14ac:dyDescent="0.25">
      <c r="A38" s="2" t="s">
        <v>2529</v>
      </c>
      <c r="B38" s="2">
        <v>2104004000</v>
      </c>
      <c r="C38" s="2" t="s">
        <v>2196</v>
      </c>
      <c r="D38" s="290">
        <v>7.2590841059989406E-2</v>
      </c>
      <c r="E38" s="290">
        <v>1.1373660278354965</v>
      </c>
      <c r="F38" s="290">
        <v>2.942584160152093</v>
      </c>
      <c r="G38" s="290">
        <v>4.6486349911532533E-2</v>
      </c>
      <c r="H38" s="290">
        <v>4.6486349911532533E-2</v>
      </c>
      <c r="I38" s="290">
        <v>2.4939926727537212E-3</v>
      </c>
      <c r="J38" s="290">
        <v>4.5595361538228178E-2</v>
      </c>
      <c r="K38" s="114">
        <v>27328.091890548254</v>
      </c>
      <c r="L38" s="291">
        <v>203.62087253853977</v>
      </c>
      <c r="M38" s="114" t="s">
        <v>2532</v>
      </c>
      <c r="N38" s="290">
        <v>6.7170612853885606E-2</v>
      </c>
      <c r="O38" s="290">
        <v>1.0524409417679086</v>
      </c>
      <c r="P38" s="290">
        <v>2.7228666664463801</v>
      </c>
      <c r="Q38" s="290">
        <v>4.3015297347462199E-2</v>
      </c>
      <c r="R38" s="290">
        <v>4.3015297347462199E-2</v>
      </c>
      <c r="S38" s="290">
        <v>2.3077707026913472E-3</v>
      </c>
      <c r="T38" s="290">
        <v>4.2190837481635844E-2</v>
      </c>
      <c r="U38" s="114">
        <v>25287.552170644267</v>
      </c>
      <c r="V38" s="291">
        <v>188.41686635031033</v>
      </c>
      <c r="W38" t="s">
        <v>2532</v>
      </c>
    </row>
    <row r="39" spans="1:31" x14ac:dyDescent="0.25">
      <c r="A39" s="2" t="s">
        <v>2529</v>
      </c>
      <c r="B39" s="2">
        <v>2103004001</v>
      </c>
      <c r="C39" s="2" t="s">
        <v>2206</v>
      </c>
      <c r="D39" s="290">
        <v>2.1775909054814246E-2</v>
      </c>
      <c r="E39" s="290">
        <v>0.54974244458156563</v>
      </c>
      <c r="F39" s="290">
        <v>0.38858239282778761</v>
      </c>
      <c r="G39" s="290">
        <v>1.3945044762978425E-2</v>
      </c>
      <c r="H39" s="290">
        <v>1.3945044762978425E-2</v>
      </c>
      <c r="I39" s="290">
        <v>7.4815165153379259E-4</v>
      </c>
      <c r="J39" s="290">
        <v>1.3677764738354676E-2</v>
      </c>
      <c r="K39" s="114">
        <v>8459.9253971718736</v>
      </c>
      <c r="L39" s="291">
        <v>63.034675010693938</v>
      </c>
      <c r="M39" s="114" t="s">
        <v>2532</v>
      </c>
      <c r="N39" s="290">
        <v>2.1401854315028879E-2</v>
      </c>
      <c r="O39" s="290">
        <v>0.54029926742008383</v>
      </c>
      <c r="P39" s="290">
        <v>0.38190753551328949</v>
      </c>
      <c r="Q39" s="290">
        <v>1.3705504357249281E-2</v>
      </c>
      <c r="R39" s="290">
        <v>1.3705504357249281E-2</v>
      </c>
      <c r="S39" s="290">
        <v>7.3530030876642414E-4</v>
      </c>
      <c r="T39" s="290">
        <v>1.3442815523735337E-2</v>
      </c>
      <c r="U39" s="114">
        <v>8314.6053930757389</v>
      </c>
      <c r="V39" s="291">
        <v>61.951899595934975</v>
      </c>
      <c r="W39" t="s">
        <v>2532</v>
      </c>
    </row>
    <row r="40" spans="1:31" x14ac:dyDescent="0.25">
      <c r="A40" s="2" t="s">
        <v>2529</v>
      </c>
      <c r="B40" s="2">
        <v>2104004000</v>
      </c>
      <c r="C40" s="2" t="s">
        <v>2210</v>
      </c>
      <c r="D40" s="290">
        <v>4.8960879077017828E-4</v>
      </c>
      <c r="E40" s="290">
        <v>1.2360390229822174E-2</v>
      </c>
      <c r="F40" s="290">
        <v>1.9847064055931427E-2</v>
      </c>
      <c r="G40" s="290">
        <v>2.7467533844049286E-4</v>
      </c>
      <c r="H40" s="290">
        <v>2.7467533844049286E-4</v>
      </c>
      <c r="I40" s="290">
        <v>1.682141601979136E-5</v>
      </c>
      <c r="J40" s="290">
        <v>3.0753039228478466E-4</v>
      </c>
      <c r="K40" s="114">
        <v>188.14573994827654</v>
      </c>
      <c r="L40" s="291">
        <v>1.3733766922024644</v>
      </c>
      <c r="M40" s="114" t="s">
        <v>2532</v>
      </c>
      <c r="N40" s="290">
        <v>4.6295834546542864E-4</v>
      </c>
      <c r="O40" s="290">
        <v>1.1687587964064114E-2</v>
      </c>
      <c r="P40" s="290">
        <v>1.8766746249034145E-2</v>
      </c>
      <c r="Q40" s="290">
        <v>2.5972417697920258E-4</v>
      </c>
      <c r="R40" s="290">
        <v>2.5972417697920258E-4</v>
      </c>
      <c r="S40" s="290">
        <v>1.5905790655143192E-5</v>
      </c>
      <c r="T40" s="290">
        <v>2.9079086053282921E-4</v>
      </c>
      <c r="U40" s="114">
        <v>177.90456812632928</v>
      </c>
      <c r="V40" s="291">
        <v>1.2986208848960128</v>
      </c>
      <c r="W40" t="s">
        <v>2532</v>
      </c>
    </row>
    <row r="41" spans="1:31" x14ac:dyDescent="0.25">
      <c r="A41" s="2" t="s">
        <v>2529</v>
      </c>
      <c r="B41" s="2">
        <v>2104004000</v>
      </c>
      <c r="C41" s="2" t="s">
        <v>2214</v>
      </c>
      <c r="D41" s="290">
        <v>1.5184866726235715E-3</v>
      </c>
      <c r="E41" s="290">
        <v>2.3791915480573477E-2</v>
      </c>
      <c r="F41" s="290">
        <v>6.155425071561816E-2</v>
      </c>
      <c r="G41" s="290">
        <v>9.724216136474175E-4</v>
      </c>
      <c r="H41" s="290">
        <v>9.724216136474175E-4</v>
      </c>
      <c r="I41" s="290">
        <v>5.2170419572183946E-5</v>
      </c>
      <c r="J41" s="290">
        <v>9.5378353271917524E-4</v>
      </c>
      <c r="K41" s="114">
        <v>532.42870709101385</v>
      </c>
      <c r="L41" s="291">
        <v>4.2594296567281118</v>
      </c>
      <c r="M41" s="114" t="s">
        <v>2532</v>
      </c>
      <c r="N41" s="290">
        <v>1.2686280846052128E-3</v>
      </c>
      <c r="O41" s="290">
        <v>1.9877087306311405E-2</v>
      </c>
      <c r="P41" s="290">
        <v>5.1425839022837372E-2</v>
      </c>
      <c r="Q41" s="290">
        <v>8.1241501251954034E-4</v>
      </c>
      <c r="R41" s="290">
        <v>8.1241501251954034E-4</v>
      </c>
      <c r="S41" s="290">
        <v>4.3586065421673334E-5</v>
      </c>
      <c r="T41" s="290">
        <v>7.9684372477958247E-4</v>
      </c>
      <c r="U41" s="114">
        <v>444.82050652356702</v>
      </c>
      <c r="V41" s="291">
        <v>3.5585640521885362</v>
      </c>
      <c r="W41" t="s">
        <v>2532</v>
      </c>
    </row>
    <row r="42" spans="1:31" x14ac:dyDescent="0.25">
      <c r="A42" s="2" t="s">
        <v>2529</v>
      </c>
      <c r="B42" s="2">
        <v>2104006010</v>
      </c>
      <c r="C42" s="2" t="s">
        <v>2217</v>
      </c>
      <c r="D42" s="290">
        <v>6.2640334377998895E-4</v>
      </c>
      <c r="E42" s="290">
        <v>1.0705802602785267E-2</v>
      </c>
      <c r="F42" s="290">
        <v>6.8334910230544217E-5</v>
      </c>
      <c r="G42" s="290">
        <v>8.6557552958689294E-4</v>
      </c>
      <c r="H42" s="290">
        <v>8.6557552958689294E-4</v>
      </c>
      <c r="I42" s="290">
        <v>2.2778303410181402E-3</v>
      </c>
      <c r="J42" s="290">
        <v>4.5556606820362803E-3</v>
      </c>
      <c r="K42" s="114">
        <v>281.18883333333309</v>
      </c>
      <c r="L42" s="291">
        <v>277.03333333333336</v>
      </c>
      <c r="M42" s="114" t="s">
        <v>2533</v>
      </c>
      <c r="N42" s="290">
        <v>6.2640334377998895E-4</v>
      </c>
      <c r="O42" s="290">
        <v>1.0705802602785267E-2</v>
      </c>
      <c r="P42" s="290">
        <v>6.8334910230544217E-5</v>
      </c>
      <c r="Q42" s="290">
        <v>8.6557552958689294E-4</v>
      </c>
      <c r="R42" s="290">
        <v>8.6557552958689294E-4</v>
      </c>
      <c r="S42" s="290">
        <v>2.2778303410181402E-3</v>
      </c>
      <c r="T42" s="290">
        <v>4.5556606820362803E-3</v>
      </c>
      <c r="U42" s="114">
        <v>281.18883333333309</v>
      </c>
      <c r="V42" s="291">
        <v>277.03333333333336</v>
      </c>
      <c r="W42" t="s">
        <v>2533</v>
      </c>
    </row>
    <row r="43" spans="1:31" x14ac:dyDescent="0.25">
      <c r="A43" s="2" t="s">
        <v>2529</v>
      </c>
      <c r="B43" s="2">
        <v>2103006000</v>
      </c>
      <c r="C43" s="2" t="s">
        <v>2221</v>
      </c>
      <c r="D43" s="290">
        <v>9.7086916666666735E-3</v>
      </c>
      <c r="E43" s="290">
        <v>0.17652166666666672</v>
      </c>
      <c r="F43" s="290">
        <v>1.0591300000000004E-3</v>
      </c>
      <c r="G43" s="290">
        <v>1.3415646666666663E-2</v>
      </c>
      <c r="H43" s="290">
        <v>1.3415646666666663E-2</v>
      </c>
      <c r="I43" s="290">
        <v>3.5304333333333326E-2</v>
      </c>
      <c r="J43" s="290">
        <v>7.0608666666666653E-2</v>
      </c>
      <c r="K43" s="114">
        <v>3583.3898333333341</v>
      </c>
      <c r="L43" s="291">
        <v>3530.4333333333338</v>
      </c>
      <c r="M43" s="114" t="s">
        <v>2533</v>
      </c>
      <c r="N43" s="290">
        <v>9.7086916666666735E-3</v>
      </c>
      <c r="O43" s="290">
        <v>0.17652166666666672</v>
      </c>
      <c r="P43" s="290">
        <v>1.0591300000000004E-3</v>
      </c>
      <c r="Q43" s="290">
        <v>1.3415646666666663E-2</v>
      </c>
      <c r="R43" s="290">
        <v>1.3415646666666663E-2</v>
      </c>
      <c r="S43" s="290">
        <v>3.5304333333333326E-2</v>
      </c>
      <c r="T43" s="290">
        <v>7.0608666666666653E-2</v>
      </c>
      <c r="U43" s="114">
        <v>3583.3898333333341</v>
      </c>
      <c r="V43" s="291">
        <v>3530.4333333333338</v>
      </c>
      <c r="W43" t="s">
        <v>2533</v>
      </c>
    </row>
    <row r="44" spans="1:31" x14ac:dyDescent="0.25">
      <c r="A44" s="2" t="s">
        <v>2529</v>
      </c>
      <c r="B44" s="2">
        <v>2104002000</v>
      </c>
      <c r="C44" s="2" t="s">
        <v>2223</v>
      </c>
      <c r="D44" s="290">
        <v>0.10962504646175746</v>
      </c>
      <c r="E44" s="290">
        <v>5.1743021929949541E-2</v>
      </c>
      <c r="F44" s="290">
        <v>0.10195129320943441</v>
      </c>
      <c r="G44" s="290">
        <v>8.7590412122944231E-2</v>
      </c>
      <c r="H44" s="290">
        <v>8.7590412122944231E-2</v>
      </c>
      <c r="I44" s="290">
        <v>1.3877982756826184E-2</v>
      </c>
      <c r="J44" s="290">
        <v>1.4314290441743982</v>
      </c>
      <c r="K44" s="114">
        <v>333.26014124374257</v>
      </c>
      <c r="L44" s="291">
        <v>21.92500929235149</v>
      </c>
      <c r="M44" s="114" t="s">
        <v>2531</v>
      </c>
      <c r="N44" s="290">
        <v>9.6327766096305098E-2</v>
      </c>
      <c r="O44" s="290">
        <v>4.5466705597456004E-2</v>
      </c>
      <c r="P44" s="290">
        <v>8.9584822469563716E-2</v>
      </c>
      <c r="Q44" s="290">
        <v>7.6965885110947749E-2</v>
      </c>
      <c r="R44" s="290">
        <v>7.6965885110947749E-2</v>
      </c>
      <c r="S44" s="290">
        <v>1.2194613548961739E-2</v>
      </c>
      <c r="T44" s="290">
        <v>1.2577998058025035</v>
      </c>
      <c r="U44" s="114">
        <v>292.83640893276743</v>
      </c>
      <c r="V44" s="291">
        <v>19.265553219261012</v>
      </c>
      <c r="W44" t="s">
        <v>2531</v>
      </c>
    </row>
    <row r="45" spans="1:31" x14ac:dyDescent="0.25">
      <c r="A45" s="2" t="s">
        <v>2529</v>
      </c>
      <c r="B45" s="2">
        <v>2103002000</v>
      </c>
      <c r="C45" s="2" t="s">
        <v>2527</v>
      </c>
      <c r="D45" s="290">
        <v>2.8645019898962393E-4</v>
      </c>
      <c r="E45" s="290">
        <v>1.3520449392310247E-4</v>
      </c>
      <c r="F45" s="290">
        <v>2.6639868506035018E-4</v>
      </c>
      <c r="G45" s="290">
        <v>2.2887370899270947E-4</v>
      </c>
      <c r="H45" s="290">
        <v>2.2887370899270947E-4</v>
      </c>
      <c r="I45" s="290">
        <v>3.6263162941091441E-5</v>
      </c>
      <c r="J45" s="290">
        <v>3.7403234733070132E-3</v>
      </c>
      <c r="K45" s="114">
        <v>13.168671346965224</v>
      </c>
      <c r="L45" s="291">
        <v>0.8708086049284568</v>
      </c>
      <c r="M45" s="114" t="s">
        <v>2531</v>
      </c>
      <c r="N45" s="290">
        <v>2.706988958254076E-4</v>
      </c>
      <c r="O45" s="290">
        <v>1.2776987882959237E-4</v>
      </c>
      <c r="P45" s="290">
        <v>2.5174997311762907E-4</v>
      </c>
      <c r="Q45" s="290">
        <v>2.1628841776450067E-4</v>
      </c>
      <c r="R45" s="290">
        <v>2.1628841776450067E-4</v>
      </c>
      <c r="S45" s="290">
        <v>3.4269126717017481E-5</v>
      </c>
      <c r="T45" s="290">
        <v>3.5346508322402596E-3</v>
      </c>
      <c r="U45" s="114">
        <v>12.440835130353117</v>
      </c>
      <c r="V45" s="291">
        <v>0.8229246433092392</v>
      </c>
      <c r="W45" t="s">
        <v>2531</v>
      </c>
    </row>
    <row r="46" spans="1:31" x14ac:dyDescent="0.25">
      <c r="A46" s="2" t="s">
        <v>2529</v>
      </c>
      <c r="B46" s="2">
        <v>2103008000</v>
      </c>
      <c r="C46" s="2" t="s">
        <v>2528</v>
      </c>
      <c r="D46" s="290">
        <v>8.7528703202673357E-4</v>
      </c>
      <c r="E46" s="290">
        <v>3.4801193375654405E-5</v>
      </c>
      <c r="F46" s="290">
        <v>7.5868125068506339E-6</v>
      </c>
      <c r="G46" s="290">
        <v>2.4615288677671822E-4</v>
      </c>
      <c r="H46" s="290">
        <v>2.4615288677671822E-4</v>
      </c>
      <c r="I46" s="290">
        <v>9.0131921626299533E-6</v>
      </c>
      <c r="J46" s="290">
        <v>1.7507977996781105E-3</v>
      </c>
      <c r="K46" s="114">
        <v>7.9472342577361532</v>
      </c>
      <c r="L46" s="291">
        <v>0.65625928184257976</v>
      </c>
      <c r="M46" s="114" t="s">
        <v>2531</v>
      </c>
      <c r="N46" s="290">
        <v>7.1756118952917862E-4</v>
      </c>
      <c r="O46" s="290">
        <v>2.9198335412332742E-5</v>
      </c>
      <c r="P46" s="290">
        <v>6.1971575068721741E-6</v>
      </c>
      <c r="Q46" s="290">
        <v>2.1186262130782992E-4</v>
      </c>
      <c r="R46" s="290">
        <v>2.1186262130782992E-4</v>
      </c>
      <c r="S46" s="290">
        <v>8.1663413751081652E-6</v>
      </c>
      <c r="T46" s="290">
        <v>1.5403669758388852E-3</v>
      </c>
      <c r="U46" s="114">
        <v>6.4915618245119404</v>
      </c>
      <c r="V46" s="291">
        <v>0.53605412434444311</v>
      </c>
      <c r="W46" t="s">
        <v>2531</v>
      </c>
    </row>
    <row r="47" spans="1:31" x14ac:dyDescent="0.25">
      <c r="A47" s="44" t="s">
        <v>2529</v>
      </c>
      <c r="B47" s="44">
        <v>2102012000</v>
      </c>
      <c r="C47" s="44" t="s">
        <v>2228</v>
      </c>
      <c r="D47" s="292">
        <v>3.7373908168656338E-4</v>
      </c>
      <c r="E47" s="292">
        <v>1.951102733022278E-2</v>
      </c>
      <c r="F47" s="292">
        <v>1.3815351742974288E-2</v>
      </c>
      <c r="G47" s="292">
        <v>1.9450064441674251E-3</v>
      </c>
      <c r="H47" s="292">
        <v>1.9450064441674251E-3</v>
      </c>
      <c r="I47" s="292">
        <v>1.3597627141015245E-5</v>
      </c>
      <c r="J47" s="292">
        <v>4.6447915084595207E-3</v>
      </c>
      <c r="K47" s="245">
        <v>103.52572562717806</v>
      </c>
      <c r="L47" s="293">
        <v>0.74747816337312667</v>
      </c>
      <c r="M47" s="245" t="s">
        <v>2532</v>
      </c>
      <c r="N47" s="292">
        <v>3.7373908168656338E-4</v>
      </c>
      <c r="O47" s="292">
        <v>1.951102733022278E-2</v>
      </c>
      <c r="P47" s="292">
        <v>1.3815351742974288E-2</v>
      </c>
      <c r="Q47" s="292">
        <v>1.9450064441674251E-3</v>
      </c>
      <c r="R47" s="292">
        <v>1.9450064441674251E-3</v>
      </c>
      <c r="S47" s="292">
        <v>1.3597627141015245E-5</v>
      </c>
      <c r="T47" s="292">
        <v>4.6447915084595207E-3</v>
      </c>
      <c r="U47" s="245">
        <v>103.52572562717806</v>
      </c>
      <c r="V47" s="293">
        <v>0.74747816337312667</v>
      </c>
      <c r="W47" s="9" t="s">
        <v>2532</v>
      </c>
    </row>
    <row r="48" spans="1:31" x14ac:dyDescent="0.25">
      <c r="A48" s="71" t="s">
        <v>2529</v>
      </c>
      <c r="B48" s="71" t="s">
        <v>2462</v>
      </c>
      <c r="C48" s="71"/>
      <c r="D48" s="294">
        <v>8.7141324709098562</v>
      </c>
      <c r="E48" s="294">
        <v>2.3997298811411896</v>
      </c>
      <c r="F48" s="294">
        <v>3.6158666368027435</v>
      </c>
      <c r="G48" s="294">
        <v>2.538105965898295</v>
      </c>
      <c r="H48" s="294">
        <v>2.538105965898295</v>
      </c>
      <c r="I48" s="294">
        <v>0.14248620322740768</v>
      </c>
      <c r="J48" s="294">
        <v>26.939813983471527</v>
      </c>
      <c r="K48" s="244">
        <v>47823.10900104497</v>
      </c>
      <c r="L48" s="244"/>
      <c r="M48" s="244"/>
      <c r="N48" s="294">
        <v>7.8621292215942216</v>
      </c>
      <c r="O48" s="294">
        <v>2.245423331748241</v>
      </c>
      <c r="P48" s="294">
        <v>3.3557269227586026</v>
      </c>
      <c r="Q48" s="294">
        <v>2.2628356025329972</v>
      </c>
      <c r="R48" s="294">
        <v>2.2628356025329972</v>
      </c>
      <c r="S48" s="294">
        <v>0.1312721760417811</v>
      </c>
      <c r="T48" s="294">
        <v>23.824122068045948</v>
      </c>
      <c r="U48" s="244">
        <v>44671.390903092703</v>
      </c>
      <c r="Y48" s="923" t="s">
        <v>3010</v>
      </c>
      <c r="Z48" s="923"/>
      <c r="AA48" s="923"/>
      <c r="AB48" s="923"/>
      <c r="AC48" s="923"/>
      <c r="AD48" s="923"/>
      <c r="AE48" s="923"/>
    </row>
    <row r="49" spans="1:31" ht="15.75" thickBot="1" x14ac:dyDescent="0.3">
      <c r="A49" s="2"/>
      <c r="B49" s="2"/>
      <c r="C49" s="2"/>
      <c r="D49" s="290"/>
      <c r="E49" s="290"/>
      <c r="F49" s="290"/>
      <c r="G49" s="290"/>
      <c r="H49" s="290"/>
      <c r="I49" s="290"/>
      <c r="J49" s="290"/>
      <c r="K49" s="290"/>
      <c r="L49" s="290"/>
      <c r="M49" s="290"/>
      <c r="N49" s="290"/>
      <c r="O49" s="290"/>
      <c r="P49" s="290"/>
      <c r="Q49" s="290"/>
      <c r="R49" s="290"/>
      <c r="S49" s="290"/>
      <c r="T49" s="290"/>
      <c r="Y49" s="15" t="s">
        <v>2143</v>
      </c>
      <c r="Z49" s="15" t="s">
        <v>2144</v>
      </c>
      <c r="AA49" s="509" t="s">
        <v>2145</v>
      </c>
      <c r="AB49" s="15" t="s">
        <v>2146</v>
      </c>
      <c r="AC49" s="510" t="s">
        <v>2147</v>
      </c>
      <c r="AD49" s="15" t="s">
        <v>2148</v>
      </c>
      <c r="AE49" s="15" t="s">
        <v>2149</v>
      </c>
    </row>
    <row r="50" spans="1:31" ht="15.75" thickTop="1" x14ac:dyDescent="0.25">
      <c r="A50" s="2" t="s">
        <v>2530</v>
      </c>
      <c r="B50" s="2">
        <v>2104008100</v>
      </c>
      <c r="C50" s="2" t="s">
        <v>2152</v>
      </c>
      <c r="D50" s="290">
        <v>5.1098369385300364</v>
      </c>
      <c r="E50" s="290">
        <v>5.8015615895974232E-2</v>
      </c>
      <c r="F50" s="290">
        <v>8.9254793686114157E-3</v>
      </c>
      <c r="G50" s="290">
        <v>0.77205396538488735</v>
      </c>
      <c r="H50" s="290">
        <v>0.77205396538488735</v>
      </c>
      <c r="I50" s="290">
        <v>4.0164657158751366E-2</v>
      </c>
      <c r="J50" s="290">
        <v>5.6364402212781091</v>
      </c>
      <c r="K50" s="114">
        <v>716.81867492110803</v>
      </c>
      <c r="L50" s="291">
        <v>63.753950674600041</v>
      </c>
      <c r="M50" s="114" t="s">
        <v>2531</v>
      </c>
      <c r="N50" s="290">
        <v>4.7139536435678577</v>
      </c>
      <c r="O50" s="290">
        <v>5.3520871062342504E-2</v>
      </c>
      <c r="P50" s="290">
        <v>8.2339801634373055E-3</v>
      </c>
      <c r="Q50" s="290">
        <v>0.71223928413732729</v>
      </c>
      <c r="R50" s="290">
        <v>0.71223928413732729</v>
      </c>
      <c r="S50" s="290">
        <v>3.7052910735467882E-2</v>
      </c>
      <c r="T50" s="290">
        <v>5.1997584732106583</v>
      </c>
      <c r="U50" s="114">
        <v>661.280221816427</v>
      </c>
      <c r="V50" s="291">
        <v>58.814629838429198</v>
      </c>
      <c r="W50" t="s">
        <v>2531</v>
      </c>
      <c r="Y50" s="43">
        <f t="shared" ref="Y50:Y66" si="0">N50/$U50*2000</f>
        <v>14.257053176698403</v>
      </c>
      <c r="Z50" s="11">
        <f t="shared" ref="Z50:AE65" si="1">O50/$U50*2000</f>
        <v>0.16187047274854086</v>
      </c>
      <c r="AA50" s="511">
        <f t="shared" si="1"/>
        <v>2.4903149653621663E-2</v>
      </c>
      <c r="AB50" s="11">
        <f t="shared" si="1"/>
        <v>2.1541224450382748</v>
      </c>
      <c r="AC50" s="512">
        <f t="shared" si="1"/>
        <v>2.1541224450382748</v>
      </c>
      <c r="AD50" s="11">
        <f t="shared" si="1"/>
        <v>0.11206417344129752</v>
      </c>
      <c r="AE50" s="43">
        <f t="shared" si="1"/>
        <v>15.72633900626208</v>
      </c>
    </row>
    <row r="51" spans="1:31" x14ac:dyDescent="0.25">
      <c r="A51" s="2" t="s">
        <v>2530</v>
      </c>
      <c r="B51" s="2">
        <v>2104008210</v>
      </c>
      <c r="C51" s="2" t="s">
        <v>2156</v>
      </c>
      <c r="D51" s="290">
        <v>0.10974818204501852</v>
      </c>
      <c r="E51" s="290">
        <v>5.7980171646424862E-3</v>
      </c>
      <c r="F51" s="290">
        <v>8.282881663774982E-4</v>
      </c>
      <c r="G51" s="290">
        <v>6.3364044727878627E-2</v>
      </c>
      <c r="H51" s="290">
        <v>6.3364044727878627E-2</v>
      </c>
      <c r="I51" s="290">
        <v>3.5202247071043679E-3</v>
      </c>
      <c r="J51" s="290">
        <v>0.47792227199981646</v>
      </c>
      <c r="K51" s="114">
        <v>66.510453364385498</v>
      </c>
      <c r="L51" s="291">
        <v>5.9163929154654857</v>
      </c>
      <c r="M51" s="114" t="s">
        <v>2531</v>
      </c>
      <c r="N51" s="290">
        <v>9.5518259680743137E-2</v>
      </c>
      <c r="O51" s="290">
        <v>5.0462476812468066E-3</v>
      </c>
      <c r="P51" s="290">
        <v>7.2089252589240091E-4</v>
      </c>
      <c r="Q51" s="290">
        <v>5.514827823076867E-2</v>
      </c>
      <c r="R51" s="290">
        <v>5.514827823076867E-2</v>
      </c>
      <c r="S51" s="290">
        <v>3.063793235042704E-3</v>
      </c>
      <c r="T51" s="290">
        <v>0.41595498743991538</v>
      </c>
      <c r="U51" s="114">
        <v>57.886393292293235</v>
      </c>
      <c r="V51" s="291">
        <v>5.1492748612539962</v>
      </c>
      <c r="W51" t="s">
        <v>2531</v>
      </c>
      <c r="Y51" s="43">
        <f t="shared" si="0"/>
        <v>3.3001973088366543</v>
      </c>
      <c r="Z51" s="11">
        <f t="shared" si="1"/>
        <v>0.17435004650457792</v>
      </c>
      <c r="AA51" s="511">
        <f t="shared" si="1"/>
        <v>2.4907149500653987E-2</v>
      </c>
      <c r="AB51" s="11">
        <f t="shared" si="1"/>
        <v>1.9053969368000301</v>
      </c>
      <c r="AC51" s="512">
        <f t="shared" si="1"/>
        <v>1.9053969368000301</v>
      </c>
      <c r="AD51" s="11">
        <f t="shared" si="1"/>
        <v>0.10585538537777946</v>
      </c>
      <c r="AE51" s="43">
        <f t="shared" si="1"/>
        <v>14.371425261877354</v>
      </c>
    </row>
    <row r="52" spans="1:31" x14ac:dyDescent="0.25">
      <c r="A52" s="2" t="s">
        <v>2530</v>
      </c>
      <c r="B52" s="2">
        <v>2104008220</v>
      </c>
      <c r="C52" s="2" t="s">
        <v>2159</v>
      </c>
      <c r="D52" s="290">
        <v>5.2316742377770405E-2</v>
      </c>
      <c r="E52" s="290">
        <v>8.7194570629617364E-3</v>
      </c>
      <c r="F52" s="290">
        <v>1.7438914125923468E-3</v>
      </c>
      <c r="G52" s="290">
        <v>5.2316742377770405E-2</v>
      </c>
      <c r="H52" s="290">
        <v>5.2316742377770405E-2</v>
      </c>
      <c r="I52" s="290">
        <v>3.9237556783327807E-3</v>
      </c>
      <c r="J52" s="290">
        <v>0.613849777232506</v>
      </c>
      <c r="K52" s="114">
        <v>140.03219311588441</v>
      </c>
      <c r="L52" s="291">
        <v>12.456470124311977</v>
      </c>
      <c r="M52" s="114" t="s">
        <v>2531</v>
      </c>
      <c r="N52" s="290">
        <v>4.5533366393627997E-2</v>
      </c>
      <c r="O52" s="290">
        <v>7.5888943989379978E-3</v>
      </c>
      <c r="P52" s="290">
        <v>1.5177788797875996E-3</v>
      </c>
      <c r="Q52" s="290">
        <v>4.5533366393627997E-2</v>
      </c>
      <c r="R52" s="290">
        <v>4.5533366393627997E-2</v>
      </c>
      <c r="S52" s="290">
        <v>3.415002479522099E-3</v>
      </c>
      <c r="T52" s="290">
        <v>0.53425816568523499</v>
      </c>
      <c r="U52" s="114">
        <v>121.87495640540857</v>
      </c>
      <c r="V52" s="291">
        <v>10.841367263390184</v>
      </c>
      <c r="W52" t="s">
        <v>2531</v>
      </c>
      <c r="Y52" s="43">
        <f t="shared" si="0"/>
        <v>0.74721448501961996</v>
      </c>
      <c r="Z52" s="11">
        <f t="shared" si="1"/>
        <v>0.12453574750326997</v>
      </c>
      <c r="AA52" s="511">
        <f t="shared" si="1"/>
        <v>2.4907149500653994E-2</v>
      </c>
      <c r="AB52" s="11">
        <f t="shared" si="1"/>
        <v>0.74721448501961996</v>
      </c>
      <c r="AC52" s="512">
        <f t="shared" si="1"/>
        <v>0.74721448501961996</v>
      </c>
      <c r="AD52" s="11">
        <f t="shared" si="1"/>
        <v>5.6041086376471483E-2</v>
      </c>
      <c r="AE52" s="43">
        <f t="shared" si="1"/>
        <v>8.7673166242302045</v>
      </c>
    </row>
    <row r="53" spans="1:31" x14ac:dyDescent="0.25">
      <c r="A53" s="2" t="s">
        <v>2530</v>
      </c>
      <c r="B53" s="2">
        <v>2104008230</v>
      </c>
      <c r="C53" s="2" t="s">
        <v>2162</v>
      </c>
      <c r="D53" s="290">
        <v>3.9373136798726137E-2</v>
      </c>
      <c r="E53" s="290">
        <v>5.2497515731634858E-3</v>
      </c>
      <c r="F53" s="290">
        <v>1.0499503146326969E-3</v>
      </c>
      <c r="G53" s="290">
        <v>3.4123385225562644E-2</v>
      </c>
      <c r="H53" s="290">
        <v>3.4123385225562644E-2</v>
      </c>
      <c r="I53" s="290">
        <v>2.3623882079235677E-3</v>
      </c>
      <c r="J53" s="290">
        <v>0.28086170916424641</v>
      </c>
      <c r="K53" s="114">
        <v>84.309633133733684</v>
      </c>
      <c r="L53" s="291">
        <v>7.4997070527414946</v>
      </c>
      <c r="M53" s="114" t="s">
        <v>2531</v>
      </c>
      <c r="N53" s="290">
        <v>3.4268025539078643E-2</v>
      </c>
      <c r="O53" s="290">
        <v>4.5690700718771533E-3</v>
      </c>
      <c r="P53" s="290">
        <v>9.1381401437543031E-4</v>
      </c>
      <c r="Q53" s="290">
        <v>2.9698955467201488E-2</v>
      </c>
      <c r="R53" s="290">
        <v>2.9698955467201488E-2</v>
      </c>
      <c r="S53" s="290">
        <v>2.0560815323447182E-3</v>
      </c>
      <c r="T53" s="290">
        <v>0.24444524884542762</v>
      </c>
      <c r="U53" s="114">
        <v>73.377647197358854</v>
      </c>
      <c r="V53" s="291">
        <v>6.5272968758554324</v>
      </c>
      <c r="W53" t="s">
        <v>2531</v>
      </c>
      <c r="Y53" s="43">
        <f t="shared" si="0"/>
        <v>0.93401810627452442</v>
      </c>
      <c r="Z53" s="11">
        <f t="shared" si="1"/>
        <v>0.12453574750326994</v>
      </c>
      <c r="AA53" s="511">
        <f t="shared" si="1"/>
        <v>2.490714950065398E-2</v>
      </c>
      <c r="AB53" s="11">
        <f t="shared" si="1"/>
        <v>0.80948235877125452</v>
      </c>
      <c r="AC53" s="512">
        <f t="shared" si="1"/>
        <v>0.80948235877125452</v>
      </c>
      <c r="AD53" s="11">
        <f t="shared" si="1"/>
        <v>5.6041086376471462E-2</v>
      </c>
      <c r="AE53" s="43">
        <f t="shared" si="1"/>
        <v>6.6626624914249408</v>
      </c>
    </row>
    <row r="54" spans="1:31" x14ac:dyDescent="0.25">
      <c r="A54" s="2" t="s">
        <v>2530</v>
      </c>
      <c r="B54" s="2">
        <v>2104008310</v>
      </c>
      <c r="C54" s="2" t="s">
        <v>2165</v>
      </c>
      <c r="D54" s="290">
        <v>2.2272538249366489</v>
      </c>
      <c r="E54" s="290">
        <v>6.1024344043922658E-2</v>
      </c>
      <c r="F54" s="290">
        <v>1.6809462829710558E-2</v>
      </c>
      <c r="G54" s="290">
        <v>0.51025247907670024</v>
      </c>
      <c r="H54" s="290">
        <v>0.51025247907670024</v>
      </c>
      <c r="I54" s="290">
        <v>1.668459143361916E-2</v>
      </c>
      <c r="J54" s="290">
        <v>5.0920334942150118</v>
      </c>
      <c r="K54" s="114">
        <v>1349.7778176711231</v>
      </c>
      <c r="L54" s="291">
        <v>120.0685834175666</v>
      </c>
      <c r="M54" s="114" t="s">
        <v>2531</v>
      </c>
      <c r="N54" s="290">
        <v>1.9384686403093236</v>
      </c>
      <c r="O54" s="290">
        <v>5.3111942563598857E-2</v>
      </c>
      <c r="P54" s="290">
        <v>1.4629952002334527E-2</v>
      </c>
      <c r="Q54" s="290">
        <v>0.44409326779735425</v>
      </c>
      <c r="R54" s="290">
        <v>0.44409326779735425</v>
      </c>
      <c r="S54" s="290">
        <v>1.4521271400831141E-2</v>
      </c>
      <c r="T54" s="290">
        <v>4.4318016803591167</v>
      </c>
      <c r="U54" s="114">
        <v>1174.7592394665942</v>
      </c>
      <c r="V54" s="291">
        <v>104.50052034277557</v>
      </c>
      <c r="W54" t="s">
        <v>2531</v>
      </c>
      <c r="Y54" s="43">
        <f t="shared" si="0"/>
        <v>3.300197308836653</v>
      </c>
      <c r="Z54" s="11">
        <f t="shared" si="1"/>
        <v>9.0421834158486161E-2</v>
      </c>
      <c r="AA54" s="511">
        <f t="shared" si="1"/>
        <v>2.4907149500654001E-2</v>
      </c>
      <c r="AB54" s="11">
        <f t="shared" si="1"/>
        <v>0.75605835285704537</v>
      </c>
      <c r="AC54" s="512">
        <f t="shared" si="1"/>
        <v>0.75605835285704537</v>
      </c>
      <c r="AD54" s="11">
        <f t="shared" si="1"/>
        <v>2.4722123330435948E-2</v>
      </c>
      <c r="AE54" s="43">
        <f t="shared" si="1"/>
        <v>7.5450382196975108</v>
      </c>
    </row>
    <row r="55" spans="1:31" x14ac:dyDescent="0.25">
      <c r="A55" s="2" t="s">
        <v>2530</v>
      </c>
      <c r="B55" s="2">
        <v>2104008320</v>
      </c>
      <c r="C55" s="2" t="s">
        <v>2169</v>
      </c>
      <c r="D55" s="290">
        <v>1.0617275147329277</v>
      </c>
      <c r="E55" s="290">
        <v>0.14234577571552695</v>
      </c>
      <c r="F55" s="290">
        <v>3.5390917157764261E-2</v>
      </c>
      <c r="G55" s="290">
        <v>0.70119362893031834</v>
      </c>
      <c r="H55" s="290">
        <v>0.70119362893031834</v>
      </c>
      <c r="I55" s="290">
        <v>2.2096472757298355E-2</v>
      </c>
      <c r="J55" s="290">
        <v>10.939416413479535</v>
      </c>
      <c r="K55" s="114">
        <v>2841.8442284874063</v>
      </c>
      <c r="L55" s="291">
        <v>252.79435351560107</v>
      </c>
      <c r="M55" s="114" t="s">
        <v>2531</v>
      </c>
      <c r="N55" s="290">
        <v>0.92406418559944614</v>
      </c>
      <c r="O55" s="290">
        <v>0.12388925735166356</v>
      </c>
      <c r="P55" s="290">
        <v>3.0802139519981547E-2</v>
      </c>
      <c r="Q55" s="290">
        <v>0.6102770349961244</v>
      </c>
      <c r="R55" s="290">
        <v>0.6102770349961244</v>
      </c>
      <c r="S55" s="290">
        <v>1.9231449519540287E-2</v>
      </c>
      <c r="T55" s="290">
        <v>9.5210143645923875</v>
      </c>
      <c r="U55" s="114">
        <v>2473.3572598641008</v>
      </c>
      <c r="V55" s="291">
        <v>220.01709964565902</v>
      </c>
      <c r="W55" t="s">
        <v>2531</v>
      </c>
      <c r="Y55" s="43">
        <f t="shared" si="0"/>
        <v>0.74721448501961996</v>
      </c>
      <c r="Z55" s="11">
        <f t="shared" si="1"/>
        <v>0.10017902335586626</v>
      </c>
      <c r="AA55" s="511">
        <f t="shared" si="1"/>
        <v>2.4907149500654004E-2</v>
      </c>
      <c r="AB55" s="11">
        <f t="shared" si="1"/>
        <v>0.49348069920934606</v>
      </c>
      <c r="AC55" s="512">
        <f t="shared" si="1"/>
        <v>0.49348069920934606</v>
      </c>
      <c r="AD55" s="11">
        <f t="shared" si="1"/>
        <v>1.5550886911175109E-2</v>
      </c>
      <c r="AE55" s="43">
        <f t="shared" si="1"/>
        <v>7.6988589712393765</v>
      </c>
    </row>
    <row r="56" spans="1:31" x14ac:dyDescent="0.25">
      <c r="A56" s="2" t="s">
        <v>2530</v>
      </c>
      <c r="B56" s="2">
        <v>2104008330</v>
      </c>
      <c r="C56" s="2" t="s">
        <v>2172</v>
      </c>
      <c r="D56" s="290">
        <v>0.79904712680110535</v>
      </c>
      <c r="E56" s="290">
        <v>8.5702579254623421E-2</v>
      </c>
      <c r="F56" s="290">
        <v>2.1307923381362812E-2</v>
      </c>
      <c r="G56" s="290">
        <v>0.46843509964181151</v>
      </c>
      <c r="H56" s="290">
        <v>0.46843509964181151</v>
      </c>
      <c r="I56" s="290">
        <v>1.3303694459570985E-2</v>
      </c>
      <c r="J56" s="290">
        <v>6.5863296431724914</v>
      </c>
      <c r="K56" s="114">
        <v>1710.9982997175057</v>
      </c>
      <c r="L56" s="291">
        <v>152.20070991491235</v>
      </c>
      <c r="M56" s="114" t="s">
        <v>2531</v>
      </c>
      <c r="N56" s="290">
        <v>0.6954428723350683</v>
      </c>
      <c r="O56" s="290">
        <v>7.4590403850103293E-2</v>
      </c>
      <c r="P56" s="290">
        <v>1.8545143262268492E-2</v>
      </c>
      <c r="Q56" s="290">
        <v>0.40769791952277956</v>
      </c>
      <c r="R56" s="290">
        <v>0.40769791952277956</v>
      </c>
      <c r="S56" s="290">
        <v>1.1578740699151692E-2</v>
      </c>
      <c r="T56" s="290">
        <v>5.7323477571725459</v>
      </c>
      <c r="U56" s="114">
        <v>1489.1421647251564</v>
      </c>
      <c r="V56" s="291">
        <v>132.46640320003306</v>
      </c>
      <c r="W56" t="s">
        <v>2531</v>
      </c>
      <c r="Y56" s="43">
        <f t="shared" si="0"/>
        <v>0.93401810627452453</v>
      </c>
      <c r="Z56" s="11">
        <f t="shared" si="1"/>
        <v>0.10017902335586619</v>
      </c>
      <c r="AA56" s="511">
        <f t="shared" si="1"/>
        <v>2.4907149500653994E-2</v>
      </c>
      <c r="AB56" s="11">
        <f t="shared" si="1"/>
        <v>0.5475607758350276</v>
      </c>
      <c r="AC56" s="512">
        <f t="shared" si="1"/>
        <v>0.5475607758350276</v>
      </c>
      <c r="AD56" s="11">
        <f t="shared" si="1"/>
        <v>1.5550886911175095E-2</v>
      </c>
      <c r="AE56" s="43">
        <f t="shared" si="1"/>
        <v>7.6988589712393738</v>
      </c>
    </row>
    <row r="57" spans="1:31" x14ac:dyDescent="0.25">
      <c r="A57" s="2" t="s">
        <v>2530</v>
      </c>
      <c r="B57" s="2">
        <v>2104008410</v>
      </c>
      <c r="C57" s="2" t="s">
        <v>2175</v>
      </c>
      <c r="D57" s="290">
        <v>1.3388781714955869E-2</v>
      </c>
      <c r="E57" s="290">
        <v>2.3380983633330674E-2</v>
      </c>
      <c r="F57" s="290">
        <v>1.8686100805858676E-3</v>
      </c>
      <c r="G57" s="290">
        <v>1.7284643245419281E-2</v>
      </c>
      <c r="H57" s="290">
        <v>1.7284643245419281E-2</v>
      </c>
      <c r="I57" s="290">
        <v>4.1973653935160053E-4</v>
      </c>
      <c r="J57" s="290">
        <v>5.799698537618387E-2</v>
      </c>
      <c r="K57" s="114">
        <v>179.18360179587154</v>
      </c>
      <c r="L57" s="291">
        <v>15.939157509943366</v>
      </c>
      <c r="M57" s="114" t="s">
        <v>2531</v>
      </c>
      <c r="N57" s="290">
        <v>1.1652795561874079E-2</v>
      </c>
      <c r="O57" s="290">
        <v>2.0349411030458644E-2</v>
      </c>
      <c r="P57" s="290">
        <v>1.6263265558808114E-3</v>
      </c>
      <c r="Q57" s="290">
        <v>1.5043520641897507E-2</v>
      </c>
      <c r="R57" s="290">
        <v>1.5043520641897507E-2</v>
      </c>
      <c r="S57" s="290">
        <v>3.653136026147273E-4</v>
      </c>
      <c r="T57" s="290">
        <v>5.0477110478150684E-2</v>
      </c>
      <c r="U57" s="114">
        <v>155.94980819420417</v>
      </c>
      <c r="V57" s="291">
        <v>13.872490256854716</v>
      </c>
      <c r="W57" t="s">
        <v>2531</v>
      </c>
      <c r="Y57" s="43">
        <f t="shared" si="0"/>
        <v>0.14944289700392399</v>
      </c>
      <c r="Z57" s="11">
        <f t="shared" si="1"/>
        <v>0.26097385134475498</v>
      </c>
      <c r="AA57" s="511">
        <f t="shared" si="1"/>
        <v>2.0857051056523884E-2</v>
      </c>
      <c r="AB57" s="11">
        <f t="shared" si="1"/>
        <v>0.19292772227284594</v>
      </c>
      <c r="AC57" s="512">
        <f t="shared" si="1"/>
        <v>0.19292772227284594</v>
      </c>
      <c r="AD57" s="11">
        <f t="shared" si="1"/>
        <v>4.6850150935716772E-3</v>
      </c>
      <c r="AE57" s="43">
        <f t="shared" si="1"/>
        <v>0.64735072216686007</v>
      </c>
    </row>
    <row r="58" spans="1:31" x14ac:dyDescent="0.25">
      <c r="A58" s="2" t="s">
        <v>2530</v>
      </c>
      <c r="B58" s="2">
        <v>2104008420</v>
      </c>
      <c r="C58" s="2" t="s">
        <v>2179</v>
      </c>
      <c r="D58" s="290">
        <v>4.5160776829091247E-2</v>
      </c>
      <c r="E58" s="290">
        <v>7.8864784443381394E-2</v>
      </c>
      <c r="F58" s="290">
        <v>6.3028798755949177E-3</v>
      </c>
      <c r="G58" s="290">
        <v>5.830163884925299E-2</v>
      </c>
      <c r="H58" s="290">
        <v>5.830163884925299E-2</v>
      </c>
      <c r="I58" s="290">
        <v>1.4157843920555081E-3</v>
      </c>
      <c r="J58" s="290">
        <v>0.1956256341387772</v>
      </c>
      <c r="K58" s="114">
        <v>604.39185763234184</v>
      </c>
      <c r="L58" s="291">
        <v>53.763273647684407</v>
      </c>
      <c r="M58" s="114" t="s">
        <v>2531</v>
      </c>
      <c r="N58" s="290">
        <v>3.9305241582733089E-2</v>
      </c>
      <c r="O58" s="290">
        <v>6.863919583687228E-2</v>
      </c>
      <c r="P58" s="290">
        <v>5.4856500169328474E-3</v>
      </c>
      <c r="Q58" s="290">
        <v>5.0742262656628866E-2</v>
      </c>
      <c r="R58" s="290">
        <v>5.0742262656628866E-2</v>
      </c>
      <c r="S58" s="290">
        <v>1.2322141350535414E-3</v>
      </c>
      <c r="T58" s="290">
        <v>0.17026086240055327</v>
      </c>
      <c r="U58" s="114">
        <v>526.02354974022023</v>
      </c>
      <c r="V58" s="291">
        <v>46.792340773898658</v>
      </c>
      <c r="W58" t="s">
        <v>2531</v>
      </c>
      <c r="Y58" s="43">
        <f t="shared" si="0"/>
        <v>0.14944289700392391</v>
      </c>
      <c r="Z58" s="11">
        <f t="shared" si="1"/>
        <v>0.26097385134475498</v>
      </c>
      <c r="AA58" s="511">
        <f t="shared" si="1"/>
        <v>2.0857051056523867E-2</v>
      </c>
      <c r="AB58" s="11">
        <f t="shared" si="1"/>
        <v>0.19292772227284585</v>
      </c>
      <c r="AC58" s="512">
        <f t="shared" si="1"/>
        <v>0.19292772227284585</v>
      </c>
      <c r="AD58" s="11">
        <f t="shared" si="1"/>
        <v>4.6850150935716754E-3</v>
      </c>
      <c r="AE58" s="43">
        <f t="shared" si="1"/>
        <v>0.64735072216685963</v>
      </c>
    </row>
    <row r="59" spans="1:31" x14ac:dyDescent="0.25">
      <c r="A59" s="2" t="s">
        <v>2530</v>
      </c>
      <c r="B59" s="2">
        <v>2104008610</v>
      </c>
      <c r="C59" s="2" t="s">
        <v>2182</v>
      </c>
      <c r="D59" s="290">
        <v>1.2584653262202514</v>
      </c>
      <c r="E59" s="290">
        <v>4.4704167452373093E-2</v>
      </c>
      <c r="F59" s="290">
        <v>1.1087800231015434E-2</v>
      </c>
      <c r="G59" s="290">
        <v>0.27359568626271458</v>
      </c>
      <c r="H59" s="290">
        <v>0.27359568626271458</v>
      </c>
      <c r="I59" s="290">
        <v>6.7568658103379815E-3</v>
      </c>
      <c r="J59" s="290">
        <v>1.678988624668351</v>
      </c>
      <c r="K59" s="114">
        <v>890.0256688319987</v>
      </c>
      <c r="L59" s="291">
        <v>79.199227271078371</v>
      </c>
      <c r="M59" s="114" t="s">
        <v>2531</v>
      </c>
      <c r="N59" s="290">
        <v>1.150665646276495</v>
      </c>
      <c r="O59" s="290">
        <v>4.0874824805331812E-2</v>
      </c>
      <c r="P59" s="290">
        <v>1.013802331521141E-2</v>
      </c>
      <c r="Q59" s="290">
        <v>0.25015957976171493</v>
      </c>
      <c r="R59" s="290">
        <v>0.25015957976171493</v>
      </c>
      <c r="S59" s="290">
        <v>6.1780751542894492E-3</v>
      </c>
      <c r="T59" s="290">
        <v>1.5351670726578037</v>
      </c>
      <c r="U59" s="114">
        <v>813.78609773371386</v>
      </c>
      <c r="V59" s="291">
        <v>72.415050406025145</v>
      </c>
      <c r="W59" t="s">
        <v>2531</v>
      </c>
      <c r="Y59" s="43">
        <f t="shared" si="0"/>
        <v>2.827931441642825</v>
      </c>
      <c r="Z59" s="11">
        <f t="shared" si="1"/>
        <v>0.10045594270819511</v>
      </c>
      <c r="AA59" s="511">
        <f t="shared" si="1"/>
        <v>2.4915695521082155E-2</v>
      </c>
      <c r="AB59" s="11">
        <f t="shared" si="1"/>
        <v>0.61480425988690679</v>
      </c>
      <c r="AC59" s="512">
        <f t="shared" si="1"/>
        <v>0.61480425988690679</v>
      </c>
      <c r="AD59" s="11">
        <f t="shared" si="1"/>
        <v>1.518353575096593E-2</v>
      </c>
      <c r="AE59" s="43">
        <f t="shared" si="1"/>
        <v>3.7729007092478968</v>
      </c>
    </row>
    <row r="60" spans="1:31" x14ac:dyDescent="0.25">
      <c r="A60" s="2" t="s">
        <v>2530</v>
      </c>
      <c r="B60" s="2">
        <v>2104004000</v>
      </c>
      <c r="C60" s="2" t="s">
        <v>2196</v>
      </c>
      <c r="D60" s="290">
        <v>8.7216329099729747E-2</v>
      </c>
      <c r="E60" s="290">
        <v>1.3665207392841237</v>
      </c>
      <c r="F60" s="290">
        <v>3.5354513705577149</v>
      </c>
      <c r="G60" s="290">
        <v>5.5852346292266652E-2</v>
      </c>
      <c r="H60" s="290">
        <v>5.5852346292266652E-2</v>
      </c>
      <c r="I60" s="290">
        <v>2.9964783785801051E-3</v>
      </c>
      <c r="J60" s="290">
        <v>5.4781842988331539E-2</v>
      </c>
      <c r="K60" s="114">
        <v>32834.112695071453</v>
      </c>
      <c r="L60" s="291">
        <v>244.64608443121961</v>
      </c>
      <c r="M60" s="114" t="s">
        <v>2532</v>
      </c>
      <c r="N60" s="290">
        <v>8.0602161824041951E-2</v>
      </c>
      <c r="O60" s="290">
        <v>1.2628888064956361</v>
      </c>
      <c r="P60" s="290">
        <v>3.267335674777978</v>
      </c>
      <c r="Q60" s="290">
        <v>5.1616708712355699E-2</v>
      </c>
      <c r="R60" s="290">
        <v>5.1616708712355699E-2</v>
      </c>
      <c r="S60" s="290">
        <v>2.7692364224178828E-3</v>
      </c>
      <c r="T60" s="290">
        <v>5.0627388462035551E-2</v>
      </c>
      <c r="U60" s="114">
        <v>30344.093727801468</v>
      </c>
      <c r="V60" s="291">
        <v>226.09302054429716</v>
      </c>
      <c r="W60" t="s">
        <v>2532</v>
      </c>
      <c r="Y60" s="43">
        <f t="shared" si="0"/>
        <v>5.3125436895281996E-3</v>
      </c>
      <c r="Z60" s="11">
        <f t="shared" si="1"/>
        <v>8.323786617746759E-2</v>
      </c>
      <c r="AA60" s="511">
        <f t="shared" si="1"/>
        <v>0.21535233209383495</v>
      </c>
      <c r="AB60" s="11">
        <f t="shared" si="1"/>
        <v>3.4020926230572588E-3</v>
      </c>
      <c r="AC60" s="512">
        <f t="shared" si="1"/>
        <v>3.4020926230572588E-3</v>
      </c>
      <c r="AD60" s="11">
        <f t="shared" si="1"/>
        <v>1.8252226922702187E-4</v>
      </c>
      <c r="AE60" s="43">
        <f t="shared" si="1"/>
        <v>3.3368858477819947E-3</v>
      </c>
    </row>
    <row r="61" spans="1:31" x14ac:dyDescent="0.25">
      <c r="A61" s="2" t="s">
        <v>2530</v>
      </c>
      <c r="B61" s="2">
        <v>2103004001</v>
      </c>
      <c r="C61" s="2" t="s">
        <v>2206</v>
      </c>
      <c r="D61" s="290">
        <v>2.713553716609567E-2</v>
      </c>
      <c r="E61" s="290">
        <v>0.68504862410900713</v>
      </c>
      <c r="F61" s="290">
        <v>0.48422281412576224</v>
      </c>
      <c r="G61" s="290">
        <v>1.7377289714801153E-2</v>
      </c>
      <c r="H61" s="290">
        <v>1.7377289714801153E-2</v>
      </c>
      <c r="I61" s="290">
        <v>9.3229159319908265E-4</v>
      </c>
      <c r="J61" s="290">
        <v>1.7044224995267469E-2</v>
      </c>
      <c r="K61" s="114">
        <v>10542.137159899728</v>
      </c>
      <c r="L61" s="291">
        <v>78.54917846138288</v>
      </c>
      <c r="M61" s="114" t="s">
        <v>2532</v>
      </c>
      <c r="N61" s="290">
        <v>2.6669417645296331E-2</v>
      </c>
      <c r="O61" s="290">
        <v>0.67328123087704628</v>
      </c>
      <c r="P61" s="290">
        <v>0.47590509759415767</v>
      </c>
      <c r="Q61" s="290">
        <v>1.707879206925704E-2</v>
      </c>
      <c r="R61" s="290">
        <v>1.707879206925704E-2</v>
      </c>
      <c r="S61" s="290">
        <v>9.1627719451564042E-4</v>
      </c>
      <c r="T61" s="290">
        <v>1.6751448554596288E-2</v>
      </c>
      <c r="U61" s="114">
        <v>10361.050052941217</v>
      </c>
      <c r="V61" s="291">
        <v>77.19990333189152</v>
      </c>
      <c r="W61" t="s">
        <v>2532</v>
      </c>
      <c r="Y61" s="43">
        <f t="shared" si="0"/>
        <v>5.1480144404332101E-3</v>
      </c>
      <c r="Z61" s="11">
        <f t="shared" si="1"/>
        <v>0.12996389891696744</v>
      </c>
      <c r="AA61" s="511">
        <f t="shared" si="1"/>
        <v>9.1864259927797814E-2</v>
      </c>
      <c r="AB61" s="11">
        <f t="shared" si="1"/>
        <v>3.2967299611507701E-3</v>
      </c>
      <c r="AC61" s="512">
        <f t="shared" si="1"/>
        <v>3.2967299611507701E-3</v>
      </c>
      <c r="AD61" s="11">
        <f t="shared" si="1"/>
        <v>1.7686956241573886E-4</v>
      </c>
      <c r="AE61" s="43">
        <f t="shared" si="1"/>
        <v>3.2335426368953818E-3</v>
      </c>
    </row>
    <row r="62" spans="1:31" x14ac:dyDescent="0.25">
      <c r="A62" s="2" t="s">
        <v>2530</v>
      </c>
      <c r="B62" s="2">
        <v>2104004000</v>
      </c>
      <c r="C62" s="2" t="s">
        <v>2210</v>
      </c>
      <c r="D62" s="290">
        <v>5.9137905387324468E-4</v>
      </c>
      <c r="E62" s="290">
        <v>1.4929625483476025E-2</v>
      </c>
      <c r="F62" s="290">
        <v>2.3972482081245555E-2</v>
      </c>
      <c r="G62" s="290">
        <v>3.3176945518835612E-4</v>
      </c>
      <c r="H62" s="290">
        <v>3.3176945518835612E-4</v>
      </c>
      <c r="I62" s="290">
        <v>2.0317921732867646E-5</v>
      </c>
      <c r="J62" s="290">
        <v>3.7145377259374375E-4</v>
      </c>
      <c r="K62" s="114">
        <v>227.25378256764427</v>
      </c>
      <c r="L62" s="291">
        <v>1.6588472759417805</v>
      </c>
      <c r="M62" s="114" t="s">
        <v>2532</v>
      </c>
      <c r="N62" s="290">
        <v>5.5833210966301752E-4</v>
      </c>
      <c r="O62" s="290">
        <v>1.4095340776906475E-2</v>
      </c>
      <c r="P62" s="290">
        <v>2.2632872109044223E-2</v>
      </c>
      <c r="Q62" s="290">
        <v>3.1322979504236592E-4</v>
      </c>
      <c r="R62" s="290">
        <v>3.1322979504236592E-4</v>
      </c>
      <c r="S62" s="290">
        <v>1.9182532811707522E-5</v>
      </c>
      <c r="T62" s="290">
        <v>3.5069650698011425E-4</v>
      </c>
      <c r="U62" s="114">
        <v>214.55457885914464</v>
      </c>
      <c r="V62" s="291">
        <v>1.5661489752118305</v>
      </c>
      <c r="W62" t="s">
        <v>2532</v>
      </c>
      <c r="Y62" s="43">
        <f t="shared" si="0"/>
        <v>5.2045695098361273E-3</v>
      </c>
      <c r="Z62" s="11">
        <f t="shared" si="1"/>
        <v>0.13139165662980407</v>
      </c>
      <c r="AA62" s="511">
        <f t="shared" si="1"/>
        <v>0.21097542853096352</v>
      </c>
      <c r="AB62" s="11">
        <f t="shared" si="1"/>
        <v>2.9198145917734217E-3</v>
      </c>
      <c r="AC62" s="512">
        <f t="shared" si="1"/>
        <v>2.9198145917734217E-3</v>
      </c>
      <c r="AD62" s="11">
        <f t="shared" si="1"/>
        <v>1.7881261647928641E-4</v>
      </c>
      <c r="AE62" s="43">
        <f t="shared" si="1"/>
        <v>3.2690656973612944E-3</v>
      </c>
    </row>
    <row r="63" spans="1:31" x14ac:dyDescent="0.25">
      <c r="A63" s="2" t="s">
        <v>2530</v>
      </c>
      <c r="B63" s="2">
        <v>2104004000</v>
      </c>
      <c r="C63" s="2" t="s">
        <v>2214</v>
      </c>
      <c r="D63" s="290">
        <v>2.275551317558589E-3</v>
      </c>
      <c r="E63" s="290">
        <v>3.5653737102296343E-2</v>
      </c>
      <c r="F63" s="290">
        <v>9.2243059384413545E-2</v>
      </c>
      <c r="G63" s="290">
        <v>1.4572372112655182E-3</v>
      </c>
      <c r="H63" s="290">
        <v>1.4572372112655182E-3</v>
      </c>
      <c r="I63" s="290">
        <v>7.8180776384395088E-5</v>
      </c>
      <c r="J63" s="290">
        <v>1.4293068313829301E-3</v>
      </c>
      <c r="K63" s="114">
        <v>797.87914360399316</v>
      </c>
      <c r="L63" s="291">
        <v>6.3830331488319461</v>
      </c>
      <c r="M63" s="114" t="s">
        <v>2532</v>
      </c>
      <c r="N63" s="290">
        <v>1.8872559989859723E-3</v>
      </c>
      <c r="O63" s="290">
        <v>2.9569857956343381E-2</v>
      </c>
      <c r="P63" s="290">
        <v>7.6502896614447161E-2</v>
      </c>
      <c r="Q63" s="290">
        <v>1.2085773006679861E-3</v>
      </c>
      <c r="R63" s="290">
        <v>1.2085773006679861E-3</v>
      </c>
      <c r="S63" s="290">
        <v>6.4840172180837441E-5</v>
      </c>
      <c r="T63" s="290">
        <v>1.185412902405183E-3</v>
      </c>
      <c r="U63" s="114">
        <v>661.73071493196767</v>
      </c>
      <c r="V63" s="291">
        <v>5.2938457194557431</v>
      </c>
      <c r="W63" t="s">
        <v>2532</v>
      </c>
      <c r="Y63" s="43">
        <f t="shared" si="0"/>
        <v>5.7040000000000016E-3</v>
      </c>
      <c r="Z63" s="11">
        <f t="shared" si="1"/>
        <v>8.9371272298833668E-2</v>
      </c>
      <c r="AA63" s="511">
        <f t="shared" si="1"/>
        <v>0.23122063065279477</v>
      </c>
      <c r="AB63" s="11">
        <f t="shared" si="1"/>
        <v>3.6527767969550566E-3</v>
      </c>
      <c r="AC63" s="512">
        <f t="shared" si="1"/>
        <v>3.6527767969550566E-3</v>
      </c>
      <c r="AD63" s="11">
        <f t="shared" si="1"/>
        <v>1.9597147515663872E-4</v>
      </c>
      <c r="AE63" s="43">
        <f t="shared" si="1"/>
        <v>3.5827652416800838E-3</v>
      </c>
    </row>
    <row r="64" spans="1:31" x14ac:dyDescent="0.25">
      <c r="A64" s="2" t="s">
        <v>2530</v>
      </c>
      <c r="B64" s="2">
        <v>2104006010</v>
      </c>
      <c r="C64" s="2" t="s">
        <v>2217</v>
      </c>
      <c r="D64" s="290">
        <v>6.5293806689556443E-4</v>
      </c>
      <c r="E64" s="290">
        <v>1.1159305143306025E-2</v>
      </c>
      <c r="F64" s="290">
        <v>7.1229607297698002E-5</v>
      </c>
      <c r="G64" s="290">
        <v>9.0224169243750753E-4</v>
      </c>
      <c r="H64" s="290">
        <v>9.0224169243750753E-4</v>
      </c>
      <c r="I64" s="290">
        <v>2.374320243256599E-3</v>
      </c>
      <c r="J64" s="290">
        <v>4.7486404865131979E-3</v>
      </c>
      <c r="K64" s="114">
        <v>293.10011686938094</v>
      </c>
      <c r="L64" s="291">
        <v>288.76858804865157</v>
      </c>
      <c r="M64" s="114" t="s">
        <v>2533</v>
      </c>
      <c r="N64" s="290">
        <v>6.5293806689556443E-4</v>
      </c>
      <c r="O64" s="290">
        <v>1.1159305143306025E-2</v>
      </c>
      <c r="P64" s="290">
        <v>7.1229607297698002E-5</v>
      </c>
      <c r="Q64" s="290">
        <v>9.0224169243750753E-4</v>
      </c>
      <c r="R64" s="290">
        <v>9.0224169243750753E-4</v>
      </c>
      <c r="S64" s="290">
        <v>2.374320243256599E-3</v>
      </c>
      <c r="T64" s="290">
        <v>4.7486404865131979E-3</v>
      </c>
      <c r="U64" s="114">
        <v>293.10011686938094</v>
      </c>
      <c r="V64" s="291">
        <v>288.76858804865157</v>
      </c>
      <c r="W64" t="s">
        <v>2533</v>
      </c>
      <c r="Y64" s="43">
        <f t="shared" si="0"/>
        <v>4.455392743405449E-3</v>
      </c>
      <c r="Z64" s="11">
        <f t="shared" si="1"/>
        <v>7.6146712341838688E-2</v>
      </c>
      <c r="AA64" s="511">
        <f t="shared" si="1"/>
        <v>4.860428447351403E-4</v>
      </c>
      <c r="AB64" s="11">
        <f t="shared" si="1"/>
        <v>6.1565426999784408E-3</v>
      </c>
      <c r="AC64" s="512">
        <f t="shared" si="1"/>
        <v>6.1565426999784408E-3</v>
      </c>
      <c r="AD64" s="11">
        <f t="shared" si="1"/>
        <v>1.6201428157838003E-2</v>
      </c>
      <c r="AE64" s="43">
        <f t="shared" si="1"/>
        <v>3.2402856315676007E-2</v>
      </c>
    </row>
    <row r="65" spans="1:31" x14ac:dyDescent="0.25">
      <c r="A65" s="2" t="s">
        <v>2530</v>
      </c>
      <c r="B65" s="2">
        <v>2103006000</v>
      </c>
      <c r="C65" s="2" t="s">
        <v>2221</v>
      </c>
      <c r="D65" s="290">
        <v>6.9828654415653143E-3</v>
      </c>
      <c r="E65" s="290">
        <v>0.12696118984664209</v>
      </c>
      <c r="F65" s="290">
        <v>7.6176713907985234E-4</v>
      </c>
      <c r="G65" s="290">
        <v>9.649050428344793E-3</v>
      </c>
      <c r="H65" s="290">
        <v>9.649050428344793E-3</v>
      </c>
      <c r="I65" s="290">
        <v>2.539223796932839E-2</v>
      </c>
      <c r="J65" s="290">
        <v>5.078447593865678E-2</v>
      </c>
      <c r="K65" s="114">
        <v>2577.3121538868322</v>
      </c>
      <c r="L65" s="291">
        <v>2539.2237969328407</v>
      </c>
      <c r="M65" s="114" t="s">
        <v>2533</v>
      </c>
      <c r="N65" s="290">
        <v>6.9828654415653143E-3</v>
      </c>
      <c r="O65" s="290">
        <v>0.12696118984664209</v>
      </c>
      <c r="P65" s="290">
        <v>7.6176713907985234E-4</v>
      </c>
      <c r="Q65" s="290">
        <v>9.649050428344793E-3</v>
      </c>
      <c r="R65" s="290">
        <v>9.649050428344793E-3</v>
      </c>
      <c r="S65" s="290">
        <v>2.539223796932839E-2</v>
      </c>
      <c r="T65" s="290">
        <v>5.078447593865678E-2</v>
      </c>
      <c r="U65" s="114">
        <v>2577.3121538868322</v>
      </c>
      <c r="V65" s="291">
        <v>2539.2237969328407</v>
      </c>
      <c r="W65" t="s">
        <v>2533</v>
      </c>
      <c r="Y65" s="43">
        <f t="shared" si="0"/>
        <v>5.4187192118226642E-3</v>
      </c>
      <c r="Z65" s="11">
        <f t="shared" si="1"/>
        <v>9.8522167487684817E-2</v>
      </c>
      <c r="AA65" s="511">
        <f t="shared" si="1"/>
        <v>5.9113300492610865E-4</v>
      </c>
      <c r="AB65" s="11">
        <f t="shared" si="1"/>
        <v>7.4876847290640414E-3</v>
      </c>
      <c r="AC65" s="512">
        <f t="shared" si="1"/>
        <v>7.4876847290640414E-3</v>
      </c>
      <c r="AD65" s="11">
        <f t="shared" si="1"/>
        <v>1.9704433497536943E-2</v>
      </c>
      <c r="AE65" s="43">
        <f t="shared" si="1"/>
        <v>3.9408866995073885E-2</v>
      </c>
    </row>
    <row r="66" spans="1:31" x14ac:dyDescent="0.25">
      <c r="A66" s="2" t="s">
        <v>2530</v>
      </c>
      <c r="B66" s="2">
        <v>2104002000</v>
      </c>
      <c r="C66" s="2" t="s">
        <v>2223</v>
      </c>
      <c r="D66" s="290">
        <v>0.13355836246928113</v>
      </c>
      <c r="E66" s="290">
        <v>6.3039547085500677E-2</v>
      </c>
      <c r="F66" s="290">
        <v>0.12420927709643143</v>
      </c>
      <c r="G66" s="290">
        <v>0.10671313161295566</v>
      </c>
      <c r="H66" s="290">
        <v>0.10671313161295566</v>
      </c>
      <c r="I66" s="290">
        <v>1.6907820896798643E-2</v>
      </c>
      <c r="J66" s="290">
        <v>1.7439383179426382</v>
      </c>
      <c r="K66" s="114">
        <v>406.01742190661457</v>
      </c>
      <c r="L66" s="291">
        <v>26.71167249385622</v>
      </c>
      <c r="M66" s="114" t="s">
        <v>2531</v>
      </c>
      <c r="N66" s="290">
        <v>0.11707405289463305</v>
      </c>
      <c r="O66" s="290">
        <v>5.525895296626681E-2</v>
      </c>
      <c r="P66" s="290">
        <v>0.1088788691920087</v>
      </c>
      <c r="Q66" s="290">
        <v>9.3542168262811823E-2</v>
      </c>
      <c r="R66" s="290">
        <v>9.3542168262811823E-2</v>
      </c>
      <c r="S66" s="290">
        <v>1.482098972619607E-2</v>
      </c>
      <c r="T66" s="290">
        <v>1.5286944456716709</v>
      </c>
      <c r="U66" s="114">
        <v>355.90512079968454</v>
      </c>
      <c r="V66" s="291">
        <v>23.414810578926609</v>
      </c>
      <c r="W66" t="s">
        <v>2531</v>
      </c>
      <c r="Y66" s="43">
        <f t="shared" si="0"/>
        <v>0.65789473684210509</v>
      </c>
      <c r="Z66" s="11">
        <f t="shared" ref="Z66:AE66" si="2">O66/$U66*2000</f>
        <v>0.31052631578947365</v>
      </c>
      <c r="AA66" s="511">
        <f t="shared" si="2"/>
        <v>0.61184210526315763</v>
      </c>
      <c r="AB66" s="11">
        <f t="shared" si="2"/>
        <v>0.5256578947368421</v>
      </c>
      <c r="AC66" s="512">
        <f t="shared" si="2"/>
        <v>0.5256578947368421</v>
      </c>
      <c r="AD66" s="11">
        <f t="shared" si="2"/>
        <v>8.3286184210526304E-2</v>
      </c>
      <c r="AE66" s="43">
        <f t="shared" si="2"/>
        <v>8.5904605263157876</v>
      </c>
    </row>
    <row r="67" spans="1:31" x14ac:dyDescent="0.25">
      <c r="A67" s="2" t="s">
        <v>2530</v>
      </c>
      <c r="B67" s="2">
        <v>2103002000</v>
      </c>
      <c r="C67" s="2" t="s">
        <v>2527</v>
      </c>
      <c r="D67" s="290">
        <v>3.5695318167210945E-4</v>
      </c>
      <c r="E67" s="290">
        <v>1.684819017492357E-4</v>
      </c>
      <c r="F67" s="290">
        <v>3.3196645895506162E-4</v>
      </c>
      <c r="G67" s="290">
        <v>2.8520559215601543E-4</v>
      </c>
      <c r="H67" s="290">
        <v>2.8520559215601543E-4</v>
      </c>
      <c r="I67" s="290">
        <v>4.5188488033780734E-5</v>
      </c>
      <c r="J67" s="290">
        <v>4.6609161696835677E-3</v>
      </c>
      <c r="K67" s="114">
        <v>16.409830233226156</v>
      </c>
      <c r="L67" s="291">
        <v>1.0851376722832122</v>
      </c>
      <c r="M67" s="114" t="s">
        <v>2531</v>
      </c>
      <c r="N67" s="290">
        <v>3.373250655116712E-4</v>
      </c>
      <c r="O67" s="290">
        <v>1.5921743092150881E-4</v>
      </c>
      <c r="P67" s="290">
        <v>3.1371231092585419E-4</v>
      </c>
      <c r="Q67" s="290">
        <v>2.6952272734382526E-4</v>
      </c>
      <c r="R67" s="290">
        <v>2.6952272734382526E-4</v>
      </c>
      <c r="S67" s="290">
        <v>4.2703666668450033E-5</v>
      </c>
      <c r="T67" s="290">
        <v>4.4046220429186456E-3</v>
      </c>
      <c r="U67" s="114">
        <v>15.502854241684634</v>
      </c>
      <c r="V67" s="291">
        <v>1.0254681991554806</v>
      </c>
      <c r="W67" t="s">
        <v>2531</v>
      </c>
      <c r="Y67" s="43"/>
      <c r="Z67" s="11"/>
      <c r="AA67" s="511"/>
      <c r="AB67" s="11"/>
      <c r="AC67" s="512"/>
      <c r="AD67" s="11"/>
      <c r="AE67" s="43"/>
    </row>
    <row r="68" spans="1:31" x14ac:dyDescent="0.25">
      <c r="A68" s="2" t="s">
        <v>2530</v>
      </c>
      <c r="B68" s="2">
        <v>2103008000</v>
      </c>
      <c r="C68" s="2" t="s">
        <v>2528</v>
      </c>
      <c r="D68" s="290">
        <v>1.0907183589339993E-3</v>
      </c>
      <c r="E68" s="290">
        <v>4.3366689027422037E-5</v>
      </c>
      <c r="F68" s="290">
        <v>9.4541280565428541E-6</v>
      </c>
      <c r="G68" s="290">
        <v>3.0673763335701778E-4</v>
      </c>
      <c r="H68" s="290">
        <v>3.0673763335701778E-4</v>
      </c>
      <c r="I68" s="290">
        <v>1.1231577533620158E-5</v>
      </c>
      <c r="J68" s="290">
        <v>2.1817155207571274E-3</v>
      </c>
      <c r="K68" s="114">
        <v>9.9032591487055033</v>
      </c>
      <c r="L68" s="291">
        <v>0.81778207689095661</v>
      </c>
      <c r="M68" s="114" t="s">
        <v>2531</v>
      </c>
      <c r="N68" s="290">
        <v>8.9417200808487429E-4</v>
      </c>
      <c r="O68" s="290">
        <v>3.6384819286996314E-5</v>
      </c>
      <c r="P68" s="290">
        <v>7.7224421459778723E-6</v>
      </c>
      <c r="Q68" s="290">
        <v>2.6400762512984862E-4</v>
      </c>
      <c r="R68" s="290">
        <v>2.6400762512984862E-4</v>
      </c>
      <c r="S68" s="290">
        <v>1.0176294332303952E-5</v>
      </c>
      <c r="T68" s="290">
        <v>1.9194920963844482E-3</v>
      </c>
      <c r="U68" s="114">
        <v>8.0893071656224507</v>
      </c>
      <c r="V68" s="291">
        <v>0.66799124562708578</v>
      </c>
      <c r="W68" t="s">
        <v>2531</v>
      </c>
      <c r="Y68" s="43"/>
      <c r="Z68" s="11"/>
      <c r="AA68" s="511"/>
      <c r="AB68" s="11"/>
      <c r="AC68" s="512"/>
      <c r="AD68" s="11"/>
      <c r="AE68" s="43"/>
    </row>
    <row r="69" spans="1:31" x14ac:dyDescent="0.25">
      <c r="A69" s="44" t="s">
        <v>2530</v>
      </c>
      <c r="B69" s="44">
        <v>2102012000</v>
      </c>
      <c r="C69" s="44" t="s">
        <v>2228</v>
      </c>
      <c r="D69" s="292">
        <v>4.6572617087992893E-4</v>
      </c>
      <c r="E69" s="292">
        <v>2.4313208047262617E-2</v>
      </c>
      <c r="F69" s="292">
        <v>1.7215675806713709E-2</v>
      </c>
      <c r="G69" s="292">
        <v>2.4237240576798031E-3</v>
      </c>
      <c r="H69" s="292">
        <v>2.4237240576798031E-3</v>
      </c>
      <c r="I69" s="292">
        <v>1.6944363412197303E-5</v>
      </c>
      <c r="J69" s="292">
        <v>5.7879977496831129E-3</v>
      </c>
      <c r="K69" s="245">
        <v>129.0061493337403</v>
      </c>
      <c r="L69" s="293">
        <v>0.93145234175985725</v>
      </c>
      <c r="M69" s="245" t="s">
        <v>2532</v>
      </c>
      <c r="N69" s="292">
        <v>4.6572617087992893E-4</v>
      </c>
      <c r="O69" s="292">
        <v>2.4313208047262617E-2</v>
      </c>
      <c r="P69" s="292">
        <v>1.7215675806713709E-2</v>
      </c>
      <c r="Q69" s="292">
        <v>2.4237240576798031E-3</v>
      </c>
      <c r="R69" s="292">
        <v>2.4237240576798031E-3</v>
      </c>
      <c r="S69" s="292">
        <v>1.6944363412197303E-5</v>
      </c>
      <c r="T69" s="292">
        <v>5.7879977496831129E-3</v>
      </c>
      <c r="U69" s="245">
        <v>129.0061493337403</v>
      </c>
      <c r="V69" s="293">
        <v>0.93145234175985725</v>
      </c>
      <c r="W69" s="9" t="s">
        <v>2532</v>
      </c>
      <c r="Y69" s="513">
        <f t="shared" ref="Y69:AE70" si="3">N69/$U69*2000</f>
        <v>7.2202166064981961E-3</v>
      </c>
      <c r="Z69" s="514">
        <f t="shared" si="3"/>
        <v>0.37693099395384766</v>
      </c>
      <c r="AA69" s="515">
        <f t="shared" si="3"/>
        <v>0.26689697964980835</v>
      </c>
      <c r="AB69" s="514">
        <f t="shared" si="3"/>
        <v>3.7575325985579229E-2</v>
      </c>
      <c r="AC69" s="516">
        <f t="shared" si="3"/>
        <v>3.7575325985579229E-2</v>
      </c>
      <c r="AD69" s="514">
        <f t="shared" si="3"/>
        <v>2.6269078644246724E-4</v>
      </c>
      <c r="AE69" s="513">
        <f t="shared" si="3"/>
        <v>8.9732121756607136E-2</v>
      </c>
    </row>
    <row r="70" spans="1:31" x14ac:dyDescent="0.25">
      <c r="A70" s="71" t="s">
        <v>2530</v>
      </c>
      <c r="B70" s="71" t="s">
        <v>2462</v>
      </c>
      <c r="C70" s="71"/>
      <c r="D70" s="294">
        <v>10.976644711313019</v>
      </c>
      <c r="E70" s="294">
        <v>2.8416433009322914</v>
      </c>
      <c r="F70" s="294">
        <v>4.383804299203919</v>
      </c>
      <c r="G70" s="294">
        <v>3.1462200474127688</v>
      </c>
      <c r="H70" s="294">
        <v>3.1462200474127688</v>
      </c>
      <c r="I70" s="294">
        <v>0.15942318335260536</v>
      </c>
      <c r="J70" s="294">
        <v>33.445193667120535</v>
      </c>
      <c r="K70" s="244">
        <v>56417.024141192676</v>
      </c>
      <c r="L70" s="244"/>
      <c r="M70" s="244"/>
      <c r="N70" s="294">
        <v>9.8849969240718032</v>
      </c>
      <c r="O70" s="294">
        <v>2.6499036130120501</v>
      </c>
      <c r="P70" s="294">
        <v>4.0622392178499025</v>
      </c>
      <c r="Q70" s="294">
        <v>2.797901492276496</v>
      </c>
      <c r="R70" s="294">
        <v>2.797901492276496</v>
      </c>
      <c r="S70" s="294">
        <v>0.14512176107897834</v>
      </c>
      <c r="T70" s="294">
        <v>29.500740343253643</v>
      </c>
      <c r="U70" s="244">
        <v>52507.782115266222</v>
      </c>
      <c r="Y70" s="43">
        <f t="shared" si="3"/>
        <v>0.37651550021183694</v>
      </c>
      <c r="Z70" s="11">
        <f t="shared" si="3"/>
        <v>0.10093374758030817</v>
      </c>
      <c r="AA70" s="511">
        <f t="shared" si="3"/>
        <v>0.1547290346003336</v>
      </c>
      <c r="AB70" s="11">
        <f t="shared" si="3"/>
        <v>0.10657092642513379</v>
      </c>
      <c r="AC70" s="512">
        <f t="shared" si="3"/>
        <v>0.10657092642513379</v>
      </c>
      <c r="AD70" s="11">
        <f t="shared" si="3"/>
        <v>5.5276286764656679E-3</v>
      </c>
      <c r="AE70" s="43">
        <f t="shared" si="3"/>
        <v>1.1236711647234681</v>
      </c>
    </row>
    <row r="71" spans="1:31" x14ac:dyDescent="0.25">
      <c r="R71" s="290"/>
    </row>
    <row r="72" spans="1:31" x14ac:dyDescent="0.25">
      <c r="L72" s="291"/>
      <c r="Y72" s="923" t="s">
        <v>3010</v>
      </c>
      <c r="Z72" s="923"/>
      <c r="AA72" s="923"/>
      <c r="AB72" s="923"/>
      <c r="AC72" s="923"/>
      <c r="AD72" s="923"/>
      <c r="AE72" s="923"/>
    </row>
    <row r="73" spans="1:31" x14ac:dyDescent="0.25">
      <c r="I73" s="923" t="s">
        <v>3177</v>
      </c>
      <c r="J73" s="923"/>
      <c r="K73" s="923"/>
      <c r="L73" s="923"/>
      <c r="M73" s="923"/>
      <c r="N73" s="923"/>
      <c r="O73" s="923"/>
      <c r="P73" s="923"/>
      <c r="Q73" s="923"/>
      <c r="R73" s="923"/>
      <c r="S73" s="923"/>
      <c r="T73" s="923"/>
      <c r="U73" s="923"/>
      <c r="Y73" s="44" t="s">
        <v>2143</v>
      </c>
      <c r="Z73" s="44" t="s">
        <v>2144</v>
      </c>
      <c r="AA73" s="517" t="s">
        <v>2145</v>
      </c>
      <c r="AB73" s="44" t="s">
        <v>2146</v>
      </c>
      <c r="AC73" s="518" t="s">
        <v>2147</v>
      </c>
      <c r="AD73" s="44" t="s">
        <v>2148</v>
      </c>
      <c r="AE73" s="44" t="s">
        <v>2149</v>
      </c>
    </row>
    <row r="74" spans="1:31" x14ac:dyDescent="0.25">
      <c r="I74" s="71"/>
      <c r="J74" s="71"/>
      <c r="K74" s="71"/>
      <c r="L74" s="71"/>
      <c r="M74" s="1" t="s">
        <v>3178</v>
      </c>
      <c r="N74" s="290">
        <f>SUM(N51,N54)</f>
        <v>2.033986899990067</v>
      </c>
      <c r="O74" s="290">
        <f t="shared" ref="O74:U74" si="4">SUM(O51,O54)</f>
        <v>5.8158190244845663E-2</v>
      </c>
      <c r="P74" s="290">
        <f t="shared" si="4"/>
        <v>1.5350844528226928E-2</v>
      </c>
      <c r="Q74" s="290">
        <f t="shared" si="4"/>
        <v>0.49924154602812293</v>
      </c>
      <c r="R74" s="290">
        <f t="shared" si="4"/>
        <v>0.49924154602812293</v>
      </c>
      <c r="S74" s="290">
        <f t="shared" si="4"/>
        <v>1.7585064635873844E-2</v>
      </c>
      <c r="T74" s="290">
        <f t="shared" si="4"/>
        <v>4.8477566677990325</v>
      </c>
      <c r="U74" s="114">
        <f t="shared" si="4"/>
        <v>1232.6456327588874</v>
      </c>
      <c r="Y74" s="43">
        <f t="shared" ref="Y74:AE81" si="5">N74/$U74*2000</f>
        <v>3.3001973088366539</v>
      </c>
      <c r="Z74" s="11">
        <f t="shared" si="5"/>
        <v>9.4363195226963889E-2</v>
      </c>
      <c r="AA74" s="511">
        <f t="shared" si="5"/>
        <v>2.4907149500654001E-2</v>
      </c>
      <c r="AB74" s="11">
        <f t="shared" si="5"/>
        <v>0.81003255560274634</v>
      </c>
      <c r="AC74" s="512">
        <f t="shared" si="5"/>
        <v>0.81003255560274634</v>
      </c>
      <c r="AD74" s="11">
        <f t="shared" si="5"/>
        <v>2.8532230461913437E-2</v>
      </c>
      <c r="AE74" s="43">
        <f t="shared" si="5"/>
        <v>7.8656128557383722</v>
      </c>
    </row>
    <row r="75" spans="1:31" x14ac:dyDescent="0.25">
      <c r="M75" s="1" t="s">
        <v>3003</v>
      </c>
      <c r="N75" s="290">
        <f t="shared" ref="N75:U75" si="6">SUM(N52:N53,N55:N56)</f>
        <v>1.6993084498672211</v>
      </c>
      <c r="O75" s="290">
        <f t="shared" si="6"/>
        <v>0.21063762567258201</v>
      </c>
      <c r="P75" s="290">
        <f t="shared" si="6"/>
        <v>5.1778875676413066E-2</v>
      </c>
      <c r="Q75" s="290">
        <f t="shared" si="6"/>
        <v>1.0932072763797334</v>
      </c>
      <c r="R75" s="290">
        <f t="shared" si="6"/>
        <v>1.0932072763797334</v>
      </c>
      <c r="S75" s="290">
        <f t="shared" si="6"/>
        <v>3.6281274230558797E-2</v>
      </c>
      <c r="T75" s="290">
        <f t="shared" si="6"/>
        <v>16.032065536295597</v>
      </c>
      <c r="U75" s="114">
        <f t="shared" si="6"/>
        <v>4157.7520281920242</v>
      </c>
      <c r="Y75" s="43">
        <f t="shared" si="5"/>
        <v>0.81741693027621753</v>
      </c>
      <c r="Z75" s="11">
        <f t="shared" si="5"/>
        <v>0.10132284188394787</v>
      </c>
      <c r="AA75" s="511">
        <f t="shared" si="5"/>
        <v>2.4907149500654001E-2</v>
      </c>
      <c r="AB75" s="11">
        <f t="shared" si="5"/>
        <v>0.52586458690520255</v>
      </c>
      <c r="AC75" s="512">
        <f t="shared" si="5"/>
        <v>0.52586458690520255</v>
      </c>
      <c r="AD75" s="11">
        <f t="shared" si="5"/>
        <v>1.7452351166952835E-2</v>
      </c>
      <c r="AE75" s="43">
        <f t="shared" si="5"/>
        <v>7.7118911505970953</v>
      </c>
    </row>
    <row r="76" spans="1:31" x14ac:dyDescent="0.25">
      <c r="M76" s="1" t="s">
        <v>3004</v>
      </c>
      <c r="N76" s="290">
        <f t="shared" ref="N76:V76" si="7">SUM(N60,N62:N63)</f>
        <v>8.3047749932690942E-2</v>
      </c>
      <c r="O76" s="290">
        <f t="shared" si="7"/>
        <v>1.306554005228886</v>
      </c>
      <c r="P76" s="290">
        <f t="shared" si="7"/>
        <v>3.3664714435014695</v>
      </c>
      <c r="Q76" s="290">
        <f t="shared" si="7"/>
        <v>5.3138515808066049E-2</v>
      </c>
      <c r="R76" s="290">
        <f t="shared" si="7"/>
        <v>5.3138515808066049E-2</v>
      </c>
      <c r="S76" s="290">
        <f t="shared" si="7"/>
        <v>2.8532591274104276E-3</v>
      </c>
      <c r="T76" s="290">
        <f t="shared" si="7"/>
        <v>5.2163497871420848E-2</v>
      </c>
      <c r="U76" s="114">
        <f t="shared" si="7"/>
        <v>31220.37902159258</v>
      </c>
      <c r="V76" s="291">
        <f t="shared" si="7"/>
        <v>232.95301523896472</v>
      </c>
      <c r="W76" t="s">
        <v>2532</v>
      </c>
      <c r="Y76" s="43">
        <f t="shared" si="5"/>
        <v>5.3200987646724986E-3</v>
      </c>
      <c r="Z76" s="11">
        <f t="shared" si="5"/>
        <v>8.3698792018203849E-2</v>
      </c>
      <c r="AA76" s="511">
        <f t="shared" si="5"/>
        <v>0.21565858897312917</v>
      </c>
      <c r="AB76" s="11">
        <f t="shared" si="5"/>
        <v>3.4040916525269914E-3</v>
      </c>
      <c r="AC76" s="512">
        <f t="shared" si="5"/>
        <v>3.4040916525269914E-3</v>
      </c>
      <c r="AD76" s="11">
        <f t="shared" si="5"/>
        <v>1.8278183781414453E-4</v>
      </c>
      <c r="AE76" s="43">
        <f t="shared" si="5"/>
        <v>3.3416313002057807E-3</v>
      </c>
    </row>
    <row r="77" spans="1:31" x14ac:dyDescent="0.25">
      <c r="M77" s="1" t="s">
        <v>3005</v>
      </c>
      <c r="N77" s="290">
        <f t="shared" ref="N77:U77" si="8">SUM(N64,N66)</f>
        <v>0.11772699096152861</v>
      </c>
      <c r="O77" s="290">
        <f t="shared" si="8"/>
        <v>6.6418258109572831E-2</v>
      </c>
      <c r="P77" s="290">
        <f t="shared" si="8"/>
        <v>0.10895009879930641</v>
      </c>
      <c r="Q77" s="290">
        <f t="shared" si="8"/>
        <v>9.4444409955249331E-2</v>
      </c>
      <c r="R77" s="290">
        <f t="shared" si="8"/>
        <v>9.4444409955249331E-2</v>
      </c>
      <c r="S77" s="290">
        <f t="shared" si="8"/>
        <v>1.719530996945267E-2</v>
      </c>
      <c r="T77" s="290">
        <f t="shared" si="8"/>
        <v>1.533443086158184</v>
      </c>
      <c r="U77" s="114">
        <f t="shared" si="8"/>
        <v>649.00523766906554</v>
      </c>
      <c r="Y77" s="43">
        <f t="shared" si="5"/>
        <v>0.36279211361791447</v>
      </c>
      <c r="Z77" s="11">
        <f t="shared" si="5"/>
        <v>0.204677109689029</v>
      </c>
      <c r="AA77" s="511">
        <f t="shared" si="5"/>
        <v>0.33574489842518401</v>
      </c>
      <c r="AB77" s="11">
        <f t="shared" si="5"/>
        <v>0.29104359864475393</v>
      </c>
      <c r="AC77" s="512">
        <f t="shared" si="5"/>
        <v>0.29104359864475393</v>
      </c>
      <c r="AD77" s="11">
        <f t="shared" si="5"/>
        <v>5.2989741750653595E-2</v>
      </c>
      <c r="AE77" s="43">
        <f t="shared" si="5"/>
        <v>4.7255183692064513</v>
      </c>
    </row>
    <row r="78" spans="1:31" x14ac:dyDescent="0.25">
      <c r="M78" s="1" t="s">
        <v>3006</v>
      </c>
      <c r="N78" s="290">
        <f t="shared" ref="N78:V78" si="9">N61</f>
        <v>2.6669417645296331E-2</v>
      </c>
      <c r="O78" s="290">
        <f t="shared" si="9"/>
        <v>0.67328123087704628</v>
      </c>
      <c r="P78" s="290">
        <f t="shared" si="9"/>
        <v>0.47590509759415767</v>
      </c>
      <c r="Q78" s="290">
        <f t="shared" si="9"/>
        <v>1.707879206925704E-2</v>
      </c>
      <c r="R78" s="290">
        <f t="shared" si="9"/>
        <v>1.707879206925704E-2</v>
      </c>
      <c r="S78" s="290">
        <f t="shared" si="9"/>
        <v>9.1627719451564042E-4</v>
      </c>
      <c r="T78" s="290">
        <f t="shared" si="9"/>
        <v>1.6751448554596288E-2</v>
      </c>
      <c r="U78" s="114">
        <f t="shared" si="9"/>
        <v>10361.050052941217</v>
      </c>
      <c r="V78" s="291">
        <f t="shared" si="9"/>
        <v>77.19990333189152</v>
      </c>
      <c r="W78" t="s">
        <v>2532</v>
      </c>
      <c r="Y78" s="43">
        <f t="shared" si="5"/>
        <v>5.1480144404332101E-3</v>
      </c>
      <c r="Z78" s="11">
        <f t="shared" si="5"/>
        <v>0.12996389891696744</v>
      </c>
      <c r="AA78" s="511">
        <f t="shared" si="5"/>
        <v>9.1864259927797814E-2</v>
      </c>
      <c r="AB78" s="11">
        <f t="shared" si="5"/>
        <v>3.2967299611507701E-3</v>
      </c>
      <c r="AC78" s="512">
        <f t="shared" si="5"/>
        <v>3.2967299611507701E-3</v>
      </c>
      <c r="AD78" s="11">
        <f t="shared" si="5"/>
        <v>1.7686956241573886E-4</v>
      </c>
      <c r="AE78" s="43">
        <f t="shared" si="5"/>
        <v>3.2335426368953818E-3</v>
      </c>
    </row>
    <row r="79" spans="1:31" x14ac:dyDescent="0.25">
      <c r="M79" s="1" t="s">
        <v>3007</v>
      </c>
      <c r="N79" s="290">
        <f t="shared" ref="N79:U79" si="10">SUM(N50:N59,N68)</f>
        <v>9.6497668488543322</v>
      </c>
      <c r="O79" s="290">
        <f t="shared" si="10"/>
        <v>0.45221650347171988</v>
      </c>
      <c r="P79" s="290">
        <f t="shared" si="10"/>
        <v>9.2621422698248343E-2</v>
      </c>
      <c r="Q79" s="290">
        <f t="shared" si="10"/>
        <v>2.6208974772305553</v>
      </c>
      <c r="R79" s="290">
        <f t="shared" si="10"/>
        <v>2.6208974772305553</v>
      </c>
      <c r="S79" s="290">
        <f t="shared" si="10"/>
        <v>9.8705028788190541E-2</v>
      </c>
      <c r="T79" s="290">
        <f t="shared" si="10"/>
        <v>27.83740521493818</v>
      </c>
      <c r="U79" s="114">
        <f t="shared" si="10"/>
        <v>7555.5266456010995</v>
      </c>
      <c r="Y79" s="43">
        <f t="shared" si="5"/>
        <v>2.5543598220178394</v>
      </c>
      <c r="Z79" s="11">
        <f t="shared" si="5"/>
        <v>0.11970482659471653</v>
      </c>
      <c r="AA79" s="511">
        <f t="shared" si="5"/>
        <v>2.4517529231975758E-2</v>
      </c>
      <c r="AB79" s="11">
        <f t="shared" si="5"/>
        <v>0.69376963384980372</v>
      </c>
      <c r="AC79" s="512">
        <f t="shared" si="5"/>
        <v>0.69376963384980372</v>
      </c>
      <c r="AD79" s="11">
        <f t="shared" si="5"/>
        <v>2.6127901711698036E-2</v>
      </c>
      <c r="AE79" s="43">
        <f t="shared" si="5"/>
        <v>7.3687531050255473</v>
      </c>
    </row>
    <row r="80" spans="1:31" x14ac:dyDescent="0.25">
      <c r="M80" s="1" t="s">
        <v>3008</v>
      </c>
      <c r="N80" s="290">
        <f t="shared" ref="N80:U80" si="11">SUM(N65,N67,N69)</f>
        <v>7.7859166779569141E-3</v>
      </c>
      <c r="O80" s="290">
        <f t="shared" si="11"/>
        <v>0.15143361532482622</v>
      </c>
      <c r="P80" s="290">
        <f t="shared" si="11"/>
        <v>1.8291155256719416E-2</v>
      </c>
      <c r="Q80" s="290">
        <f t="shared" si="11"/>
        <v>1.2342297213368422E-2</v>
      </c>
      <c r="R80" s="290">
        <f t="shared" si="11"/>
        <v>1.2342297213368422E-2</v>
      </c>
      <c r="S80" s="290">
        <f t="shared" si="11"/>
        <v>2.5451885999409039E-2</v>
      </c>
      <c r="T80" s="290">
        <f t="shared" si="11"/>
        <v>6.0977095731258535E-2</v>
      </c>
      <c r="U80" s="114">
        <f t="shared" si="11"/>
        <v>2721.8211574622569</v>
      </c>
      <c r="Y80" s="43">
        <f t="shared" si="5"/>
        <v>5.7211082047846709E-3</v>
      </c>
      <c r="Z80" s="11">
        <f t="shared" si="5"/>
        <v>0.11127374398545591</v>
      </c>
      <c r="AA80" s="511">
        <f t="shared" si="5"/>
        <v>1.3440379950439897E-2</v>
      </c>
      <c r="AB80" s="11">
        <f t="shared" si="5"/>
        <v>9.0691463541094693E-3</v>
      </c>
      <c r="AC80" s="512">
        <f t="shared" si="5"/>
        <v>9.0691463541094693E-3</v>
      </c>
      <c r="AD80" s="11">
        <f t="shared" si="5"/>
        <v>1.8702100194664957E-2</v>
      </c>
      <c r="AE80" s="43">
        <f t="shared" si="5"/>
        <v>4.48061001833873E-2</v>
      </c>
    </row>
    <row r="81" spans="13:31" x14ac:dyDescent="0.25">
      <c r="M81" s="1" t="s">
        <v>3009</v>
      </c>
      <c r="N81" s="290">
        <f>SUM(N76:N80)</f>
        <v>9.884996924071805</v>
      </c>
      <c r="O81" s="290">
        <f t="shared" ref="O81:U81" si="12">SUM(O76:O80)</f>
        <v>2.649903613012051</v>
      </c>
      <c r="P81" s="290">
        <f t="shared" si="12"/>
        <v>4.0622392178499016</v>
      </c>
      <c r="Q81" s="290">
        <f t="shared" si="12"/>
        <v>2.797901492276496</v>
      </c>
      <c r="R81" s="290">
        <f t="shared" si="12"/>
        <v>2.797901492276496</v>
      </c>
      <c r="S81" s="290">
        <f t="shared" si="12"/>
        <v>0.14512176107897831</v>
      </c>
      <c r="T81" s="290">
        <f t="shared" si="12"/>
        <v>29.500740343253639</v>
      </c>
      <c r="U81" s="114">
        <f t="shared" si="12"/>
        <v>52507.782115266222</v>
      </c>
      <c r="Y81" s="43">
        <f t="shared" si="5"/>
        <v>0.376515500211837</v>
      </c>
      <c r="Z81" s="11">
        <f t="shared" si="5"/>
        <v>0.10093374758030819</v>
      </c>
      <c r="AA81" s="511">
        <f t="shared" si="5"/>
        <v>0.15472903460033358</v>
      </c>
      <c r="AB81" s="11">
        <f t="shared" si="5"/>
        <v>0.10657092642513379</v>
      </c>
      <c r="AC81" s="512">
        <f t="shared" si="5"/>
        <v>0.10657092642513379</v>
      </c>
      <c r="AD81" s="11">
        <f t="shared" si="5"/>
        <v>5.5276286764656662E-3</v>
      </c>
      <c r="AE81" s="43">
        <f t="shared" si="5"/>
        <v>1.1236711647234681</v>
      </c>
    </row>
  </sheetData>
  <autoFilter ref="A1:W2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sheetPr>
  <dimension ref="A1:AE81"/>
  <sheetViews>
    <sheetView zoomScale="84" zoomScaleNormal="84" workbookViewId="0">
      <pane ySplit="5" topLeftCell="A6" activePane="bottomLeft" state="frozen"/>
      <selection activeCell="A2" sqref="A2:W2"/>
      <selection pane="bottomLeft" activeCell="A6" sqref="A6"/>
    </sheetView>
  </sheetViews>
  <sheetFormatPr defaultRowHeight="15" x14ac:dyDescent="0.25"/>
  <cols>
    <col min="2" max="3" width="13.42578125" customWidth="1"/>
  </cols>
  <sheetData>
    <row r="1" spans="1:23" ht="15.75" x14ac:dyDescent="0.25">
      <c r="A1" s="924" t="s">
        <v>2518</v>
      </c>
      <c r="B1" s="924"/>
      <c r="C1" s="924"/>
      <c r="D1" s="924"/>
      <c r="E1" s="924"/>
      <c r="F1" s="924"/>
      <c r="G1" s="924"/>
      <c r="H1" s="924"/>
      <c r="I1" s="924"/>
      <c r="J1" s="924"/>
      <c r="K1" s="924"/>
      <c r="L1" s="924"/>
      <c r="M1" s="924"/>
      <c r="N1" s="924"/>
      <c r="O1" s="924"/>
      <c r="P1" s="924"/>
      <c r="Q1" s="924"/>
      <c r="R1" s="924"/>
      <c r="S1" s="924"/>
      <c r="T1" s="924"/>
      <c r="U1" s="924"/>
      <c r="V1" s="924"/>
      <c r="W1" s="924"/>
    </row>
    <row r="2" spans="1:23" x14ac:dyDescent="0.25">
      <c r="A2" s="946" t="s">
        <v>3496</v>
      </c>
      <c r="B2" s="946"/>
      <c r="C2" s="946"/>
      <c r="D2" s="946"/>
      <c r="E2" s="946"/>
      <c r="F2" s="946"/>
      <c r="G2" s="946"/>
      <c r="H2" s="946"/>
      <c r="I2" s="946"/>
      <c r="J2" s="946"/>
      <c r="K2" s="946"/>
      <c r="L2" s="946"/>
      <c r="M2" s="946"/>
      <c r="N2" s="946"/>
      <c r="O2" s="946"/>
      <c r="P2" s="946"/>
      <c r="Q2" s="946"/>
      <c r="R2" s="946"/>
      <c r="S2" s="946"/>
      <c r="T2" s="946"/>
      <c r="U2" s="946"/>
      <c r="V2" s="946"/>
      <c r="W2" s="946"/>
    </row>
    <row r="3" spans="1:23" x14ac:dyDescent="0.25">
      <c r="D3" s="934" t="s">
        <v>2519</v>
      </c>
      <c r="E3" s="934"/>
      <c r="F3" s="934"/>
      <c r="G3" s="934"/>
      <c r="H3" s="934"/>
      <c r="I3" s="934"/>
      <c r="J3" s="934"/>
      <c r="K3" s="934"/>
      <c r="L3" s="727"/>
      <c r="M3" s="727"/>
      <c r="N3" s="934" t="s">
        <v>2520</v>
      </c>
      <c r="O3" s="934"/>
      <c r="P3" s="934"/>
      <c r="Q3" s="934"/>
      <c r="R3" s="934"/>
      <c r="S3" s="934"/>
      <c r="T3" s="934"/>
      <c r="U3" s="934"/>
    </row>
    <row r="4" spans="1:23" x14ac:dyDescent="0.25">
      <c r="B4" s="2"/>
      <c r="C4" s="2" t="s">
        <v>2124</v>
      </c>
      <c r="D4" s="945" t="s">
        <v>2521</v>
      </c>
      <c r="E4" s="945"/>
      <c r="F4" s="945"/>
      <c r="G4" s="945"/>
      <c r="H4" s="945"/>
      <c r="I4" s="945"/>
      <c r="J4" s="945"/>
      <c r="K4" s="945" t="s">
        <v>2522</v>
      </c>
      <c r="L4" s="945"/>
      <c r="M4" s="728" t="s">
        <v>2523</v>
      </c>
      <c r="N4" s="945" t="s">
        <v>2521</v>
      </c>
      <c r="O4" s="945"/>
      <c r="P4" s="945"/>
      <c r="Q4" s="945"/>
      <c r="R4" s="945"/>
      <c r="S4" s="945"/>
      <c r="T4" s="945"/>
      <c r="U4" s="945" t="s">
        <v>2522</v>
      </c>
      <c r="V4" s="945"/>
      <c r="W4" s="728" t="s">
        <v>2523</v>
      </c>
    </row>
    <row r="5" spans="1:23" ht="15.75" thickBot="1" x14ac:dyDescent="0.3">
      <c r="A5" s="15" t="s">
        <v>2524</v>
      </c>
      <c r="B5" s="15" t="s">
        <v>2139</v>
      </c>
      <c r="C5" s="15" t="s">
        <v>2525</v>
      </c>
      <c r="D5" s="15" t="s">
        <v>2143</v>
      </c>
      <c r="E5" s="15" t="s">
        <v>2144</v>
      </c>
      <c r="F5" s="15" t="s">
        <v>2145</v>
      </c>
      <c r="G5" s="15" t="s">
        <v>2146</v>
      </c>
      <c r="H5" s="15" t="s">
        <v>2147</v>
      </c>
      <c r="I5" s="15" t="s">
        <v>2148</v>
      </c>
      <c r="J5" s="15" t="s">
        <v>2149</v>
      </c>
      <c r="K5" s="242" t="s">
        <v>2460</v>
      </c>
      <c r="L5" s="242" t="s">
        <v>2523</v>
      </c>
      <c r="M5" s="242" t="s">
        <v>2072</v>
      </c>
      <c r="N5" s="15" t="s">
        <v>2143</v>
      </c>
      <c r="O5" s="15" t="s">
        <v>2144</v>
      </c>
      <c r="P5" s="15" t="s">
        <v>2145</v>
      </c>
      <c r="Q5" s="15" t="s">
        <v>2146</v>
      </c>
      <c r="R5" s="15" t="s">
        <v>2147</v>
      </c>
      <c r="S5" s="15" t="s">
        <v>2148</v>
      </c>
      <c r="T5" s="15" t="s">
        <v>2149</v>
      </c>
      <c r="U5" s="242" t="s">
        <v>2460</v>
      </c>
      <c r="V5" s="242" t="s">
        <v>2523</v>
      </c>
      <c r="W5" s="242" t="s">
        <v>2072</v>
      </c>
    </row>
    <row r="6" spans="1:23" ht="15.75" thickTop="1" x14ac:dyDescent="0.25">
      <c r="A6" s="2" t="s">
        <v>2526</v>
      </c>
      <c r="B6" s="2">
        <v>2104008100</v>
      </c>
      <c r="C6" s="2" t="s">
        <v>2152</v>
      </c>
      <c r="D6" s="290">
        <v>6.1546235436457035</v>
      </c>
      <c r="E6" s="290">
        <v>6.9877821892920647E-2</v>
      </c>
      <c r="F6" s="290">
        <v>1.0750434137372408E-2</v>
      </c>
      <c r="G6" s="290">
        <v>0.92991255288271302</v>
      </c>
      <c r="H6" s="290">
        <v>0.92991255288271302</v>
      </c>
      <c r="I6" s="290">
        <v>4.837695361817583E-2</v>
      </c>
      <c r="J6" s="290">
        <v>6.7888991577506728</v>
      </c>
      <c r="K6" s="114">
        <v>864.87319105869426</v>
      </c>
      <c r="L6" s="291">
        <v>76.789449554372254</v>
      </c>
      <c r="M6" s="114" t="s">
        <v>2531</v>
      </c>
      <c r="N6" s="290">
        <v>5.671167051769082</v>
      </c>
      <c r="O6" s="290">
        <v>6.4388796220959013E-2</v>
      </c>
      <c r="P6" s="290">
        <v>9.9059686493783109E-3</v>
      </c>
      <c r="Q6" s="290">
        <v>0.85686628817122379</v>
      </c>
      <c r="R6" s="290">
        <v>0.85686628817122379</v>
      </c>
      <c r="S6" s="290">
        <v>4.4576858922202402E-2</v>
      </c>
      <c r="T6" s="290">
        <v>6.2556192020824026</v>
      </c>
      <c r="U6" s="114">
        <v>796.93588248048457</v>
      </c>
      <c r="V6" s="291">
        <v>70.757503387165613</v>
      </c>
      <c r="W6" t="s">
        <v>2531</v>
      </c>
    </row>
    <row r="7" spans="1:23" x14ac:dyDescent="0.25">
      <c r="A7" s="2" t="s">
        <v>2526</v>
      </c>
      <c r="B7" s="2">
        <v>2104008210</v>
      </c>
      <c r="C7" s="2" t="s">
        <v>2156</v>
      </c>
      <c r="D7" s="290">
        <v>0.12693548884352343</v>
      </c>
      <c r="E7" s="290">
        <v>6.7060258256955762E-3</v>
      </c>
      <c r="F7" s="290">
        <v>9.5800368938508235E-4</v>
      </c>
      <c r="G7" s="290">
        <v>7.3287282237958801E-2</v>
      </c>
      <c r="H7" s="290">
        <v>7.3287282237958801E-2</v>
      </c>
      <c r="I7" s="290">
        <v>4.0715156798866005E-3</v>
      </c>
      <c r="J7" s="290">
        <v>0.55276812877519255</v>
      </c>
      <c r="K7" s="114">
        <v>77.071464956390244</v>
      </c>
      <c r="L7" s="291">
        <v>6.8429400188780418</v>
      </c>
      <c r="M7" s="114" t="s">
        <v>2531</v>
      </c>
      <c r="N7" s="290">
        <v>0.11031383258357319</v>
      </c>
      <c r="O7" s="290">
        <v>5.8279005893208452E-3</v>
      </c>
      <c r="P7" s="290">
        <v>8.3255722704583552E-4</v>
      </c>
      <c r="Q7" s="290">
        <v>6.3690627869006422E-2</v>
      </c>
      <c r="R7" s="290">
        <v>6.3690627869006422E-2</v>
      </c>
      <c r="S7" s="290">
        <v>3.538368214944799E-3</v>
      </c>
      <c r="T7" s="290">
        <v>0.48038552000544693</v>
      </c>
      <c r="U7" s="114">
        <v>66.979288137855988</v>
      </c>
      <c r="V7" s="291">
        <v>5.9468864578328766</v>
      </c>
      <c r="W7" t="s">
        <v>2531</v>
      </c>
    </row>
    <row r="8" spans="1:23" x14ac:dyDescent="0.25">
      <c r="A8" s="2" t="s">
        <v>2526</v>
      </c>
      <c r="B8" s="2">
        <v>2104008220</v>
      </c>
      <c r="C8" s="2" t="s">
        <v>2159</v>
      </c>
      <c r="D8" s="290">
        <v>6.0509897701074407E-2</v>
      </c>
      <c r="E8" s="290">
        <v>1.0084982950179072E-2</v>
      </c>
      <c r="F8" s="290">
        <v>2.0169965900358132E-3</v>
      </c>
      <c r="G8" s="290">
        <v>6.0509897701074407E-2</v>
      </c>
      <c r="H8" s="290">
        <v>6.0509897701074407E-2</v>
      </c>
      <c r="I8" s="290">
        <v>4.5382423275805795E-3</v>
      </c>
      <c r="J8" s="290">
        <v>0.70998279969260669</v>
      </c>
      <c r="K8" s="114">
        <v>162.26751914273419</v>
      </c>
      <c r="L8" s="291">
        <v>14.407237505270871</v>
      </c>
      <c r="M8" s="114" t="s">
        <v>2531</v>
      </c>
      <c r="N8" s="290">
        <v>5.2586386876202929E-2</v>
      </c>
      <c r="O8" s="290">
        <v>8.7643978127004887E-3</v>
      </c>
      <c r="P8" s="290">
        <v>1.7528795625400978E-3</v>
      </c>
      <c r="Q8" s="290">
        <v>5.2586386876202929E-2</v>
      </c>
      <c r="R8" s="290">
        <v>5.2586386876202929E-2</v>
      </c>
      <c r="S8" s="290">
        <v>3.9439790157152202E-3</v>
      </c>
      <c r="T8" s="290">
        <v>0.61701360601411448</v>
      </c>
      <c r="U8" s="114">
        <v>141.01928549335443</v>
      </c>
      <c r="V8" s="291">
        <v>12.520671725678069</v>
      </c>
      <c r="W8" t="s">
        <v>2531</v>
      </c>
    </row>
    <row r="9" spans="1:23" x14ac:dyDescent="0.25">
      <c r="A9" s="2" t="s">
        <v>2526</v>
      </c>
      <c r="B9" s="2">
        <v>2104008230</v>
      </c>
      <c r="C9" s="2" t="s">
        <v>2162</v>
      </c>
      <c r="D9" s="290">
        <v>4.5539236037633074E-2</v>
      </c>
      <c r="E9" s="290">
        <v>6.0718981383510763E-3</v>
      </c>
      <c r="F9" s="290">
        <v>1.2143796276702149E-3</v>
      </c>
      <c r="G9" s="290">
        <v>3.9467337899281987E-2</v>
      </c>
      <c r="H9" s="290">
        <v>3.9467337899281987E-2</v>
      </c>
      <c r="I9" s="290">
        <v>2.7323541622579846E-3</v>
      </c>
      <c r="J9" s="290">
        <v>0.32484655040178262</v>
      </c>
      <c r="K9" s="114">
        <v>97.696927428134174</v>
      </c>
      <c r="L9" s="291">
        <v>8.6742118473767658</v>
      </c>
      <c r="M9" s="114" t="s">
        <v>2531</v>
      </c>
      <c r="N9" s="290">
        <v>3.9576068962337285E-2</v>
      </c>
      <c r="O9" s="290">
        <v>5.276809194978303E-3</v>
      </c>
      <c r="P9" s="290">
        <v>1.0553618389956608E-3</v>
      </c>
      <c r="Q9" s="290">
        <v>3.4299259767358981E-2</v>
      </c>
      <c r="R9" s="290">
        <v>3.4299259767358981E-2</v>
      </c>
      <c r="S9" s="290">
        <v>2.3745641377402372E-3</v>
      </c>
      <c r="T9" s="290">
        <v>0.2823092919313393</v>
      </c>
      <c r="U9" s="114">
        <v>84.903935017906392</v>
      </c>
      <c r="V9" s="291">
        <v>7.5383611174771179</v>
      </c>
      <c r="W9" t="s">
        <v>2531</v>
      </c>
    </row>
    <row r="10" spans="1:23" x14ac:dyDescent="0.25">
      <c r="A10" s="2" t="s">
        <v>2526</v>
      </c>
      <c r="B10" s="2">
        <v>2104008310</v>
      </c>
      <c r="C10" s="2" t="s">
        <v>2165</v>
      </c>
      <c r="D10" s="290">
        <v>2.5760568218885895</v>
      </c>
      <c r="E10" s="290">
        <v>7.0581168619205215E-2</v>
      </c>
      <c r="F10" s="290">
        <v>1.9441938278404455E-2</v>
      </c>
      <c r="G10" s="290">
        <v>0.59016146471248543</v>
      </c>
      <c r="H10" s="290">
        <v>0.59016146471248543</v>
      </c>
      <c r="I10" s="290">
        <v>1.92975111780181E-2</v>
      </c>
      <c r="J10" s="290">
        <v>5.889480342650609</v>
      </c>
      <c r="K10" s="114">
        <v>1564.1053174546191</v>
      </c>
      <c r="L10" s="291">
        <v>138.87213479860984</v>
      </c>
      <c r="M10" s="114" t="s">
        <v>2531</v>
      </c>
      <c r="N10" s="290">
        <v>2.2387332617901587</v>
      </c>
      <c r="O10" s="290">
        <v>6.133886818847048E-2</v>
      </c>
      <c r="P10" s="290">
        <v>1.6896100088982329E-2</v>
      </c>
      <c r="Q10" s="290">
        <v>0.51288235944656513</v>
      </c>
      <c r="R10" s="290">
        <v>0.51288235944656513</v>
      </c>
      <c r="S10" s="290">
        <v>1.6770585096148524E-2</v>
      </c>
      <c r="T10" s="290">
        <v>5.1182782249674474</v>
      </c>
      <c r="U10" s="114">
        <v>1359.2924540233414</v>
      </c>
      <c r="V10" s="291">
        <v>120.68742609548704</v>
      </c>
      <c r="W10" t="s">
        <v>2531</v>
      </c>
    </row>
    <row r="11" spans="1:23" x14ac:dyDescent="0.25">
      <c r="A11" s="2" t="s">
        <v>2526</v>
      </c>
      <c r="B11" s="2">
        <v>2104008320</v>
      </c>
      <c r="C11" s="2" t="s">
        <v>2169</v>
      </c>
      <c r="D11" s="290">
        <v>1.2280012168762902</v>
      </c>
      <c r="E11" s="290">
        <v>0.1646380859215435</v>
      </c>
      <c r="F11" s="290">
        <v>4.093337389587634E-2</v>
      </c>
      <c r="G11" s="290">
        <v>0.81100528868645749</v>
      </c>
      <c r="H11" s="290">
        <v>0.81100528868645749</v>
      </c>
      <c r="I11" s="290">
        <v>2.5556929681210844E-2</v>
      </c>
      <c r="J11" s="290">
        <v>12.652602933671254</v>
      </c>
      <c r="K11" s="114">
        <v>3293.092841623431</v>
      </c>
      <c r="L11" s="291">
        <v>292.38365722743919</v>
      </c>
      <c r="M11" s="114" t="s">
        <v>2531</v>
      </c>
      <c r="N11" s="290">
        <v>1.0671997396875113</v>
      </c>
      <c r="O11" s="290">
        <v>0.14307943674930554</v>
      </c>
      <c r="P11" s="290">
        <v>3.5573324656250377E-2</v>
      </c>
      <c r="Q11" s="290">
        <v>0.70480763461537677</v>
      </c>
      <c r="R11" s="290">
        <v>0.70480763461537677</v>
      </c>
      <c r="S11" s="290">
        <v>2.2210359670798187E-2</v>
      </c>
      <c r="T11" s="290">
        <v>10.995799003791781</v>
      </c>
      <c r="U11" s="114">
        <v>2861.8764990209083</v>
      </c>
      <c r="V11" s="291">
        <v>254.09727498131625</v>
      </c>
      <c r="W11" t="s">
        <v>2531</v>
      </c>
    </row>
    <row r="12" spans="1:23" x14ac:dyDescent="0.25">
      <c r="A12" s="2" t="s">
        <v>2526</v>
      </c>
      <c r="B12" s="2">
        <v>2104008330</v>
      </c>
      <c r="C12" s="2" t="s">
        <v>2172</v>
      </c>
      <c r="D12" s="290">
        <v>0.92418330545016025</v>
      </c>
      <c r="E12" s="290">
        <v>9.9124182197150287E-2</v>
      </c>
      <c r="F12" s="290">
        <v>2.4644888145337596E-2</v>
      </c>
      <c r="G12" s="290">
        <v>0.54179520112786117</v>
      </c>
      <c r="H12" s="290">
        <v>0.54179520112786117</v>
      </c>
      <c r="I12" s="290">
        <v>1.5387142895522501E-2</v>
      </c>
      <c r="J12" s="290">
        <v>7.617793364429013</v>
      </c>
      <c r="K12" s="114">
        <v>1982.683004349107</v>
      </c>
      <c r="L12" s="291">
        <v>176.03636939932002</v>
      </c>
      <c r="M12" s="114" t="s">
        <v>2531</v>
      </c>
      <c r="N12" s="290">
        <v>0.80316547691118001</v>
      </c>
      <c r="O12" s="290">
        <v>8.6144296914156163E-2</v>
      </c>
      <c r="P12" s="290">
        <v>2.1417746050964793E-2</v>
      </c>
      <c r="Q12" s="290">
        <v>0.47084945003425449</v>
      </c>
      <c r="R12" s="290">
        <v>0.47084945003425449</v>
      </c>
      <c r="S12" s="290">
        <v>1.3372262720070608E-2</v>
      </c>
      <c r="T12" s="290">
        <v>6.6202760907613065</v>
      </c>
      <c r="U12" s="114">
        <v>1723.059193301581</v>
      </c>
      <c r="V12" s="291">
        <v>152.98516403458473</v>
      </c>
      <c r="W12" t="s">
        <v>2531</v>
      </c>
    </row>
    <row r="13" spans="1:23" x14ac:dyDescent="0.25">
      <c r="A13" s="2" t="s">
        <v>2526</v>
      </c>
      <c r="B13" s="2">
        <v>2104008410</v>
      </c>
      <c r="C13" s="2" t="s">
        <v>2175</v>
      </c>
      <c r="D13" s="290">
        <v>1.5485555389974606E-2</v>
      </c>
      <c r="E13" s="290">
        <v>2.7042603638954405E-2</v>
      </c>
      <c r="F13" s="290">
        <v>2.1612470440722799E-3</v>
      </c>
      <c r="G13" s="290">
        <v>1.9991535157668595E-2</v>
      </c>
      <c r="H13" s="290">
        <v>1.9991535157668595E-2</v>
      </c>
      <c r="I13" s="290">
        <v>4.8547011727473598E-4</v>
      </c>
      <c r="J13" s="290">
        <v>6.7079705130393394E-2</v>
      </c>
      <c r="K13" s="114">
        <v>207.63567210872657</v>
      </c>
      <c r="L13" s="291">
        <v>18.435337265528887</v>
      </c>
      <c r="M13" s="114" t="s">
        <v>2531</v>
      </c>
      <c r="N13" s="290">
        <v>1.3457788521688658E-2</v>
      </c>
      <c r="O13" s="290">
        <v>2.3501491014297635E-2</v>
      </c>
      <c r="P13" s="290">
        <v>1.8782410401037074E-3</v>
      </c>
      <c r="Q13" s="290">
        <v>1.7373729620959295E-2</v>
      </c>
      <c r="R13" s="290">
        <v>1.7373729620959295E-2</v>
      </c>
      <c r="S13" s="290">
        <v>4.2189989363329529E-4</v>
      </c>
      <c r="T13" s="290">
        <v>5.8295906282218812E-2</v>
      </c>
      <c r="U13" s="114">
        <v>180.44667397638051</v>
      </c>
      <c r="V13" s="291">
        <v>16.021309148919112</v>
      </c>
      <c r="W13" t="s">
        <v>2531</v>
      </c>
    </row>
    <row r="14" spans="1:23" x14ac:dyDescent="0.25">
      <c r="A14" s="2" t="s">
        <v>2526</v>
      </c>
      <c r="B14" s="2">
        <v>2104008420</v>
      </c>
      <c r="C14" s="2" t="s">
        <v>2179</v>
      </c>
      <c r="D14" s="290">
        <v>5.2233259599712513E-2</v>
      </c>
      <c r="E14" s="290">
        <v>9.1215542520361098E-2</v>
      </c>
      <c r="F14" s="290">
        <v>7.2899534481807096E-3</v>
      </c>
      <c r="G14" s="290">
        <v>6.7432069395671548E-2</v>
      </c>
      <c r="H14" s="290">
        <v>6.7432069395671548E-2</v>
      </c>
      <c r="I14" s="290">
        <v>1.6375057932975915E-3</v>
      </c>
      <c r="J14" s="290">
        <v>0.22626193014790869</v>
      </c>
      <c r="K14" s="114">
        <v>700.36157504801565</v>
      </c>
      <c r="L14" s="291">
        <v>62.182965541037881</v>
      </c>
      <c r="M14" s="114" t="s">
        <v>2531</v>
      </c>
      <c r="N14" s="290">
        <v>4.5393538932835618E-2</v>
      </c>
      <c r="O14" s="290">
        <v>7.927125958458324E-2</v>
      </c>
      <c r="P14" s="290">
        <v>6.3353654013652951E-3</v>
      </c>
      <c r="Q14" s="290">
        <v>5.8602129962628979E-2</v>
      </c>
      <c r="R14" s="290">
        <v>5.8602129962628979E-2</v>
      </c>
      <c r="S14" s="290">
        <v>1.4230814532816792E-3</v>
      </c>
      <c r="T14" s="290">
        <v>0.19663390364487537</v>
      </c>
      <c r="U14" s="114">
        <v>608.65223935170923</v>
      </c>
      <c r="V14" s="291">
        <v>54.040373679107233</v>
      </c>
      <c r="W14" t="s">
        <v>2531</v>
      </c>
    </row>
    <row r="15" spans="1:23" x14ac:dyDescent="0.25">
      <c r="A15" s="2" t="s">
        <v>2526</v>
      </c>
      <c r="B15" s="2">
        <v>2104008610</v>
      </c>
      <c r="C15" s="2" t="s">
        <v>2182</v>
      </c>
      <c r="D15" s="290">
        <v>1.324153895797159</v>
      </c>
      <c r="E15" s="290">
        <v>4.7037607041759889E-2</v>
      </c>
      <c r="F15" s="290">
        <v>1.1666554147992586E-2</v>
      </c>
      <c r="G15" s="290">
        <v>0.28787665920536087</v>
      </c>
      <c r="H15" s="290">
        <v>0.28787665920536087</v>
      </c>
      <c r="I15" s="290">
        <v>7.1095563776953597E-3</v>
      </c>
      <c r="J15" s="290">
        <v>1.7666274008765235</v>
      </c>
      <c r="K15" s="114">
        <v>938.57511107915036</v>
      </c>
      <c r="L15" s="291">
        <v>83.333217968032201</v>
      </c>
      <c r="M15" s="114" t="s">
        <v>2531</v>
      </c>
      <c r="N15" s="290">
        <v>1.210604797485104</v>
      </c>
      <c r="O15" s="290">
        <v>4.3004029159837615E-2</v>
      </c>
      <c r="P15" s="290">
        <v>1.0666121563745405E-2</v>
      </c>
      <c r="Q15" s="290">
        <v>0.26319060482632906</v>
      </c>
      <c r="R15" s="290">
        <v>0.26319060482632906</v>
      </c>
      <c r="S15" s="290">
        <v>6.4998963384443808E-3</v>
      </c>
      <c r="T15" s="290">
        <v>1.6151352298686092</v>
      </c>
      <c r="U15" s="114">
        <v>858.09023851302334</v>
      </c>
      <c r="V15" s="291">
        <v>76.187211911073447</v>
      </c>
      <c r="W15" t="s">
        <v>2531</v>
      </c>
    </row>
    <row r="16" spans="1:23" x14ac:dyDescent="0.25">
      <c r="A16" s="2" t="s">
        <v>2526</v>
      </c>
      <c r="B16" s="2">
        <v>2104004000</v>
      </c>
      <c r="C16" s="2" t="s">
        <v>2196</v>
      </c>
      <c r="D16" s="290">
        <v>9.7407236288716767E-2</v>
      </c>
      <c r="E16" s="290">
        <v>1.5261936602797579</v>
      </c>
      <c r="F16" s="290">
        <v>3.9485558563854988</v>
      </c>
      <c r="G16" s="290">
        <v>6.2378487477374324E-2</v>
      </c>
      <c r="H16" s="290">
        <v>6.2378487477374324E-2</v>
      </c>
      <c r="I16" s="290">
        <v>3.3466058531611328E-3</v>
      </c>
      <c r="J16" s="290">
        <v>6.1182899800724652E-2</v>
      </c>
      <c r="K16" s="114">
        <v>36670.657967753075</v>
      </c>
      <c r="L16" s="291">
        <v>273.23207935123929</v>
      </c>
      <c r="M16" s="114" t="s">
        <v>2532</v>
      </c>
      <c r="N16" s="290">
        <v>8.9978877926367606E-2</v>
      </c>
      <c r="O16" s="290">
        <v>1.4098048387624325</v>
      </c>
      <c r="P16" s="290">
        <v>3.6474356415788138</v>
      </c>
      <c r="Q16" s="290">
        <v>5.7621451175576287E-2</v>
      </c>
      <c r="R16" s="290">
        <v>5.7621451175576287E-2</v>
      </c>
      <c r="S16" s="290">
        <v>3.0913908555696675E-3</v>
      </c>
      <c r="T16" s="290">
        <v>5.6517040028044398E-2</v>
      </c>
      <c r="U16" s="114">
        <v>33874.122523916056</v>
      </c>
      <c r="V16" s="291">
        <v>252.39516949892752</v>
      </c>
      <c r="W16" t="s">
        <v>2532</v>
      </c>
    </row>
    <row r="17" spans="1:23" x14ac:dyDescent="0.25">
      <c r="A17" s="2" t="s">
        <v>2526</v>
      </c>
      <c r="B17" s="2">
        <v>2103004001</v>
      </c>
      <c r="C17" s="2" t="s">
        <v>2206</v>
      </c>
      <c r="D17" s="290">
        <v>3.127850757355552E-2</v>
      </c>
      <c r="E17" s="290">
        <v>0.7896397423899012</v>
      </c>
      <c r="F17" s="290">
        <v>0.55815246502084381</v>
      </c>
      <c r="G17" s="290">
        <v>2.0030400895523593E-2</v>
      </c>
      <c r="H17" s="290">
        <v>2.0030400895523593E-2</v>
      </c>
      <c r="I17" s="290">
        <v>1.0746310080448408E-3</v>
      </c>
      <c r="J17" s="290">
        <v>1.9646484878359394E-2</v>
      </c>
      <c r="K17" s="114">
        <v>12151.678257889036</v>
      </c>
      <c r="L17" s="291">
        <v>90.541825590638723</v>
      </c>
      <c r="M17" s="114" t="s">
        <v>2532</v>
      </c>
      <c r="N17" s="290">
        <v>3.0750049353841128E-2</v>
      </c>
      <c r="O17" s="290">
        <v>0.77629858116289019</v>
      </c>
      <c r="P17" s="290">
        <v>0.54872233932509362</v>
      </c>
      <c r="Q17" s="290">
        <v>1.9691982255423152E-2</v>
      </c>
      <c r="R17" s="290">
        <v>1.9691982255423152E-2</v>
      </c>
      <c r="S17" s="290">
        <v>1.0564748480034524E-3</v>
      </c>
      <c r="T17" s="290">
        <v>1.9314552595527546E-2</v>
      </c>
      <c r="U17" s="114">
        <v>11946.372610117811</v>
      </c>
      <c r="V17" s="291">
        <v>89.012098769472487</v>
      </c>
      <c r="W17" t="s">
        <v>2532</v>
      </c>
    </row>
    <row r="18" spans="1:23" x14ac:dyDescent="0.25">
      <c r="A18" s="2" t="s">
        <v>2526</v>
      </c>
      <c r="B18" s="2">
        <v>2104004000</v>
      </c>
      <c r="C18" s="2" t="s">
        <v>2210</v>
      </c>
      <c r="D18" s="290">
        <v>6.63974777358037E-4</v>
      </c>
      <c r="E18" s="290">
        <v>1.6762336595294049E-2</v>
      </c>
      <c r="F18" s="290">
        <v>2.6915264158182711E-2</v>
      </c>
      <c r="G18" s="290">
        <v>3.7249636878431222E-4</v>
      </c>
      <c r="H18" s="290">
        <v>3.7249636878431222E-4</v>
      </c>
      <c r="I18" s="290">
        <v>2.2812082150360307E-5</v>
      </c>
      <c r="J18" s="290">
        <v>4.1705220085390003E-4</v>
      </c>
      <c r="K18" s="114">
        <v>255.15070020803427</v>
      </c>
      <c r="L18" s="291">
        <v>1.8624818439215618</v>
      </c>
      <c r="M18" s="114" t="s">
        <v>2532</v>
      </c>
      <c r="N18" s="290">
        <v>6.2642269832070678E-4</v>
      </c>
      <c r="O18" s="290">
        <v>1.5814317769667213E-2</v>
      </c>
      <c r="P18" s="290">
        <v>2.539303144476493E-2</v>
      </c>
      <c r="Q18" s="290">
        <v>3.5142928377038241E-4</v>
      </c>
      <c r="R18" s="290">
        <v>3.5142928377038241E-4</v>
      </c>
      <c r="S18" s="290">
        <v>2.1521910985538388E-5</v>
      </c>
      <c r="T18" s="290">
        <v>3.9346519462532894E-4</v>
      </c>
      <c r="U18" s="114">
        <v>240.72027365061766</v>
      </c>
      <c r="V18" s="291">
        <v>1.7571464188519119</v>
      </c>
      <c r="W18" t="s">
        <v>2532</v>
      </c>
    </row>
    <row r="19" spans="1:23" x14ac:dyDescent="0.25">
      <c r="A19" s="2" t="s">
        <v>2526</v>
      </c>
      <c r="B19" s="2">
        <v>2104004000</v>
      </c>
      <c r="C19" s="2" t="s">
        <v>2214</v>
      </c>
      <c r="D19" s="290">
        <v>2.7791489912779243E-3</v>
      </c>
      <c r="E19" s="290">
        <v>4.3544193769026705E-2</v>
      </c>
      <c r="F19" s="290">
        <v>0.11265718485998596</v>
      </c>
      <c r="G19" s="290">
        <v>1.7797354401509554E-3</v>
      </c>
      <c r="H19" s="290">
        <v>1.7797354401509554E-3</v>
      </c>
      <c r="I19" s="290">
        <v>9.5482806364098762E-5</v>
      </c>
      <c r="J19" s="290">
        <v>1.7456238442147283E-3</v>
      </c>
      <c r="K19" s="114">
        <v>974.45616804976305</v>
      </c>
      <c r="L19" s="291">
        <v>7.795649344398103</v>
      </c>
      <c r="M19" s="114" t="s">
        <v>2532</v>
      </c>
      <c r="N19" s="290">
        <v>2.2995941333510679E-3</v>
      </c>
      <c r="O19" s="290">
        <v>3.6030444156472434E-2</v>
      </c>
      <c r="P19" s="290">
        <v>9.3217672818881589E-2</v>
      </c>
      <c r="Q19" s="290">
        <v>1.472633957349009E-3</v>
      </c>
      <c r="R19" s="290">
        <v>1.472633957349009E-3</v>
      </c>
      <c r="S19" s="290">
        <v>7.9006811811774334E-5</v>
      </c>
      <c r="T19" s="290">
        <v>1.4444084731664864E-3</v>
      </c>
      <c r="U19" s="114">
        <v>806.30930341902797</v>
      </c>
      <c r="V19" s="291">
        <v>6.4504744273522228</v>
      </c>
      <c r="W19" t="s">
        <v>2532</v>
      </c>
    </row>
    <row r="20" spans="1:23" x14ac:dyDescent="0.25">
      <c r="A20" s="2" t="s">
        <v>2526</v>
      </c>
      <c r="B20" s="2">
        <v>2104006010</v>
      </c>
      <c r="C20" s="2" t="s">
        <v>2217</v>
      </c>
      <c r="D20" s="290">
        <v>6.6969683938961284E-4</v>
      </c>
      <c r="E20" s="290">
        <v>1.1445727800477033E-2</v>
      </c>
      <c r="F20" s="290">
        <v>7.3057837024321452E-5</v>
      </c>
      <c r="G20" s="290">
        <v>9.2539926897473846E-4</v>
      </c>
      <c r="H20" s="290">
        <v>9.2539926897473846E-4</v>
      </c>
      <c r="I20" s="290">
        <v>2.4352612341440477E-3</v>
      </c>
      <c r="J20" s="290">
        <v>4.8705224682880953E-3</v>
      </c>
      <c r="K20" s="114">
        <v>300.62303278688512</v>
      </c>
      <c r="L20" s="291">
        <v>296.18032786885266</v>
      </c>
      <c r="M20" s="114" t="s">
        <v>2533</v>
      </c>
      <c r="N20" s="290">
        <v>6.6969683938961284E-4</v>
      </c>
      <c r="O20" s="290">
        <v>1.1445727800477033E-2</v>
      </c>
      <c r="P20" s="290">
        <v>7.3057837024321452E-5</v>
      </c>
      <c r="Q20" s="290">
        <v>9.2539926897473846E-4</v>
      </c>
      <c r="R20" s="290">
        <v>9.2539926897473846E-4</v>
      </c>
      <c r="S20" s="290">
        <v>2.4352612341440477E-3</v>
      </c>
      <c r="T20" s="290">
        <v>4.8705224682880953E-3</v>
      </c>
      <c r="U20" s="114">
        <v>300.62303278688512</v>
      </c>
      <c r="V20" s="291">
        <v>296.18032786885266</v>
      </c>
      <c r="W20" t="s">
        <v>2533</v>
      </c>
    </row>
    <row r="21" spans="1:23" x14ac:dyDescent="0.25">
      <c r="A21" s="2" t="s">
        <v>2526</v>
      </c>
      <c r="B21" s="2">
        <v>2103006000</v>
      </c>
      <c r="C21" s="2" t="s">
        <v>2221</v>
      </c>
      <c r="D21" s="290">
        <v>5.2612909836065565E-3</v>
      </c>
      <c r="E21" s="290">
        <v>9.5659836065573781E-2</v>
      </c>
      <c r="F21" s="290">
        <v>5.7395901639344278E-4</v>
      </c>
      <c r="G21" s="290">
        <v>7.2701475409836071E-3</v>
      </c>
      <c r="H21" s="290">
        <v>7.2701475409836071E-3</v>
      </c>
      <c r="I21" s="290">
        <v>1.9131967213114758E-2</v>
      </c>
      <c r="J21" s="290">
        <v>3.8263934426229516E-2</v>
      </c>
      <c r="K21" s="114">
        <v>1941.894672131147</v>
      </c>
      <c r="L21" s="291">
        <v>1913.196721311474</v>
      </c>
      <c r="M21" s="114" t="s">
        <v>2533</v>
      </c>
      <c r="N21" s="290">
        <v>5.2612909836065565E-3</v>
      </c>
      <c r="O21" s="290">
        <v>9.5659836065573781E-2</v>
      </c>
      <c r="P21" s="290">
        <v>5.7395901639344278E-4</v>
      </c>
      <c r="Q21" s="290">
        <v>7.2701475409836071E-3</v>
      </c>
      <c r="R21" s="290">
        <v>7.2701475409836071E-3</v>
      </c>
      <c r="S21" s="290">
        <v>1.9131967213114758E-2</v>
      </c>
      <c r="T21" s="290">
        <v>3.8263934426229516E-2</v>
      </c>
      <c r="U21" s="114">
        <v>1941.894672131147</v>
      </c>
      <c r="V21" s="291">
        <v>1913.196721311474</v>
      </c>
      <c r="W21" t="s">
        <v>2533</v>
      </c>
    </row>
    <row r="22" spans="1:23" x14ac:dyDescent="0.25">
      <c r="A22" s="2" t="s">
        <v>2526</v>
      </c>
      <c r="B22" s="2">
        <v>2104002000</v>
      </c>
      <c r="C22" s="2" t="s">
        <v>2223</v>
      </c>
      <c r="D22" s="290">
        <v>0.15056092832292087</v>
      </c>
      <c r="E22" s="290">
        <v>7.1064758168418674E-2</v>
      </c>
      <c r="F22" s="290">
        <v>0.14002166334031643</v>
      </c>
      <c r="G22" s="290">
        <v>0.12029818173001375</v>
      </c>
      <c r="H22" s="290">
        <v>0.12029818173001375</v>
      </c>
      <c r="I22" s="290">
        <v>1.9060260721040171E-2</v>
      </c>
      <c r="J22" s="290">
        <v>1.9659493215765391</v>
      </c>
      <c r="K22" s="114">
        <v>457.70522210167951</v>
      </c>
      <c r="L22" s="291">
        <v>30.112185664584171</v>
      </c>
      <c r="M22" s="114" t="s">
        <v>2531</v>
      </c>
      <c r="N22" s="290">
        <v>0.13183169088533861</v>
      </c>
      <c r="O22" s="290">
        <v>6.2224558097879863E-2</v>
      </c>
      <c r="P22" s="290">
        <v>0.12260347252336491</v>
      </c>
      <c r="Q22" s="290">
        <v>0.10533352101738555</v>
      </c>
      <c r="R22" s="290">
        <v>0.10533352101738555</v>
      </c>
      <c r="S22" s="290">
        <v>1.6689232907629439E-2</v>
      </c>
      <c r="T22" s="290">
        <v>1.7213923037353096</v>
      </c>
      <c r="U22" s="114">
        <v>400.76834029142947</v>
      </c>
      <c r="V22" s="291">
        <v>26.366338177067721</v>
      </c>
      <c r="W22" t="s">
        <v>2531</v>
      </c>
    </row>
    <row r="23" spans="1:23" x14ac:dyDescent="0.25">
      <c r="A23" s="2" t="s">
        <v>2526</v>
      </c>
      <c r="B23" s="2">
        <v>2103002000</v>
      </c>
      <c r="C23" s="2" t="s">
        <v>2527</v>
      </c>
      <c r="D23" s="290">
        <v>4.0148138126104761E-4</v>
      </c>
      <c r="E23" s="290">
        <v>1.8949921195521454E-4</v>
      </c>
      <c r="F23" s="290">
        <v>3.7337768457277421E-4</v>
      </c>
      <c r="G23" s="290">
        <v>3.2078362362757698E-4</v>
      </c>
      <c r="H23" s="290">
        <v>3.2078362362757698E-4</v>
      </c>
      <c r="I23" s="290">
        <v>5.0825535460742344E-5</v>
      </c>
      <c r="J23" s="290">
        <v>5.24234313581613E-3</v>
      </c>
      <c r="K23" s="114">
        <v>18.456877950864644</v>
      </c>
      <c r="L23" s="291">
        <v>1.2205033990335847</v>
      </c>
      <c r="M23" s="114" t="s">
        <v>2531</v>
      </c>
      <c r="N23" s="290">
        <v>3.7940475162931143E-4</v>
      </c>
      <c r="O23" s="290">
        <v>1.7907904276903499E-4</v>
      </c>
      <c r="P23" s="290">
        <v>3.5284641901525964E-4</v>
      </c>
      <c r="Q23" s="290">
        <v>3.0314439655181979E-4</v>
      </c>
      <c r="R23" s="290">
        <v>3.0314439655181979E-4</v>
      </c>
      <c r="S23" s="290">
        <v>4.8030744532512681E-5</v>
      </c>
      <c r="T23" s="290">
        <v>4.9540775443997339E-3</v>
      </c>
      <c r="U23" s="114">
        <v>17.43676104884138</v>
      </c>
      <c r="V23" s="291">
        <v>1.1533904449531067</v>
      </c>
      <c r="W23" t="s">
        <v>2531</v>
      </c>
    </row>
    <row r="24" spans="1:23" x14ac:dyDescent="0.25">
      <c r="A24" s="2" t="s">
        <v>2526</v>
      </c>
      <c r="B24" s="2">
        <v>2103008000</v>
      </c>
      <c r="C24" s="2" t="s">
        <v>2528</v>
      </c>
      <c r="D24" s="290">
        <v>1.2267802496122725E-3</v>
      </c>
      <c r="E24" s="290">
        <v>4.8776475754854209E-5</v>
      </c>
      <c r="F24" s="290">
        <v>1.0633485245822149E-5</v>
      </c>
      <c r="G24" s="290">
        <v>3.4500168382878613E-4</v>
      </c>
      <c r="H24" s="290">
        <v>3.4500168382878613E-4</v>
      </c>
      <c r="I24" s="290">
        <v>1.2632663031087653E-5</v>
      </c>
      <c r="J24" s="290">
        <v>2.4538740814386119E-3</v>
      </c>
      <c r="K24" s="114">
        <v>11.138643290370357</v>
      </c>
      <c r="L24" s="291">
        <v>0.91979647376361562</v>
      </c>
      <c r="M24" s="114" t="s">
        <v>2531</v>
      </c>
      <c r="N24" s="290">
        <v>1.0057156829621557E-3</v>
      </c>
      <c r="O24" s="290">
        <v>4.0923651207836456E-5</v>
      </c>
      <c r="P24" s="290">
        <v>8.6857798127814725E-6</v>
      </c>
      <c r="Q24" s="290">
        <v>2.9694131175428135E-4</v>
      </c>
      <c r="R24" s="290">
        <v>2.9694131175428135E-4</v>
      </c>
      <c r="S24" s="290">
        <v>1.1445738305269716E-5</v>
      </c>
      <c r="T24" s="290">
        <v>2.15893954093954E-3</v>
      </c>
      <c r="U24" s="114">
        <v>9.0984094863238223</v>
      </c>
      <c r="V24" s="291">
        <v>0.75131995380559735</v>
      </c>
      <c r="W24" t="s">
        <v>2531</v>
      </c>
    </row>
    <row r="25" spans="1:23" x14ac:dyDescent="0.25">
      <c r="A25" s="44" t="s">
        <v>2526</v>
      </c>
      <c r="B25" s="44">
        <v>2102012000</v>
      </c>
      <c r="C25" s="44" t="s">
        <v>2228</v>
      </c>
      <c r="D25" s="292">
        <v>5.2382327984415965E-4</v>
      </c>
      <c r="E25" s="292">
        <v>2.7346164289603576E-2</v>
      </c>
      <c r="F25" s="292">
        <v>1.9363248899601761E-2</v>
      </c>
      <c r="G25" s="292">
        <v>2.7260720241086738E-3</v>
      </c>
      <c r="H25" s="292">
        <v>2.7260720241086738E-3</v>
      </c>
      <c r="I25" s="292">
        <v>1.9058091583470187E-5</v>
      </c>
      <c r="J25" s="292">
        <v>6.5100227441401166E-3</v>
      </c>
      <c r="K25" s="245">
        <v>145.09904851683226</v>
      </c>
      <c r="L25" s="293">
        <v>1.0476465596883191</v>
      </c>
      <c r="M25" s="245" t="s">
        <v>2532</v>
      </c>
      <c r="N25" s="292">
        <v>5.2382327984415965E-4</v>
      </c>
      <c r="O25" s="292">
        <v>2.7346164289603576E-2</v>
      </c>
      <c r="P25" s="292">
        <v>1.9363248899601761E-2</v>
      </c>
      <c r="Q25" s="292">
        <v>2.7260720241086738E-3</v>
      </c>
      <c r="R25" s="292">
        <v>2.7260720241086738E-3</v>
      </c>
      <c r="S25" s="292">
        <v>1.9058091583470187E-5</v>
      </c>
      <c r="T25" s="292">
        <v>6.5100227441401166E-3</v>
      </c>
      <c r="U25" s="245">
        <v>145.09904851683226</v>
      </c>
      <c r="V25" s="293">
        <v>1.0476465596883191</v>
      </c>
      <c r="W25" s="9" t="s">
        <v>2532</v>
      </c>
    </row>
    <row r="26" spans="1:23" x14ac:dyDescent="0.25">
      <c r="A26" s="71" t="s">
        <v>2526</v>
      </c>
      <c r="B26" s="71" t="s">
        <v>2462</v>
      </c>
      <c r="C26" s="71"/>
      <c r="D26" s="294">
        <v>12.798495089917362</v>
      </c>
      <c r="E26" s="294">
        <v>3.1742746137918836</v>
      </c>
      <c r="F26" s="294">
        <v>4.9277744796919949</v>
      </c>
      <c r="G26" s="294">
        <v>3.6378859950599036</v>
      </c>
      <c r="H26" s="294">
        <v>3.6378859950599036</v>
      </c>
      <c r="I26" s="294">
        <v>0.17444271903901482</v>
      </c>
      <c r="J26" s="294">
        <v>38.702624392682566</v>
      </c>
      <c r="K26" s="244">
        <v>62815.223214926671</v>
      </c>
      <c r="L26" s="244"/>
      <c r="M26" s="244"/>
      <c r="N26" s="294">
        <v>11.515524510054327</v>
      </c>
      <c r="O26" s="294">
        <v>2.9554417562275828</v>
      </c>
      <c r="P26" s="294">
        <v>4.5640576217221387</v>
      </c>
      <c r="Q26" s="294">
        <v>3.2311411934217835</v>
      </c>
      <c r="R26" s="294">
        <v>3.2311411934217835</v>
      </c>
      <c r="S26" s="294">
        <v>0.15771524581865928</v>
      </c>
      <c r="T26" s="294">
        <v>34.095565246100215</v>
      </c>
      <c r="U26" s="244">
        <v>58363.700664681506</v>
      </c>
    </row>
    <row r="27" spans="1:23" x14ac:dyDescent="0.25">
      <c r="A27" s="2"/>
      <c r="B27" s="2"/>
      <c r="C27" s="2"/>
      <c r="D27" s="290"/>
      <c r="E27" s="290"/>
      <c r="F27" s="290"/>
      <c r="G27" s="290"/>
      <c r="H27" s="290"/>
      <c r="I27" s="290"/>
      <c r="J27" s="290"/>
      <c r="K27" s="290"/>
      <c r="L27" s="290"/>
      <c r="M27" s="290"/>
      <c r="N27" s="290"/>
      <c r="O27" s="290"/>
      <c r="P27" s="290"/>
      <c r="Q27" s="290"/>
      <c r="R27" s="290"/>
      <c r="S27" s="290"/>
      <c r="T27" s="290"/>
    </row>
    <row r="28" spans="1:23" x14ac:dyDescent="0.25">
      <c r="A28" s="2" t="s">
        <v>2529</v>
      </c>
      <c r="B28" s="2">
        <v>2104008100</v>
      </c>
      <c r="C28" s="2" t="s">
        <v>2152</v>
      </c>
      <c r="D28" s="290">
        <v>3.8629860915178327</v>
      </c>
      <c r="E28" s="290">
        <v>4.3859230733390236E-2</v>
      </c>
      <c r="F28" s="290">
        <v>6.7475739589831132E-3</v>
      </c>
      <c r="G28" s="290">
        <v>0.58366514745203957</v>
      </c>
      <c r="H28" s="290">
        <v>0.58366514745203957</v>
      </c>
      <c r="I28" s="290">
        <v>3.0364082815424021E-2</v>
      </c>
      <c r="J28" s="290">
        <v>4.261092955097836</v>
      </c>
      <c r="K28" s="114">
        <v>539.73063008639099</v>
      </c>
      <c r="L28" s="291">
        <v>48.197354964157086</v>
      </c>
      <c r="M28" s="114" t="s">
        <v>2531</v>
      </c>
      <c r="N28" s="290">
        <v>3.5734338837962545</v>
      </c>
      <c r="O28" s="290">
        <v>4.0571738418647425E-2</v>
      </c>
      <c r="P28" s="290">
        <v>6.2418059105611417E-3</v>
      </c>
      <c r="Q28" s="290">
        <v>0.53991621126353895</v>
      </c>
      <c r="R28" s="290">
        <v>0.53991621126353895</v>
      </c>
      <c r="S28" s="290">
        <v>2.8088126597525152E-2</v>
      </c>
      <c r="T28" s="290">
        <v>3.9417004325193621</v>
      </c>
      <c r="U28" s="114">
        <v>499.27482936279375</v>
      </c>
      <c r="V28" s="291">
        <v>44.584696205986717</v>
      </c>
      <c r="W28" t="s">
        <v>2531</v>
      </c>
    </row>
    <row r="29" spans="1:23" x14ac:dyDescent="0.25">
      <c r="A29" s="2" t="s">
        <v>2529</v>
      </c>
      <c r="B29" s="2">
        <v>2104008210</v>
      </c>
      <c r="C29" s="2" t="s">
        <v>2156</v>
      </c>
      <c r="D29" s="290">
        <v>9.0640835895142186E-2</v>
      </c>
      <c r="E29" s="290">
        <v>4.7885724623848687E-3</v>
      </c>
      <c r="F29" s="290">
        <v>6.8408178034069572E-4</v>
      </c>
      <c r="G29" s="290">
        <v>5.233225619606325E-2</v>
      </c>
      <c r="H29" s="290">
        <v>5.233225619606325E-2</v>
      </c>
      <c r="I29" s="290">
        <v>2.907347566447956E-3</v>
      </c>
      <c r="J29" s="290">
        <v>0.3947151872565815</v>
      </c>
      <c r="K29" s="114">
        <v>54.718909726414722</v>
      </c>
      <c r="L29" s="291">
        <v>4.8863387925816673</v>
      </c>
      <c r="M29" s="114" t="s">
        <v>2531</v>
      </c>
      <c r="N29" s="290">
        <v>7.912797304227942E-2</v>
      </c>
      <c r="O29" s="290">
        <v>4.180345745629855E-3</v>
      </c>
      <c r="P29" s="290">
        <v>5.9719224937569378E-4</v>
      </c>
      <c r="Q29" s="290">
        <v>4.5685207077240567E-2</v>
      </c>
      <c r="R29" s="290">
        <v>4.5685207077240567E-2</v>
      </c>
      <c r="S29" s="290">
        <v>2.5380670598466977E-3</v>
      </c>
      <c r="T29" s="290">
        <v>0.34457992788977526</v>
      </c>
      <c r="U29" s="114">
        <v>47.7687167265711</v>
      </c>
      <c r="V29" s="291">
        <v>4.2656941591109963</v>
      </c>
      <c r="W29" t="s">
        <v>2531</v>
      </c>
    </row>
    <row r="30" spans="1:23" x14ac:dyDescent="0.25">
      <c r="A30" s="2" t="s">
        <v>2529</v>
      </c>
      <c r="B30" s="2">
        <v>2104008220</v>
      </c>
      <c r="C30" s="2" t="s">
        <v>2159</v>
      </c>
      <c r="D30" s="290">
        <v>4.3208308074631649E-2</v>
      </c>
      <c r="E30" s="290">
        <v>7.2013846791052728E-3</v>
      </c>
      <c r="F30" s="290">
        <v>1.4402769358210546E-3</v>
      </c>
      <c r="G30" s="290">
        <v>4.3208308074631649E-2</v>
      </c>
      <c r="H30" s="290">
        <v>4.3208308074631649E-2</v>
      </c>
      <c r="I30" s="290">
        <v>3.2406231055973739E-3</v>
      </c>
      <c r="J30" s="290">
        <v>0.50697748140901144</v>
      </c>
      <c r="K30" s="114">
        <v>115.20608485286554</v>
      </c>
      <c r="L30" s="291">
        <v>10.287777376643588</v>
      </c>
      <c r="M30" s="114" t="s">
        <v>2531</v>
      </c>
      <c r="N30" s="290">
        <v>3.7720149011944343E-2</v>
      </c>
      <c r="O30" s="290">
        <v>6.2866915019907238E-3</v>
      </c>
      <c r="P30" s="290">
        <v>1.2573383003981451E-3</v>
      </c>
      <c r="Q30" s="290">
        <v>3.7720149011944343E-2</v>
      </c>
      <c r="R30" s="290">
        <v>3.7720149011944343E-2</v>
      </c>
      <c r="S30" s="290">
        <v>2.8290111758958254E-3</v>
      </c>
      <c r="T30" s="290">
        <v>0.44258308174014699</v>
      </c>
      <c r="U30" s="114">
        <v>100.57303517246872</v>
      </c>
      <c r="V30" s="291">
        <v>8.9810620443280147</v>
      </c>
      <c r="W30" t="s">
        <v>2531</v>
      </c>
    </row>
    <row r="31" spans="1:23" x14ac:dyDescent="0.25">
      <c r="A31" s="2" t="s">
        <v>2529</v>
      </c>
      <c r="B31" s="2">
        <v>2104008230</v>
      </c>
      <c r="C31" s="2" t="s">
        <v>2162</v>
      </c>
      <c r="D31" s="290">
        <v>3.2518206358866139E-2</v>
      </c>
      <c r="E31" s="290">
        <v>4.3357608478488182E-3</v>
      </c>
      <c r="F31" s="290">
        <v>8.6715216956976355E-4</v>
      </c>
      <c r="G31" s="290">
        <v>2.8182445511017319E-2</v>
      </c>
      <c r="H31" s="290">
        <v>2.8182445511017319E-2</v>
      </c>
      <c r="I31" s="290">
        <v>1.9510923815319685E-3</v>
      </c>
      <c r="J31" s="290">
        <v>0.23196320535991172</v>
      </c>
      <c r="K31" s="114">
        <v>69.362498241249853</v>
      </c>
      <c r="L31" s="291">
        <v>6.1939952312862703</v>
      </c>
      <c r="M31" s="114" t="s">
        <v>2531</v>
      </c>
      <c r="N31" s="290">
        <v>2.8387864374114204E-2</v>
      </c>
      <c r="O31" s="290">
        <v>3.7850485832152275E-3</v>
      </c>
      <c r="P31" s="290">
        <v>7.5700971664304536E-4</v>
      </c>
      <c r="Q31" s="290">
        <v>2.4602815790898975E-2</v>
      </c>
      <c r="R31" s="290">
        <v>2.4602815790898975E-2</v>
      </c>
      <c r="S31" s="290">
        <v>1.7032718624468523E-3</v>
      </c>
      <c r="T31" s="290">
        <v>0.20250009920201462</v>
      </c>
      <c r="U31" s="114">
        <v>60.552330930930033</v>
      </c>
      <c r="V31" s="291">
        <v>5.4072569261411099</v>
      </c>
      <c r="W31" t="s">
        <v>2531</v>
      </c>
    </row>
    <row r="32" spans="1:23" x14ac:dyDescent="0.25">
      <c r="A32" s="2" t="s">
        <v>2529</v>
      </c>
      <c r="B32" s="2">
        <v>2104008310</v>
      </c>
      <c r="C32" s="2" t="s">
        <v>2165</v>
      </c>
      <c r="D32" s="290">
        <v>1.8394851256861786</v>
      </c>
      <c r="E32" s="290">
        <v>5.0399901401783229E-2</v>
      </c>
      <c r="F32" s="290">
        <v>1.3882906608952294E-2</v>
      </c>
      <c r="G32" s="290">
        <v>0.42141665000071782</v>
      </c>
      <c r="H32" s="290">
        <v>0.42141665000071782</v>
      </c>
      <c r="I32" s="290">
        <v>1.3779775536435074E-2</v>
      </c>
      <c r="J32" s="290">
        <v>4.2055017561237129</v>
      </c>
      <c r="K32" s="114">
        <v>1110.4776290009825</v>
      </c>
      <c r="L32" s="291">
        <v>99.164437742117769</v>
      </c>
      <c r="M32" s="114" t="s">
        <v>2531</v>
      </c>
      <c r="N32" s="290">
        <v>1.6058405463664833</v>
      </c>
      <c r="O32" s="290">
        <v>4.3998292823197345E-2</v>
      </c>
      <c r="P32" s="290">
        <v>1.2119551293331952E-2</v>
      </c>
      <c r="Q32" s="290">
        <v>0.36788986985292849</v>
      </c>
      <c r="R32" s="290">
        <v>0.36788986985292849</v>
      </c>
      <c r="S32" s="290">
        <v>1.2029519547205906E-2</v>
      </c>
      <c r="T32" s="290">
        <v>3.6713345182825106</v>
      </c>
      <c r="U32" s="114">
        <v>969.42887853876698</v>
      </c>
      <c r="V32" s="291">
        <v>86.568938590642702</v>
      </c>
      <c r="W32" t="s">
        <v>2531</v>
      </c>
    </row>
    <row r="33" spans="1:31" x14ac:dyDescent="0.25">
      <c r="A33" s="2" t="s">
        <v>2529</v>
      </c>
      <c r="B33" s="2">
        <v>2104008320</v>
      </c>
      <c r="C33" s="2" t="s">
        <v>2169</v>
      </c>
      <c r="D33" s="290">
        <v>0.87687893899498626</v>
      </c>
      <c r="E33" s="290">
        <v>0.11756313276975534</v>
      </c>
      <c r="F33" s="290">
        <v>2.9229297966499555E-2</v>
      </c>
      <c r="G33" s="290">
        <v>0.57911461917903406</v>
      </c>
      <c r="H33" s="290">
        <v>0.57911461917903406</v>
      </c>
      <c r="I33" s="290">
        <v>1.8249439068012966E-2</v>
      </c>
      <c r="J33" s="290">
        <v>9.0348453108415772</v>
      </c>
      <c r="K33" s="114">
        <v>2338.0177089335912</v>
      </c>
      <c r="L33" s="291">
        <v>208.78242432140766</v>
      </c>
      <c r="M33" s="114" t="s">
        <v>2531</v>
      </c>
      <c r="N33" s="290">
        <v>0.76550102788556162</v>
      </c>
      <c r="O33" s="290">
        <v>0.10263069960357324</v>
      </c>
      <c r="P33" s="290">
        <v>2.5516700929518722E-2</v>
      </c>
      <c r="Q33" s="290">
        <v>0.50555762777607416</v>
      </c>
      <c r="R33" s="290">
        <v>0.50555762777607416</v>
      </c>
      <c r="S33" s="290">
        <v>1.5931462991812976E-2</v>
      </c>
      <c r="T33" s="290">
        <v>7.8872727632882702</v>
      </c>
      <c r="U33" s="114">
        <v>2041.0513695933837</v>
      </c>
      <c r="V33" s="291">
        <v>182.26365500995445</v>
      </c>
      <c r="W33" t="s">
        <v>2531</v>
      </c>
    </row>
    <row r="34" spans="1:31" x14ac:dyDescent="0.25">
      <c r="A34" s="2" t="s">
        <v>2529</v>
      </c>
      <c r="B34" s="2">
        <v>2104008330</v>
      </c>
      <c r="C34" s="2" t="s">
        <v>2172</v>
      </c>
      <c r="D34" s="290">
        <v>0.65993165575311952</v>
      </c>
      <c r="E34" s="290">
        <v>7.0781613665566262E-2</v>
      </c>
      <c r="F34" s="290">
        <v>1.7598177486749852E-2</v>
      </c>
      <c r="G34" s="290">
        <v>0.38687974782799828</v>
      </c>
      <c r="H34" s="290">
        <v>0.38687974782799828</v>
      </c>
      <c r="I34" s="290">
        <v>1.0987498506485009E-2</v>
      </c>
      <c r="J34" s="290">
        <v>5.4396383904858103</v>
      </c>
      <c r="K34" s="114">
        <v>1407.6578457729227</v>
      </c>
      <c r="L34" s="291">
        <v>125.70230607430723</v>
      </c>
      <c r="M34" s="114" t="s">
        <v>2531</v>
      </c>
      <c r="N34" s="290">
        <v>0.57610958405755697</v>
      </c>
      <c r="O34" s="290">
        <v>6.1791195576541842E-2</v>
      </c>
      <c r="P34" s="290">
        <v>1.5362922241534856E-2</v>
      </c>
      <c r="Q34" s="290">
        <v>0.33773971692132621</v>
      </c>
      <c r="R34" s="290">
        <v>0.33773971692132621</v>
      </c>
      <c r="S34" s="290">
        <v>9.5919071910261031E-3</v>
      </c>
      <c r="T34" s="290">
        <v>4.7487156938849209</v>
      </c>
      <c r="U34" s="114">
        <v>1228.8623662068685</v>
      </c>
      <c r="V34" s="291">
        <v>109.73606529739888</v>
      </c>
      <c r="W34" t="s">
        <v>2531</v>
      </c>
    </row>
    <row r="35" spans="1:31" x14ac:dyDescent="0.25">
      <c r="A35" s="2" t="s">
        <v>2529</v>
      </c>
      <c r="B35" s="2">
        <v>2104008410</v>
      </c>
      <c r="C35" s="2" t="s">
        <v>2175</v>
      </c>
      <c r="D35" s="290">
        <v>1.1057771925218691E-2</v>
      </c>
      <c r="E35" s="290">
        <v>1.9310314404173079E-2</v>
      </c>
      <c r="F35" s="290">
        <v>1.5432818704633827E-3</v>
      </c>
      <c r="G35" s="290">
        <v>1.4275357301786291E-2</v>
      </c>
      <c r="H35" s="290">
        <v>1.4275357301786291E-2</v>
      </c>
      <c r="I35" s="290">
        <v>3.4665969015283742E-4</v>
      </c>
      <c r="J35" s="290">
        <v>4.7899611054507248E-2</v>
      </c>
      <c r="K35" s="114">
        <v>147.41639599726889</v>
      </c>
      <c r="L35" s="291">
        <v>13.164122933471191</v>
      </c>
      <c r="M35" s="114" t="s">
        <v>2531</v>
      </c>
      <c r="N35" s="290">
        <v>9.6532547407064701E-3</v>
      </c>
      <c r="O35" s="290">
        <v>1.6857589876807813E-2</v>
      </c>
      <c r="P35" s="290">
        <v>1.3472599302144109E-3</v>
      </c>
      <c r="Q35" s="290">
        <v>1.2462154354483296E-2</v>
      </c>
      <c r="R35" s="290">
        <v>1.2462154354483296E-2</v>
      </c>
      <c r="S35" s="290">
        <v>3.0262826182441208E-4</v>
      </c>
      <c r="T35" s="290">
        <v>4.1815580084029774E-2</v>
      </c>
      <c r="U35" s="114">
        <v>128.69211204049637</v>
      </c>
      <c r="V35" s="291">
        <v>11.492064854851883</v>
      </c>
      <c r="W35" t="s">
        <v>2531</v>
      </c>
    </row>
    <row r="36" spans="1:31" x14ac:dyDescent="0.25">
      <c r="A36" s="2" t="s">
        <v>2529</v>
      </c>
      <c r="B36" s="2">
        <v>2104008420</v>
      </c>
      <c r="C36" s="2" t="s">
        <v>2179</v>
      </c>
      <c r="D36" s="290">
        <v>3.7298208363794938E-2</v>
      </c>
      <c r="E36" s="290">
        <v>6.5134290622746227E-2</v>
      </c>
      <c r="F36" s="290">
        <v>5.2055377121075904E-3</v>
      </c>
      <c r="G36" s="290">
        <v>4.8151223836995202E-2</v>
      </c>
      <c r="H36" s="290">
        <v>4.8151223836995202E-2</v>
      </c>
      <c r="I36" s="290">
        <v>1.1692939085821677E-3</v>
      </c>
      <c r="J36" s="290">
        <v>0.16156687673953934</v>
      </c>
      <c r="K36" s="114">
        <v>497.24008519348268</v>
      </c>
      <c r="L36" s="291">
        <v>44.402995777063779</v>
      </c>
      <c r="M36" s="114" t="s">
        <v>2531</v>
      </c>
      <c r="N36" s="290">
        <v>3.25607282500123E-2</v>
      </c>
      <c r="O36" s="290">
        <v>5.6861174564707177E-2</v>
      </c>
      <c r="P36" s="290">
        <v>4.5443496155610124E-3</v>
      </c>
      <c r="Q36" s="290">
        <v>4.2035233943939362E-2</v>
      </c>
      <c r="R36" s="290">
        <v>4.2035233943939362E-2</v>
      </c>
      <c r="S36" s="290">
        <v>1.0207745323953926E-3</v>
      </c>
      <c r="T36" s="290">
        <v>0.14104525119297492</v>
      </c>
      <c r="U36" s="114">
        <v>434.08249348282231</v>
      </c>
      <c r="V36" s="291">
        <v>38.763091912662446</v>
      </c>
      <c r="W36" t="s">
        <v>2531</v>
      </c>
    </row>
    <row r="37" spans="1:31" x14ac:dyDescent="0.25">
      <c r="A37" s="2" t="s">
        <v>2529</v>
      </c>
      <c r="B37" s="2">
        <v>2104008610</v>
      </c>
      <c r="C37" s="2" t="s">
        <v>2182</v>
      </c>
      <c r="D37" s="290">
        <v>1.2314200072553645</v>
      </c>
      <c r="E37" s="290">
        <v>4.3743442955147177E-2</v>
      </c>
      <c r="F37" s="290">
        <v>1.0849515482426119E-2</v>
      </c>
      <c r="G37" s="290">
        <v>0.26771591949582518</v>
      </c>
      <c r="H37" s="290">
        <v>0.26771591949582518</v>
      </c>
      <c r="I37" s="290">
        <v>6.6116559366639939E-3</v>
      </c>
      <c r="J37" s="290">
        <v>1.6429059595789941</v>
      </c>
      <c r="K37" s="114">
        <v>867.84018419923984</v>
      </c>
      <c r="L37" s="291">
        <v>77.497179293521214</v>
      </c>
      <c r="M37" s="114" t="s">
        <v>2531</v>
      </c>
      <c r="N37" s="290">
        <v>1.1261245285826456</v>
      </c>
      <c r="O37" s="290">
        <v>4.000305646019249E-2</v>
      </c>
      <c r="P37" s="290">
        <v>9.921802013944013E-3</v>
      </c>
      <c r="Q37" s="290">
        <v>0.24482423694597844</v>
      </c>
      <c r="R37" s="290">
        <v>0.24482423694597844</v>
      </c>
      <c r="S37" s="290">
        <v>6.0463106665136221E-3</v>
      </c>
      <c r="T37" s="290">
        <v>1.5024254018416709</v>
      </c>
      <c r="U37" s="114">
        <v>793.63345776286383</v>
      </c>
      <c r="V37" s="291">
        <v>70.870599782535066</v>
      </c>
      <c r="W37" t="s">
        <v>2531</v>
      </c>
    </row>
    <row r="38" spans="1:31" x14ac:dyDescent="0.25">
      <c r="A38" s="2" t="s">
        <v>2529</v>
      </c>
      <c r="B38" s="2">
        <v>2104004000</v>
      </c>
      <c r="C38" s="2" t="s">
        <v>2196</v>
      </c>
      <c r="D38" s="290">
        <v>7.3309402263938325E-2</v>
      </c>
      <c r="E38" s="290">
        <v>1.1486245707915785</v>
      </c>
      <c r="F38" s="290">
        <v>2.9717121711513372</v>
      </c>
      <c r="G38" s="290">
        <v>4.6946508342980087E-2</v>
      </c>
      <c r="H38" s="290">
        <v>4.6946508342980087E-2</v>
      </c>
      <c r="I38" s="290">
        <v>2.5186801726008816E-3</v>
      </c>
      <c r="J38" s="290">
        <v>4.6046700266406289E-2</v>
      </c>
      <c r="K38" s="114">
        <v>27598.606824991173</v>
      </c>
      <c r="L38" s="291">
        <v>205.6364719886069</v>
      </c>
      <c r="M38" s="114" t="s">
        <v>2532</v>
      </c>
      <c r="N38" s="290">
        <v>6.7844923969689219E-2</v>
      </c>
      <c r="O38" s="290">
        <v>1.0630061665828825</v>
      </c>
      <c r="P38" s="290">
        <v>2.7502009303756032</v>
      </c>
      <c r="Q38" s="290">
        <v>4.344711852518595E-2</v>
      </c>
      <c r="R38" s="290">
        <v>4.344711852518595E-2</v>
      </c>
      <c r="S38" s="290">
        <v>2.3309379088762255E-3</v>
      </c>
      <c r="T38" s="290">
        <v>4.2614382086786556E-2</v>
      </c>
      <c r="U38" s="114">
        <v>25541.408385373477</v>
      </c>
      <c r="V38" s="291">
        <v>190.30834213096557</v>
      </c>
      <c r="W38" t="s">
        <v>2532</v>
      </c>
    </row>
    <row r="39" spans="1:31" x14ac:dyDescent="0.25">
      <c r="A39" s="2" t="s">
        <v>2529</v>
      </c>
      <c r="B39" s="2">
        <v>2103004001</v>
      </c>
      <c r="C39" s="2" t="s">
        <v>2206</v>
      </c>
      <c r="D39" s="290">
        <v>2.2316687987873882E-2</v>
      </c>
      <c r="E39" s="290">
        <v>0.56339464766021041</v>
      </c>
      <c r="F39" s="290">
        <v>0.39823237672835493</v>
      </c>
      <c r="G39" s="290">
        <v>1.4291353447929755E-2</v>
      </c>
      <c r="H39" s="290">
        <v>1.4291353447929755E-2</v>
      </c>
      <c r="I39" s="290">
        <v>7.6673111248143171E-4</v>
      </c>
      <c r="J39" s="290">
        <v>1.4017435840177768E-2</v>
      </c>
      <c r="K39" s="114">
        <v>8670.0176334376829</v>
      </c>
      <c r="L39" s="291">
        <v>64.600066573096157</v>
      </c>
      <c r="M39" s="114" t="s">
        <v>2532</v>
      </c>
      <c r="N39" s="290">
        <v>2.1939641954706879E-2</v>
      </c>
      <c r="O39" s="290">
        <v>0.55387595397576983</v>
      </c>
      <c r="P39" s="290">
        <v>0.39150414097913977</v>
      </c>
      <c r="Q39" s="290">
        <v>1.4049897451903035E-2</v>
      </c>
      <c r="R39" s="290">
        <v>1.4049897451903035E-2</v>
      </c>
      <c r="S39" s="290">
        <v>7.537769982945983E-4</v>
      </c>
      <c r="T39" s="290">
        <v>1.3780607750741565E-2</v>
      </c>
      <c r="U39" s="114">
        <v>8523.535513960458</v>
      </c>
      <c r="V39" s="291">
        <v>63.508632268106766</v>
      </c>
      <c r="W39" t="s">
        <v>2532</v>
      </c>
    </row>
    <row r="40" spans="1:31" x14ac:dyDescent="0.25">
      <c r="A40" s="2" t="s">
        <v>2529</v>
      </c>
      <c r="B40" s="2">
        <v>2104004000</v>
      </c>
      <c r="C40" s="2" t="s">
        <v>2210</v>
      </c>
      <c r="D40" s="290">
        <v>4.9579260210952619E-4</v>
      </c>
      <c r="E40" s="290">
        <v>1.251650327906237E-2</v>
      </c>
      <c r="F40" s="290">
        <v>2.0097734595503996E-2</v>
      </c>
      <c r="G40" s="290">
        <v>2.7814451731249706E-4</v>
      </c>
      <c r="H40" s="290">
        <v>2.7814451731249706E-4</v>
      </c>
      <c r="I40" s="290">
        <v>1.703387230139417E-5</v>
      </c>
      <c r="J40" s="290">
        <v>3.1141453399721833E-4</v>
      </c>
      <c r="K40" s="114">
        <v>190.5220407461278</v>
      </c>
      <c r="L40" s="291">
        <v>1.3907225865624862</v>
      </c>
      <c r="M40" s="114" t="s">
        <v>2532</v>
      </c>
      <c r="N40" s="290">
        <v>4.688102554887608E-4</v>
      </c>
      <c r="O40" s="290">
        <v>1.183532201794908E-2</v>
      </c>
      <c r="P40" s="290">
        <v>1.9003962645618704E-2</v>
      </c>
      <c r="Q40" s="290">
        <v>2.6300715595442391E-4</v>
      </c>
      <c r="R40" s="290">
        <v>2.6300715595442391E-4</v>
      </c>
      <c r="S40" s="290">
        <v>1.6106843852856445E-5</v>
      </c>
      <c r="T40" s="290">
        <v>2.9446653020832593E-4</v>
      </c>
      <c r="U40" s="114">
        <v>180.15332664988162</v>
      </c>
      <c r="V40" s="291">
        <v>1.3150357797721204</v>
      </c>
      <c r="W40" t="s">
        <v>2532</v>
      </c>
    </row>
    <row r="41" spans="1:31" x14ac:dyDescent="0.25">
      <c r="A41" s="2" t="s">
        <v>2529</v>
      </c>
      <c r="B41" s="2">
        <v>2104004000</v>
      </c>
      <c r="C41" s="2" t="s">
        <v>2214</v>
      </c>
      <c r="D41" s="290">
        <v>1.5325801260269295E-3</v>
      </c>
      <c r="E41" s="290">
        <v>2.4012734180037441E-2</v>
      </c>
      <c r="F41" s="290">
        <v>6.2125551063444286E-2</v>
      </c>
      <c r="G41" s="290">
        <v>9.8144690109144882E-4</v>
      </c>
      <c r="H41" s="290">
        <v>9.8144690109144882E-4</v>
      </c>
      <c r="I41" s="290">
        <v>5.265462624355624E-5</v>
      </c>
      <c r="J41" s="290">
        <v>9.6263583548719591E-4</v>
      </c>
      <c r="K41" s="114">
        <v>537.37031066862892</v>
      </c>
      <c r="L41" s="291">
        <v>4.2989624853490316</v>
      </c>
      <c r="M41" s="114" t="s">
        <v>2532</v>
      </c>
      <c r="N41" s="290">
        <v>1.2807071733772419E-3</v>
      </c>
      <c r="O41" s="290">
        <v>2.0066344587476703E-2</v>
      </c>
      <c r="P41" s="290">
        <v>5.1915483925288219E-2</v>
      </c>
      <c r="Q41" s="290">
        <v>8.2015032373882987E-4</v>
      </c>
      <c r="R41" s="290">
        <v>8.2015032373882987E-4</v>
      </c>
      <c r="S41" s="290">
        <v>4.4001064868588231E-5</v>
      </c>
      <c r="T41" s="290">
        <v>8.0443077586716887E-4</v>
      </c>
      <c r="U41" s="114">
        <v>449.05581114209048</v>
      </c>
      <c r="V41" s="291">
        <v>3.5924464891367243</v>
      </c>
      <c r="W41" t="s">
        <v>2532</v>
      </c>
    </row>
    <row r="42" spans="1:31" x14ac:dyDescent="0.25">
      <c r="A42" s="2" t="s">
        <v>2529</v>
      </c>
      <c r="B42" s="2">
        <v>2104006010</v>
      </c>
      <c r="C42" s="2" t="s">
        <v>2217</v>
      </c>
      <c r="D42" s="290">
        <v>6.2640334377998905E-4</v>
      </c>
      <c r="E42" s="290">
        <v>1.0705802602785268E-2</v>
      </c>
      <c r="F42" s="290">
        <v>6.8334910230544231E-5</v>
      </c>
      <c r="G42" s="290">
        <v>8.6557552958689327E-4</v>
      </c>
      <c r="H42" s="290">
        <v>8.6557552958689327E-4</v>
      </c>
      <c r="I42" s="290">
        <v>2.277830341018141E-3</v>
      </c>
      <c r="J42" s="290">
        <v>4.5556606820362821E-3</v>
      </c>
      <c r="K42" s="114">
        <v>281.18883333333321</v>
      </c>
      <c r="L42" s="291">
        <v>277.03333333333342</v>
      </c>
      <c r="M42" s="114" t="s">
        <v>2533</v>
      </c>
      <c r="N42" s="290">
        <v>6.2640334377998905E-4</v>
      </c>
      <c r="O42" s="290">
        <v>1.0705802602785268E-2</v>
      </c>
      <c r="P42" s="290">
        <v>6.8334910230544231E-5</v>
      </c>
      <c r="Q42" s="290">
        <v>8.6557552958689327E-4</v>
      </c>
      <c r="R42" s="290">
        <v>8.6557552958689327E-4</v>
      </c>
      <c r="S42" s="290">
        <v>2.277830341018141E-3</v>
      </c>
      <c r="T42" s="290">
        <v>4.5556606820362821E-3</v>
      </c>
      <c r="U42" s="114">
        <v>281.18883333333321</v>
      </c>
      <c r="V42" s="291">
        <v>277.03333333333342</v>
      </c>
      <c r="W42" t="s">
        <v>2533</v>
      </c>
    </row>
    <row r="43" spans="1:31" x14ac:dyDescent="0.25">
      <c r="A43" s="2" t="s">
        <v>2529</v>
      </c>
      <c r="B43" s="2">
        <v>2103006000</v>
      </c>
      <c r="C43" s="2" t="s">
        <v>2221</v>
      </c>
      <c r="D43" s="290">
        <v>9.7086916666666665E-3</v>
      </c>
      <c r="E43" s="290">
        <v>0.17652166666666677</v>
      </c>
      <c r="F43" s="290">
        <v>1.0591299999999997E-3</v>
      </c>
      <c r="G43" s="290">
        <v>1.3415646666666671E-2</v>
      </c>
      <c r="H43" s="290">
        <v>1.3415646666666671E-2</v>
      </c>
      <c r="I43" s="290">
        <v>3.5304333333333333E-2</v>
      </c>
      <c r="J43" s="290">
        <v>7.0608666666666667E-2</v>
      </c>
      <c r="K43" s="114">
        <v>3583.3898333333341</v>
      </c>
      <c r="L43" s="291">
        <v>3530.4333333333338</v>
      </c>
      <c r="M43" s="114" t="s">
        <v>2533</v>
      </c>
      <c r="N43" s="290">
        <v>9.7086916666666665E-3</v>
      </c>
      <c r="O43" s="290">
        <v>0.17652166666666677</v>
      </c>
      <c r="P43" s="290">
        <v>1.0591299999999997E-3</v>
      </c>
      <c r="Q43" s="290">
        <v>1.3415646666666671E-2</v>
      </c>
      <c r="R43" s="290">
        <v>1.3415646666666671E-2</v>
      </c>
      <c r="S43" s="290">
        <v>3.5304333333333333E-2</v>
      </c>
      <c r="T43" s="290">
        <v>7.0608666666666667E-2</v>
      </c>
      <c r="U43" s="114">
        <v>3583.3898333333341</v>
      </c>
      <c r="V43" s="291">
        <v>3530.4333333333338</v>
      </c>
      <c r="W43" t="s">
        <v>2533</v>
      </c>
    </row>
    <row r="44" spans="1:31" x14ac:dyDescent="0.25">
      <c r="A44" s="2" t="s">
        <v>2529</v>
      </c>
      <c r="B44" s="2">
        <v>2104002000</v>
      </c>
      <c r="C44" s="2" t="s">
        <v>2223</v>
      </c>
      <c r="D44" s="290">
        <v>0.11100806379986349</v>
      </c>
      <c r="E44" s="290">
        <v>5.2395806113535566E-2</v>
      </c>
      <c r="F44" s="290">
        <v>0.10323749933387301</v>
      </c>
      <c r="G44" s="290">
        <v>8.869544297609093E-2</v>
      </c>
      <c r="H44" s="290">
        <v>8.869544297609093E-2</v>
      </c>
      <c r="I44" s="290">
        <v>1.4053065836743718E-2</v>
      </c>
      <c r="J44" s="290">
        <v>1.4494877930667165</v>
      </c>
      <c r="K44" s="114">
        <v>337.46451395158488</v>
      </c>
      <c r="L44" s="291">
        <v>22.201612759972694</v>
      </c>
      <c r="M44" s="114" t="s">
        <v>2531</v>
      </c>
      <c r="N44" s="290">
        <v>9.7545151005469885E-2</v>
      </c>
      <c r="O44" s="290">
        <v>4.6041311274581796E-2</v>
      </c>
      <c r="P44" s="290">
        <v>9.0716990435087005E-2</v>
      </c>
      <c r="Q44" s="290">
        <v>7.7938575653370437E-2</v>
      </c>
      <c r="R44" s="290">
        <v>7.7938575653370437E-2</v>
      </c>
      <c r="S44" s="290">
        <v>1.234872839153746E-2</v>
      </c>
      <c r="T44" s="290">
        <v>1.2736958092539228</v>
      </c>
      <c r="U44" s="114">
        <v>296.53725905662839</v>
      </c>
      <c r="V44" s="291">
        <v>19.509030201093978</v>
      </c>
      <c r="W44" t="s">
        <v>2531</v>
      </c>
    </row>
    <row r="45" spans="1:31" x14ac:dyDescent="0.25">
      <c r="A45" s="2" t="s">
        <v>2529</v>
      </c>
      <c r="B45" s="2">
        <v>2103002000</v>
      </c>
      <c r="C45" s="2" t="s">
        <v>2527</v>
      </c>
      <c r="D45" s="290">
        <v>2.8645019898962393E-4</v>
      </c>
      <c r="E45" s="290">
        <v>1.3520449392310247E-4</v>
      </c>
      <c r="F45" s="290">
        <v>2.6639868506035024E-4</v>
      </c>
      <c r="G45" s="290">
        <v>2.2887370899270956E-4</v>
      </c>
      <c r="H45" s="290">
        <v>2.2887370899270956E-4</v>
      </c>
      <c r="I45" s="290">
        <v>3.6263162941091441E-5</v>
      </c>
      <c r="J45" s="290">
        <v>3.7403234733070132E-3</v>
      </c>
      <c r="K45" s="114">
        <v>13.168671346965224</v>
      </c>
      <c r="L45" s="291">
        <v>0.8708086049284568</v>
      </c>
      <c r="M45" s="114" t="s">
        <v>2531</v>
      </c>
      <c r="N45" s="290">
        <v>2.7069889582540766E-4</v>
      </c>
      <c r="O45" s="290">
        <v>1.2776987882959237E-4</v>
      </c>
      <c r="P45" s="290">
        <v>2.5174997311762907E-4</v>
      </c>
      <c r="Q45" s="290">
        <v>2.1628841776450073E-4</v>
      </c>
      <c r="R45" s="290">
        <v>2.1628841776450073E-4</v>
      </c>
      <c r="S45" s="290">
        <v>3.4269126717017481E-5</v>
      </c>
      <c r="T45" s="290">
        <v>3.5346508322402601E-3</v>
      </c>
      <c r="U45" s="114">
        <v>12.440835130353117</v>
      </c>
      <c r="V45" s="291">
        <v>0.8229246433092392</v>
      </c>
      <c r="W45" t="s">
        <v>2531</v>
      </c>
    </row>
    <row r="46" spans="1:31" x14ac:dyDescent="0.25">
      <c r="A46" s="2" t="s">
        <v>2529</v>
      </c>
      <c r="B46" s="2">
        <v>2103008000</v>
      </c>
      <c r="C46" s="2" t="s">
        <v>2528</v>
      </c>
      <c r="D46" s="290">
        <v>8.7528703202673357E-4</v>
      </c>
      <c r="E46" s="290">
        <v>3.4801193375654412E-5</v>
      </c>
      <c r="F46" s="290">
        <v>7.5868125068506339E-6</v>
      </c>
      <c r="G46" s="290">
        <v>2.4615288677671822E-4</v>
      </c>
      <c r="H46" s="290">
        <v>2.4615288677671822E-4</v>
      </c>
      <c r="I46" s="290">
        <v>9.0131921626299567E-6</v>
      </c>
      <c r="J46" s="290">
        <v>1.750797799678111E-3</v>
      </c>
      <c r="K46" s="114">
        <v>7.9472342577361532</v>
      </c>
      <c r="L46" s="291">
        <v>0.65625928184257976</v>
      </c>
      <c r="M46" s="114" t="s">
        <v>2531</v>
      </c>
      <c r="N46" s="290">
        <v>7.1756118952917872E-4</v>
      </c>
      <c r="O46" s="290">
        <v>2.9198335412332746E-5</v>
      </c>
      <c r="P46" s="290">
        <v>6.1971575068721741E-6</v>
      </c>
      <c r="Q46" s="290">
        <v>2.1186262130783E-4</v>
      </c>
      <c r="R46" s="290">
        <v>2.1186262130783E-4</v>
      </c>
      <c r="S46" s="290">
        <v>8.1663413751081669E-6</v>
      </c>
      <c r="T46" s="290">
        <v>1.5403669758388852E-3</v>
      </c>
      <c r="U46" s="114">
        <v>6.4915618245119404</v>
      </c>
      <c r="V46" s="291">
        <v>0.53605412434444311</v>
      </c>
      <c r="W46" t="s">
        <v>2531</v>
      </c>
    </row>
    <row r="47" spans="1:31" x14ac:dyDescent="0.25">
      <c r="A47" s="44" t="s">
        <v>2529</v>
      </c>
      <c r="B47" s="44">
        <v>2102012000</v>
      </c>
      <c r="C47" s="44" t="s">
        <v>2228</v>
      </c>
      <c r="D47" s="292">
        <v>3.7373908168656343E-4</v>
      </c>
      <c r="E47" s="292">
        <v>1.951102733022278E-2</v>
      </c>
      <c r="F47" s="292">
        <v>1.3815351742974291E-2</v>
      </c>
      <c r="G47" s="292">
        <v>1.9450064441674253E-3</v>
      </c>
      <c r="H47" s="292">
        <v>1.9450064441674253E-3</v>
      </c>
      <c r="I47" s="292">
        <v>1.3597627141015245E-5</v>
      </c>
      <c r="J47" s="292">
        <v>4.6447915084595216E-3</v>
      </c>
      <c r="K47" s="245">
        <v>103.52572562717806</v>
      </c>
      <c r="L47" s="293">
        <v>0.74747816337312667</v>
      </c>
      <c r="M47" s="245" t="s">
        <v>2532</v>
      </c>
      <c r="N47" s="292">
        <v>3.7373908168656343E-4</v>
      </c>
      <c r="O47" s="292">
        <v>1.951102733022278E-2</v>
      </c>
      <c r="P47" s="292">
        <v>1.3815351742974291E-2</v>
      </c>
      <c r="Q47" s="292">
        <v>1.9450064441674253E-3</v>
      </c>
      <c r="R47" s="292">
        <v>1.9450064441674253E-3</v>
      </c>
      <c r="S47" s="292">
        <v>1.3597627141015245E-5</v>
      </c>
      <c r="T47" s="292">
        <v>4.6447915084595216E-3</v>
      </c>
      <c r="U47" s="245">
        <v>103.52572562717806</v>
      </c>
      <c r="V47" s="293">
        <v>0.74747816337312667</v>
      </c>
      <c r="W47" s="9" t="s">
        <v>2532</v>
      </c>
    </row>
    <row r="48" spans="1:31" x14ac:dyDescent="0.25">
      <c r="A48" s="71" t="s">
        <v>2529</v>
      </c>
      <c r="B48" s="71" t="s">
        <v>2462</v>
      </c>
      <c r="C48" s="71"/>
      <c r="D48" s="294">
        <v>8.9059582479280976</v>
      </c>
      <c r="E48" s="294">
        <v>2.4349704088532982</v>
      </c>
      <c r="F48" s="294">
        <v>3.658669936995198</v>
      </c>
      <c r="G48" s="294">
        <v>2.5928358262977036</v>
      </c>
      <c r="H48" s="294">
        <v>2.5928358262977036</v>
      </c>
      <c r="I48" s="294">
        <v>0.14465667179230052</v>
      </c>
      <c r="J48" s="294">
        <v>27.523232953620404</v>
      </c>
      <c r="K48" s="244">
        <v>48470.86959369816</v>
      </c>
      <c r="L48" s="244"/>
      <c r="M48" s="244"/>
      <c r="N48" s="294">
        <v>8.0352358686437793</v>
      </c>
      <c r="O48" s="294">
        <v>2.2786863964070796</v>
      </c>
      <c r="P48" s="294">
        <v>3.396208204345649</v>
      </c>
      <c r="Q48" s="294">
        <v>2.3116063517279986</v>
      </c>
      <c r="R48" s="294">
        <v>2.3116063517279986</v>
      </c>
      <c r="S48" s="294">
        <v>0.1332128278635073</v>
      </c>
      <c r="T48" s="294">
        <v>24.340046582988439</v>
      </c>
      <c r="U48" s="244">
        <v>45281.646675249212</v>
      </c>
      <c r="Y48" s="923" t="s">
        <v>3010</v>
      </c>
      <c r="Z48" s="923"/>
      <c r="AA48" s="923"/>
      <c r="AB48" s="923"/>
      <c r="AC48" s="923"/>
      <c r="AD48" s="923"/>
      <c r="AE48" s="923"/>
    </row>
    <row r="49" spans="1:31" ht="15.75" thickBot="1" x14ac:dyDescent="0.3">
      <c r="A49" s="2"/>
      <c r="B49" s="2"/>
      <c r="C49" s="2"/>
      <c r="D49" s="290"/>
      <c r="E49" s="290"/>
      <c r="F49" s="290"/>
      <c r="G49" s="290"/>
      <c r="H49" s="290"/>
      <c r="I49" s="290"/>
      <c r="J49" s="290"/>
      <c r="K49" s="290"/>
      <c r="L49" s="290"/>
      <c r="M49" s="290"/>
      <c r="N49" s="290"/>
      <c r="O49" s="290"/>
      <c r="P49" s="290"/>
      <c r="Q49" s="290"/>
      <c r="R49" s="290"/>
      <c r="S49" s="290"/>
      <c r="T49" s="290"/>
      <c r="Y49" s="15" t="s">
        <v>2143</v>
      </c>
      <c r="Z49" s="15" t="s">
        <v>2144</v>
      </c>
      <c r="AA49" s="509" t="s">
        <v>2145</v>
      </c>
      <c r="AB49" s="15" t="s">
        <v>2146</v>
      </c>
      <c r="AC49" s="510" t="s">
        <v>2147</v>
      </c>
      <c r="AD49" s="15" t="s">
        <v>2148</v>
      </c>
      <c r="AE49" s="15" t="s">
        <v>2149</v>
      </c>
    </row>
    <row r="50" spans="1:31" ht="15.75" thickTop="1" x14ac:dyDescent="0.25">
      <c r="A50" s="2" t="s">
        <v>2530</v>
      </c>
      <c r="B50" s="2">
        <v>2104008100</v>
      </c>
      <c r="C50" s="2" t="s">
        <v>2152</v>
      </c>
      <c r="D50" s="290">
        <v>5.2236458287187553</v>
      </c>
      <c r="E50" s="290">
        <v>5.9307769234361409E-2</v>
      </c>
      <c r="F50" s="290">
        <v>9.1242721899017585E-3</v>
      </c>
      <c r="G50" s="290">
        <v>0.78924954442650219</v>
      </c>
      <c r="H50" s="290">
        <v>0.78924954442650219</v>
      </c>
      <c r="I50" s="290">
        <v>4.1059224854557909E-2</v>
      </c>
      <c r="J50" s="290">
        <v>5.7619778879229573</v>
      </c>
      <c r="K50" s="114">
        <v>732.78402566369607</v>
      </c>
      <c r="L50" s="291">
        <v>65.173911127097341</v>
      </c>
      <c r="M50" s="114" t="s">
        <v>2531</v>
      </c>
      <c r="N50" s="290">
        <v>4.8189629522801196</v>
      </c>
      <c r="O50" s="290">
        <v>5.4713116488769947E-2</v>
      </c>
      <c r="P50" s="290">
        <v>8.4174025367338388E-3</v>
      </c>
      <c r="Q50" s="290">
        <v>0.72810531942747692</v>
      </c>
      <c r="R50" s="290">
        <v>0.72810531942747692</v>
      </c>
      <c r="S50" s="290">
        <v>3.7878311415302277E-2</v>
      </c>
      <c r="T50" s="290">
        <v>5.3155897019474176</v>
      </c>
      <c r="U50" s="114">
        <v>676.01107965142262</v>
      </c>
      <c r="V50" s="291">
        <v>60.124800469811674</v>
      </c>
      <c r="W50" t="s">
        <v>2531</v>
      </c>
      <c r="Y50" s="43">
        <f t="shared" ref="Y50:Y66" si="0">N50/$U50*2000</f>
        <v>14.257053167723116</v>
      </c>
      <c r="Z50" s="11">
        <f t="shared" ref="Z50:AE65" si="1">O50/$U50*2000</f>
        <v>0.16187047264663809</v>
      </c>
      <c r="AA50" s="511">
        <f t="shared" si="1"/>
        <v>2.4903149637944325E-2</v>
      </c>
      <c r="AB50" s="11">
        <f t="shared" si="1"/>
        <v>2.1541224436821835</v>
      </c>
      <c r="AC50" s="512">
        <f t="shared" si="1"/>
        <v>2.1541224436821835</v>
      </c>
      <c r="AD50" s="11">
        <f t="shared" si="1"/>
        <v>0.11206417337074946</v>
      </c>
      <c r="AE50" s="43">
        <f t="shared" si="1"/>
        <v>15.726338996361836</v>
      </c>
    </row>
    <row r="51" spans="1:31" x14ac:dyDescent="0.25">
      <c r="A51" s="2" t="s">
        <v>2530</v>
      </c>
      <c r="B51" s="2">
        <v>2104008210</v>
      </c>
      <c r="C51" s="2" t="s">
        <v>2156</v>
      </c>
      <c r="D51" s="290">
        <v>0.11219078608324355</v>
      </c>
      <c r="E51" s="290">
        <v>5.9270603968506023E-3</v>
      </c>
      <c r="F51" s="290">
        <v>8.4672291383580027E-4</v>
      </c>
      <c r="G51" s="290">
        <v>6.4774302908438719E-2</v>
      </c>
      <c r="H51" s="290">
        <v>6.4774302908438719E-2</v>
      </c>
      <c r="I51" s="290">
        <v>3.5985723838021511E-3</v>
      </c>
      <c r="J51" s="290">
        <v>0.48855912128325668</v>
      </c>
      <c r="K51" s="114">
        <v>67.990739394212696</v>
      </c>
      <c r="L51" s="291">
        <v>6.0480707706951407</v>
      </c>
      <c r="M51" s="114" t="s">
        <v>2531</v>
      </c>
      <c r="N51" s="290">
        <v>9.7644577144922598E-2</v>
      </c>
      <c r="O51" s="290">
        <v>5.1585814340713802E-3</v>
      </c>
      <c r="P51" s="290">
        <v>7.3694020486734049E-4</v>
      </c>
      <c r="Q51" s="290">
        <v>5.637592567235155E-2</v>
      </c>
      <c r="R51" s="290">
        <v>5.637592567235155E-2</v>
      </c>
      <c r="S51" s="290">
        <v>3.1319958706861948E-3</v>
      </c>
      <c r="T51" s="290">
        <v>0.42521449820845525</v>
      </c>
      <c r="U51" s="114">
        <v>59.174993502021508</v>
      </c>
      <c r="V51" s="291">
        <v>5.2639020864771116</v>
      </c>
      <c r="W51" t="s">
        <v>2531</v>
      </c>
      <c r="Y51" s="43">
        <f t="shared" si="0"/>
        <v>3.3001973085670695</v>
      </c>
      <c r="Z51" s="11">
        <f t="shared" si="1"/>
        <v>0.17435004649033564</v>
      </c>
      <c r="AA51" s="511">
        <f t="shared" si="1"/>
        <v>2.4907149498619396E-2</v>
      </c>
      <c r="AB51" s="11">
        <f t="shared" si="1"/>
        <v>1.9053969366443837</v>
      </c>
      <c r="AC51" s="512">
        <f t="shared" si="1"/>
        <v>1.9053969366443837</v>
      </c>
      <c r="AD51" s="11">
        <f t="shared" si="1"/>
        <v>0.10585538536913235</v>
      </c>
      <c r="AE51" s="43">
        <f t="shared" si="1"/>
        <v>14.371425260703385</v>
      </c>
    </row>
    <row r="52" spans="1:31" x14ac:dyDescent="0.25">
      <c r="A52" s="2" t="s">
        <v>2530</v>
      </c>
      <c r="B52" s="2">
        <v>2104008220</v>
      </c>
      <c r="C52" s="2" t="s">
        <v>2159</v>
      </c>
      <c r="D52" s="290">
        <v>5.3481126915332043E-2</v>
      </c>
      <c r="E52" s="290">
        <v>8.913521152555344E-3</v>
      </c>
      <c r="F52" s="290">
        <v>1.7827042305110679E-3</v>
      </c>
      <c r="G52" s="290">
        <v>5.3481126915332043E-2</v>
      </c>
      <c r="H52" s="290">
        <v>5.3481126915332043E-2</v>
      </c>
      <c r="I52" s="290">
        <v>4.0110845186499024E-3</v>
      </c>
      <c r="J52" s="290">
        <v>0.62751188913989586</v>
      </c>
      <c r="K52" s="114">
        <v>143.14881146247504</v>
      </c>
      <c r="L52" s="291">
        <v>12.733706828016036</v>
      </c>
      <c r="M52" s="114" t="s">
        <v>2531</v>
      </c>
      <c r="N52" s="290">
        <v>4.6546977743847869E-2</v>
      </c>
      <c r="O52" s="290">
        <v>7.7578296239746471E-3</v>
      </c>
      <c r="P52" s="290">
        <v>1.5515659247949292E-3</v>
      </c>
      <c r="Q52" s="290">
        <v>4.6546977743847869E-2</v>
      </c>
      <c r="R52" s="290">
        <v>4.6546977743847869E-2</v>
      </c>
      <c r="S52" s="290">
        <v>3.4910233307885907E-3</v>
      </c>
      <c r="T52" s="290">
        <v>0.54615120552781526</v>
      </c>
      <c r="U52" s="114">
        <v>124.58799630049461</v>
      </c>
      <c r="V52" s="291">
        <v>11.082705292629608</v>
      </c>
      <c r="W52" t="s">
        <v>2531</v>
      </c>
      <c r="Y52" s="43">
        <f t="shared" si="0"/>
        <v>0.74721448495858145</v>
      </c>
      <c r="Z52" s="11">
        <f t="shared" si="1"/>
        <v>0.12453574749309695</v>
      </c>
      <c r="AA52" s="511">
        <f t="shared" si="1"/>
        <v>2.4907149498619385E-2</v>
      </c>
      <c r="AB52" s="11">
        <f t="shared" si="1"/>
        <v>0.74721448495858145</v>
      </c>
      <c r="AC52" s="512">
        <f t="shared" si="1"/>
        <v>0.74721448495858145</v>
      </c>
      <c r="AD52" s="11">
        <f t="shared" si="1"/>
        <v>5.6041086371893617E-2</v>
      </c>
      <c r="AE52" s="43">
        <f t="shared" si="1"/>
        <v>8.7673166235140272</v>
      </c>
    </row>
    <row r="53" spans="1:31" x14ac:dyDescent="0.25">
      <c r="A53" s="2" t="s">
        <v>2530</v>
      </c>
      <c r="B53" s="2">
        <v>2104008230</v>
      </c>
      <c r="C53" s="2" t="s">
        <v>2162</v>
      </c>
      <c r="D53" s="290">
        <v>4.0249442730634001E-2</v>
      </c>
      <c r="E53" s="290">
        <v>5.3665923640845332E-3</v>
      </c>
      <c r="F53" s="290">
        <v>1.0733184728169065E-3</v>
      </c>
      <c r="G53" s="290">
        <v>3.4882850366549464E-2</v>
      </c>
      <c r="H53" s="290">
        <v>3.4882850366549464E-2</v>
      </c>
      <c r="I53" s="290">
        <v>2.4149665638380398E-3</v>
      </c>
      <c r="J53" s="290">
        <v>0.28711269147852247</v>
      </c>
      <c r="K53" s="114">
        <v>86.186065570962427</v>
      </c>
      <c r="L53" s="291">
        <v>7.6666238470900039</v>
      </c>
      <c r="M53" s="114" t="s">
        <v>2531</v>
      </c>
      <c r="N53" s="290">
        <v>3.5030860848371655E-2</v>
      </c>
      <c r="O53" s="290">
        <v>4.6707814464495524E-3</v>
      </c>
      <c r="P53" s="290">
        <v>9.3415628928991083E-4</v>
      </c>
      <c r="Q53" s="290">
        <v>3.0360079401922101E-2</v>
      </c>
      <c r="R53" s="290">
        <v>3.0360079401922101E-2</v>
      </c>
      <c r="S53" s="290">
        <v>2.1018516509022996E-3</v>
      </c>
      <c r="T53" s="290">
        <v>0.24988680738505115</v>
      </c>
      <c r="U53" s="114">
        <v>75.011095857572244</v>
      </c>
      <c r="V53" s="291">
        <v>6.6726000397468663</v>
      </c>
      <c r="W53" t="s">
        <v>2531</v>
      </c>
      <c r="Y53" s="43">
        <f t="shared" si="0"/>
        <v>0.93401810619822723</v>
      </c>
      <c r="Z53" s="11">
        <f t="shared" si="1"/>
        <v>0.12453574749309691</v>
      </c>
      <c r="AA53" s="511">
        <f t="shared" si="1"/>
        <v>2.4907149498619392E-2</v>
      </c>
      <c r="AB53" s="11">
        <f t="shared" si="1"/>
        <v>0.80948235870513019</v>
      </c>
      <c r="AC53" s="512">
        <f t="shared" si="1"/>
        <v>0.80948235870513019</v>
      </c>
      <c r="AD53" s="11">
        <f t="shared" si="1"/>
        <v>5.6041086371893638E-2</v>
      </c>
      <c r="AE53" s="43">
        <f t="shared" si="1"/>
        <v>6.6626624908806873</v>
      </c>
    </row>
    <row r="54" spans="1:31" x14ac:dyDescent="0.25">
      <c r="A54" s="2" t="s">
        <v>2530</v>
      </c>
      <c r="B54" s="2">
        <v>2104008310</v>
      </c>
      <c r="C54" s="2" t="s">
        <v>2165</v>
      </c>
      <c r="D54" s="290">
        <v>2.2768245703063599</v>
      </c>
      <c r="E54" s="290">
        <v>6.2382528812127525E-2</v>
      </c>
      <c r="F54" s="290">
        <v>1.7183581662689514E-2</v>
      </c>
      <c r="G54" s="290">
        <v>0.52160888373582992</v>
      </c>
      <c r="H54" s="290">
        <v>0.52160888373582992</v>
      </c>
      <c r="I54" s="290">
        <v>1.7055931073624991E-2</v>
      </c>
      <c r="J54" s="290">
        <v>5.2053640418740583</v>
      </c>
      <c r="K54" s="114">
        <v>1379.8190690203294</v>
      </c>
      <c r="L54" s="291">
        <v>122.7408828694099</v>
      </c>
      <c r="M54" s="114" t="s">
        <v>2531</v>
      </c>
      <c r="N54" s="290">
        <v>1.981620596149291</v>
      </c>
      <c r="O54" s="290">
        <v>5.429425944632827E-2</v>
      </c>
      <c r="P54" s="290">
        <v>1.4955627140749364E-2</v>
      </c>
      <c r="Q54" s="290">
        <v>0.45397916054915033</v>
      </c>
      <c r="R54" s="290">
        <v>0.45397916054915033</v>
      </c>
      <c r="S54" s="290">
        <v>1.4844527216890585E-2</v>
      </c>
      <c r="T54" s="290">
        <v>4.5304573441266918</v>
      </c>
      <c r="U54" s="114">
        <v>1200.910376482733</v>
      </c>
      <c r="V54" s="291">
        <v>106.82679054664405</v>
      </c>
      <c r="W54" t="s">
        <v>2531</v>
      </c>
      <c r="Y54" s="43">
        <f t="shared" si="0"/>
        <v>3.3001973085670699</v>
      </c>
      <c r="Z54" s="11">
        <f t="shared" si="1"/>
        <v>9.0421834151099834E-2</v>
      </c>
      <c r="AA54" s="511">
        <f t="shared" si="1"/>
        <v>2.4907149498619392E-2</v>
      </c>
      <c r="AB54" s="11">
        <f t="shared" si="1"/>
        <v>0.75605835279528499</v>
      </c>
      <c r="AC54" s="512">
        <f t="shared" si="1"/>
        <v>0.75605835279528499</v>
      </c>
      <c r="AD54" s="11">
        <f t="shared" si="1"/>
        <v>2.4722123328416463E-2</v>
      </c>
      <c r="AE54" s="43">
        <f t="shared" si="1"/>
        <v>7.5450382190811753</v>
      </c>
    </row>
    <row r="55" spans="1:31" x14ac:dyDescent="0.25">
      <c r="A55" s="2" t="s">
        <v>2530</v>
      </c>
      <c r="B55" s="2">
        <v>2104008320</v>
      </c>
      <c r="C55" s="2" t="s">
        <v>2169</v>
      </c>
      <c r="D55" s="290">
        <v>1.0853577914870103</v>
      </c>
      <c r="E55" s="290">
        <v>0.14551388620362957</v>
      </c>
      <c r="F55" s="290">
        <v>3.6178593049567019E-2</v>
      </c>
      <c r="G55" s="290">
        <v>0.71679970419906658</v>
      </c>
      <c r="H55" s="290">
        <v>0.71679970419906658</v>
      </c>
      <c r="I55" s="290">
        <v>2.2588261619599214E-2</v>
      </c>
      <c r="J55" s="290">
        <v>11.182888899396698</v>
      </c>
      <c r="K55" s="114">
        <v>2905.0935689681837</v>
      </c>
      <c r="L55" s="291">
        <v>258.42065635936387</v>
      </c>
      <c r="M55" s="114" t="s">
        <v>2531</v>
      </c>
      <c r="N55" s="290">
        <v>0.94463463801796921</v>
      </c>
      <c r="O55" s="290">
        <v>0.1266471372838518</v>
      </c>
      <c r="P55" s="290">
        <v>3.1487821267265639E-2</v>
      </c>
      <c r="Q55" s="290">
        <v>0.62386231933691016</v>
      </c>
      <c r="R55" s="290">
        <v>0.62386231933691016</v>
      </c>
      <c r="S55" s="290">
        <v>1.9659557894960447E-2</v>
      </c>
      <c r="T55" s="290">
        <v>9.7329602185872304</v>
      </c>
      <c r="U55" s="114">
        <v>2528.4162901909772</v>
      </c>
      <c r="V55" s="291">
        <v>224.91486686795054</v>
      </c>
      <c r="W55" t="s">
        <v>2531</v>
      </c>
      <c r="Y55" s="43">
        <f t="shared" si="0"/>
        <v>0.74721448495858145</v>
      </c>
      <c r="Z55" s="11">
        <f t="shared" si="1"/>
        <v>0.10017902334768287</v>
      </c>
      <c r="AA55" s="511">
        <f t="shared" si="1"/>
        <v>2.4907149498619382E-2</v>
      </c>
      <c r="AB55" s="11">
        <f t="shared" si="1"/>
        <v>0.49348069916903464</v>
      </c>
      <c r="AC55" s="512">
        <f t="shared" si="1"/>
        <v>0.49348069916903464</v>
      </c>
      <c r="AD55" s="11">
        <f t="shared" si="1"/>
        <v>1.555088690990479E-2</v>
      </c>
      <c r="AE55" s="43">
        <f t="shared" si="1"/>
        <v>7.6988589706104742</v>
      </c>
    </row>
    <row r="56" spans="1:31" x14ac:dyDescent="0.25">
      <c r="A56" s="2" t="s">
        <v>2530</v>
      </c>
      <c r="B56" s="2">
        <v>2104008330</v>
      </c>
      <c r="C56" s="2" t="s">
        <v>2172</v>
      </c>
      <c r="D56" s="290">
        <v>0.81683107276073741</v>
      </c>
      <c r="E56" s="290">
        <v>8.76100137311943E-2</v>
      </c>
      <c r="F56" s="290">
        <v>2.1782161940286329E-2</v>
      </c>
      <c r="G56" s="290">
        <v>0.47886079822479177</v>
      </c>
      <c r="H56" s="290">
        <v>0.47886079822479177</v>
      </c>
      <c r="I56" s="290">
        <v>1.3599787362476018E-2</v>
      </c>
      <c r="J56" s="290">
        <v>6.7329179062645874</v>
      </c>
      <c r="K56" s="114">
        <v>1749.0790336775322</v>
      </c>
      <c r="L56" s="291">
        <v>155.58815617353358</v>
      </c>
      <c r="M56" s="114" t="s">
        <v>2531</v>
      </c>
      <c r="N56" s="290">
        <v>0.71092402043939562</v>
      </c>
      <c r="O56" s="290">
        <v>7.6250849495750339E-2</v>
      </c>
      <c r="P56" s="290">
        <v>1.8957973878383882E-2</v>
      </c>
      <c r="Q56" s="290">
        <v>0.41677362095712744</v>
      </c>
      <c r="R56" s="290">
        <v>0.41677362095712744</v>
      </c>
      <c r="S56" s="290">
        <v>1.183649328639628E-2</v>
      </c>
      <c r="T56" s="290">
        <v>5.8599546795302757</v>
      </c>
      <c r="U56" s="114">
        <v>1522.2917322943542</v>
      </c>
      <c r="V56" s="291">
        <v>135.41521767260295</v>
      </c>
      <c r="W56" t="s">
        <v>2531</v>
      </c>
      <c r="Y56" s="43">
        <f t="shared" si="0"/>
        <v>0.93401810619822712</v>
      </c>
      <c r="Z56" s="11">
        <f t="shared" si="1"/>
        <v>0.10017902334768285</v>
      </c>
      <c r="AA56" s="511">
        <f t="shared" si="1"/>
        <v>2.4907149498619385E-2</v>
      </c>
      <c r="AB56" s="11">
        <f t="shared" si="1"/>
        <v>0.54756077579029905</v>
      </c>
      <c r="AC56" s="512">
        <f t="shared" si="1"/>
        <v>0.54756077579029905</v>
      </c>
      <c r="AD56" s="11">
        <f t="shared" si="1"/>
        <v>1.555088690990479E-2</v>
      </c>
      <c r="AE56" s="43">
        <f t="shared" si="1"/>
        <v>7.6988589706104769</v>
      </c>
    </row>
    <row r="57" spans="1:31" x14ac:dyDescent="0.25">
      <c r="A57" s="2" t="s">
        <v>2530</v>
      </c>
      <c r="B57" s="2">
        <v>2104008410</v>
      </c>
      <c r="C57" s="2" t="s">
        <v>2175</v>
      </c>
      <c r="D57" s="290">
        <v>1.3686768357417514E-2</v>
      </c>
      <c r="E57" s="290">
        <v>2.3901361137324488E-2</v>
      </c>
      <c r="F57" s="290">
        <v>1.9101986922936656E-3</v>
      </c>
      <c r="G57" s="290">
        <v>1.7669337903716408E-2</v>
      </c>
      <c r="H57" s="290">
        <v>1.7669337903716408E-2</v>
      </c>
      <c r="I57" s="290">
        <v>4.2907838125646466E-4</v>
      </c>
      <c r="J57" s="290">
        <v>5.9287791912064632E-2</v>
      </c>
      <c r="K57" s="114">
        <v>183.17159118844691</v>
      </c>
      <c r="L57" s="291">
        <v>16.293906443130449</v>
      </c>
      <c r="M57" s="114" t="s">
        <v>2531</v>
      </c>
      <c r="N57" s="290">
        <v>1.1912196673164647E-2</v>
      </c>
      <c r="O57" s="290">
        <v>2.0802406177192395E-2</v>
      </c>
      <c r="P57" s="290">
        <v>1.6625299642111806E-3</v>
      </c>
      <c r="Q57" s="290">
        <v>1.5378402168953418E-2</v>
      </c>
      <c r="R57" s="290">
        <v>1.5378402168953418E-2</v>
      </c>
      <c r="S57" s="290">
        <v>3.7344579321093641E-4</v>
      </c>
      <c r="T57" s="290">
        <v>5.1600773764204522E-2</v>
      </c>
      <c r="U57" s="114">
        <v>159.42138318992758</v>
      </c>
      <c r="V57" s="291">
        <v>14.181303654454295</v>
      </c>
      <c r="W57" t="s">
        <v>2531</v>
      </c>
      <c r="Y57" s="43">
        <f t="shared" si="0"/>
        <v>0.1494428969917164</v>
      </c>
      <c r="Z57" s="11">
        <f t="shared" si="1"/>
        <v>0.26097385132343665</v>
      </c>
      <c r="AA57" s="511">
        <f t="shared" si="1"/>
        <v>2.0857051054820119E-2</v>
      </c>
      <c r="AB57" s="11">
        <f t="shared" si="1"/>
        <v>0.19292772225708604</v>
      </c>
      <c r="AC57" s="512">
        <f t="shared" si="1"/>
        <v>0.19292772225708604</v>
      </c>
      <c r="AD57" s="11">
        <f t="shared" si="1"/>
        <v>4.6850150931889685E-3</v>
      </c>
      <c r="AE57" s="43">
        <f t="shared" si="1"/>
        <v>0.64735072211397948</v>
      </c>
    </row>
    <row r="58" spans="1:31" x14ac:dyDescent="0.25">
      <c r="A58" s="2" t="s">
        <v>2530</v>
      </c>
      <c r="B58" s="2">
        <v>2104008420</v>
      </c>
      <c r="C58" s="2" t="s">
        <v>2179</v>
      </c>
      <c r="D58" s="290">
        <v>4.6165895035121009E-2</v>
      </c>
      <c r="E58" s="290">
        <v>8.0620033936955049E-2</v>
      </c>
      <c r="F58" s="290">
        <v>6.443159555401006E-3</v>
      </c>
      <c r="G58" s="290">
        <v>5.9599225887459299E-2</v>
      </c>
      <c r="H58" s="290">
        <v>5.9599225887459299E-2</v>
      </c>
      <c r="I58" s="290">
        <v>1.4472947151319504E-3</v>
      </c>
      <c r="J58" s="290">
        <v>0.19997956470075862</v>
      </c>
      <c r="K58" s="114">
        <v>617.84346979461179</v>
      </c>
      <c r="L58" s="291">
        <v>54.959852824423393</v>
      </c>
      <c r="M58" s="114" t="s">
        <v>2531</v>
      </c>
      <c r="N58" s="290">
        <v>4.0180209592938637E-2</v>
      </c>
      <c r="O58" s="290">
        <v>7.0167162545258593E-2</v>
      </c>
      <c r="P58" s="290">
        <v>5.6077652383823059E-3</v>
      </c>
      <c r="Q58" s="290">
        <v>5.1871828455036323E-2</v>
      </c>
      <c r="R58" s="290">
        <v>5.1871828455036323E-2</v>
      </c>
      <c r="S58" s="290">
        <v>1.2596442666716252E-3</v>
      </c>
      <c r="T58" s="290">
        <v>0.17405101358629085</v>
      </c>
      <c r="U58" s="114">
        <v>537.73328009247393</v>
      </c>
      <c r="V58" s="291">
        <v>47.833977961489033</v>
      </c>
      <c r="W58" t="s">
        <v>2531</v>
      </c>
      <c r="Y58" s="43">
        <f t="shared" si="0"/>
        <v>0.14944289699171623</v>
      </c>
      <c r="Z58" s="11">
        <f t="shared" si="1"/>
        <v>0.26097385132343659</v>
      </c>
      <c r="AA58" s="511">
        <f t="shared" si="1"/>
        <v>2.0857051054820112E-2</v>
      </c>
      <c r="AB58" s="11">
        <f t="shared" si="1"/>
        <v>0.19292772225708599</v>
      </c>
      <c r="AC58" s="512">
        <f t="shared" si="1"/>
        <v>0.19292772225708599</v>
      </c>
      <c r="AD58" s="11">
        <f t="shared" si="1"/>
        <v>4.6850150931889668E-3</v>
      </c>
      <c r="AE58" s="43">
        <f t="shared" si="1"/>
        <v>0.64735072211397937</v>
      </c>
    </row>
    <row r="59" spans="1:31" x14ac:dyDescent="0.25">
      <c r="A59" s="2" t="s">
        <v>2530</v>
      </c>
      <c r="B59" s="2">
        <v>2104008610</v>
      </c>
      <c r="C59" s="2" t="s">
        <v>2182</v>
      </c>
      <c r="D59" s="290">
        <v>1.286480753577055</v>
      </c>
      <c r="E59" s="290">
        <v>4.569935288157348E-2</v>
      </c>
      <c r="F59" s="290">
        <v>1.1334632190106208E-2</v>
      </c>
      <c r="G59" s="290">
        <v>0.279686358698362</v>
      </c>
      <c r="H59" s="290">
        <v>0.279686358698362</v>
      </c>
      <c r="I59" s="290">
        <v>6.9072843235263685E-3</v>
      </c>
      <c r="J59" s="290">
        <v>1.7163655653494023</v>
      </c>
      <c r="K59" s="114">
        <v>909.83904703418659</v>
      </c>
      <c r="L59" s="291">
        <v>80.962327256512125</v>
      </c>
      <c r="M59" s="114" t="s">
        <v>2531</v>
      </c>
      <c r="N59" s="290">
        <v>1.1762846882434805</v>
      </c>
      <c r="O59" s="290">
        <v>4.1784884000606801E-2</v>
      </c>
      <c r="P59" s="290">
        <v>1.0363741746638589E-2</v>
      </c>
      <c r="Q59" s="290">
        <v>0.25572926787493661</v>
      </c>
      <c r="R59" s="290">
        <v>0.25572926787493661</v>
      </c>
      <c r="S59" s="290">
        <v>6.31562715922251E-3</v>
      </c>
      <c r="T59" s="290">
        <v>1.5693468622326656</v>
      </c>
      <c r="U59" s="114">
        <v>831.90467133327104</v>
      </c>
      <c r="V59" s="291">
        <v>74.027338233854749</v>
      </c>
      <c r="W59" t="s">
        <v>2531</v>
      </c>
      <c r="Y59" s="43">
        <f t="shared" si="0"/>
        <v>2.8279314416116477</v>
      </c>
      <c r="Z59" s="11">
        <f t="shared" si="1"/>
        <v>0.10045594270708758</v>
      </c>
      <c r="AA59" s="511">
        <f t="shared" si="1"/>
        <v>2.4915695520807454E-2</v>
      </c>
      <c r="AB59" s="11">
        <f t="shared" si="1"/>
        <v>0.61480425988012843</v>
      </c>
      <c r="AC59" s="512">
        <f t="shared" si="1"/>
        <v>0.61480425988012843</v>
      </c>
      <c r="AD59" s="11">
        <f t="shared" si="1"/>
        <v>1.5183535750798527E-2</v>
      </c>
      <c r="AE59" s="43">
        <f t="shared" si="1"/>
        <v>3.7729007092062989</v>
      </c>
    </row>
    <row r="60" spans="1:31" x14ac:dyDescent="0.25">
      <c r="A60" s="2" t="s">
        <v>2530</v>
      </c>
      <c r="B60" s="2">
        <v>2104004000</v>
      </c>
      <c r="C60" s="2" t="s">
        <v>2196</v>
      </c>
      <c r="D60" s="290">
        <v>8.807904247267348E-2</v>
      </c>
      <c r="E60" s="290">
        <v>1.3800378837036886</v>
      </c>
      <c r="F60" s="290">
        <v>3.5704228169400172</v>
      </c>
      <c r="G60" s="290">
        <v>5.6404818135028165E-2</v>
      </c>
      <c r="H60" s="290">
        <v>5.6404818135028165E-2</v>
      </c>
      <c r="I60" s="290">
        <v>3.0261184929442617E-3</v>
      </c>
      <c r="J60" s="290">
        <v>5.5323725787440131E-2</v>
      </c>
      <c r="K60" s="114">
        <v>33158.89623507105</v>
      </c>
      <c r="L60" s="291">
        <v>247.06603779151061</v>
      </c>
      <c r="M60" s="114" t="s">
        <v>2532</v>
      </c>
      <c r="N60" s="290">
        <v>8.1410895749588874E-2</v>
      </c>
      <c r="O60" s="290">
        <v>1.2755601914671229</v>
      </c>
      <c r="P60" s="290">
        <v>3.3001189791775709</v>
      </c>
      <c r="Q60" s="290">
        <v>5.2134612730263909E-2</v>
      </c>
      <c r="R60" s="290">
        <v>5.2134612730263909E-2</v>
      </c>
      <c r="S60" s="290">
        <v>2.7970219729786571E-3</v>
      </c>
      <c r="T60" s="290">
        <v>5.1135365986267174E-2</v>
      </c>
      <c r="U60" s="114">
        <v>30648.555760609252</v>
      </c>
      <c r="V60" s="291">
        <v>228.36155890487771</v>
      </c>
      <c r="W60" t="s">
        <v>2532</v>
      </c>
      <c r="Y60" s="43">
        <f t="shared" si="0"/>
        <v>5.312543689528197E-3</v>
      </c>
      <c r="Z60" s="11">
        <f t="shared" si="1"/>
        <v>8.3237866177467576E-2</v>
      </c>
      <c r="AA60" s="511">
        <f t="shared" si="1"/>
        <v>0.21535233209383495</v>
      </c>
      <c r="AB60" s="11">
        <f t="shared" si="1"/>
        <v>3.4020926230572601E-3</v>
      </c>
      <c r="AC60" s="512">
        <f t="shared" si="1"/>
        <v>3.4020926230572601E-3</v>
      </c>
      <c r="AD60" s="11">
        <f t="shared" si="1"/>
        <v>1.8252226922702187E-4</v>
      </c>
      <c r="AE60" s="43">
        <f t="shared" si="1"/>
        <v>3.3368858477819952E-3</v>
      </c>
    </row>
    <row r="61" spans="1:31" x14ac:dyDescent="0.25">
      <c r="A61" s="2" t="s">
        <v>2530</v>
      </c>
      <c r="B61" s="2">
        <v>2103004001</v>
      </c>
      <c r="C61" s="2" t="s">
        <v>2206</v>
      </c>
      <c r="D61" s="290">
        <v>2.7809416121033589E-2</v>
      </c>
      <c r="E61" s="290">
        <v>0.70206099604292427</v>
      </c>
      <c r="F61" s="290">
        <v>0.49624791471407387</v>
      </c>
      <c r="G61" s="290">
        <v>1.7808834141616301E-2</v>
      </c>
      <c r="H61" s="290">
        <v>1.7808834141616301E-2</v>
      </c>
      <c r="I61" s="290">
        <v>9.5544395169771461E-4</v>
      </c>
      <c r="J61" s="290">
        <v>1.7467498153901993E-2</v>
      </c>
      <c r="K61" s="114">
        <v>10803.938661327225</v>
      </c>
      <c r="L61" s="291">
        <v>80.499854358041631</v>
      </c>
      <c r="M61" s="114" t="s">
        <v>2532</v>
      </c>
      <c r="N61" s="290">
        <v>2.7339569070305283E-2</v>
      </c>
      <c r="O61" s="290">
        <v>0.69019949967110161</v>
      </c>
      <c r="P61" s="290">
        <v>0.48786368190085344</v>
      </c>
      <c r="Q61" s="290">
        <v>1.750794942825408E-2</v>
      </c>
      <c r="R61" s="290">
        <v>1.750794942825408E-2</v>
      </c>
      <c r="S61" s="290">
        <v>9.3930148682583152E-4</v>
      </c>
      <c r="T61" s="290">
        <v>1.7172380397545876E-2</v>
      </c>
      <c r="U61" s="114">
        <v>10621.403411605288</v>
      </c>
      <c r="V61" s="291">
        <v>79.139789156040578</v>
      </c>
      <c r="W61" t="s">
        <v>2532</v>
      </c>
      <c r="Y61" s="43">
        <f t="shared" si="0"/>
        <v>5.1480144404332084E-3</v>
      </c>
      <c r="Z61" s="11">
        <f t="shared" si="1"/>
        <v>0.12996389891696747</v>
      </c>
      <c r="AA61" s="511">
        <f t="shared" si="1"/>
        <v>9.1864259927797828E-2</v>
      </c>
      <c r="AB61" s="11">
        <f t="shared" si="1"/>
        <v>3.2967299611507701E-3</v>
      </c>
      <c r="AC61" s="512">
        <f t="shared" si="1"/>
        <v>3.2967299611507701E-3</v>
      </c>
      <c r="AD61" s="11">
        <f t="shared" si="1"/>
        <v>1.7686956241573886E-4</v>
      </c>
      <c r="AE61" s="43">
        <f t="shared" si="1"/>
        <v>3.2335426368953805E-3</v>
      </c>
    </row>
    <row r="62" spans="1:31" x14ac:dyDescent="0.25">
      <c r="A62" s="2" t="s">
        <v>2530</v>
      </c>
      <c r="B62" s="2">
        <v>2104004000</v>
      </c>
      <c r="C62" s="2" t="s">
        <v>2210</v>
      </c>
      <c r="D62" s="290">
        <v>5.9887199984248437E-4</v>
      </c>
      <c r="E62" s="290">
        <v>1.5118788214817271E-2</v>
      </c>
      <c r="F62" s="290">
        <v>2.4276220456500637E-2</v>
      </c>
      <c r="G62" s="290">
        <v>3.3597307144038376E-4</v>
      </c>
      <c r="H62" s="290">
        <v>3.3597307144038376E-4</v>
      </c>
      <c r="I62" s="290">
        <v>2.057535575721212E-5</v>
      </c>
      <c r="J62" s="290">
        <v>3.7616020078034575E-4</v>
      </c>
      <c r="K62" s="114">
        <v>230.13315460987695</v>
      </c>
      <c r="L62" s="291">
        <v>1.6798653572019195</v>
      </c>
      <c r="M62" s="114" t="s">
        <v>2532</v>
      </c>
      <c r="N62" s="290">
        <v>5.6541143012769533E-4</v>
      </c>
      <c r="O62" s="290">
        <v>1.427406134964729E-2</v>
      </c>
      <c r="P62" s="290">
        <v>2.2919843522514766E-2</v>
      </c>
      <c r="Q62" s="290">
        <v>3.1720136332549526E-4</v>
      </c>
      <c r="R62" s="290">
        <v>3.1720136332549526E-4</v>
      </c>
      <c r="S62" s="290">
        <v>1.9425755966435699E-5</v>
      </c>
      <c r="T62" s="290">
        <v>3.5514313098003746E-4</v>
      </c>
      <c r="U62" s="114">
        <v>217.27500384388114</v>
      </c>
      <c r="V62" s="291">
        <v>1.5860068166274766</v>
      </c>
      <c r="W62" t="s">
        <v>2532</v>
      </c>
      <c r="Y62" s="43">
        <f t="shared" si="0"/>
        <v>5.2045695098361256E-3</v>
      </c>
      <c r="Z62" s="11">
        <f t="shared" si="1"/>
        <v>0.13139165662980401</v>
      </c>
      <c r="AA62" s="511">
        <f t="shared" si="1"/>
        <v>0.21097542853096338</v>
      </c>
      <c r="AB62" s="11">
        <f t="shared" si="1"/>
        <v>2.9198145917734221E-3</v>
      </c>
      <c r="AC62" s="512">
        <f t="shared" si="1"/>
        <v>2.9198145917734221E-3</v>
      </c>
      <c r="AD62" s="11">
        <f t="shared" si="1"/>
        <v>1.7881261647928641E-4</v>
      </c>
      <c r="AE62" s="43">
        <f t="shared" si="1"/>
        <v>3.2690656973612931E-3</v>
      </c>
    </row>
    <row r="63" spans="1:31" x14ac:dyDescent="0.25">
      <c r="A63" s="2" t="s">
        <v>2530</v>
      </c>
      <c r="B63" s="2">
        <v>2104004000</v>
      </c>
      <c r="C63" s="2" t="s">
        <v>2214</v>
      </c>
      <c r="D63" s="290">
        <v>2.2966062047291521E-3</v>
      </c>
      <c r="E63" s="290">
        <v>3.5983628766837313E-2</v>
      </c>
      <c r="F63" s="290">
        <v>9.309655242261497E-2</v>
      </c>
      <c r="G63" s="290">
        <v>1.4707205218053401E-3</v>
      </c>
      <c r="H63" s="290">
        <v>1.4707205218053401E-3</v>
      </c>
      <c r="I63" s="290">
        <v>7.890415599485652E-5</v>
      </c>
      <c r="J63" s="290">
        <v>1.4425317118040703E-3</v>
      </c>
      <c r="K63" s="114">
        <v>805.26164261190456</v>
      </c>
      <c r="L63" s="291">
        <v>6.4420931408952367</v>
      </c>
      <c r="M63" s="114" t="s">
        <v>2532</v>
      </c>
      <c r="N63" s="290">
        <v>1.9051862778773289E-3</v>
      </c>
      <c r="O63" s="290">
        <v>2.9850792710409569E-2</v>
      </c>
      <c r="P63" s="290">
        <v>7.7229728731039005E-2</v>
      </c>
      <c r="Q63" s="290">
        <v>1.2200596475644236E-3</v>
      </c>
      <c r="R63" s="290">
        <v>1.2200596475644236E-3</v>
      </c>
      <c r="S63" s="290">
        <v>6.5456200091831333E-5</v>
      </c>
      <c r="T63" s="290">
        <v>1.1966751709861058E-3</v>
      </c>
      <c r="U63" s="114">
        <v>668.01762898924562</v>
      </c>
      <c r="V63" s="291">
        <v>5.3441410319139662</v>
      </c>
      <c r="W63" t="s">
        <v>2532</v>
      </c>
      <c r="Y63" s="43">
        <f t="shared" si="0"/>
        <v>5.7040000000000007E-3</v>
      </c>
      <c r="Z63" s="11">
        <f t="shared" si="1"/>
        <v>8.9371272298833709E-2</v>
      </c>
      <c r="AA63" s="511">
        <f t="shared" si="1"/>
        <v>0.23122063065279472</v>
      </c>
      <c r="AB63" s="11">
        <f t="shared" si="1"/>
        <v>3.6527767969550557E-3</v>
      </c>
      <c r="AC63" s="512">
        <f t="shared" si="1"/>
        <v>3.6527767969550557E-3</v>
      </c>
      <c r="AD63" s="11">
        <f t="shared" si="1"/>
        <v>1.9597147515663872E-4</v>
      </c>
      <c r="AE63" s="43">
        <f t="shared" si="1"/>
        <v>3.5827652416800847E-3</v>
      </c>
    </row>
    <row r="64" spans="1:31" x14ac:dyDescent="0.25">
      <c r="A64" s="2" t="s">
        <v>2530</v>
      </c>
      <c r="B64" s="2">
        <v>2104006010</v>
      </c>
      <c r="C64" s="2" t="s">
        <v>2217</v>
      </c>
      <c r="D64" s="290">
        <v>6.5293806689556454E-4</v>
      </c>
      <c r="E64" s="290">
        <v>1.1159305143306025E-2</v>
      </c>
      <c r="F64" s="290">
        <v>7.1229607297698056E-5</v>
      </c>
      <c r="G64" s="290">
        <v>9.0224169243750764E-4</v>
      </c>
      <c r="H64" s="290">
        <v>9.0224169243750764E-4</v>
      </c>
      <c r="I64" s="290">
        <v>2.374320243256599E-3</v>
      </c>
      <c r="J64" s="290">
        <v>4.7486404865131979E-3</v>
      </c>
      <c r="K64" s="114">
        <v>293.10011686938134</v>
      </c>
      <c r="L64" s="291">
        <v>288.76858804865174</v>
      </c>
      <c r="M64" s="114" t="s">
        <v>2533</v>
      </c>
      <c r="N64" s="290">
        <v>6.5293806689556454E-4</v>
      </c>
      <c r="O64" s="290">
        <v>1.1159305143306025E-2</v>
      </c>
      <c r="P64" s="290">
        <v>7.1229607297698056E-5</v>
      </c>
      <c r="Q64" s="290">
        <v>9.0224169243750764E-4</v>
      </c>
      <c r="R64" s="290">
        <v>9.0224169243750764E-4</v>
      </c>
      <c r="S64" s="290">
        <v>2.374320243256599E-3</v>
      </c>
      <c r="T64" s="290">
        <v>4.7486404865131979E-3</v>
      </c>
      <c r="U64" s="114">
        <v>293.10011686938134</v>
      </c>
      <c r="V64" s="291">
        <v>288.76858804865174</v>
      </c>
      <c r="W64" t="s">
        <v>2533</v>
      </c>
      <c r="Y64" s="43">
        <f t="shared" si="0"/>
        <v>4.4553927434054438E-3</v>
      </c>
      <c r="Z64" s="11">
        <f t="shared" si="1"/>
        <v>7.6146712341838577E-2</v>
      </c>
      <c r="AA64" s="511">
        <f t="shared" si="1"/>
        <v>4.8604284473514008E-4</v>
      </c>
      <c r="AB64" s="11">
        <f t="shared" si="1"/>
        <v>6.1565426999784338E-3</v>
      </c>
      <c r="AC64" s="512">
        <f t="shared" si="1"/>
        <v>6.1565426999784338E-3</v>
      </c>
      <c r="AD64" s="11">
        <f t="shared" si="1"/>
        <v>1.6201428157837979E-2</v>
      </c>
      <c r="AE64" s="43">
        <f t="shared" si="1"/>
        <v>3.2402856315675958E-2</v>
      </c>
    </row>
    <row r="65" spans="1:31" x14ac:dyDescent="0.25">
      <c r="A65" s="2" t="s">
        <v>2530</v>
      </c>
      <c r="B65" s="2">
        <v>2103006000</v>
      </c>
      <c r="C65" s="2" t="s">
        <v>2221</v>
      </c>
      <c r="D65" s="290">
        <v>6.9828654415653073E-3</v>
      </c>
      <c r="E65" s="290">
        <v>0.12696118984664209</v>
      </c>
      <c r="F65" s="290">
        <v>7.6176713907985169E-4</v>
      </c>
      <c r="G65" s="290">
        <v>9.649050428344793E-3</v>
      </c>
      <c r="H65" s="290">
        <v>9.649050428344793E-3</v>
      </c>
      <c r="I65" s="290">
        <v>2.5392237969328411E-2</v>
      </c>
      <c r="J65" s="290">
        <v>5.0784475938656821E-2</v>
      </c>
      <c r="K65" s="114">
        <v>2577.3121538868322</v>
      </c>
      <c r="L65" s="291">
        <v>2539.2237969328394</v>
      </c>
      <c r="M65" s="114" t="s">
        <v>2533</v>
      </c>
      <c r="N65" s="290">
        <v>6.9828654415653073E-3</v>
      </c>
      <c r="O65" s="290">
        <v>0.12696118984664209</v>
      </c>
      <c r="P65" s="290">
        <v>7.6176713907985169E-4</v>
      </c>
      <c r="Q65" s="290">
        <v>9.649050428344793E-3</v>
      </c>
      <c r="R65" s="290">
        <v>9.649050428344793E-3</v>
      </c>
      <c r="S65" s="290">
        <v>2.5392237969328411E-2</v>
      </c>
      <c r="T65" s="290">
        <v>5.0784475938656821E-2</v>
      </c>
      <c r="U65" s="114">
        <v>2577.3121538868322</v>
      </c>
      <c r="V65" s="291">
        <v>2539.2237969328394</v>
      </c>
      <c r="W65" t="s">
        <v>2533</v>
      </c>
      <c r="Y65" s="43">
        <f t="shared" si="0"/>
        <v>5.4187192118226582E-3</v>
      </c>
      <c r="Z65" s="11">
        <f t="shared" si="1"/>
        <v>9.8522167487684817E-2</v>
      </c>
      <c r="AA65" s="511">
        <f t="shared" si="1"/>
        <v>5.9113300492610822E-4</v>
      </c>
      <c r="AB65" s="11">
        <f t="shared" si="1"/>
        <v>7.4876847290640414E-3</v>
      </c>
      <c r="AC65" s="512">
        <f t="shared" si="1"/>
        <v>7.4876847290640414E-3</v>
      </c>
      <c r="AD65" s="11">
        <f t="shared" si="1"/>
        <v>1.9704433497536956E-2</v>
      </c>
      <c r="AE65" s="43">
        <f t="shared" si="1"/>
        <v>3.9408866995073913E-2</v>
      </c>
    </row>
    <row r="66" spans="1:31" x14ac:dyDescent="0.25">
      <c r="A66" s="2" t="s">
        <v>2530</v>
      </c>
      <c r="B66" s="2">
        <v>2104002000</v>
      </c>
      <c r="C66" s="2" t="s">
        <v>2223</v>
      </c>
      <c r="D66" s="290">
        <v>0.13525014205593094</v>
      </c>
      <c r="E66" s="290">
        <v>6.3838067050399405E-2</v>
      </c>
      <c r="F66" s="290">
        <v>0.12578263211201576</v>
      </c>
      <c r="G66" s="290">
        <v>0.10806486350268876</v>
      </c>
      <c r="H66" s="290">
        <v>0.10806486350268876</v>
      </c>
      <c r="I66" s="290">
        <v>1.7121991733570572E-2</v>
      </c>
      <c r="J66" s="290">
        <v>1.7660287298953181</v>
      </c>
      <c r="K66" s="114">
        <v>411.16043185003002</v>
      </c>
      <c r="L66" s="291">
        <v>27.050028411186172</v>
      </c>
      <c r="M66" s="114" t="s">
        <v>2531</v>
      </c>
      <c r="N66" s="290">
        <v>0.11855948189958297</v>
      </c>
      <c r="O66" s="290">
        <v>5.5960075456603198E-2</v>
      </c>
      <c r="P66" s="290">
        <v>0.11026031816661216</v>
      </c>
      <c r="Q66" s="290">
        <v>9.4729026037766811E-2</v>
      </c>
      <c r="R66" s="290">
        <v>9.4729026037766811E-2</v>
      </c>
      <c r="S66" s="290">
        <v>1.5009037611077703E-2</v>
      </c>
      <c r="T66" s="290">
        <v>1.5480904349038049</v>
      </c>
      <c r="U66" s="114">
        <v>360.42082497473217</v>
      </c>
      <c r="V66" s="291">
        <v>23.711896379916599</v>
      </c>
      <c r="W66" t="s">
        <v>2531</v>
      </c>
      <c r="Y66" s="43">
        <f t="shared" si="0"/>
        <v>0.65789473684210531</v>
      </c>
      <c r="Z66" s="11">
        <f t="shared" ref="Z66:AE66" si="2">O66/$U66*2000</f>
        <v>0.31052631578947393</v>
      </c>
      <c r="AA66" s="511">
        <f t="shared" si="2"/>
        <v>0.61184210526315808</v>
      </c>
      <c r="AB66" s="11">
        <f t="shared" si="2"/>
        <v>0.52565789473684221</v>
      </c>
      <c r="AC66" s="512">
        <f t="shared" si="2"/>
        <v>0.52565789473684221</v>
      </c>
      <c r="AD66" s="11">
        <f t="shared" si="2"/>
        <v>8.3286184210526304E-2</v>
      </c>
      <c r="AE66" s="43">
        <f t="shared" si="2"/>
        <v>8.5904605263157929</v>
      </c>
    </row>
    <row r="67" spans="1:31" x14ac:dyDescent="0.25">
      <c r="A67" s="2" t="s">
        <v>2530</v>
      </c>
      <c r="B67" s="2">
        <v>2103002000</v>
      </c>
      <c r="C67" s="2" t="s">
        <v>2527</v>
      </c>
      <c r="D67" s="290">
        <v>3.5695318167210945E-4</v>
      </c>
      <c r="E67" s="290">
        <v>1.684819017492357E-4</v>
      </c>
      <c r="F67" s="290">
        <v>3.3196645895506162E-4</v>
      </c>
      <c r="G67" s="290">
        <v>2.8520559215601538E-4</v>
      </c>
      <c r="H67" s="290">
        <v>2.8520559215601538E-4</v>
      </c>
      <c r="I67" s="290">
        <v>4.5188488033780734E-5</v>
      </c>
      <c r="J67" s="290">
        <v>4.6609161696835677E-3</v>
      </c>
      <c r="K67" s="114">
        <v>16.409830233226156</v>
      </c>
      <c r="L67" s="291">
        <v>1.0851376722832122</v>
      </c>
      <c r="M67" s="114" t="s">
        <v>2531</v>
      </c>
      <c r="N67" s="290">
        <v>3.373250655116712E-4</v>
      </c>
      <c r="O67" s="290">
        <v>1.5921743092150886E-4</v>
      </c>
      <c r="P67" s="290">
        <v>3.1371231092585424E-4</v>
      </c>
      <c r="Q67" s="290">
        <v>2.6952272734382526E-4</v>
      </c>
      <c r="R67" s="290">
        <v>2.6952272734382526E-4</v>
      </c>
      <c r="S67" s="290">
        <v>4.2703666668450026E-5</v>
      </c>
      <c r="T67" s="290">
        <v>4.4046220429186473E-3</v>
      </c>
      <c r="U67" s="114">
        <v>15.502854241684634</v>
      </c>
      <c r="V67" s="291">
        <v>1.0254681991554806</v>
      </c>
      <c r="W67" t="s">
        <v>2531</v>
      </c>
      <c r="Y67" s="43"/>
      <c r="Z67" s="11"/>
      <c r="AA67" s="511"/>
      <c r="AB67" s="11"/>
      <c r="AC67" s="512"/>
      <c r="AD67" s="11"/>
      <c r="AE67" s="43"/>
    </row>
    <row r="68" spans="1:31" x14ac:dyDescent="0.25">
      <c r="A68" s="2" t="s">
        <v>2530</v>
      </c>
      <c r="B68" s="2">
        <v>2103008000</v>
      </c>
      <c r="C68" s="2" t="s">
        <v>2528</v>
      </c>
      <c r="D68" s="290">
        <v>1.0907183589339993E-3</v>
      </c>
      <c r="E68" s="290">
        <v>4.336668902742203E-5</v>
      </c>
      <c r="F68" s="290">
        <v>9.4541280565428541E-6</v>
      </c>
      <c r="G68" s="290">
        <v>3.0673763335701794E-4</v>
      </c>
      <c r="H68" s="290">
        <v>3.0673763335701794E-4</v>
      </c>
      <c r="I68" s="290">
        <v>1.1231577533620158E-5</v>
      </c>
      <c r="J68" s="290">
        <v>2.1817155207571278E-3</v>
      </c>
      <c r="K68" s="114">
        <v>9.9032591487055033</v>
      </c>
      <c r="L68" s="291">
        <v>0.81778207689095661</v>
      </c>
      <c r="M68" s="114" t="s">
        <v>2531</v>
      </c>
      <c r="N68" s="290">
        <v>8.9417200808487418E-4</v>
      </c>
      <c r="O68" s="290">
        <v>3.6384819286996314E-5</v>
      </c>
      <c r="P68" s="290">
        <v>7.722442145977874E-6</v>
      </c>
      <c r="Q68" s="290">
        <v>2.6400762512984862E-4</v>
      </c>
      <c r="R68" s="290">
        <v>2.6400762512984862E-4</v>
      </c>
      <c r="S68" s="290">
        <v>1.0176294332303952E-5</v>
      </c>
      <c r="T68" s="290">
        <v>1.9194920963844478E-3</v>
      </c>
      <c r="U68" s="114">
        <v>8.0893071656224507</v>
      </c>
      <c r="V68" s="291">
        <v>0.66799124562708578</v>
      </c>
      <c r="W68" t="s">
        <v>2531</v>
      </c>
      <c r="Y68" s="43"/>
      <c r="Z68" s="11"/>
      <c r="AA68" s="511"/>
      <c r="AB68" s="11"/>
      <c r="AC68" s="512"/>
      <c r="AD68" s="11"/>
      <c r="AE68" s="43"/>
    </row>
    <row r="69" spans="1:31" x14ac:dyDescent="0.25">
      <c r="A69" s="44" t="s">
        <v>2530</v>
      </c>
      <c r="B69" s="44">
        <v>2102012000</v>
      </c>
      <c r="C69" s="44" t="s">
        <v>2228</v>
      </c>
      <c r="D69" s="292">
        <v>4.6572617087992893E-4</v>
      </c>
      <c r="E69" s="292">
        <v>2.431320804726262E-2</v>
      </c>
      <c r="F69" s="292">
        <v>1.7215675806713706E-2</v>
      </c>
      <c r="G69" s="292">
        <v>2.4237240576798031E-3</v>
      </c>
      <c r="H69" s="292">
        <v>2.4237240576798031E-3</v>
      </c>
      <c r="I69" s="292">
        <v>1.6944363412197307E-5</v>
      </c>
      <c r="J69" s="292">
        <v>5.7879977496831129E-3</v>
      </c>
      <c r="K69" s="245">
        <v>129.0061493337403</v>
      </c>
      <c r="L69" s="293">
        <v>0.93145234175985725</v>
      </c>
      <c r="M69" s="245" t="s">
        <v>2532</v>
      </c>
      <c r="N69" s="292">
        <v>4.6572617087992893E-4</v>
      </c>
      <c r="O69" s="292">
        <v>2.431320804726262E-2</v>
      </c>
      <c r="P69" s="292">
        <v>1.7215675806713706E-2</v>
      </c>
      <c r="Q69" s="292">
        <v>2.4237240576798031E-3</v>
      </c>
      <c r="R69" s="292">
        <v>2.4237240576798031E-3</v>
      </c>
      <c r="S69" s="292">
        <v>1.6944363412197307E-5</v>
      </c>
      <c r="T69" s="292">
        <v>5.7879977496831129E-3</v>
      </c>
      <c r="U69" s="245">
        <v>129.0061493337403</v>
      </c>
      <c r="V69" s="293">
        <v>0.93145234175985725</v>
      </c>
      <c r="W69" s="9" t="s">
        <v>2532</v>
      </c>
      <c r="Y69" s="513">
        <f t="shared" ref="Y69:AE70" si="3">N69/$U69*2000</f>
        <v>7.2202166064981961E-3</v>
      </c>
      <c r="Z69" s="514">
        <f t="shared" si="3"/>
        <v>0.37693099395384771</v>
      </c>
      <c r="AA69" s="515">
        <f t="shared" si="3"/>
        <v>0.2668969796498083</v>
      </c>
      <c r="AB69" s="514">
        <f t="shared" si="3"/>
        <v>3.7575325985579229E-2</v>
      </c>
      <c r="AC69" s="516">
        <f t="shared" si="3"/>
        <v>3.7575325985579229E-2</v>
      </c>
      <c r="AD69" s="514">
        <f t="shared" si="3"/>
        <v>2.6269078644246729E-4</v>
      </c>
      <c r="AE69" s="513">
        <f t="shared" si="3"/>
        <v>8.9732121756607136E-2</v>
      </c>
    </row>
    <row r="70" spans="1:31" x14ac:dyDescent="0.25">
      <c r="A70" s="71" t="s">
        <v>2530</v>
      </c>
      <c r="B70" s="71" t="s">
        <v>2462</v>
      </c>
      <c r="C70" s="71"/>
      <c r="D70" s="294">
        <v>11.218497316045822</v>
      </c>
      <c r="E70" s="294">
        <v>2.8849270352573102</v>
      </c>
      <c r="F70" s="294">
        <v>4.4358755746827354</v>
      </c>
      <c r="G70" s="294">
        <v>3.2142643020426025</v>
      </c>
      <c r="H70" s="294">
        <v>3.2142643020426025</v>
      </c>
      <c r="I70" s="294">
        <v>0.16215444212799229</v>
      </c>
      <c r="J70" s="294">
        <v>34.170767750936726</v>
      </c>
      <c r="K70" s="244">
        <v>57210.077056716604</v>
      </c>
      <c r="L70" s="244"/>
      <c r="M70" s="244"/>
      <c r="N70" s="294">
        <v>10.10285528831392</v>
      </c>
      <c r="O70" s="294">
        <v>2.690720933884557</v>
      </c>
      <c r="P70" s="294">
        <v>4.1114381829960713</v>
      </c>
      <c r="Q70" s="294">
        <v>2.8584002973258227</v>
      </c>
      <c r="R70" s="294">
        <v>2.8584002973258227</v>
      </c>
      <c r="S70" s="294">
        <v>0.14755910344897016</v>
      </c>
      <c r="T70" s="294">
        <v>30.140808332799843</v>
      </c>
      <c r="U70" s="244">
        <v>53254.146110414913</v>
      </c>
      <c r="Y70" s="43">
        <f t="shared" si="3"/>
        <v>0.37942042174019969</v>
      </c>
      <c r="Z70" s="11">
        <f t="shared" si="3"/>
        <v>0.10105207314021068</v>
      </c>
      <c r="AA70" s="511">
        <f t="shared" si="3"/>
        <v>0.1544081910344253</v>
      </c>
      <c r="AB70" s="11">
        <f t="shared" si="3"/>
        <v>0.10734939928993831</v>
      </c>
      <c r="AC70" s="512">
        <f t="shared" si="3"/>
        <v>0.10734939928993831</v>
      </c>
      <c r="AD70" s="11">
        <f t="shared" si="3"/>
        <v>5.5416944679960618E-3</v>
      </c>
      <c r="AE70" s="43">
        <f t="shared" si="3"/>
        <v>1.1319610033858081</v>
      </c>
    </row>
    <row r="71" spans="1:31" x14ac:dyDescent="0.25">
      <c r="R71" s="290"/>
    </row>
    <row r="72" spans="1:31" x14ac:dyDescent="0.25">
      <c r="L72" s="291"/>
      <c r="Y72" s="923" t="s">
        <v>3010</v>
      </c>
      <c r="Z72" s="923"/>
      <c r="AA72" s="923"/>
      <c r="AB72" s="923"/>
      <c r="AC72" s="923"/>
      <c r="AD72" s="923"/>
      <c r="AE72" s="923"/>
    </row>
    <row r="73" spans="1:31" x14ac:dyDescent="0.25">
      <c r="I73" s="923" t="s">
        <v>3177</v>
      </c>
      <c r="J73" s="923"/>
      <c r="K73" s="923"/>
      <c r="L73" s="923"/>
      <c r="M73" s="923"/>
      <c r="N73" s="923"/>
      <c r="O73" s="923"/>
      <c r="P73" s="923"/>
      <c r="Q73" s="923"/>
      <c r="R73" s="923"/>
      <c r="S73" s="923"/>
      <c r="T73" s="923"/>
      <c r="U73" s="923"/>
      <c r="Y73" s="44" t="s">
        <v>2143</v>
      </c>
      <c r="Z73" s="44" t="s">
        <v>2144</v>
      </c>
      <c r="AA73" s="517" t="s">
        <v>2145</v>
      </c>
      <c r="AB73" s="44" t="s">
        <v>2146</v>
      </c>
      <c r="AC73" s="518" t="s">
        <v>2147</v>
      </c>
      <c r="AD73" s="44" t="s">
        <v>2148</v>
      </c>
      <c r="AE73" s="44" t="s">
        <v>2149</v>
      </c>
    </row>
    <row r="74" spans="1:31" x14ac:dyDescent="0.25">
      <c r="I74" s="71"/>
      <c r="J74" s="71"/>
      <c r="K74" s="71"/>
      <c r="L74" s="71"/>
      <c r="M74" s="1" t="s">
        <v>3178</v>
      </c>
      <c r="N74" s="290">
        <f>SUM(N51,N54)</f>
        <v>2.0792651732942136</v>
      </c>
      <c r="O74" s="290">
        <f t="shared" ref="O74:U74" si="4">SUM(O51,O54)</f>
        <v>5.9452840880399649E-2</v>
      </c>
      <c r="P74" s="290">
        <f t="shared" si="4"/>
        <v>1.5692567345616706E-2</v>
      </c>
      <c r="Q74" s="290">
        <f t="shared" si="4"/>
        <v>0.51035508622150183</v>
      </c>
      <c r="R74" s="290">
        <f t="shared" si="4"/>
        <v>0.51035508622150183</v>
      </c>
      <c r="S74" s="290">
        <f t="shared" si="4"/>
        <v>1.797652308757678E-2</v>
      </c>
      <c r="T74" s="290">
        <f t="shared" si="4"/>
        <v>4.9556718423351471</v>
      </c>
      <c r="U74" s="114">
        <f t="shared" si="4"/>
        <v>1260.0853699847546</v>
      </c>
      <c r="Y74" s="43">
        <f t="shared" ref="Y74:AE81" si="5">N74/$U74*2000</f>
        <v>3.3001973085670695</v>
      </c>
      <c r="Z74" s="11">
        <f t="shared" si="5"/>
        <v>9.4363195219255583E-2</v>
      </c>
      <c r="AA74" s="511">
        <f t="shared" si="5"/>
        <v>2.4907149498619392E-2</v>
      </c>
      <c r="AB74" s="11">
        <f t="shared" si="5"/>
        <v>0.81003255553657683</v>
      </c>
      <c r="AC74" s="512">
        <f t="shared" si="5"/>
        <v>0.81003255553657683</v>
      </c>
      <c r="AD74" s="11">
        <f t="shared" si="5"/>
        <v>2.8532230459582707E-2</v>
      </c>
      <c r="AE74" s="43">
        <f t="shared" si="5"/>
        <v>7.8656128550958488</v>
      </c>
    </row>
    <row r="75" spans="1:31" x14ac:dyDescent="0.25">
      <c r="M75" s="1" t="s">
        <v>3003</v>
      </c>
      <c r="N75" s="290">
        <f t="shared" ref="N75:U75" si="6">SUM(N52:N53,N55:N56)</f>
        <v>1.7371364970495844</v>
      </c>
      <c r="O75" s="290">
        <f t="shared" si="6"/>
        <v>0.21532659785002634</v>
      </c>
      <c r="P75" s="290">
        <f t="shared" si="6"/>
        <v>5.2931517359734365E-2</v>
      </c>
      <c r="Q75" s="290">
        <f t="shared" si="6"/>
        <v>1.1175429974398075</v>
      </c>
      <c r="R75" s="290">
        <f t="shared" si="6"/>
        <v>1.1175429974398075</v>
      </c>
      <c r="S75" s="290">
        <f t="shared" si="6"/>
        <v>3.7088926163047618E-2</v>
      </c>
      <c r="T75" s="290">
        <f t="shared" si="6"/>
        <v>16.388952911030373</v>
      </c>
      <c r="U75" s="114">
        <f t="shared" si="6"/>
        <v>4250.3071146433986</v>
      </c>
      <c r="Y75" s="43">
        <f t="shared" si="5"/>
        <v>0.81741693020944461</v>
      </c>
      <c r="Z75" s="11">
        <f t="shared" si="5"/>
        <v>0.10132284187567105</v>
      </c>
      <c r="AA75" s="511">
        <f t="shared" si="5"/>
        <v>2.4907149498619385E-2</v>
      </c>
      <c r="AB75" s="11">
        <f t="shared" si="5"/>
        <v>0.5258645868622458</v>
      </c>
      <c r="AC75" s="512">
        <f t="shared" si="5"/>
        <v>0.5258645868622458</v>
      </c>
      <c r="AD75" s="11">
        <f t="shared" si="5"/>
        <v>1.7452351165527194E-2</v>
      </c>
      <c r="AE75" s="43">
        <f t="shared" si="5"/>
        <v>7.7118911499671281</v>
      </c>
    </row>
    <row r="76" spans="1:31" x14ac:dyDescent="0.25">
      <c r="M76" s="1" t="s">
        <v>3004</v>
      </c>
      <c r="N76" s="290">
        <f t="shared" ref="N76:V76" si="7">SUM(N60,N62:N63)</f>
        <v>8.3881493457593909E-2</v>
      </c>
      <c r="O76" s="290">
        <f t="shared" si="7"/>
        <v>1.3196850455271796</v>
      </c>
      <c r="P76" s="290">
        <f t="shared" si="7"/>
        <v>3.4002685514311248</v>
      </c>
      <c r="Q76" s="290">
        <f t="shared" si="7"/>
        <v>5.3671873741153828E-2</v>
      </c>
      <c r="R76" s="290">
        <f t="shared" si="7"/>
        <v>5.3671873741153828E-2</v>
      </c>
      <c r="S76" s="290">
        <f t="shared" si="7"/>
        <v>2.8819039290369241E-3</v>
      </c>
      <c r="T76" s="290">
        <f t="shared" si="7"/>
        <v>5.2687184288233317E-2</v>
      </c>
      <c r="U76" s="114">
        <f t="shared" si="7"/>
        <v>31533.848393442378</v>
      </c>
      <c r="V76" s="291">
        <f t="shared" si="7"/>
        <v>235.29170675341916</v>
      </c>
      <c r="W76" t="s">
        <v>2532</v>
      </c>
      <c r="Y76" s="43">
        <f t="shared" si="5"/>
        <v>5.3200923915799302E-3</v>
      </c>
      <c r="Z76" s="11">
        <f t="shared" si="5"/>
        <v>8.3699587126930861E-2</v>
      </c>
      <c r="AA76" s="511">
        <f t="shared" si="5"/>
        <v>0.21565833062977671</v>
      </c>
      <c r="AB76" s="11">
        <f t="shared" si="5"/>
        <v>3.4040801535860218E-3</v>
      </c>
      <c r="AC76" s="512">
        <f t="shared" si="5"/>
        <v>3.4040801535860218E-3</v>
      </c>
      <c r="AD76" s="11">
        <f t="shared" si="5"/>
        <v>1.8278161885475612E-4</v>
      </c>
      <c r="AE76" s="43">
        <f t="shared" si="5"/>
        <v>3.341627297173781E-3</v>
      </c>
    </row>
    <row r="77" spans="1:31" x14ac:dyDescent="0.25">
      <c r="M77" s="1" t="s">
        <v>3005</v>
      </c>
      <c r="N77" s="290">
        <f t="shared" ref="N77:U77" si="8">SUM(N64,N66)</f>
        <v>0.11921241996647854</v>
      </c>
      <c r="O77" s="290">
        <f t="shared" si="8"/>
        <v>6.7119380599909226E-2</v>
      </c>
      <c r="P77" s="290">
        <f t="shared" si="8"/>
        <v>0.11033154777390987</v>
      </c>
      <c r="Q77" s="290">
        <f t="shared" si="8"/>
        <v>9.563126773020432E-2</v>
      </c>
      <c r="R77" s="290">
        <f t="shared" si="8"/>
        <v>9.563126773020432E-2</v>
      </c>
      <c r="S77" s="290">
        <f t="shared" si="8"/>
        <v>1.7383357854334303E-2</v>
      </c>
      <c r="T77" s="290">
        <f t="shared" si="8"/>
        <v>1.5528390753903181</v>
      </c>
      <c r="U77" s="114">
        <f t="shared" si="8"/>
        <v>653.52094184411351</v>
      </c>
      <c r="Y77" s="43">
        <f t="shared" si="5"/>
        <v>0.36483121605891755</v>
      </c>
      <c r="Z77" s="11">
        <f t="shared" si="5"/>
        <v>0.20540850737089136</v>
      </c>
      <c r="AA77" s="511">
        <f t="shared" si="5"/>
        <v>0.33765267708965818</v>
      </c>
      <c r="AB77" s="11">
        <f t="shared" si="5"/>
        <v>0.29266473836431567</v>
      </c>
      <c r="AC77" s="512">
        <f t="shared" si="5"/>
        <v>0.29266473836431567</v>
      </c>
      <c r="AD77" s="11">
        <f t="shared" si="5"/>
        <v>5.319908434848844E-2</v>
      </c>
      <c r="AE77" s="43">
        <f t="shared" si="5"/>
        <v>4.7522243771056436</v>
      </c>
    </row>
    <row r="78" spans="1:31" x14ac:dyDescent="0.25">
      <c r="M78" s="1" t="s">
        <v>3006</v>
      </c>
      <c r="N78" s="290">
        <f t="shared" ref="N78:V78" si="9">N61</f>
        <v>2.7339569070305283E-2</v>
      </c>
      <c r="O78" s="290">
        <f t="shared" si="9"/>
        <v>0.69019949967110161</v>
      </c>
      <c r="P78" s="290">
        <f t="shared" si="9"/>
        <v>0.48786368190085344</v>
      </c>
      <c r="Q78" s="290">
        <f t="shared" si="9"/>
        <v>1.750794942825408E-2</v>
      </c>
      <c r="R78" s="290">
        <f t="shared" si="9"/>
        <v>1.750794942825408E-2</v>
      </c>
      <c r="S78" s="290">
        <f t="shared" si="9"/>
        <v>9.3930148682583152E-4</v>
      </c>
      <c r="T78" s="290">
        <f t="shared" si="9"/>
        <v>1.7172380397545876E-2</v>
      </c>
      <c r="U78" s="114">
        <f t="shared" si="9"/>
        <v>10621.403411605288</v>
      </c>
      <c r="V78" s="291">
        <f t="shared" si="9"/>
        <v>79.139789156040578</v>
      </c>
      <c r="W78" t="s">
        <v>2532</v>
      </c>
      <c r="Y78" s="43">
        <f t="shared" si="5"/>
        <v>5.1480144404332084E-3</v>
      </c>
      <c r="Z78" s="11">
        <f t="shared" si="5"/>
        <v>0.12996389891696747</v>
      </c>
      <c r="AA78" s="511">
        <f t="shared" si="5"/>
        <v>9.1864259927797828E-2</v>
      </c>
      <c r="AB78" s="11">
        <f t="shared" si="5"/>
        <v>3.2967299611507701E-3</v>
      </c>
      <c r="AC78" s="512">
        <f t="shared" si="5"/>
        <v>3.2967299611507701E-3</v>
      </c>
      <c r="AD78" s="11">
        <f t="shared" si="5"/>
        <v>1.7686956241573886E-4</v>
      </c>
      <c r="AE78" s="43">
        <f t="shared" si="5"/>
        <v>3.2335426368953805E-3</v>
      </c>
    </row>
    <row r="79" spans="1:31" x14ac:dyDescent="0.25">
      <c r="M79" s="1" t="s">
        <v>3007</v>
      </c>
      <c r="N79" s="290">
        <f t="shared" ref="N79:U79" si="10">SUM(N50:N59,N68)</f>
        <v>9.8646358891415868</v>
      </c>
      <c r="O79" s="290">
        <f t="shared" si="10"/>
        <v>0.46228339276154073</v>
      </c>
      <c r="P79" s="290">
        <f t="shared" si="10"/>
        <v>9.4683246633462947E-2</v>
      </c>
      <c r="Q79" s="290">
        <f t="shared" si="10"/>
        <v>2.6792469092128424</v>
      </c>
      <c r="R79" s="290">
        <f t="shared" si="10"/>
        <v>2.6792469092128424</v>
      </c>
      <c r="S79" s="290">
        <f t="shared" si="10"/>
        <v>0.10090265417936406</v>
      </c>
      <c r="T79" s="290">
        <f t="shared" si="10"/>
        <v>28.457132596992484</v>
      </c>
      <c r="U79" s="114">
        <f t="shared" si="10"/>
        <v>7723.552206060871</v>
      </c>
      <c r="Y79" s="43">
        <f t="shared" si="5"/>
        <v>2.5544297820374808</v>
      </c>
      <c r="Z79" s="11">
        <f t="shared" si="5"/>
        <v>0.11970745595498791</v>
      </c>
      <c r="AA79" s="511">
        <f t="shared" si="5"/>
        <v>2.4518057004693401E-2</v>
      </c>
      <c r="AB79" s="11">
        <f t="shared" si="5"/>
        <v>0.69378618483613486</v>
      </c>
      <c r="AC79" s="512">
        <f t="shared" si="5"/>
        <v>0.69378618483613486</v>
      </c>
      <c r="AD79" s="11">
        <f t="shared" si="5"/>
        <v>2.6128561440986478E-2</v>
      </c>
      <c r="AE79" s="43">
        <f t="shared" si="5"/>
        <v>7.3689234791891316</v>
      </c>
    </row>
    <row r="80" spans="1:31" x14ac:dyDescent="0.25">
      <c r="M80" s="1" t="s">
        <v>3008</v>
      </c>
      <c r="N80" s="290">
        <f t="shared" ref="N80:U80" si="11">SUM(N65,N67,N69)</f>
        <v>7.7859166779569071E-3</v>
      </c>
      <c r="O80" s="290">
        <f t="shared" si="11"/>
        <v>0.15143361532482622</v>
      </c>
      <c r="P80" s="290">
        <f t="shared" si="11"/>
        <v>1.8291155256719413E-2</v>
      </c>
      <c r="Q80" s="290">
        <f t="shared" si="11"/>
        <v>1.2342297213368422E-2</v>
      </c>
      <c r="R80" s="290">
        <f t="shared" si="11"/>
        <v>1.2342297213368422E-2</v>
      </c>
      <c r="S80" s="290">
        <f t="shared" si="11"/>
        <v>2.5451885999409059E-2</v>
      </c>
      <c r="T80" s="290">
        <f t="shared" si="11"/>
        <v>6.0977095731258577E-2</v>
      </c>
      <c r="U80" s="114">
        <f t="shared" si="11"/>
        <v>2721.8211574622569</v>
      </c>
      <c r="Y80" s="43">
        <f t="shared" si="5"/>
        <v>5.7211082047846657E-3</v>
      </c>
      <c r="Z80" s="11">
        <f t="shared" si="5"/>
        <v>0.11127374398545591</v>
      </c>
      <c r="AA80" s="511">
        <f t="shared" si="5"/>
        <v>1.3440379950439896E-2</v>
      </c>
      <c r="AB80" s="11">
        <f t="shared" si="5"/>
        <v>9.0691463541094693E-3</v>
      </c>
      <c r="AC80" s="512">
        <f t="shared" si="5"/>
        <v>9.0691463541094693E-3</v>
      </c>
      <c r="AD80" s="11">
        <f t="shared" si="5"/>
        <v>1.8702100194664974E-2</v>
      </c>
      <c r="AE80" s="43">
        <f t="shared" si="5"/>
        <v>4.4806100183387335E-2</v>
      </c>
    </row>
    <row r="81" spans="13:31" x14ac:dyDescent="0.25">
      <c r="M81" s="1" t="s">
        <v>3009</v>
      </c>
      <c r="N81" s="290">
        <f>SUM(N76:N80)</f>
        <v>10.102855288313922</v>
      </c>
      <c r="O81" s="290">
        <f t="shared" ref="O81:U81" si="12">SUM(O76:O80)</f>
        <v>2.6907209338845575</v>
      </c>
      <c r="P81" s="290">
        <f t="shared" si="12"/>
        <v>4.1114381829960704</v>
      </c>
      <c r="Q81" s="290">
        <f t="shared" si="12"/>
        <v>2.8584002973258231</v>
      </c>
      <c r="R81" s="290">
        <f t="shared" si="12"/>
        <v>2.8584002973258231</v>
      </c>
      <c r="S81" s="290">
        <f t="shared" si="12"/>
        <v>0.14755910344897019</v>
      </c>
      <c r="T81" s="290">
        <f t="shared" si="12"/>
        <v>30.140808332799839</v>
      </c>
      <c r="U81" s="114">
        <f t="shared" si="12"/>
        <v>53254.146110414906</v>
      </c>
      <c r="Y81" s="43">
        <f t="shared" si="5"/>
        <v>0.3794204217401998</v>
      </c>
      <c r="Z81" s="11">
        <f t="shared" si="5"/>
        <v>0.10105207314021072</v>
      </c>
      <c r="AA81" s="511">
        <f t="shared" si="5"/>
        <v>0.1544081910344253</v>
      </c>
      <c r="AB81" s="11">
        <f t="shared" si="5"/>
        <v>0.10734939928993834</v>
      </c>
      <c r="AC81" s="512">
        <f t="shared" si="5"/>
        <v>0.10734939928993834</v>
      </c>
      <c r="AD81" s="11">
        <f t="shared" si="5"/>
        <v>5.5416944679960636E-3</v>
      </c>
      <c r="AE81" s="43">
        <f t="shared" si="5"/>
        <v>1.1319610033858081</v>
      </c>
    </row>
  </sheetData>
  <autoFilter ref="A1:W2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1:AE81"/>
  <sheetViews>
    <sheetView zoomScale="84" zoomScaleNormal="84" workbookViewId="0">
      <pane ySplit="5" topLeftCell="A6" activePane="bottomLeft" state="frozen"/>
      <selection activeCell="A2" sqref="A2:W2"/>
      <selection pane="bottomLeft" activeCell="A6" sqref="A6"/>
    </sheetView>
  </sheetViews>
  <sheetFormatPr defaultRowHeight="15" x14ac:dyDescent="0.25"/>
  <cols>
    <col min="2" max="3" width="13.42578125" customWidth="1"/>
  </cols>
  <sheetData>
    <row r="1" spans="1:23" ht="15.75" x14ac:dyDescent="0.25">
      <c r="A1" s="924" t="s">
        <v>2518</v>
      </c>
      <c r="B1" s="924"/>
      <c r="C1" s="924"/>
      <c r="D1" s="924"/>
      <c r="E1" s="924"/>
      <c r="F1" s="924"/>
      <c r="G1" s="924"/>
      <c r="H1" s="924"/>
      <c r="I1" s="924"/>
      <c r="J1" s="924"/>
      <c r="K1" s="924"/>
      <c r="L1" s="924"/>
      <c r="M1" s="924"/>
      <c r="N1" s="924"/>
      <c r="O1" s="924"/>
      <c r="P1" s="924"/>
      <c r="Q1" s="924"/>
      <c r="R1" s="924"/>
      <c r="S1" s="924"/>
      <c r="T1" s="924"/>
      <c r="U1" s="924"/>
      <c r="V1" s="924"/>
      <c r="W1" s="924"/>
    </row>
    <row r="2" spans="1:23" x14ac:dyDescent="0.25">
      <c r="A2" s="946" t="s">
        <v>3495</v>
      </c>
      <c r="B2" s="946"/>
      <c r="C2" s="946"/>
      <c r="D2" s="946"/>
      <c r="E2" s="946"/>
      <c r="F2" s="946"/>
      <c r="G2" s="946"/>
      <c r="H2" s="946"/>
      <c r="I2" s="946"/>
      <c r="J2" s="946"/>
      <c r="K2" s="946"/>
      <c r="L2" s="946"/>
      <c r="M2" s="946"/>
      <c r="N2" s="946"/>
      <c r="O2" s="946"/>
      <c r="P2" s="946"/>
      <c r="Q2" s="946"/>
      <c r="R2" s="946"/>
      <c r="S2" s="946"/>
      <c r="T2" s="946"/>
      <c r="U2" s="946"/>
      <c r="V2" s="946"/>
      <c r="W2" s="946"/>
    </row>
    <row r="3" spans="1:23" x14ac:dyDescent="0.25">
      <c r="D3" s="934" t="s">
        <v>2519</v>
      </c>
      <c r="E3" s="934"/>
      <c r="F3" s="934"/>
      <c r="G3" s="934"/>
      <c r="H3" s="934"/>
      <c r="I3" s="934"/>
      <c r="J3" s="934"/>
      <c r="K3" s="934"/>
      <c r="L3" s="727"/>
      <c r="M3" s="727"/>
      <c r="N3" s="934" t="s">
        <v>2520</v>
      </c>
      <c r="O3" s="934"/>
      <c r="P3" s="934"/>
      <c r="Q3" s="934"/>
      <c r="R3" s="934"/>
      <c r="S3" s="934"/>
      <c r="T3" s="934"/>
      <c r="U3" s="934"/>
    </row>
    <row r="4" spans="1:23" x14ac:dyDescent="0.25">
      <c r="B4" s="2"/>
      <c r="C4" s="2" t="s">
        <v>2124</v>
      </c>
      <c r="D4" s="945" t="s">
        <v>2521</v>
      </c>
      <c r="E4" s="945"/>
      <c r="F4" s="945"/>
      <c r="G4" s="945"/>
      <c r="H4" s="945"/>
      <c r="I4" s="945"/>
      <c r="J4" s="945"/>
      <c r="K4" s="945" t="s">
        <v>2522</v>
      </c>
      <c r="L4" s="945"/>
      <c r="M4" s="728" t="s">
        <v>2523</v>
      </c>
      <c r="N4" s="945" t="s">
        <v>2521</v>
      </c>
      <c r="O4" s="945"/>
      <c r="P4" s="945"/>
      <c r="Q4" s="945"/>
      <c r="R4" s="945"/>
      <c r="S4" s="945"/>
      <c r="T4" s="945"/>
      <c r="U4" s="945" t="s">
        <v>2522</v>
      </c>
      <c r="V4" s="945"/>
      <c r="W4" s="728" t="s">
        <v>2523</v>
      </c>
    </row>
    <row r="5" spans="1:23" ht="15.75" thickBot="1" x14ac:dyDescent="0.3">
      <c r="A5" s="15" t="s">
        <v>2524</v>
      </c>
      <c r="B5" s="15" t="s">
        <v>2139</v>
      </c>
      <c r="C5" s="15" t="s">
        <v>2525</v>
      </c>
      <c r="D5" s="15" t="s">
        <v>2143</v>
      </c>
      <c r="E5" s="15" t="s">
        <v>2144</v>
      </c>
      <c r="F5" s="15" t="s">
        <v>2145</v>
      </c>
      <c r="G5" s="15" t="s">
        <v>2146</v>
      </c>
      <c r="H5" s="15" t="s">
        <v>2147</v>
      </c>
      <c r="I5" s="15" t="s">
        <v>2148</v>
      </c>
      <c r="J5" s="15" t="s">
        <v>2149</v>
      </c>
      <c r="K5" s="242" t="s">
        <v>2460</v>
      </c>
      <c r="L5" s="242" t="s">
        <v>2523</v>
      </c>
      <c r="M5" s="242" t="s">
        <v>2072</v>
      </c>
      <c r="N5" s="15" t="s">
        <v>2143</v>
      </c>
      <c r="O5" s="15" t="s">
        <v>2144</v>
      </c>
      <c r="P5" s="15" t="s">
        <v>2145</v>
      </c>
      <c r="Q5" s="15" t="s">
        <v>2146</v>
      </c>
      <c r="R5" s="15" t="s">
        <v>2147</v>
      </c>
      <c r="S5" s="15" t="s">
        <v>2148</v>
      </c>
      <c r="T5" s="15" t="s">
        <v>2149</v>
      </c>
      <c r="U5" s="242" t="s">
        <v>2460</v>
      </c>
      <c r="V5" s="242" t="s">
        <v>2523</v>
      </c>
      <c r="W5" s="242" t="s">
        <v>2072</v>
      </c>
    </row>
    <row r="6" spans="1:23" ht="15.75" thickTop="1" x14ac:dyDescent="0.25">
      <c r="A6" s="2" t="s">
        <v>2526</v>
      </c>
      <c r="B6" s="2">
        <v>2104008100</v>
      </c>
      <c r="C6" s="2" t="s">
        <v>2152</v>
      </c>
      <c r="D6" s="290">
        <v>6.2440693288156695</v>
      </c>
      <c r="E6" s="290">
        <v>7.0893363558605871E-2</v>
      </c>
      <c r="F6" s="290">
        <v>1.0906671316708595E-2</v>
      </c>
      <c r="G6" s="290">
        <v>0.94342706889529371</v>
      </c>
      <c r="H6" s="290">
        <v>0.94342706889529371</v>
      </c>
      <c r="I6" s="290">
        <v>4.9080020925188671E-2</v>
      </c>
      <c r="J6" s="290">
        <v>6.8875629365014746</v>
      </c>
      <c r="K6" s="114">
        <v>877.44248324985836</v>
      </c>
      <c r="L6" s="291">
        <v>77.905438624938867</v>
      </c>
      <c r="M6" s="114" t="s">
        <v>2531</v>
      </c>
      <c r="N6" s="290">
        <v>5.7536035844964948</v>
      </c>
      <c r="O6" s="290">
        <v>6.5324756854545335E-2</v>
      </c>
      <c r="P6" s="290">
        <v>1.0049962593006978E-2</v>
      </c>
      <c r="Q6" s="290">
        <v>0.86932176429510388</v>
      </c>
      <c r="R6" s="290">
        <v>0.86932176429510388</v>
      </c>
      <c r="S6" s="290">
        <v>4.5224831668531404E-2</v>
      </c>
      <c r="T6" s="290">
        <v>6.3465513774839035</v>
      </c>
      <c r="U6" s="114">
        <v>808.52020548808412</v>
      </c>
      <c r="V6" s="291">
        <v>71.786040051742688</v>
      </c>
      <c r="W6" t="s">
        <v>2531</v>
      </c>
    </row>
    <row r="7" spans="1:23" x14ac:dyDescent="0.25">
      <c r="A7" s="2" t="s">
        <v>2526</v>
      </c>
      <c r="B7" s="2">
        <v>2104008210</v>
      </c>
      <c r="C7" s="2" t="s">
        <v>2156</v>
      </c>
      <c r="D7" s="290">
        <v>0.12877866709946831</v>
      </c>
      <c r="E7" s="290">
        <v>6.8034012807266274E-3</v>
      </c>
      <c r="F7" s="290">
        <v>9.7191446867523246E-4</v>
      </c>
      <c r="G7" s="290">
        <v>7.4351456853655282E-2</v>
      </c>
      <c r="H7" s="290">
        <v>7.4351456853655282E-2</v>
      </c>
      <c r="I7" s="290">
        <v>4.1306364918697377E-3</v>
      </c>
      <c r="J7" s="290">
        <v>0.56079464842560933</v>
      </c>
      <c r="K7" s="114">
        <v>78.190588139793661</v>
      </c>
      <c r="L7" s="291">
        <v>6.9423035488446638</v>
      </c>
      <c r="M7" s="114" t="s">
        <v>2531</v>
      </c>
      <c r="N7" s="290">
        <v>0.11191603625962265</v>
      </c>
      <c r="O7" s="290">
        <v>5.9125453118291206E-3</v>
      </c>
      <c r="P7" s="290">
        <v>8.4464933026130295E-4</v>
      </c>
      <c r="Q7" s="290">
        <v>6.4615673764989709E-2</v>
      </c>
      <c r="R7" s="290">
        <v>6.4615673764989709E-2</v>
      </c>
      <c r="S7" s="290">
        <v>3.5897596536105377E-3</v>
      </c>
      <c r="T7" s="290">
        <v>0.48736266356077174</v>
      </c>
      <c r="U7" s="114">
        <v>67.952098701683965</v>
      </c>
      <c r="V7" s="291">
        <v>6.0332593371050232</v>
      </c>
      <c r="W7" t="s">
        <v>2531</v>
      </c>
    </row>
    <row r="8" spans="1:23" x14ac:dyDescent="0.25">
      <c r="A8" s="2" t="s">
        <v>2526</v>
      </c>
      <c r="B8" s="2">
        <v>2104008220</v>
      </c>
      <c r="C8" s="2" t="s">
        <v>2159</v>
      </c>
      <c r="D8" s="290">
        <v>6.1388537147995019E-2</v>
      </c>
      <c r="E8" s="290">
        <v>1.023142285799917E-2</v>
      </c>
      <c r="F8" s="290">
        <v>2.0462845715998345E-3</v>
      </c>
      <c r="G8" s="290">
        <v>6.1388537147995019E-2</v>
      </c>
      <c r="H8" s="290">
        <v>6.1388537147995019E-2</v>
      </c>
      <c r="I8" s="290">
        <v>4.6041402860996271E-3</v>
      </c>
      <c r="J8" s="290">
        <v>0.72029216920314165</v>
      </c>
      <c r="K8" s="114">
        <v>164.62373934289192</v>
      </c>
      <c r="L8" s="291">
        <v>14.616439101608387</v>
      </c>
      <c r="M8" s="114" t="s">
        <v>2531</v>
      </c>
      <c r="N8" s="290">
        <v>5.335015421516634E-2</v>
      </c>
      <c r="O8" s="290">
        <v>8.8916923691943917E-3</v>
      </c>
      <c r="P8" s="290">
        <v>1.7783384738388785E-3</v>
      </c>
      <c r="Q8" s="290">
        <v>5.335015421516634E-2</v>
      </c>
      <c r="R8" s="290">
        <v>5.335015421516634E-2</v>
      </c>
      <c r="S8" s="290">
        <v>4.0012615661374779E-3</v>
      </c>
      <c r="T8" s="290">
        <v>0.6259751427912853</v>
      </c>
      <c r="U8" s="114">
        <v>143.06745671830171</v>
      </c>
      <c r="V8" s="291">
        <v>12.702522594201671</v>
      </c>
      <c r="W8" t="s">
        <v>2531</v>
      </c>
    </row>
    <row r="9" spans="1:23" x14ac:dyDescent="0.25">
      <c r="A9" s="2" t="s">
        <v>2526</v>
      </c>
      <c r="B9" s="2">
        <v>2104008230</v>
      </c>
      <c r="C9" s="2" t="s">
        <v>2162</v>
      </c>
      <c r="D9" s="290">
        <v>4.6200492636726313E-2</v>
      </c>
      <c r="E9" s="290">
        <v>6.1600656848968434E-3</v>
      </c>
      <c r="F9" s="290">
        <v>1.2320131369793687E-3</v>
      </c>
      <c r="G9" s="290">
        <v>4.004042695182948E-2</v>
      </c>
      <c r="H9" s="290">
        <v>4.004042695182948E-2</v>
      </c>
      <c r="I9" s="290">
        <v>2.7720295582035802E-3</v>
      </c>
      <c r="J9" s="290">
        <v>0.32956351414198098</v>
      </c>
      <c r="K9" s="114">
        <v>99.115544506374178</v>
      </c>
      <c r="L9" s="291">
        <v>8.8001665256957153</v>
      </c>
      <c r="M9" s="114" t="s">
        <v>2531</v>
      </c>
      <c r="N9" s="290">
        <v>4.0150873786809357E-2</v>
      </c>
      <c r="O9" s="290">
        <v>5.3534498382412504E-3</v>
      </c>
      <c r="P9" s="290">
        <v>1.07068996764825E-3</v>
      </c>
      <c r="Q9" s="290">
        <v>3.4797423948568128E-2</v>
      </c>
      <c r="R9" s="290">
        <v>3.4797423948568128E-2</v>
      </c>
      <c r="S9" s="290">
        <v>2.4090524272085624E-3</v>
      </c>
      <c r="T9" s="290">
        <v>0.28640956634590692</v>
      </c>
      <c r="U9" s="114">
        <v>86.137084058337919</v>
      </c>
      <c r="V9" s="291">
        <v>7.6478486550863325</v>
      </c>
      <c r="W9" t="s">
        <v>2531</v>
      </c>
    </row>
    <row r="10" spans="1:23" x14ac:dyDescent="0.25">
      <c r="A10" s="2" t="s">
        <v>2526</v>
      </c>
      <c r="B10" s="2">
        <v>2104008310</v>
      </c>
      <c r="C10" s="2" t="s">
        <v>2165</v>
      </c>
      <c r="D10" s="290">
        <v>2.6134626881553262</v>
      </c>
      <c r="E10" s="290">
        <v>7.1606048867143321E-2</v>
      </c>
      <c r="F10" s="290">
        <v>1.9724246703059067E-2</v>
      </c>
      <c r="G10" s="290">
        <v>0.59873095768222206</v>
      </c>
      <c r="H10" s="290">
        <v>0.59873095768222206</v>
      </c>
      <c r="I10" s="290">
        <v>1.9577722435888029E-2</v>
      </c>
      <c r="J10" s="290">
        <v>5.9749990750814588</v>
      </c>
      <c r="K10" s="114">
        <v>1586.8170502994344</v>
      </c>
      <c r="L10" s="291">
        <v>140.88864020265007</v>
      </c>
      <c r="M10" s="114" t="s">
        <v>2531</v>
      </c>
      <c r="N10" s="290">
        <v>2.2712487367557941</v>
      </c>
      <c r="O10" s="290">
        <v>6.2229757008073663E-2</v>
      </c>
      <c r="P10" s="290">
        <v>1.7141499900043732E-2</v>
      </c>
      <c r="Q10" s="290">
        <v>0.52033148873924639</v>
      </c>
      <c r="R10" s="290">
        <v>0.52033148873924639</v>
      </c>
      <c r="S10" s="290">
        <v>1.7014161921114639E-2</v>
      </c>
      <c r="T10" s="290">
        <v>5.1926163564150558</v>
      </c>
      <c r="U10" s="114">
        <v>1379.0348862791743</v>
      </c>
      <c r="V10" s="291">
        <v>122.44029636764124</v>
      </c>
      <c r="W10" t="s">
        <v>2531</v>
      </c>
    </row>
    <row r="11" spans="1:23" x14ac:dyDescent="0.25">
      <c r="A11" s="2" t="s">
        <v>2526</v>
      </c>
      <c r="B11" s="2">
        <v>2104008320</v>
      </c>
      <c r="C11" s="2" t="s">
        <v>2169</v>
      </c>
      <c r="D11" s="290">
        <v>1.2458325197045357</v>
      </c>
      <c r="E11" s="290">
        <v>0.16702872815119654</v>
      </c>
      <c r="F11" s="290">
        <v>4.1527750656817859E-2</v>
      </c>
      <c r="G11" s="290">
        <v>0.82278156439297712</v>
      </c>
      <c r="H11" s="290">
        <v>0.82278156439297712</v>
      </c>
      <c r="I11" s="290">
        <v>2.5928031392058543E-2</v>
      </c>
      <c r="J11" s="290">
        <v>12.836326199882452</v>
      </c>
      <c r="K11" s="114">
        <v>3340.9104943207831</v>
      </c>
      <c r="L11" s="291">
        <v>296.62924058876058</v>
      </c>
      <c r="M11" s="114" t="s">
        <v>2531</v>
      </c>
      <c r="N11" s="290">
        <v>1.0826998026076442</v>
      </c>
      <c r="O11" s="290">
        <v>0.14515752971514595</v>
      </c>
      <c r="P11" s="290">
        <v>3.6089993420254818E-2</v>
      </c>
      <c r="Q11" s="290">
        <v>0.71504429629815325</v>
      </c>
      <c r="R11" s="290">
        <v>0.71504429629815325</v>
      </c>
      <c r="S11" s="290">
        <v>2.2532944056432459E-2</v>
      </c>
      <c r="T11" s="290">
        <v>11.155502543886168</v>
      </c>
      <c r="U11" s="114">
        <v>2903.4425378370934</v>
      </c>
      <c r="V11" s="291">
        <v>257.78779663680126</v>
      </c>
      <c r="W11" t="s">
        <v>2531</v>
      </c>
    </row>
    <row r="12" spans="1:23" x14ac:dyDescent="0.25">
      <c r="A12" s="2" t="s">
        <v>2526</v>
      </c>
      <c r="B12" s="2">
        <v>2104008330</v>
      </c>
      <c r="C12" s="2" t="s">
        <v>2172</v>
      </c>
      <c r="D12" s="290">
        <v>0.93760299279396453</v>
      </c>
      <c r="E12" s="290">
        <v>0.10056352385745874</v>
      </c>
      <c r="F12" s="290">
        <v>2.5002746474505722E-2</v>
      </c>
      <c r="G12" s="290">
        <v>0.54966238738910622</v>
      </c>
      <c r="H12" s="290">
        <v>0.54966238738910622</v>
      </c>
      <c r="I12" s="290">
        <v>1.5610573296780152E-2</v>
      </c>
      <c r="J12" s="290">
        <v>7.7284082225393824</v>
      </c>
      <c r="K12" s="114">
        <v>2011.4727323861</v>
      </c>
      <c r="L12" s="291">
        <v>178.59252143598397</v>
      </c>
      <c r="M12" s="114" t="s">
        <v>2531</v>
      </c>
      <c r="N12" s="290">
        <v>0.81483069286320708</v>
      </c>
      <c r="O12" s="290">
        <v>8.7395461033415611E-2</v>
      </c>
      <c r="P12" s="290">
        <v>2.1728818476352191E-2</v>
      </c>
      <c r="Q12" s="290">
        <v>0.47768809122768086</v>
      </c>
      <c r="R12" s="290">
        <v>0.47768809122768086</v>
      </c>
      <c r="S12" s="290">
        <v>1.3566482139207964E-2</v>
      </c>
      <c r="T12" s="290">
        <v>6.7164293150729026</v>
      </c>
      <c r="U12" s="114">
        <v>1748.0849920514083</v>
      </c>
      <c r="V12" s="291">
        <v>155.20712828382378</v>
      </c>
      <c r="W12" t="s">
        <v>2531</v>
      </c>
    </row>
    <row r="13" spans="1:23" x14ac:dyDescent="0.25">
      <c r="A13" s="2" t="s">
        <v>2526</v>
      </c>
      <c r="B13" s="2">
        <v>2104008410</v>
      </c>
      <c r="C13" s="2" t="s">
        <v>2175</v>
      </c>
      <c r="D13" s="290">
        <v>1.571041479876624E-2</v>
      </c>
      <c r="E13" s="290">
        <v>2.7435278212988627E-2</v>
      </c>
      <c r="F13" s="290">
        <v>2.1926296274116788E-3</v>
      </c>
      <c r="G13" s="290">
        <v>2.0281824053558037E-2</v>
      </c>
      <c r="H13" s="290">
        <v>2.0281824053558037E-2</v>
      </c>
      <c r="I13" s="290">
        <v>4.9251943005734842E-4</v>
      </c>
      <c r="J13" s="290">
        <v>6.8053742060789998E-2</v>
      </c>
      <c r="K13" s="114">
        <v>210.65066468074934</v>
      </c>
      <c r="L13" s="291">
        <v>18.703029249058574</v>
      </c>
      <c r="M13" s="114" t="s">
        <v>2531</v>
      </c>
      <c r="N13" s="290">
        <v>1.3653250121888351E-2</v>
      </c>
      <c r="O13" s="290">
        <v>2.3842827856775883E-2</v>
      </c>
      <c r="P13" s="290">
        <v>1.9055207078342365E-3</v>
      </c>
      <c r="Q13" s="290">
        <v>1.7626066547466689E-2</v>
      </c>
      <c r="R13" s="290">
        <v>1.7626066547466689E-2</v>
      </c>
      <c r="S13" s="290">
        <v>4.280275889972655E-4</v>
      </c>
      <c r="T13" s="290">
        <v>5.9142598969405144E-2</v>
      </c>
      <c r="U13" s="114">
        <v>183.06749058300898</v>
      </c>
      <c r="V13" s="291">
        <v>16.254003452184083</v>
      </c>
      <c r="W13" t="s">
        <v>2531</v>
      </c>
    </row>
    <row r="14" spans="1:23" x14ac:dyDescent="0.25">
      <c r="A14" s="2" t="s">
        <v>2526</v>
      </c>
      <c r="B14" s="2">
        <v>2104008420</v>
      </c>
      <c r="C14" s="2" t="s">
        <v>2179</v>
      </c>
      <c r="D14" s="290">
        <v>5.2991717373881538E-2</v>
      </c>
      <c r="E14" s="290">
        <v>9.2540046062353221E-2</v>
      </c>
      <c r="F14" s="290">
        <v>7.3958078771111466E-3</v>
      </c>
      <c r="G14" s="290">
        <v>6.8411222863278096E-2</v>
      </c>
      <c r="H14" s="290">
        <v>6.8411222863278096E-2</v>
      </c>
      <c r="I14" s="290">
        <v>1.6612833443960919E-3</v>
      </c>
      <c r="J14" s="290">
        <v>0.22954738698583724</v>
      </c>
      <c r="K14" s="114">
        <v>710.53123869518618</v>
      </c>
      <c r="L14" s="291">
        <v>63.085898920974671</v>
      </c>
      <c r="M14" s="114" t="s">
        <v>2531</v>
      </c>
      <c r="N14" s="290">
        <v>4.6052836984981402E-2</v>
      </c>
      <c r="O14" s="290">
        <v>8.0422599362532404E-2</v>
      </c>
      <c r="P14" s="290">
        <v>6.427380568434159E-3</v>
      </c>
      <c r="Q14" s="290">
        <v>5.9453270258015965E-2</v>
      </c>
      <c r="R14" s="290">
        <v>5.9453270258015965E-2</v>
      </c>
      <c r="S14" s="290">
        <v>1.4437503601845234E-3</v>
      </c>
      <c r="T14" s="290">
        <v>0.19948982439277521</v>
      </c>
      <c r="U14" s="114">
        <v>617.49233521716894</v>
      </c>
      <c r="V14" s="291">
        <v>54.825258795832362</v>
      </c>
      <c r="W14" t="s">
        <v>2531</v>
      </c>
    </row>
    <row r="15" spans="1:23" x14ac:dyDescent="0.25">
      <c r="A15" s="2" t="s">
        <v>2526</v>
      </c>
      <c r="B15" s="2">
        <v>2104008610</v>
      </c>
      <c r="C15" s="2" t="s">
        <v>2182</v>
      </c>
      <c r="D15" s="290">
        <v>1.3433866986519285</v>
      </c>
      <c r="E15" s="290">
        <v>4.7720809368819971E-2</v>
      </c>
      <c r="F15" s="290">
        <v>1.1836006155523597E-2</v>
      </c>
      <c r="G15" s="290">
        <v>0.29205795191654782</v>
      </c>
      <c r="H15" s="290">
        <v>0.29205795191654782</v>
      </c>
      <c r="I15" s="290">
        <v>7.2128198251172086E-3</v>
      </c>
      <c r="J15" s="290">
        <v>1.7922869534608081</v>
      </c>
      <c r="K15" s="114">
        <v>952.20753713859369</v>
      </c>
      <c r="L15" s="291">
        <v>84.543599448251214</v>
      </c>
      <c r="M15" s="114" t="s">
        <v>2531</v>
      </c>
      <c r="N15" s="290">
        <v>1.2281911213897079</v>
      </c>
      <c r="O15" s="290">
        <v>4.3628744002847539E-2</v>
      </c>
      <c r="P15" s="290">
        <v>1.0821067148807997E-2</v>
      </c>
      <c r="Q15" s="290">
        <v>0.26701394604779116</v>
      </c>
      <c r="R15" s="290">
        <v>0.26701394604779116</v>
      </c>
      <c r="S15" s="290">
        <v>6.5943196238895593E-3</v>
      </c>
      <c r="T15" s="290">
        <v>1.6385981232597586</v>
      </c>
      <c r="U15" s="114">
        <v>870.55562185300232</v>
      </c>
      <c r="V15" s="291">
        <v>77.29397523205175</v>
      </c>
      <c r="W15" t="s">
        <v>2531</v>
      </c>
    </row>
    <row r="16" spans="1:23" x14ac:dyDescent="0.25">
      <c r="A16" s="2" t="s">
        <v>2526</v>
      </c>
      <c r="B16" s="2">
        <v>2104004000</v>
      </c>
      <c r="C16" s="2" t="s">
        <v>2196</v>
      </c>
      <c r="D16" s="290">
        <v>9.7903905656169368E-2</v>
      </c>
      <c r="E16" s="290">
        <v>1.5339755630288969</v>
      </c>
      <c r="F16" s="290">
        <v>3.9686891320461424</v>
      </c>
      <c r="G16" s="290">
        <v>6.2696548897638871E-2</v>
      </c>
      <c r="H16" s="290">
        <v>6.2696548897638871E-2</v>
      </c>
      <c r="I16" s="290">
        <v>3.3636698483583264E-3</v>
      </c>
      <c r="J16" s="290">
        <v>6.1494865043767465E-2</v>
      </c>
      <c r="K16" s="114">
        <v>36857.637838970542</v>
      </c>
      <c r="L16" s="291">
        <v>274.62526130762797</v>
      </c>
      <c r="M16" s="114" t="s">
        <v>2532</v>
      </c>
      <c r="N16" s="290">
        <v>9.0447689903831716E-2</v>
      </c>
      <c r="O16" s="290">
        <v>1.4171502670399387</v>
      </c>
      <c r="P16" s="290">
        <v>3.6664396740274157</v>
      </c>
      <c r="Q16" s="290">
        <v>5.7921673039779541E-2</v>
      </c>
      <c r="R16" s="290">
        <v>5.7921673039779541E-2</v>
      </c>
      <c r="S16" s="290">
        <v>3.1074977585841719E-3</v>
      </c>
      <c r="T16" s="290">
        <v>5.6811507639850427E-2</v>
      </c>
      <c r="U16" s="114">
        <v>34050.614993385308</v>
      </c>
      <c r="V16" s="291">
        <v>253.71021010892485</v>
      </c>
      <c r="W16" t="s">
        <v>2532</v>
      </c>
    </row>
    <row r="17" spans="1:23" x14ac:dyDescent="0.25">
      <c r="A17" s="2" t="s">
        <v>2526</v>
      </c>
      <c r="B17" s="2">
        <v>2103004001</v>
      </c>
      <c r="C17" s="2" t="s">
        <v>2206</v>
      </c>
      <c r="D17" s="290">
        <v>3.1696733205338883E-2</v>
      </c>
      <c r="E17" s="290">
        <v>0.80019803323436178</v>
      </c>
      <c r="F17" s="290">
        <v>0.56561553424707944</v>
      </c>
      <c r="G17" s="290">
        <v>2.0298227838663519E-2</v>
      </c>
      <c r="H17" s="290">
        <v>2.0298227838663519E-2</v>
      </c>
      <c r="I17" s="290">
        <v>1.0889999235442983E-3</v>
      </c>
      <c r="J17" s="290">
        <v>1.9909178471755797E-2</v>
      </c>
      <c r="K17" s="114">
        <v>12314.158622551015</v>
      </c>
      <c r="L17" s="291">
        <v>91.752462387212674</v>
      </c>
      <c r="M17" s="114" t="s">
        <v>2532</v>
      </c>
      <c r="N17" s="290">
        <v>3.1164978270134765E-2</v>
      </c>
      <c r="O17" s="290">
        <v>0.78677364496833924</v>
      </c>
      <c r="P17" s="290">
        <v>0.55612657998117643</v>
      </c>
      <c r="Q17" s="290">
        <v>1.9957698019417391E-2</v>
      </c>
      <c r="R17" s="290">
        <v>1.9957698019417391E-2</v>
      </c>
      <c r="S17" s="290">
        <v>1.070730498741743E-3</v>
      </c>
      <c r="T17" s="290">
        <v>1.957517547404522E-2</v>
      </c>
      <c r="U17" s="114">
        <v>12107.572203123889</v>
      </c>
      <c r="V17" s="291">
        <v>90.213192571126029</v>
      </c>
      <c r="W17" t="s">
        <v>2532</v>
      </c>
    </row>
    <row r="18" spans="1:23" x14ac:dyDescent="0.25">
      <c r="A18" s="2" t="s">
        <v>2526</v>
      </c>
      <c r="B18" s="2">
        <v>2104004000</v>
      </c>
      <c r="C18" s="2" t="s">
        <v>2210</v>
      </c>
      <c r="D18" s="290">
        <v>6.6880536176719353E-4</v>
      </c>
      <c r="E18" s="290">
        <v>1.6884286832832367E-2</v>
      </c>
      <c r="F18" s="290">
        <v>2.7111079511181791E-2</v>
      </c>
      <c r="G18" s="290">
        <v>3.752063740629417E-4</v>
      </c>
      <c r="H18" s="290">
        <v>3.752063740629417E-4</v>
      </c>
      <c r="I18" s="290">
        <v>2.2978045816652575E-5</v>
      </c>
      <c r="J18" s="290">
        <v>4.200863610779757E-4</v>
      </c>
      <c r="K18" s="114">
        <v>257.00698607376341</v>
      </c>
      <c r="L18" s="291">
        <v>1.8760318703147079</v>
      </c>
      <c r="M18" s="114" t="s">
        <v>2532</v>
      </c>
      <c r="N18" s="290">
        <v>6.309842905160264E-4</v>
      </c>
      <c r="O18" s="290">
        <v>1.592947717992773E-2</v>
      </c>
      <c r="P18" s="290">
        <v>2.5577942774390221E-2</v>
      </c>
      <c r="Q18" s="290">
        <v>3.5398838177617189E-4</v>
      </c>
      <c r="R18" s="290">
        <v>3.5398838177617189E-4</v>
      </c>
      <c r="S18" s="290">
        <v>2.1678632926558686E-5</v>
      </c>
      <c r="T18" s="290">
        <v>3.9633039693320237E-4</v>
      </c>
      <c r="U18" s="114">
        <v>242.4731918071333</v>
      </c>
      <c r="V18" s="291">
        <v>1.7699419088808592</v>
      </c>
      <c r="W18" t="s">
        <v>2532</v>
      </c>
    </row>
    <row r="19" spans="1:23" x14ac:dyDescent="0.25">
      <c r="A19" s="2" t="s">
        <v>2526</v>
      </c>
      <c r="B19" s="2">
        <v>2104004000</v>
      </c>
      <c r="C19" s="2" t="s">
        <v>2214</v>
      </c>
      <c r="D19" s="290">
        <v>2.7919208664252603E-3</v>
      </c>
      <c r="E19" s="290">
        <v>4.3744305748612822E-2</v>
      </c>
      <c r="F19" s="290">
        <v>0.1131749129501308</v>
      </c>
      <c r="G19" s="290">
        <v>1.7879144038942577E-3</v>
      </c>
      <c r="H19" s="290">
        <v>1.7879144038942577E-3</v>
      </c>
      <c r="I19" s="290">
        <v>9.5921607768926947E-5</v>
      </c>
      <c r="J19" s="290">
        <v>1.7536460444862846E-3</v>
      </c>
      <c r="K19" s="114">
        <v>978.93438514209709</v>
      </c>
      <c r="L19" s="291">
        <v>7.8314750811367793</v>
      </c>
      <c r="M19" s="114" t="s">
        <v>2532</v>
      </c>
      <c r="N19" s="290">
        <v>2.310611822492703E-3</v>
      </c>
      <c r="O19" s="290">
        <v>3.6203071242093224E-2</v>
      </c>
      <c r="P19" s="290">
        <v>9.3664292214334879E-2</v>
      </c>
      <c r="Q19" s="290">
        <v>1.4796895603035381E-3</v>
      </c>
      <c r="R19" s="290">
        <v>1.4796895603035381E-3</v>
      </c>
      <c r="S19" s="290">
        <v>7.9385344910284849E-5</v>
      </c>
      <c r="T19" s="290">
        <v>1.4513288437310538E-3</v>
      </c>
      <c r="U19" s="114">
        <v>810.17244827934906</v>
      </c>
      <c r="V19" s="291">
        <v>6.4813795862347936</v>
      </c>
      <c r="W19" t="s">
        <v>2532</v>
      </c>
    </row>
    <row r="20" spans="1:23" x14ac:dyDescent="0.25">
      <c r="A20" s="2" t="s">
        <v>2526</v>
      </c>
      <c r="B20" s="2">
        <v>2104006010</v>
      </c>
      <c r="C20" s="2" t="s">
        <v>2217</v>
      </c>
      <c r="D20" s="290">
        <v>6.6969683938961284E-4</v>
      </c>
      <c r="E20" s="290">
        <v>1.1445727800477035E-2</v>
      </c>
      <c r="F20" s="290">
        <v>7.3057837024321452E-5</v>
      </c>
      <c r="G20" s="290">
        <v>9.2539926897473846E-4</v>
      </c>
      <c r="H20" s="290">
        <v>9.2539926897473846E-4</v>
      </c>
      <c r="I20" s="290">
        <v>2.4352612341440481E-3</v>
      </c>
      <c r="J20" s="290">
        <v>4.8705224682880962E-3</v>
      </c>
      <c r="K20" s="114">
        <v>300.62303278688512</v>
      </c>
      <c r="L20" s="291">
        <v>296.18032786885266</v>
      </c>
      <c r="M20" s="114" t="s">
        <v>2533</v>
      </c>
      <c r="N20" s="290">
        <v>6.6969683938961284E-4</v>
      </c>
      <c r="O20" s="290">
        <v>1.1445727800477035E-2</v>
      </c>
      <c r="P20" s="290">
        <v>7.3057837024321452E-5</v>
      </c>
      <c r="Q20" s="290">
        <v>9.2539926897473846E-4</v>
      </c>
      <c r="R20" s="290">
        <v>9.2539926897473846E-4</v>
      </c>
      <c r="S20" s="290">
        <v>2.4352612341440481E-3</v>
      </c>
      <c r="T20" s="290">
        <v>4.8705224682880962E-3</v>
      </c>
      <c r="U20" s="114">
        <v>300.62303278688512</v>
      </c>
      <c r="V20" s="291">
        <v>296.18032786885266</v>
      </c>
      <c r="W20" t="s">
        <v>2533</v>
      </c>
    </row>
    <row r="21" spans="1:23" x14ac:dyDescent="0.25">
      <c r="A21" s="2" t="s">
        <v>2526</v>
      </c>
      <c r="B21" s="2">
        <v>2103006000</v>
      </c>
      <c r="C21" s="2" t="s">
        <v>2221</v>
      </c>
      <c r="D21" s="290">
        <v>5.2612909836065565E-3</v>
      </c>
      <c r="E21" s="290">
        <v>9.5659836065573767E-2</v>
      </c>
      <c r="F21" s="290">
        <v>5.7395901639344246E-4</v>
      </c>
      <c r="G21" s="290">
        <v>7.2701475409836028E-3</v>
      </c>
      <c r="H21" s="290">
        <v>7.2701475409836028E-3</v>
      </c>
      <c r="I21" s="290">
        <v>1.9131967213114758E-2</v>
      </c>
      <c r="J21" s="290">
        <v>3.8263934426229516E-2</v>
      </c>
      <c r="K21" s="114">
        <v>1941.8946721311468</v>
      </c>
      <c r="L21" s="291">
        <v>1913.1967213114763</v>
      </c>
      <c r="M21" s="114" t="s">
        <v>2533</v>
      </c>
      <c r="N21" s="290">
        <v>5.2612909836065565E-3</v>
      </c>
      <c r="O21" s="290">
        <v>9.5659836065573767E-2</v>
      </c>
      <c r="P21" s="290">
        <v>5.7395901639344246E-4</v>
      </c>
      <c r="Q21" s="290">
        <v>7.2701475409836028E-3</v>
      </c>
      <c r="R21" s="290">
        <v>7.2701475409836028E-3</v>
      </c>
      <c r="S21" s="290">
        <v>1.9131967213114758E-2</v>
      </c>
      <c r="T21" s="290">
        <v>3.8263934426229516E-2</v>
      </c>
      <c r="U21" s="114">
        <v>1941.8946721311468</v>
      </c>
      <c r="V21" s="291">
        <v>1913.1967213114763</v>
      </c>
      <c r="W21" t="s">
        <v>2533</v>
      </c>
    </row>
    <row r="22" spans="1:23" x14ac:dyDescent="0.25">
      <c r="A22" s="2" t="s">
        <v>2526</v>
      </c>
      <c r="B22" s="2">
        <v>2104002000</v>
      </c>
      <c r="C22" s="2" t="s">
        <v>2223</v>
      </c>
      <c r="D22" s="290">
        <v>0.15165647334872925</v>
      </c>
      <c r="E22" s="290">
        <v>7.1581855420600235E-2</v>
      </c>
      <c r="F22" s="290">
        <v>0.1410405202143182</v>
      </c>
      <c r="G22" s="290">
        <v>0.12117352220563467</v>
      </c>
      <c r="H22" s="290">
        <v>0.12117352220563467</v>
      </c>
      <c r="I22" s="290">
        <v>1.9198951243582389E-2</v>
      </c>
      <c r="J22" s="290">
        <v>1.9802544007510321</v>
      </c>
      <c r="K22" s="114">
        <v>461.03567898013699</v>
      </c>
      <c r="L22" s="291">
        <v>30.331294669745855</v>
      </c>
      <c r="M22" s="114" t="s">
        <v>2531</v>
      </c>
      <c r="N22" s="290">
        <v>0.13279305378935313</v>
      </c>
      <c r="O22" s="290">
        <v>6.2678321388574681E-2</v>
      </c>
      <c r="P22" s="290">
        <v>0.12349754002409843</v>
      </c>
      <c r="Q22" s="290">
        <v>0.10610164997769315</v>
      </c>
      <c r="R22" s="290">
        <v>0.10610164997769315</v>
      </c>
      <c r="S22" s="290">
        <v>1.6810936644463165E-2</v>
      </c>
      <c r="T22" s="290">
        <v>1.7339452998544786</v>
      </c>
      <c r="U22" s="114">
        <v>403.69088351963347</v>
      </c>
      <c r="V22" s="291">
        <v>26.558610757870632</v>
      </c>
      <c r="W22" t="s">
        <v>2531</v>
      </c>
    </row>
    <row r="23" spans="1:23" x14ac:dyDescent="0.25">
      <c r="A23" s="2" t="s">
        <v>2526</v>
      </c>
      <c r="B23" s="2">
        <v>2103002000</v>
      </c>
      <c r="C23" s="2" t="s">
        <v>2527</v>
      </c>
      <c r="D23" s="290">
        <v>4.0148138126104761E-4</v>
      </c>
      <c r="E23" s="290">
        <v>1.8949921195521451E-4</v>
      </c>
      <c r="F23" s="290">
        <v>3.7337768457277421E-4</v>
      </c>
      <c r="G23" s="290">
        <v>3.2078362362757709E-4</v>
      </c>
      <c r="H23" s="290">
        <v>3.2078362362757709E-4</v>
      </c>
      <c r="I23" s="290">
        <v>5.0825535460742337E-5</v>
      </c>
      <c r="J23" s="290">
        <v>5.24234313581613E-3</v>
      </c>
      <c r="K23" s="114">
        <v>18.456877950864644</v>
      </c>
      <c r="L23" s="291">
        <v>1.2205033990335847</v>
      </c>
      <c r="M23" s="114" t="s">
        <v>2531</v>
      </c>
      <c r="N23" s="290">
        <v>3.7940475162931154E-4</v>
      </c>
      <c r="O23" s="290">
        <v>1.7907904276903496E-4</v>
      </c>
      <c r="P23" s="290">
        <v>3.5284641901525964E-4</v>
      </c>
      <c r="Q23" s="290">
        <v>3.0314439655181985E-4</v>
      </c>
      <c r="R23" s="290">
        <v>3.0314439655181985E-4</v>
      </c>
      <c r="S23" s="290">
        <v>4.8030744532512681E-5</v>
      </c>
      <c r="T23" s="290">
        <v>4.9540775443997322E-3</v>
      </c>
      <c r="U23" s="114">
        <v>17.43676104884138</v>
      </c>
      <c r="V23" s="291">
        <v>1.1533904449531067</v>
      </c>
      <c r="W23" t="s">
        <v>2531</v>
      </c>
    </row>
    <row r="24" spans="1:23" x14ac:dyDescent="0.25">
      <c r="A24" s="2" t="s">
        <v>2526</v>
      </c>
      <c r="B24" s="2">
        <v>2103008000</v>
      </c>
      <c r="C24" s="2" t="s">
        <v>2528</v>
      </c>
      <c r="D24" s="290">
        <v>1.2267802496122725E-3</v>
      </c>
      <c r="E24" s="290">
        <v>4.8776475754854209E-5</v>
      </c>
      <c r="F24" s="290">
        <v>1.0633485245822149E-5</v>
      </c>
      <c r="G24" s="290">
        <v>3.4500168382878602E-4</v>
      </c>
      <c r="H24" s="290">
        <v>3.4500168382878602E-4</v>
      </c>
      <c r="I24" s="290">
        <v>1.2632663031087653E-5</v>
      </c>
      <c r="J24" s="290">
        <v>2.4538740814386119E-3</v>
      </c>
      <c r="K24" s="114">
        <v>11.138643290370357</v>
      </c>
      <c r="L24" s="291">
        <v>0.91979647376361562</v>
      </c>
      <c r="M24" s="114" t="s">
        <v>2531</v>
      </c>
      <c r="N24" s="290">
        <v>1.0057156829621557E-3</v>
      </c>
      <c r="O24" s="290">
        <v>4.0923651207836456E-5</v>
      </c>
      <c r="P24" s="290">
        <v>8.6857798127814725E-6</v>
      </c>
      <c r="Q24" s="290">
        <v>2.969413117542813E-4</v>
      </c>
      <c r="R24" s="290">
        <v>2.969413117542813E-4</v>
      </c>
      <c r="S24" s="290">
        <v>1.1445738305269716E-5</v>
      </c>
      <c r="T24" s="290">
        <v>2.15893954093954E-3</v>
      </c>
      <c r="U24" s="114">
        <v>9.0984094863238223</v>
      </c>
      <c r="V24" s="291">
        <v>0.75131995380559735</v>
      </c>
      <c r="W24" t="s">
        <v>2531</v>
      </c>
    </row>
    <row r="25" spans="1:23" x14ac:dyDescent="0.25">
      <c r="A25" s="44" t="s">
        <v>2526</v>
      </c>
      <c r="B25" s="44">
        <v>2102012000</v>
      </c>
      <c r="C25" s="44" t="s">
        <v>2228</v>
      </c>
      <c r="D25" s="292">
        <v>5.2382327984415976E-4</v>
      </c>
      <c r="E25" s="292">
        <v>2.7346164289603576E-2</v>
      </c>
      <c r="F25" s="292">
        <v>1.9363248899601761E-2</v>
      </c>
      <c r="G25" s="292">
        <v>2.7260720241086742E-3</v>
      </c>
      <c r="H25" s="292">
        <v>2.7260720241086742E-3</v>
      </c>
      <c r="I25" s="292">
        <v>1.9058091583470184E-5</v>
      </c>
      <c r="J25" s="292">
        <v>6.5100227441401174E-3</v>
      </c>
      <c r="K25" s="245">
        <v>145.09904851683226</v>
      </c>
      <c r="L25" s="293">
        <v>1.0476465596883191</v>
      </c>
      <c r="M25" s="245" t="s">
        <v>2532</v>
      </c>
      <c r="N25" s="292">
        <v>5.2382327984415976E-4</v>
      </c>
      <c r="O25" s="292">
        <v>2.7346164289603576E-2</v>
      </c>
      <c r="P25" s="292">
        <v>1.9363248899601761E-2</v>
      </c>
      <c r="Q25" s="292">
        <v>2.7260720241086742E-3</v>
      </c>
      <c r="R25" s="292">
        <v>2.7260720241086742E-3</v>
      </c>
      <c r="S25" s="292">
        <v>1.9058091583470184E-5</v>
      </c>
      <c r="T25" s="292">
        <v>6.5100227441401174E-3</v>
      </c>
      <c r="U25" s="245">
        <v>145.09904851683226</v>
      </c>
      <c r="V25" s="293">
        <v>1.0476465596883191</v>
      </c>
      <c r="W25" s="9" t="s">
        <v>2532</v>
      </c>
    </row>
    <row r="26" spans="1:23" x14ac:dyDescent="0.25">
      <c r="A26" s="71" t="s">
        <v>2526</v>
      </c>
      <c r="B26" s="71" t="s">
        <v>2462</v>
      </c>
      <c r="C26" s="71"/>
      <c r="D26" s="294">
        <v>12.982224968350403</v>
      </c>
      <c r="E26" s="294">
        <v>3.2020567360108574</v>
      </c>
      <c r="F26" s="294">
        <v>4.9588615268800842</v>
      </c>
      <c r="G26" s="294">
        <v>3.6890522220078803</v>
      </c>
      <c r="H26" s="294">
        <v>3.6890522220078803</v>
      </c>
      <c r="I26" s="294">
        <v>0.1764900423920637</v>
      </c>
      <c r="J26" s="294">
        <v>39.249007721810969</v>
      </c>
      <c r="K26" s="244">
        <v>63317.947859153413</v>
      </c>
      <c r="L26" s="244"/>
      <c r="M26" s="244"/>
      <c r="N26" s="294">
        <v>11.68088433909508</v>
      </c>
      <c r="O26" s="294">
        <v>2.9815658760211061</v>
      </c>
      <c r="P26" s="294">
        <v>4.5935357475597467</v>
      </c>
      <c r="Q26" s="294">
        <v>3.2765785788635249</v>
      </c>
      <c r="R26" s="294">
        <v>3.2765785788635249</v>
      </c>
      <c r="S26" s="294">
        <v>0.1595405829066204</v>
      </c>
      <c r="T26" s="294">
        <v>34.577014651110964</v>
      </c>
      <c r="U26" s="244">
        <v>58836.0303528726</v>
      </c>
    </row>
    <row r="27" spans="1:23" x14ac:dyDescent="0.25">
      <c r="A27" s="2"/>
      <c r="B27" s="2"/>
      <c r="C27" s="2"/>
      <c r="D27" s="290"/>
      <c r="E27" s="290"/>
      <c r="F27" s="290"/>
      <c r="G27" s="290"/>
      <c r="H27" s="290"/>
      <c r="I27" s="290"/>
      <c r="J27" s="290"/>
      <c r="K27" s="290"/>
      <c r="L27" s="290"/>
      <c r="M27" s="290"/>
      <c r="N27" s="290"/>
      <c r="O27" s="290"/>
      <c r="P27" s="290"/>
      <c r="Q27" s="290"/>
      <c r="R27" s="290"/>
      <c r="S27" s="290"/>
      <c r="T27" s="290"/>
    </row>
    <row r="28" spans="1:23" x14ac:dyDescent="0.25">
      <c r="A28" s="2" t="s">
        <v>2529</v>
      </c>
      <c r="B28" s="2">
        <v>2104008100</v>
      </c>
      <c r="C28" s="2" t="s">
        <v>2152</v>
      </c>
      <c r="D28" s="290">
        <v>3.9191265279381446</v>
      </c>
      <c r="E28" s="290">
        <v>4.4496633068293337E-2</v>
      </c>
      <c r="F28" s="290">
        <v>6.8456358566605134E-3</v>
      </c>
      <c r="G28" s="290">
        <v>0.59214750160113427</v>
      </c>
      <c r="H28" s="290">
        <v>0.59214750160113427</v>
      </c>
      <c r="I28" s="290">
        <v>3.0805361354972305E-2</v>
      </c>
      <c r="J28" s="290">
        <v>4.3230190434811124</v>
      </c>
      <c r="K28" s="114">
        <v>547.57448776659123</v>
      </c>
      <c r="L28" s="291">
        <v>48.897802876183917</v>
      </c>
      <c r="M28" s="114" t="s">
        <v>2531</v>
      </c>
      <c r="N28" s="290">
        <v>3.6253761317805178</v>
      </c>
      <c r="O28" s="290">
        <v>4.1161475732005889E-2</v>
      </c>
      <c r="P28" s="290">
        <v>6.3325347280009043E-3</v>
      </c>
      <c r="Q28" s="290">
        <v>0.54776425397207817</v>
      </c>
      <c r="R28" s="290">
        <v>0.54776425397207817</v>
      </c>
      <c r="S28" s="290">
        <v>2.8496406276004065E-2</v>
      </c>
      <c r="T28" s="290">
        <v>3.9989956807325693</v>
      </c>
      <c r="U28" s="114">
        <v>506.53212244345167</v>
      </c>
      <c r="V28" s="291">
        <v>45.232764540799195</v>
      </c>
      <c r="W28" t="s">
        <v>2531</v>
      </c>
    </row>
    <row r="29" spans="1:23" x14ac:dyDescent="0.25">
      <c r="A29" s="2" t="s">
        <v>2529</v>
      </c>
      <c r="B29" s="2">
        <v>2104008210</v>
      </c>
      <c r="C29" s="2" t="s">
        <v>2156</v>
      </c>
      <c r="D29" s="290">
        <v>9.195700415871122E-2</v>
      </c>
      <c r="E29" s="290">
        <v>4.8581058800828561E-3</v>
      </c>
      <c r="F29" s="290">
        <v>6.9401512572612252E-4</v>
      </c>
      <c r="G29" s="290">
        <v>5.3092157118048364E-2</v>
      </c>
      <c r="H29" s="290">
        <v>5.3092157118048364E-2</v>
      </c>
      <c r="I29" s="290">
        <v>2.9495642843360196E-3</v>
      </c>
      <c r="J29" s="290">
        <v>0.40044672754397259</v>
      </c>
      <c r="K29" s="114">
        <v>55.51346652510005</v>
      </c>
      <c r="L29" s="291">
        <v>4.9572918456987214</v>
      </c>
      <c r="M29" s="114" t="s">
        <v>2531</v>
      </c>
      <c r="N29" s="290">
        <v>8.0277227694915937E-2</v>
      </c>
      <c r="O29" s="290">
        <v>4.2410610857691418E-3</v>
      </c>
      <c r="P29" s="290">
        <v>6.0586586939559179E-4</v>
      </c>
      <c r="Q29" s="290">
        <v>4.6348739008762768E-2</v>
      </c>
      <c r="R29" s="290">
        <v>4.6348739008762768E-2</v>
      </c>
      <c r="S29" s="290">
        <v>2.5749299449312644E-3</v>
      </c>
      <c r="T29" s="290">
        <v>0.34958460664125646</v>
      </c>
      <c r="U29" s="114">
        <v>48.462509551507416</v>
      </c>
      <c r="V29" s="291">
        <v>4.3276490995776644</v>
      </c>
      <c r="W29" t="s">
        <v>2531</v>
      </c>
    </row>
    <row r="30" spans="1:23" x14ac:dyDescent="0.25">
      <c r="A30" s="2" t="s">
        <v>2529</v>
      </c>
      <c r="B30" s="2">
        <v>2104008220</v>
      </c>
      <c r="C30" s="2" t="s">
        <v>2159</v>
      </c>
      <c r="D30" s="290">
        <v>4.3835722895431986E-2</v>
      </c>
      <c r="E30" s="290">
        <v>7.3059538159053316E-3</v>
      </c>
      <c r="F30" s="290">
        <v>1.4611907631810665E-3</v>
      </c>
      <c r="G30" s="290">
        <v>4.3835722895431986E-2</v>
      </c>
      <c r="H30" s="290">
        <v>4.3835722895431986E-2</v>
      </c>
      <c r="I30" s="290">
        <v>3.2876792171573988E-3</v>
      </c>
      <c r="J30" s="290">
        <v>0.51433914863973529</v>
      </c>
      <c r="K30" s="114">
        <v>116.87895769385297</v>
      </c>
      <c r="L30" s="291">
        <v>10.437163091725322</v>
      </c>
      <c r="M30" s="114" t="s">
        <v>2531</v>
      </c>
      <c r="N30" s="290">
        <v>3.8267996442927527E-2</v>
      </c>
      <c r="O30" s="290">
        <v>6.3779994071545866E-3</v>
      </c>
      <c r="P30" s="290">
        <v>1.2755998814309175E-3</v>
      </c>
      <c r="Q30" s="290">
        <v>3.8267996442927527E-2</v>
      </c>
      <c r="R30" s="290">
        <v>3.8267996442927527E-2</v>
      </c>
      <c r="S30" s="290">
        <v>2.870099733219565E-3</v>
      </c>
      <c r="T30" s="290">
        <v>0.44901115826368293</v>
      </c>
      <c r="U30" s="114">
        <v>102.03375789994176</v>
      </c>
      <c r="V30" s="291">
        <v>9.111502986301165</v>
      </c>
      <c r="W30" t="s">
        <v>2531</v>
      </c>
    </row>
    <row r="31" spans="1:23" x14ac:dyDescent="0.25">
      <c r="A31" s="2" t="s">
        <v>2529</v>
      </c>
      <c r="B31" s="2">
        <v>2104008230</v>
      </c>
      <c r="C31" s="2" t="s">
        <v>2162</v>
      </c>
      <c r="D31" s="290">
        <v>3.299039343409612E-2</v>
      </c>
      <c r="E31" s="290">
        <v>4.3987191245461474E-3</v>
      </c>
      <c r="F31" s="290">
        <v>8.797438249092299E-4</v>
      </c>
      <c r="G31" s="290">
        <v>2.8591674309549966E-2</v>
      </c>
      <c r="H31" s="290">
        <v>2.8591674309549966E-2</v>
      </c>
      <c r="I31" s="290">
        <v>1.9794236060457675E-3</v>
      </c>
      <c r="J31" s="290">
        <v>0.23533147316321895</v>
      </c>
      <c r="K31" s="114">
        <v>70.369690175938132</v>
      </c>
      <c r="L31" s="291">
        <v>6.2839363694896742</v>
      </c>
      <c r="M31" s="114" t="s">
        <v>2531</v>
      </c>
      <c r="N31" s="290">
        <v>2.8800169706299731E-2</v>
      </c>
      <c r="O31" s="290">
        <v>3.8400226275066307E-3</v>
      </c>
      <c r="P31" s="290">
        <v>7.6800452550132613E-4</v>
      </c>
      <c r="Q31" s="290">
        <v>2.4960147078793096E-2</v>
      </c>
      <c r="R31" s="290">
        <v>2.4960147078793096E-2</v>
      </c>
      <c r="S31" s="290">
        <v>1.7280101823779837E-3</v>
      </c>
      <c r="T31" s="290">
        <v>0.20544121057160475</v>
      </c>
      <c r="U31" s="114">
        <v>61.43179296407439</v>
      </c>
      <c r="V31" s="291">
        <v>5.4857919238346335</v>
      </c>
      <c r="W31" t="s">
        <v>2531</v>
      </c>
    </row>
    <row r="32" spans="1:23" x14ac:dyDescent="0.25">
      <c r="A32" s="2" t="s">
        <v>2529</v>
      </c>
      <c r="B32" s="2">
        <v>2104008310</v>
      </c>
      <c r="C32" s="2" t="s">
        <v>2165</v>
      </c>
      <c r="D32" s="290">
        <v>1.8661957348705005</v>
      </c>
      <c r="E32" s="290">
        <v>5.1131743182112527E-2</v>
      </c>
      <c r="F32" s="290">
        <v>1.4084496112230199E-2</v>
      </c>
      <c r="G32" s="290">
        <v>0.42753591418217546</v>
      </c>
      <c r="H32" s="290">
        <v>0.42753591418217546</v>
      </c>
      <c r="I32" s="290">
        <v>1.3979867504487337E-2</v>
      </c>
      <c r="J32" s="290">
        <v>4.2665685798034625</v>
      </c>
      <c r="K32" s="114">
        <v>1126.6025400111289</v>
      </c>
      <c r="L32" s="291">
        <v>100.60437465953352</v>
      </c>
      <c r="M32" s="114" t="s">
        <v>2531</v>
      </c>
      <c r="N32" s="290">
        <v>1.629163773897131</v>
      </c>
      <c r="O32" s="290">
        <v>4.4637324012687128E-2</v>
      </c>
      <c r="P32" s="290">
        <v>1.2295575652053822E-2</v>
      </c>
      <c r="Q32" s="290">
        <v>0.37323310219328432</v>
      </c>
      <c r="R32" s="290">
        <v>0.37323310219328432</v>
      </c>
      <c r="S32" s="290">
        <v>1.2204236284878708E-2</v>
      </c>
      <c r="T32" s="290">
        <v>3.7246569795348248</v>
      </c>
      <c r="U32" s="114">
        <v>983.5088632297128</v>
      </c>
      <c r="V32" s="291">
        <v>87.826265824286622</v>
      </c>
      <c r="W32" t="s">
        <v>2531</v>
      </c>
    </row>
    <row r="33" spans="1:31" x14ac:dyDescent="0.25">
      <c r="A33" s="2" t="s">
        <v>2529</v>
      </c>
      <c r="B33" s="2">
        <v>2104008320</v>
      </c>
      <c r="C33" s="2" t="s">
        <v>2169</v>
      </c>
      <c r="D33" s="290">
        <v>0.88961183382213072</v>
      </c>
      <c r="E33" s="290">
        <v>0.11927023159325147</v>
      </c>
      <c r="F33" s="290">
        <v>2.9653727794071025E-2</v>
      </c>
      <c r="G33" s="290">
        <v>0.58752376804891093</v>
      </c>
      <c r="H33" s="290">
        <v>0.58752376804891093</v>
      </c>
      <c r="I33" s="290">
        <v>1.8514433673281629E-2</v>
      </c>
      <c r="J33" s="290">
        <v>9.1660375769647811</v>
      </c>
      <c r="K33" s="114">
        <v>2371.9673595272889</v>
      </c>
      <c r="L33" s="291">
        <v>211.8140909887444</v>
      </c>
      <c r="M33" s="114" t="s">
        <v>2531</v>
      </c>
      <c r="N33" s="290">
        <v>0.7766191645453423</v>
      </c>
      <c r="O33" s="290">
        <v>0.10412130784851997</v>
      </c>
      <c r="P33" s="290">
        <v>2.5887305484844744E-2</v>
      </c>
      <c r="Q33" s="290">
        <v>0.51290034658408756</v>
      </c>
      <c r="R33" s="290">
        <v>0.51290034658408756</v>
      </c>
      <c r="S33" s="290">
        <v>1.6162851554702918E-2</v>
      </c>
      <c r="T33" s="290">
        <v>8.0018275101282903</v>
      </c>
      <c r="U33" s="114">
        <v>2070.6955989675139</v>
      </c>
      <c r="V33" s="291">
        <v>184.91085227121624</v>
      </c>
      <c r="W33" t="s">
        <v>2531</v>
      </c>
    </row>
    <row r="34" spans="1:31" x14ac:dyDescent="0.25">
      <c r="A34" s="2" t="s">
        <v>2529</v>
      </c>
      <c r="B34" s="2">
        <v>2104008330</v>
      </c>
      <c r="C34" s="2" t="s">
        <v>2172</v>
      </c>
      <c r="D34" s="290">
        <v>0.66951432445700954</v>
      </c>
      <c r="E34" s="290">
        <v>7.1809412147683022E-2</v>
      </c>
      <c r="F34" s="290">
        <v>1.7853715318853595E-2</v>
      </c>
      <c r="G34" s="290">
        <v>0.39249751206064354</v>
      </c>
      <c r="H34" s="290">
        <v>0.39249751206064354</v>
      </c>
      <c r="I34" s="290">
        <v>1.1147044661233372E-2</v>
      </c>
      <c r="J34" s="290">
        <v>5.5186257403281207</v>
      </c>
      <c r="K34" s="114">
        <v>1428.0980211560529</v>
      </c>
      <c r="L34" s="291">
        <v>127.52759138063253</v>
      </c>
      <c r="M34" s="114" t="s">
        <v>2531</v>
      </c>
      <c r="N34" s="290">
        <v>0.5844769994537895</v>
      </c>
      <c r="O34" s="290">
        <v>6.2688650879363358E-2</v>
      </c>
      <c r="P34" s="290">
        <v>1.5586053318767723E-2</v>
      </c>
      <c r="Q34" s="290">
        <v>0.34264504845110733</v>
      </c>
      <c r="R34" s="290">
        <v>0.34264504845110733</v>
      </c>
      <c r="S34" s="290">
        <v>9.7312200476950567E-3</v>
      </c>
      <c r="T34" s="290">
        <v>4.8176860389527656</v>
      </c>
      <c r="U34" s="114">
        <v>1246.7103627814618</v>
      </c>
      <c r="V34" s="291">
        <v>111.32987187118374</v>
      </c>
      <c r="W34" t="s">
        <v>2531</v>
      </c>
    </row>
    <row r="35" spans="1:31" x14ac:dyDescent="0.25">
      <c r="A35" s="2" t="s">
        <v>2529</v>
      </c>
      <c r="B35" s="2">
        <v>2104008410</v>
      </c>
      <c r="C35" s="2" t="s">
        <v>2175</v>
      </c>
      <c r="D35" s="290">
        <v>1.1218338499103709E-2</v>
      </c>
      <c r="E35" s="290">
        <v>1.9590713660505115E-2</v>
      </c>
      <c r="F35" s="290">
        <v>1.5656914014389707E-3</v>
      </c>
      <c r="G35" s="290">
        <v>1.4482645463310477E-2</v>
      </c>
      <c r="H35" s="290">
        <v>1.4482645463310477E-2</v>
      </c>
      <c r="I35" s="290">
        <v>3.5169343104822872E-4</v>
      </c>
      <c r="J35" s="290">
        <v>4.859514687216205E-2</v>
      </c>
      <c r="K35" s="114">
        <v>149.55698505986084</v>
      </c>
      <c r="L35" s="291">
        <v>13.35527519560169</v>
      </c>
      <c r="M35" s="114" t="s">
        <v>2531</v>
      </c>
      <c r="N35" s="290">
        <v>9.7934586091654088E-3</v>
      </c>
      <c r="O35" s="290">
        <v>1.710242950624969E-2</v>
      </c>
      <c r="P35" s="290">
        <v>1.3668275329670092E-3</v>
      </c>
      <c r="Q35" s="290">
        <v>1.2643154679944833E-2</v>
      </c>
      <c r="R35" s="290">
        <v>1.2643154679944833E-2</v>
      </c>
      <c r="S35" s="290">
        <v>3.0702363459271439E-4</v>
      </c>
      <c r="T35" s="290">
        <v>4.2422909554463532E-2</v>
      </c>
      <c r="U35" s="114">
        <v>130.56123623051107</v>
      </c>
      <c r="V35" s="291">
        <v>11.658975600761956</v>
      </c>
      <c r="W35" t="s">
        <v>2531</v>
      </c>
    </row>
    <row r="36" spans="1:31" x14ac:dyDescent="0.25">
      <c r="A36" s="2" t="s">
        <v>2529</v>
      </c>
      <c r="B36" s="2">
        <v>2104008420</v>
      </c>
      <c r="C36" s="2" t="s">
        <v>2179</v>
      </c>
      <c r="D36" s="290">
        <v>3.7839804407692863E-2</v>
      </c>
      <c r="E36" s="290">
        <v>6.6080086028769539E-2</v>
      </c>
      <c r="F36" s="290">
        <v>5.2811257565450196E-3</v>
      </c>
      <c r="G36" s="290">
        <v>4.8850413248041437E-2</v>
      </c>
      <c r="H36" s="290">
        <v>4.8850413248041437E-2</v>
      </c>
      <c r="I36" s="290">
        <v>1.1862728730639251E-3</v>
      </c>
      <c r="J36" s="290">
        <v>0.16391294066876602</v>
      </c>
      <c r="K36" s="114">
        <v>504.46035862810908</v>
      </c>
      <c r="L36" s="291">
        <v>45.047758297974006</v>
      </c>
      <c r="M36" s="114" t="s">
        <v>2531</v>
      </c>
      <c r="N36" s="290">
        <v>3.3033640255663771E-2</v>
      </c>
      <c r="O36" s="290">
        <v>5.7687026244086718E-2</v>
      </c>
      <c r="P36" s="290">
        <v>4.6103517477791584E-3</v>
      </c>
      <c r="Q36" s="290">
        <v>4.2645753666957213E-2</v>
      </c>
      <c r="R36" s="290">
        <v>4.2645753666957213E-2</v>
      </c>
      <c r="S36" s="290">
        <v>1.0356002613448937E-3</v>
      </c>
      <c r="T36" s="290">
        <v>0.14309379237169562</v>
      </c>
      <c r="U36" s="114">
        <v>440.38710746549856</v>
      </c>
      <c r="V36" s="291">
        <v>39.326087045968841</v>
      </c>
      <c r="W36" t="s">
        <v>2531</v>
      </c>
    </row>
    <row r="37" spans="1:31" x14ac:dyDescent="0.25">
      <c r="A37" s="2" t="s">
        <v>2529</v>
      </c>
      <c r="B37" s="2">
        <v>2104008610</v>
      </c>
      <c r="C37" s="2" t="s">
        <v>2182</v>
      </c>
      <c r="D37" s="290">
        <v>1.2493058927294594</v>
      </c>
      <c r="E37" s="290">
        <v>4.4378799053252357E-2</v>
      </c>
      <c r="F37" s="290">
        <v>1.1007100376471009E-2</v>
      </c>
      <c r="G37" s="290">
        <v>0.27160438666988623</v>
      </c>
      <c r="H37" s="290">
        <v>0.27160438666988623</v>
      </c>
      <c r="I37" s="290">
        <v>6.7076876075647012E-3</v>
      </c>
      <c r="J37" s="290">
        <v>1.6667685147304507</v>
      </c>
      <c r="K37" s="114">
        <v>880.4452174559284</v>
      </c>
      <c r="L37" s="291">
        <v>78.622794977238073</v>
      </c>
      <c r="M37" s="114" t="s">
        <v>2531</v>
      </c>
      <c r="N37" s="290">
        <v>1.1424836096524944</v>
      </c>
      <c r="O37" s="290">
        <v>4.0584176244962369E-2</v>
      </c>
      <c r="P37" s="290">
        <v>1.0065934886806118E-2</v>
      </c>
      <c r="Q37" s="290">
        <v>0.24838077038291898</v>
      </c>
      <c r="R37" s="290">
        <v>0.24838077038291898</v>
      </c>
      <c r="S37" s="290">
        <v>6.1341447238105352E-3</v>
      </c>
      <c r="T37" s="290">
        <v>1.5242509622715306</v>
      </c>
      <c r="U37" s="114">
        <v>805.16247941700328</v>
      </c>
      <c r="V37" s="291">
        <v>71.900128806976539</v>
      </c>
      <c r="W37" t="s">
        <v>2531</v>
      </c>
    </row>
    <row r="38" spans="1:31" x14ac:dyDescent="0.25">
      <c r="A38" s="2" t="s">
        <v>2529</v>
      </c>
      <c r="B38" s="2">
        <v>2104004000</v>
      </c>
      <c r="C38" s="2" t="s">
        <v>2196</v>
      </c>
      <c r="D38" s="290">
        <v>7.3683800632283372E-2</v>
      </c>
      <c r="E38" s="290">
        <v>1.1544907100842863</v>
      </c>
      <c r="F38" s="290">
        <v>2.9868889991394383</v>
      </c>
      <c r="G38" s="290">
        <v>4.7186268804534887E-2</v>
      </c>
      <c r="H38" s="290">
        <v>4.7186268804534887E-2</v>
      </c>
      <c r="I38" s="290">
        <v>2.5315433213632969E-3</v>
      </c>
      <c r="J38" s="290">
        <v>4.6281865319114629E-2</v>
      </c>
      <c r="K38" s="114">
        <v>27739.555639805822</v>
      </c>
      <c r="L38" s="291">
        <v>206.68667779041621</v>
      </c>
      <c r="M38" s="114" t="s">
        <v>2532</v>
      </c>
      <c r="N38" s="290">
        <v>6.8198812932394631E-2</v>
      </c>
      <c r="O38" s="290">
        <v>1.0685509609113357</v>
      </c>
      <c r="P38" s="290">
        <v>2.7645463772791472</v>
      </c>
      <c r="Q38" s="290">
        <v>4.3673744996376142E-2</v>
      </c>
      <c r="R38" s="290">
        <v>4.3673744996376142E-2</v>
      </c>
      <c r="S38" s="290">
        <v>2.34309641905558E-3</v>
      </c>
      <c r="T38" s="290">
        <v>4.283666488394558E-2</v>
      </c>
      <c r="U38" s="114">
        <v>25674.63607568045</v>
      </c>
      <c r="V38" s="291">
        <v>191.30101804318267</v>
      </c>
      <c r="W38" t="s">
        <v>2532</v>
      </c>
    </row>
    <row r="39" spans="1:31" x14ac:dyDescent="0.25">
      <c r="A39" s="2" t="s">
        <v>2529</v>
      </c>
      <c r="B39" s="2">
        <v>2103004001</v>
      </c>
      <c r="C39" s="2" t="s">
        <v>2206</v>
      </c>
      <c r="D39" s="290">
        <v>2.2615084927404702E-2</v>
      </c>
      <c r="E39" s="290">
        <v>0.57092781022901085</v>
      </c>
      <c r="F39" s="290">
        <v>0.4035571508392084</v>
      </c>
      <c r="G39" s="290">
        <v>1.448244345792285E-2</v>
      </c>
      <c r="H39" s="290">
        <v>1.448244345792285E-2</v>
      </c>
      <c r="I39" s="290">
        <v>7.7698309151756108E-4</v>
      </c>
      <c r="J39" s="290">
        <v>1.4204863291645997E-2</v>
      </c>
      <c r="K39" s="114">
        <v>8785.9446351908937</v>
      </c>
      <c r="L39" s="291">
        <v>65.46383552346073</v>
      </c>
      <c r="M39" s="114" t="s">
        <v>2532</v>
      </c>
      <c r="N39" s="290">
        <v>2.22356867432984E-2</v>
      </c>
      <c r="O39" s="290">
        <v>0.56134973545493849</v>
      </c>
      <c r="P39" s="290">
        <v>0.3967869418966819</v>
      </c>
      <c r="Q39" s="290">
        <v>1.4239481171157349E-2</v>
      </c>
      <c r="R39" s="290">
        <v>1.4239481171157349E-2</v>
      </c>
      <c r="S39" s="290">
        <v>7.6394816483259199E-4</v>
      </c>
      <c r="T39" s="290">
        <v>1.3966557782043502E-2</v>
      </c>
      <c r="U39" s="114">
        <v>8638.5487067232243</v>
      </c>
      <c r="V39" s="291">
        <v>64.365592452432594</v>
      </c>
      <c r="W39" t="s">
        <v>2532</v>
      </c>
    </row>
    <row r="40" spans="1:31" x14ac:dyDescent="0.25">
      <c r="A40" s="2" t="s">
        <v>2529</v>
      </c>
      <c r="B40" s="2">
        <v>2104004000</v>
      </c>
      <c r="C40" s="2" t="s">
        <v>2210</v>
      </c>
      <c r="D40" s="290">
        <v>4.9937689796699248E-4</v>
      </c>
      <c r="E40" s="290">
        <v>1.2606990411508931E-2</v>
      </c>
      <c r="F40" s="290">
        <v>2.0243029677658553E-2</v>
      </c>
      <c r="G40" s="290">
        <v>2.8015534247797629E-4</v>
      </c>
      <c r="H40" s="290">
        <v>2.8015534247797629E-4</v>
      </c>
      <c r="I40" s="290">
        <v>1.7157017418256977E-5</v>
      </c>
      <c r="J40" s="290">
        <v>3.1366588228158533E-4</v>
      </c>
      <c r="K40" s="114">
        <v>191.89940571385182</v>
      </c>
      <c r="L40" s="291">
        <v>1.4007767123898818</v>
      </c>
      <c r="M40" s="114" t="s">
        <v>2532</v>
      </c>
      <c r="N40" s="290">
        <v>4.7220317011981329E-4</v>
      </c>
      <c r="O40" s="290">
        <v>1.192097764678351E-2</v>
      </c>
      <c r="P40" s="290">
        <v>1.9141499788105223E-2</v>
      </c>
      <c r="Q40" s="290">
        <v>2.6491061437296687E-4</v>
      </c>
      <c r="R40" s="290">
        <v>2.6491061437296687E-4</v>
      </c>
      <c r="S40" s="290">
        <v>1.6223413713538054E-5</v>
      </c>
      <c r="T40" s="290">
        <v>2.9659766916486936E-4</v>
      </c>
      <c r="U40" s="114">
        <v>181.45714808012306</v>
      </c>
      <c r="V40" s="291">
        <v>1.3245530718648348</v>
      </c>
      <c r="W40" t="s">
        <v>2532</v>
      </c>
    </row>
    <row r="41" spans="1:31" x14ac:dyDescent="0.25">
      <c r="A41" s="2" t="s">
        <v>2529</v>
      </c>
      <c r="B41" s="2">
        <v>2104004000</v>
      </c>
      <c r="C41" s="2" t="s">
        <v>2214</v>
      </c>
      <c r="D41" s="290">
        <v>1.5396693543383267E-3</v>
      </c>
      <c r="E41" s="290">
        <v>2.4123809452443908E-2</v>
      </c>
      <c r="F41" s="290">
        <v>6.2412924107098387E-2</v>
      </c>
      <c r="G41" s="290">
        <v>9.859867623614679E-4</v>
      </c>
      <c r="H41" s="290">
        <v>9.859867623614679E-4</v>
      </c>
      <c r="I41" s="290">
        <v>5.2898189800692748E-5</v>
      </c>
      <c r="J41" s="290">
        <v>9.6708868274953969E-4</v>
      </c>
      <c r="K41" s="114">
        <v>539.85601484513597</v>
      </c>
      <c r="L41" s="291">
        <v>4.3188481187610863</v>
      </c>
      <c r="M41" s="114" t="s">
        <v>2532</v>
      </c>
      <c r="N41" s="290">
        <v>1.2868711237802044E-3</v>
      </c>
      <c r="O41" s="290">
        <v>2.0162922443349707E-2</v>
      </c>
      <c r="P41" s="290">
        <v>5.2165349370499554E-2</v>
      </c>
      <c r="Q41" s="290">
        <v>8.2409764754835335E-4</v>
      </c>
      <c r="R41" s="290">
        <v>8.2409764754835335E-4</v>
      </c>
      <c r="S41" s="290">
        <v>4.4212838790969173E-5</v>
      </c>
      <c r="T41" s="290">
        <v>8.0830244263700995E-4</v>
      </c>
      <c r="U41" s="114">
        <v>451.2170840744057</v>
      </c>
      <c r="V41" s="291">
        <v>3.6097366725952438</v>
      </c>
      <c r="W41" t="s">
        <v>2532</v>
      </c>
    </row>
    <row r="42" spans="1:31" x14ac:dyDescent="0.25">
      <c r="A42" s="2" t="s">
        <v>2529</v>
      </c>
      <c r="B42" s="2">
        <v>2104006010</v>
      </c>
      <c r="C42" s="2" t="s">
        <v>2217</v>
      </c>
      <c r="D42" s="290">
        <v>6.2640334377998905E-4</v>
      </c>
      <c r="E42" s="290">
        <v>1.0705802602785268E-2</v>
      </c>
      <c r="F42" s="290">
        <v>6.8334910230544244E-5</v>
      </c>
      <c r="G42" s="290">
        <v>8.6557552958689327E-4</v>
      </c>
      <c r="H42" s="290">
        <v>8.6557552958689327E-4</v>
      </c>
      <c r="I42" s="290">
        <v>2.2778303410181419E-3</v>
      </c>
      <c r="J42" s="290">
        <v>4.5556606820362838E-3</v>
      </c>
      <c r="K42" s="114">
        <v>281.18883333333315</v>
      </c>
      <c r="L42" s="291">
        <v>277.03333333333342</v>
      </c>
      <c r="M42" s="114" t="s">
        <v>2533</v>
      </c>
      <c r="N42" s="290">
        <v>6.2640334377998905E-4</v>
      </c>
      <c r="O42" s="290">
        <v>1.0705802602785268E-2</v>
      </c>
      <c r="P42" s="290">
        <v>6.8334910230544244E-5</v>
      </c>
      <c r="Q42" s="290">
        <v>8.6557552958689327E-4</v>
      </c>
      <c r="R42" s="290">
        <v>8.6557552958689327E-4</v>
      </c>
      <c r="S42" s="290">
        <v>2.2778303410181419E-3</v>
      </c>
      <c r="T42" s="290">
        <v>4.5556606820362838E-3</v>
      </c>
      <c r="U42" s="114">
        <v>281.18883333333315</v>
      </c>
      <c r="V42" s="291">
        <v>277.03333333333342</v>
      </c>
      <c r="W42" t="s">
        <v>2533</v>
      </c>
    </row>
    <row r="43" spans="1:31" x14ac:dyDescent="0.25">
      <c r="A43" s="2" t="s">
        <v>2529</v>
      </c>
      <c r="B43" s="2">
        <v>2103006000</v>
      </c>
      <c r="C43" s="2" t="s">
        <v>2221</v>
      </c>
      <c r="D43" s="290">
        <v>9.7086916666666578E-3</v>
      </c>
      <c r="E43" s="290">
        <v>0.17652166666666666</v>
      </c>
      <c r="F43" s="290">
        <v>1.0591299999999986E-3</v>
      </c>
      <c r="G43" s="290">
        <v>1.3415646666666668E-2</v>
      </c>
      <c r="H43" s="290">
        <v>1.3415646666666668E-2</v>
      </c>
      <c r="I43" s="290">
        <v>3.5304333333333326E-2</v>
      </c>
      <c r="J43" s="290">
        <v>7.0608666666666653E-2</v>
      </c>
      <c r="K43" s="114">
        <v>3583.3898333333341</v>
      </c>
      <c r="L43" s="291">
        <v>3530.4333333333338</v>
      </c>
      <c r="M43" s="114" t="s">
        <v>2533</v>
      </c>
      <c r="N43" s="290">
        <v>9.7086916666666578E-3</v>
      </c>
      <c r="O43" s="290">
        <v>0.17652166666666666</v>
      </c>
      <c r="P43" s="290">
        <v>1.0591299999999986E-3</v>
      </c>
      <c r="Q43" s="290">
        <v>1.3415646666666668E-2</v>
      </c>
      <c r="R43" s="290">
        <v>1.3415646666666668E-2</v>
      </c>
      <c r="S43" s="290">
        <v>3.5304333333333326E-2</v>
      </c>
      <c r="T43" s="290">
        <v>7.0608666666666653E-2</v>
      </c>
      <c r="U43" s="114">
        <v>3583.3898333333341</v>
      </c>
      <c r="V43" s="291">
        <v>3530.4333333333338</v>
      </c>
      <c r="W43" t="s">
        <v>2533</v>
      </c>
    </row>
    <row r="44" spans="1:31" x14ac:dyDescent="0.25">
      <c r="A44" s="2" t="s">
        <v>2529</v>
      </c>
      <c r="B44" s="2">
        <v>2104002000</v>
      </c>
      <c r="C44" s="2" t="s">
        <v>2223</v>
      </c>
      <c r="D44" s="290">
        <v>0.11180936513914108</v>
      </c>
      <c r="E44" s="290">
        <v>5.2774020345674598E-2</v>
      </c>
      <c r="F44" s="290">
        <v>0.10398270957940121</v>
      </c>
      <c r="G44" s="290">
        <v>8.9335682746173747E-2</v>
      </c>
      <c r="H44" s="290">
        <v>8.9335682746173747E-2</v>
      </c>
      <c r="I44" s="290">
        <v>1.4154506579789568E-2</v>
      </c>
      <c r="J44" s="290">
        <v>1.4599507853043348</v>
      </c>
      <c r="K44" s="114">
        <v>339.90047002298894</v>
      </c>
      <c r="L44" s="291">
        <v>22.361873027828214</v>
      </c>
      <c r="M44" s="114" t="s">
        <v>2531</v>
      </c>
      <c r="N44" s="290">
        <v>9.8250938820811706E-2</v>
      </c>
      <c r="O44" s="290">
        <v>4.6374443123423127E-2</v>
      </c>
      <c r="P44" s="290">
        <v>9.1373373103354874E-2</v>
      </c>
      <c r="Q44" s="290">
        <v>7.8502500117828569E-2</v>
      </c>
      <c r="R44" s="290">
        <v>7.8502500117828569E-2</v>
      </c>
      <c r="S44" s="290">
        <v>1.2438077600020659E-2</v>
      </c>
      <c r="T44" s="290">
        <v>1.2829116336527489</v>
      </c>
      <c r="U44" s="114">
        <v>298.68285401526759</v>
      </c>
      <c r="V44" s="291">
        <v>19.650187764162343</v>
      </c>
      <c r="W44" t="s">
        <v>2531</v>
      </c>
    </row>
    <row r="45" spans="1:31" x14ac:dyDescent="0.25">
      <c r="A45" s="2" t="s">
        <v>2529</v>
      </c>
      <c r="B45" s="2">
        <v>2103002000</v>
      </c>
      <c r="C45" s="2" t="s">
        <v>2527</v>
      </c>
      <c r="D45" s="290">
        <v>2.8645019898962393E-4</v>
      </c>
      <c r="E45" s="290">
        <v>1.3520449392310249E-4</v>
      </c>
      <c r="F45" s="290">
        <v>2.6639868506035018E-4</v>
      </c>
      <c r="G45" s="290">
        <v>2.2887370899270947E-4</v>
      </c>
      <c r="H45" s="290">
        <v>2.2887370899270947E-4</v>
      </c>
      <c r="I45" s="290">
        <v>3.6263162941091441E-5</v>
      </c>
      <c r="J45" s="290">
        <v>3.7403234733070136E-3</v>
      </c>
      <c r="K45" s="114">
        <v>13.168671346965224</v>
      </c>
      <c r="L45" s="291">
        <v>0.8708086049284568</v>
      </c>
      <c r="M45" s="114" t="s">
        <v>2531</v>
      </c>
      <c r="N45" s="290">
        <v>2.7069889582540766E-4</v>
      </c>
      <c r="O45" s="290">
        <v>1.2776987882959237E-4</v>
      </c>
      <c r="P45" s="290">
        <v>2.5174997311762907E-4</v>
      </c>
      <c r="Q45" s="290">
        <v>2.1628841776450067E-4</v>
      </c>
      <c r="R45" s="290">
        <v>2.1628841776450067E-4</v>
      </c>
      <c r="S45" s="290">
        <v>3.4269126717017481E-5</v>
      </c>
      <c r="T45" s="290">
        <v>3.5346508322402601E-3</v>
      </c>
      <c r="U45" s="114">
        <v>12.440835130353117</v>
      </c>
      <c r="V45" s="291">
        <v>0.8229246433092392</v>
      </c>
      <c r="W45" t="s">
        <v>2531</v>
      </c>
    </row>
    <row r="46" spans="1:31" x14ac:dyDescent="0.25">
      <c r="A46" s="2" t="s">
        <v>2529</v>
      </c>
      <c r="B46" s="2">
        <v>2103008000</v>
      </c>
      <c r="C46" s="2" t="s">
        <v>2528</v>
      </c>
      <c r="D46" s="290">
        <v>8.7528703202673379E-4</v>
      </c>
      <c r="E46" s="290">
        <v>3.4801193375654412E-5</v>
      </c>
      <c r="F46" s="290">
        <v>7.5868125068506339E-6</v>
      </c>
      <c r="G46" s="290">
        <v>2.4615288677671822E-4</v>
      </c>
      <c r="H46" s="290">
        <v>2.4615288677671822E-4</v>
      </c>
      <c r="I46" s="290">
        <v>9.0131921626299533E-6</v>
      </c>
      <c r="J46" s="290">
        <v>1.7507977996781105E-3</v>
      </c>
      <c r="K46" s="114">
        <v>7.9472342577361532</v>
      </c>
      <c r="L46" s="291">
        <v>0.65625928184257976</v>
      </c>
      <c r="M46" s="114" t="s">
        <v>2531</v>
      </c>
      <c r="N46" s="290">
        <v>7.1756118952917862E-4</v>
      </c>
      <c r="O46" s="290">
        <v>2.9198335412332746E-5</v>
      </c>
      <c r="P46" s="290">
        <v>6.1971575068721741E-6</v>
      </c>
      <c r="Q46" s="290">
        <v>2.1186262130783E-4</v>
      </c>
      <c r="R46" s="290">
        <v>2.1186262130783E-4</v>
      </c>
      <c r="S46" s="290">
        <v>8.1663413751081686E-6</v>
      </c>
      <c r="T46" s="290">
        <v>1.540366975838885E-3</v>
      </c>
      <c r="U46" s="114">
        <v>6.4915618245119404</v>
      </c>
      <c r="V46" s="291">
        <v>0.53605412434444311</v>
      </c>
      <c r="W46" t="s">
        <v>2531</v>
      </c>
    </row>
    <row r="47" spans="1:31" x14ac:dyDescent="0.25">
      <c r="A47" s="44" t="s">
        <v>2529</v>
      </c>
      <c r="B47" s="44">
        <v>2102012000</v>
      </c>
      <c r="C47" s="44" t="s">
        <v>2228</v>
      </c>
      <c r="D47" s="292">
        <v>3.7373908168656343E-4</v>
      </c>
      <c r="E47" s="292">
        <v>1.9511027330222776E-2</v>
      </c>
      <c r="F47" s="292">
        <v>1.3815351742974288E-2</v>
      </c>
      <c r="G47" s="292">
        <v>1.9450064441674248E-3</v>
      </c>
      <c r="H47" s="292">
        <v>1.9450064441674248E-3</v>
      </c>
      <c r="I47" s="292">
        <v>1.3597627141015247E-5</v>
      </c>
      <c r="J47" s="292">
        <v>4.6447915084595216E-3</v>
      </c>
      <c r="K47" s="245">
        <v>103.52572562717806</v>
      </c>
      <c r="L47" s="293">
        <v>0.74747816337312667</v>
      </c>
      <c r="M47" s="245" t="s">
        <v>2532</v>
      </c>
      <c r="N47" s="292">
        <v>3.7373908168656343E-4</v>
      </c>
      <c r="O47" s="292">
        <v>1.9511027330222776E-2</v>
      </c>
      <c r="P47" s="292">
        <v>1.3815351742974288E-2</v>
      </c>
      <c r="Q47" s="292">
        <v>1.9450064441674248E-3</v>
      </c>
      <c r="R47" s="292">
        <v>1.9450064441674248E-3</v>
      </c>
      <c r="S47" s="292">
        <v>1.3597627141015247E-5</v>
      </c>
      <c r="T47" s="292">
        <v>4.6447915084595216E-3</v>
      </c>
      <c r="U47" s="245">
        <v>103.52572562717806</v>
      </c>
      <c r="V47" s="293">
        <v>0.74747816337312667</v>
      </c>
      <c r="W47" s="9" t="s">
        <v>2532</v>
      </c>
    </row>
    <row r="48" spans="1:31" x14ac:dyDescent="0.25">
      <c r="A48" s="71" t="s">
        <v>2529</v>
      </c>
      <c r="B48" s="71" t="s">
        <v>2462</v>
      </c>
      <c r="C48" s="71"/>
      <c r="D48" s="294">
        <v>9.033613445486564</v>
      </c>
      <c r="E48" s="294">
        <v>2.4551522403642996</v>
      </c>
      <c r="F48" s="294">
        <v>3.6816280578236631</v>
      </c>
      <c r="G48" s="294">
        <v>2.629133487946794</v>
      </c>
      <c r="H48" s="294">
        <v>2.629133487946794</v>
      </c>
      <c r="I48" s="294">
        <v>0.14608315406967623</v>
      </c>
      <c r="J48" s="294">
        <v>27.910663400806051</v>
      </c>
      <c r="K48" s="244">
        <v>48837.843547477103</v>
      </c>
      <c r="L48" s="244"/>
      <c r="M48" s="244"/>
      <c r="N48" s="294">
        <v>8.1504337790061374</v>
      </c>
      <c r="O48" s="294">
        <v>2.2976959779820518</v>
      </c>
      <c r="P48" s="294">
        <v>3.4180083588491654</v>
      </c>
      <c r="Q48" s="294">
        <v>2.3439484266876387</v>
      </c>
      <c r="R48" s="294">
        <v>2.3439484266876387</v>
      </c>
      <c r="S48" s="294">
        <v>0.13448827784955564</v>
      </c>
      <c r="T48" s="294">
        <v>24.682674742118461</v>
      </c>
      <c r="U48" s="244">
        <v>45627.064488772863</v>
      </c>
      <c r="Y48" s="923" t="s">
        <v>3010</v>
      </c>
      <c r="Z48" s="923"/>
      <c r="AA48" s="923"/>
      <c r="AB48" s="923"/>
      <c r="AC48" s="923"/>
      <c r="AD48" s="923"/>
      <c r="AE48" s="923"/>
    </row>
    <row r="49" spans="1:31" ht="15.75" thickBot="1" x14ac:dyDescent="0.3">
      <c r="A49" s="2"/>
      <c r="B49" s="2"/>
      <c r="C49" s="2"/>
      <c r="D49" s="290"/>
      <c r="E49" s="290"/>
      <c r="F49" s="290"/>
      <c r="G49" s="290"/>
      <c r="H49" s="290"/>
      <c r="I49" s="290"/>
      <c r="J49" s="290"/>
      <c r="K49" s="290"/>
      <c r="L49" s="290"/>
      <c r="M49" s="290"/>
      <c r="N49" s="290"/>
      <c r="O49" s="290"/>
      <c r="P49" s="290"/>
      <c r="Q49" s="290"/>
      <c r="R49" s="290"/>
      <c r="S49" s="290"/>
      <c r="T49" s="290"/>
      <c r="Y49" s="15" t="s">
        <v>2143</v>
      </c>
      <c r="Z49" s="15" t="s">
        <v>2144</v>
      </c>
      <c r="AA49" s="509" t="s">
        <v>2145</v>
      </c>
      <c r="AB49" s="15" t="s">
        <v>2146</v>
      </c>
      <c r="AC49" s="510" t="s">
        <v>2147</v>
      </c>
      <c r="AD49" s="15" t="s">
        <v>2148</v>
      </c>
      <c r="AE49" s="15" t="s">
        <v>2149</v>
      </c>
    </row>
    <row r="50" spans="1:31" ht="15.75" thickTop="1" x14ac:dyDescent="0.25">
      <c r="A50" s="2" t="s">
        <v>2530</v>
      </c>
      <c r="B50" s="2">
        <v>2104008100</v>
      </c>
      <c r="C50" s="2" t="s">
        <v>2152</v>
      </c>
      <c r="D50" s="290">
        <v>5.2995613159591732</v>
      </c>
      <c r="E50" s="290">
        <v>6.0169691796916419E-2</v>
      </c>
      <c r="F50" s="290">
        <v>9.2568756610640623E-3</v>
      </c>
      <c r="G50" s="290">
        <v>0.80071974468204166</v>
      </c>
      <c r="H50" s="290">
        <v>0.80071974468204166</v>
      </c>
      <c r="I50" s="290">
        <v>4.1655940474788281E-2</v>
      </c>
      <c r="J50" s="290">
        <v>5.8457169799619528</v>
      </c>
      <c r="K50" s="114">
        <v>743.43361008478098</v>
      </c>
      <c r="L50" s="291">
        <v>66.121086602007168</v>
      </c>
      <c r="M50" s="114" t="s">
        <v>2531</v>
      </c>
      <c r="N50" s="290">
        <v>4.8890111818306297</v>
      </c>
      <c r="O50" s="290">
        <v>5.5508423898513688E-2</v>
      </c>
      <c r="P50" s="290">
        <v>8.5397575228482597E-3</v>
      </c>
      <c r="Q50" s="290">
        <v>0.73868902572637452</v>
      </c>
      <c r="R50" s="290">
        <v>0.73868902572637452</v>
      </c>
      <c r="S50" s="290">
        <v>3.8428908852817169E-2</v>
      </c>
      <c r="T50" s="290">
        <v>5.3928568756786746</v>
      </c>
      <c r="U50" s="114">
        <v>685.83754675120213</v>
      </c>
      <c r="V50" s="291">
        <v>60.998771875421895</v>
      </c>
      <c r="W50" t="s">
        <v>2531</v>
      </c>
      <c r="Y50" s="43">
        <f t="shared" ref="Y50:Y66" si="0">N50/$U50*2000</f>
        <v>14.257053160736888</v>
      </c>
      <c r="Z50" s="11">
        <f t="shared" ref="Z50:AE65" si="1">O50/$U50*2000</f>
        <v>0.16187047256731835</v>
      </c>
      <c r="AA50" s="511">
        <f t="shared" si="1"/>
        <v>2.4903149625741285E-2</v>
      </c>
      <c r="AB50" s="11">
        <f t="shared" si="1"/>
        <v>2.1541224426266212</v>
      </c>
      <c r="AC50" s="512">
        <f t="shared" si="1"/>
        <v>2.1541224426266212</v>
      </c>
      <c r="AD50" s="11">
        <f t="shared" si="1"/>
        <v>0.11206417331583578</v>
      </c>
      <c r="AE50" s="43">
        <f t="shared" si="1"/>
        <v>15.726338988655614</v>
      </c>
    </row>
    <row r="51" spans="1:31" x14ac:dyDescent="0.25">
      <c r="A51" s="2" t="s">
        <v>2530</v>
      </c>
      <c r="B51" s="2">
        <v>2104008210</v>
      </c>
      <c r="C51" s="2" t="s">
        <v>2156</v>
      </c>
      <c r="D51" s="290">
        <v>0.11381986652978572</v>
      </c>
      <c r="E51" s="290">
        <v>6.0131250242150928E-3</v>
      </c>
      <c r="F51" s="290">
        <v>8.5901786060215649E-4</v>
      </c>
      <c r="G51" s="290">
        <v>6.571486633606495E-2</v>
      </c>
      <c r="H51" s="290">
        <v>6.571486633606495E-2</v>
      </c>
      <c r="I51" s="290">
        <v>3.6508259075591644E-3</v>
      </c>
      <c r="J51" s="290">
        <v>0.49565330556744436</v>
      </c>
      <c r="K51" s="114">
        <v>68.978007483824385</v>
      </c>
      <c r="L51" s="291">
        <v>6.1358925444416261</v>
      </c>
      <c r="M51" s="114" t="s">
        <v>2531</v>
      </c>
      <c r="N51" s="290">
        <v>9.9062770280210516E-2</v>
      </c>
      <c r="O51" s="290">
        <v>5.2335048449922541E-3</v>
      </c>
      <c r="P51" s="290">
        <v>7.4764354928460769E-4</v>
      </c>
      <c r="Q51" s="290">
        <v>5.7194731520272504E-2</v>
      </c>
      <c r="R51" s="290">
        <v>5.7194731520272504E-2</v>
      </c>
      <c r="S51" s="290">
        <v>3.1774850844595828E-3</v>
      </c>
      <c r="T51" s="290">
        <v>0.43139032793721865</v>
      </c>
      <c r="U51" s="114">
        <v>60.034453109424739</v>
      </c>
      <c r="V51" s="291">
        <v>5.3403551781095331</v>
      </c>
      <c r="W51" t="s">
        <v>2531</v>
      </c>
      <c r="Y51" s="43">
        <f t="shared" si="0"/>
        <v>3.300197308357216</v>
      </c>
      <c r="Z51" s="11">
        <f t="shared" si="1"/>
        <v>0.17435004647924918</v>
      </c>
      <c r="AA51" s="511">
        <f t="shared" si="1"/>
        <v>2.4907149497035593E-2</v>
      </c>
      <c r="AB51" s="11">
        <f t="shared" si="1"/>
        <v>1.9053969365232235</v>
      </c>
      <c r="AC51" s="512">
        <f t="shared" si="1"/>
        <v>1.9053969365232235</v>
      </c>
      <c r="AD51" s="11">
        <f t="shared" si="1"/>
        <v>0.10585538536240129</v>
      </c>
      <c r="AE51" s="43">
        <f t="shared" si="1"/>
        <v>14.37142525978954</v>
      </c>
    </row>
    <row r="52" spans="1:31" x14ac:dyDescent="0.25">
      <c r="A52" s="2" t="s">
        <v>2530</v>
      </c>
      <c r="B52" s="2">
        <v>2104008220</v>
      </c>
      <c r="C52" s="2" t="s">
        <v>2159</v>
      </c>
      <c r="D52" s="290">
        <v>5.4257706357891289E-2</v>
      </c>
      <c r="E52" s="290">
        <v>9.0429510596485487E-3</v>
      </c>
      <c r="F52" s="290">
        <v>1.80859021192971E-3</v>
      </c>
      <c r="G52" s="290">
        <v>5.4257706357891289E-2</v>
      </c>
      <c r="H52" s="290">
        <v>5.4257706357891289E-2</v>
      </c>
      <c r="I52" s="290">
        <v>4.0693279768418463E-3</v>
      </c>
      <c r="J52" s="290">
        <v>0.6366237545992578</v>
      </c>
      <c r="K52" s="114">
        <v>145.22742179796984</v>
      </c>
      <c r="L52" s="291">
        <v>12.91860822259339</v>
      </c>
      <c r="M52" s="114" t="s">
        <v>2531</v>
      </c>
      <c r="N52" s="290">
        <v>4.722302762019432E-2</v>
      </c>
      <c r="O52" s="290">
        <v>7.8705046033657206E-3</v>
      </c>
      <c r="P52" s="290">
        <v>1.5741009206731444E-3</v>
      </c>
      <c r="Q52" s="290">
        <v>4.722302762019432E-2</v>
      </c>
      <c r="R52" s="290">
        <v>4.722302762019432E-2</v>
      </c>
      <c r="S52" s="290">
        <v>3.5417270715145752E-3</v>
      </c>
      <c r="T52" s="290">
        <v>0.55408352407694683</v>
      </c>
      <c r="U52" s="114">
        <v>126.397516573343</v>
      </c>
      <c r="V52" s="291">
        <v>11.243670878492091</v>
      </c>
      <c r="W52" t="s">
        <v>2531</v>
      </c>
      <c r="Y52" s="43">
        <f t="shared" si="0"/>
        <v>0.74721448491106779</v>
      </c>
      <c r="Z52" s="11">
        <f t="shared" si="1"/>
        <v>0.12453574748517797</v>
      </c>
      <c r="AA52" s="511">
        <f t="shared" si="1"/>
        <v>2.4907149497035597E-2</v>
      </c>
      <c r="AB52" s="11">
        <f t="shared" si="1"/>
        <v>0.74721448491106779</v>
      </c>
      <c r="AC52" s="512">
        <f t="shared" si="1"/>
        <v>0.74721448491106779</v>
      </c>
      <c r="AD52" s="11">
        <f t="shared" si="1"/>
        <v>5.6041086368330106E-2</v>
      </c>
      <c r="AE52" s="43">
        <f t="shared" si="1"/>
        <v>8.76731662295653</v>
      </c>
    </row>
    <row r="53" spans="1:31" x14ac:dyDescent="0.25">
      <c r="A53" s="2" t="s">
        <v>2530</v>
      </c>
      <c r="B53" s="2">
        <v>2104008230</v>
      </c>
      <c r="C53" s="2" t="s">
        <v>2162</v>
      </c>
      <c r="D53" s="290">
        <v>4.0833889835657805E-2</v>
      </c>
      <c r="E53" s="290">
        <v>5.4445186447543738E-3</v>
      </c>
      <c r="F53" s="290">
        <v>1.0889037289508749E-3</v>
      </c>
      <c r="G53" s="290">
        <v>3.5389371190903421E-2</v>
      </c>
      <c r="H53" s="290">
        <v>3.5389371190903421E-2</v>
      </c>
      <c r="I53" s="290">
        <v>2.4500333901394684E-3</v>
      </c>
      <c r="J53" s="290">
        <v>0.29128174749435892</v>
      </c>
      <c r="K53" s="114">
        <v>87.437541184634568</v>
      </c>
      <c r="L53" s="291">
        <v>7.7779480247370127</v>
      </c>
      <c r="M53" s="114" t="s">
        <v>2531</v>
      </c>
      <c r="N53" s="290">
        <v>3.5539650254102322E-2</v>
      </c>
      <c r="O53" s="290">
        <v>4.7386200338803107E-3</v>
      </c>
      <c r="P53" s="290">
        <v>9.4772400677606218E-4</v>
      </c>
      <c r="Q53" s="290">
        <v>3.0801030220222021E-2</v>
      </c>
      <c r="R53" s="290">
        <v>3.0801030220222021E-2</v>
      </c>
      <c r="S53" s="290">
        <v>2.1323790152461396E-3</v>
      </c>
      <c r="T53" s="290">
        <v>0.25351617181259667</v>
      </c>
      <c r="U53" s="114">
        <v>76.100559551293344</v>
      </c>
      <c r="V53" s="291">
        <v>6.769513108015329</v>
      </c>
      <c r="W53" t="s">
        <v>2531</v>
      </c>
      <c r="Y53" s="43">
        <f t="shared" si="0"/>
        <v>0.93401810613883507</v>
      </c>
      <c r="Z53" s="11">
        <f t="shared" si="1"/>
        <v>0.12453574748517802</v>
      </c>
      <c r="AA53" s="511">
        <f t="shared" si="1"/>
        <v>2.4907149497035607E-2</v>
      </c>
      <c r="AB53" s="11">
        <f t="shared" si="1"/>
        <v>0.80948235865365725</v>
      </c>
      <c r="AC53" s="512">
        <f t="shared" si="1"/>
        <v>0.80948235865365725</v>
      </c>
      <c r="AD53" s="11">
        <f t="shared" si="1"/>
        <v>5.6041086368330113E-2</v>
      </c>
      <c r="AE53" s="43">
        <f t="shared" si="1"/>
        <v>6.6626624904570262</v>
      </c>
    </row>
    <row r="54" spans="1:31" x14ac:dyDescent="0.25">
      <c r="A54" s="2" t="s">
        <v>2530</v>
      </c>
      <c r="B54" s="2">
        <v>2104008310</v>
      </c>
      <c r="C54" s="2" t="s">
        <v>2165</v>
      </c>
      <c r="D54" s="290">
        <v>2.3098854883833662</v>
      </c>
      <c r="E54" s="290">
        <v>6.3288362182599561E-2</v>
      </c>
      <c r="F54" s="290">
        <v>1.7433098025534839E-2</v>
      </c>
      <c r="G54" s="290">
        <v>0.52918297126032809</v>
      </c>
      <c r="H54" s="290">
        <v>0.52918297126032809</v>
      </c>
      <c r="I54" s="290">
        <v>1.7303593870006496E-2</v>
      </c>
      <c r="J54" s="290">
        <v>5.2809491863747722</v>
      </c>
      <c r="K54" s="114">
        <v>1399.8549054948107</v>
      </c>
      <c r="L54" s="291">
        <v>124.52315732575899</v>
      </c>
      <c r="M54" s="114" t="s">
        <v>2531</v>
      </c>
      <c r="N54" s="290">
        <v>2.0104017205944622</v>
      </c>
      <c r="O54" s="290">
        <v>5.5082831103697889E-2</v>
      </c>
      <c r="P54" s="290">
        <v>1.5172843174297831E-2</v>
      </c>
      <c r="Q54" s="290">
        <v>0.46057276920494927</v>
      </c>
      <c r="R54" s="290">
        <v>0.46057276920494927</v>
      </c>
      <c r="S54" s="290">
        <v>1.5060129631393793E-2</v>
      </c>
      <c r="T54" s="290">
        <v>4.5962578595574612</v>
      </c>
      <c r="U54" s="114">
        <v>1218.3524394153305</v>
      </c>
      <c r="V54" s="291">
        <v>108.37834645940343</v>
      </c>
      <c r="W54" t="s">
        <v>2531</v>
      </c>
      <c r="Y54" s="43">
        <f t="shared" si="0"/>
        <v>3.3001973083572183</v>
      </c>
      <c r="Z54" s="11">
        <f t="shared" si="1"/>
        <v>9.0421834145350141E-2</v>
      </c>
      <c r="AA54" s="511">
        <f t="shared" si="1"/>
        <v>2.4907149497035614E-2</v>
      </c>
      <c r="AB54" s="11">
        <f t="shared" si="1"/>
        <v>0.75605835274720901</v>
      </c>
      <c r="AC54" s="512">
        <f t="shared" si="1"/>
        <v>0.75605835274720901</v>
      </c>
      <c r="AD54" s="11">
        <f t="shared" si="1"/>
        <v>2.4722123326844453E-2</v>
      </c>
      <c r="AE54" s="43">
        <f t="shared" si="1"/>
        <v>7.5450382186014053</v>
      </c>
    </row>
    <row r="55" spans="1:31" x14ac:dyDescent="0.25">
      <c r="A55" s="2" t="s">
        <v>2530</v>
      </c>
      <c r="B55" s="2">
        <v>2104008320</v>
      </c>
      <c r="C55" s="2" t="s">
        <v>2169</v>
      </c>
      <c r="D55" s="290">
        <v>1.1011178660648087</v>
      </c>
      <c r="E55" s="290">
        <v>0.14762683892453135</v>
      </c>
      <c r="F55" s="290">
        <v>3.6703928868826959E-2</v>
      </c>
      <c r="G55" s="290">
        <v>0.72720808462820041</v>
      </c>
      <c r="H55" s="290">
        <v>0.72720808462820041</v>
      </c>
      <c r="I55" s="290">
        <v>2.2916257318805418E-2</v>
      </c>
      <c r="J55" s="290">
        <v>11.345271446822149</v>
      </c>
      <c r="K55" s="114">
        <v>2947.2773458109264</v>
      </c>
      <c r="L55" s="291">
        <v>262.173086063754</v>
      </c>
      <c r="M55" s="114" t="s">
        <v>2531</v>
      </c>
      <c r="N55" s="290">
        <v>0.95835454339483417</v>
      </c>
      <c r="O55" s="290">
        <v>0.12848656458182914</v>
      </c>
      <c r="P55" s="290">
        <v>3.1945151446494478E-2</v>
      </c>
      <c r="Q55" s="290">
        <v>0.63292331672681401</v>
      </c>
      <c r="R55" s="290">
        <v>0.63292331672681401</v>
      </c>
      <c r="S55" s="290">
        <v>1.9945093977604834E-2</v>
      </c>
      <c r="T55" s="290">
        <v>9.8743220614220331</v>
      </c>
      <c r="U55" s="114">
        <v>2565.1390939213265</v>
      </c>
      <c r="V55" s="291">
        <v>228.18153798828237</v>
      </c>
      <c r="W55" t="s">
        <v>2531</v>
      </c>
      <c r="Y55" s="43">
        <f t="shared" si="0"/>
        <v>0.74721448491106823</v>
      </c>
      <c r="Z55" s="11">
        <f t="shared" si="1"/>
        <v>0.10017902334131269</v>
      </c>
      <c r="AA55" s="511">
        <f t="shared" si="1"/>
        <v>2.4907149497035614E-2</v>
      </c>
      <c r="AB55" s="11">
        <f t="shared" si="1"/>
        <v>0.49348069913765535</v>
      </c>
      <c r="AC55" s="512">
        <f t="shared" si="1"/>
        <v>0.49348069913765535</v>
      </c>
      <c r="AD55" s="11">
        <f t="shared" si="1"/>
        <v>1.5550886908915946E-2</v>
      </c>
      <c r="AE55" s="43">
        <f t="shared" si="1"/>
        <v>7.6988589701209245</v>
      </c>
    </row>
    <row r="56" spans="1:31" x14ac:dyDescent="0.25">
      <c r="A56" s="2" t="s">
        <v>2530</v>
      </c>
      <c r="B56" s="2">
        <v>2104008330</v>
      </c>
      <c r="C56" s="2" t="s">
        <v>2172</v>
      </c>
      <c r="D56" s="290">
        <v>0.82869197128207628</v>
      </c>
      <c r="E56" s="290">
        <v>8.8882165975362359E-2</v>
      </c>
      <c r="F56" s="290">
        <v>2.2098452567522041E-2</v>
      </c>
      <c r="G56" s="290">
        <v>0.48581415678691825</v>
      </c>
      <c r="H56" s="290">
        <v>0.48581415678691825</v>
      </c>
      <c r="I56" s="290">
        <v>1.3797264788589274E-2</v>
      </c>
      <c r="J56" s="290">
        <v>6.8306840891410561</v>
      </c>
      <c r="K56" s="114">
        <v>1774.4767559488932</v>
      </c>
      <c r="L56" s="291">
        <v>157.84739360099741</v>
      </c>
      <c r="M56" s="114" t="s">
        <v>2531</v>
      </c>
      <c r="N56" s="290">
        <v>0.72124950491563133</v>
      </c>
      <c r="O56" s="290">
        <v>7.7358319408331891E-2</v>
      </c>
      <c r="P56" s="290">
        <v>1.9233320131083496E-2</v>
      </c>
      <c r="Q56" s="290">
        <v>0.42282685509969781</v>
      </c>
      <c r="R56" s="290">
        <v>0.42282685509969781</v>
      </c>
      <c r="S56" s="290">
        <v>1.2008406914530844E-2</v>
      </c>
      <c r="T56" s="290">
        <v>5.9450648591490962</v>
      </c>
      <c r="U56" s="114">
        <v>1544.4015489104927</v>
      </c>
      <c r="V56" s="291">
        <v>137.38199286618877</v>
      </c>
      <c r="W56" t="s">
        <v>2531</v>
      </c>
      <c r="Y56" s="43">
        <f t="shared" si="0"/>
        <v>0.93401810613883551</v>
      </c>
      <c r="Z56" s="11">
        <f t="shared" si="1"/>
        <v>0.10017902334131273</v>
      </c>
      <c r="AA56" s="511">
        <f t="shared" si="1"/>
        <v>2.4907149497035607E-2</v>
      </c>
      <c r="AB56" s="11">
        <f t="shared" si="1"/>
        <v>0.5475607757554809</v>
      </c>
      <c r="AC56" s="512">
        <f t="shared" si="1"/>
        <v>0.5475607757554809</v>
      </c>
      <c r="AD56" s="11">
        <f t="shared" si="1"/>
        <v>1.5550886908915944E-2</v>
      </c>
      <c r="AE56" s="43">
        <f t="shared" si="1"/>
        <v>7.6988589701209218</v>
      </c>
    </row>
    <row r="57" spans="1:31" x14ac:dyDescent="0.25">
      <c r="A57" s="2" t="s">
        <v>2530</v>
      </c>
      <c r="B57" s="2">
        <v>2104008410</v>
      </c>
      <c r="C57" s="2" t="s">
        <v>2175</v>
      </c>
      <c r="D57" s="290">
        <v>1.3885508802028336E-2</v>
      </c>
      <c r="E57" s="290">
        <v>2.4248423863542198E-2</v>
      </c>
      <c r="F57" s="290">
        <v>1.9379359731102662E-3</v>
      </c>
      <c r="G57" s="290">
        <v>1.7925907751269968E-2</v>
      </c>
      <c r="H57" s="290">
        <v>1.7925907751269968E-2</v>
      </c>
      <c r="I57" s="290">
        <v>4.3530886795989349E-4</v>
      </c>
      <c r="J57" s="290">
        <v>6.0148687765409901E-2</v>
      </c>
      <c r="K57" s="114">
        <v>185.83135733476337</v>
      </c>
      <c r="L57" s="291">
        <v>16.530504164841716</v>
      </c>
      <c r="M57" s="114" t="s">
        <v>2531</v>
      </c>
      <c r="N57" s="290">
        <v>1.2085209819844654E-2</v>
      </c>
      <c r="O57" s="290">
        <v>2.1104541026874615E-2</v>
      </c>
      <c r="P57" s="290">
        <v>1.6866766055444254E-3</v>
      </c>
      <c r="Q57" s="290">
        <v>1.5601758601285933E-2</v>
      </c>
      <c r="R57" s="290">
        <v>1.5601758601285933E-2</v>
      </c>
      <c r="S57" s="290">
        <v>3.7886973252041666E-4</v>
      </c>
      <c r="T57" s="290">
        <v>5.2350225144585129E-2</v>
      </c>
      <c r="U57" s="114">
        <v>161.73682475230669</v>
      </c>
      <c r="V57" s="291">
        <v>14.387273387543846</v>
      </c>
      <c r="W57" t="s">
        <v>2531</v>
      </c>
      <c r="Y57" s="43">
        <f t="shared" si="0"/>
        <v>0.14944289698221361</v>
      </c>
      <c r="Z57" s="11">
        <f t="shared" si="1"/>
        <v>0.26097385130684186</v>
      </c>
      <c r="AA57" s="511">
        <f t="shared" si="1"/>
        <v>2.0857051053493864E-2</v>
      </c>
      <c r="AB57" s="11">
        <f t="shared" si="1"/>
        <v>0.19292772224481822</v>
      </c>
      <c r="AC57" s="512">
        <f t="shared" si="1"/>
        <v>0.19292772224481822</v>
      </c>
      <c r="AD57" s="11">
        <f t="shared" si="1"/>
        <v>4.685015092891061E-3</v>
      </c>
      <c r="AE57" s="43">
        <f t="shared" si="1"/>
        <v>0.64735072207281608</v>
      </c>
    </row>
    <row r="58" spans="1:31" x14ac:dyDescent="0.25">
      <c r="A58" s="2" t="s">
        <v>2530</v>
      </c>
      <c r="B58" s="2">
        <v>2104008420</v>
      </c>
      <c r="C58" s="2" t="s">
        <v>2179</v>
      </c>
      <c r="D58" s="290">
        <v>4.6836252731367392E-2</v>
      </c>
      <c r="E58" s="290">
        <v>8.1790687298709863E-2</v>
      </c>
      <c r="F58" s="290">
        <v>6.5367182656311581E-3</v>
      </c>
      <c r="G58" s="290">
        <v>6.0464643957088192E-2</v>
      </c>
      <c r="H58" s="290">
        <v>6.0464643957088192E-2</v>
      </c>
      <c r="I58" s="290">
        <v>1.4683103404173991E-3</v>
      </c>
      <c r="J58" s="290">
        <v>0.20288339316952708</v>
      </c>
      <c r="K58" s="114">
        <v>626.81494366793618</v>
      </c>
      <c r="L58" s="291">
        <v>55.757904292880646</v>
      </c>
      <c r="M58" s="114" t="s">
        <v>2531</v>
      </c>
      <c r="N58" s="290">
        <v>4.076378831369612E-2</v>
      </c>
      <c r="O58" s="290">
        <v>7.1186272783163862E-2</v>
      </c>
      <c r="P58" s="290">
        <v>5.6892126100430655E-3</v>
      </c>
      <c r="Q58" s="290">
        <v>5.2625216642898355E-2</v>
      </c>
      <c r="R58" s="290">
        <v>5.2625216642898355E-2</v>
      </c>
      <c r="S58" s="290">
        <v>1.2779393825309239E-3</v>
      </c>
      <c r="T58" s="290">
        <v>0.17657893638421157</v>
      </c>
      <c r="U58" s="114">
        <v>545.54333644305279</v>
      </c>
      <c r="V58" s="291">
        <v>48.528720272450308</v>
      </c>
      <c r="W58" t="s">
        <v>2531</v>
      </c>
      <c r="Y58" s="43">
        <f t="shared" si="0"/>
        <v>0.14944289698221361</v>
      </c>
      <c r="Z58" s="11">
        <f t="shared" si="1"/>
        <v>0.26097385130684198</v>
      </c>
      <c r="AA58" s="511">
        <f t="shared" si="1"/>
        <v>2.085705105349386E-2</v>
      </c>
      <c r="AB58" s="11">
        <f t="shared" si="1"/>
        <v>0.19292772224481822</v>
      </c>
      <c r="AC58" s="512">
        <f t="shared" si="1"/>
        <v>0.19292772224481822</v>
      </c>
      <c r="AD58" s="11">
        <f t="shared" si="1"/>
        <v>4.6850150928910601E-3</v>
      </c>
      <c r="AE58" s="43">
        <f t="shared" si="1"/>
        <v>0.64735072207281552</v>
      </c>
    </row>
    <row r="59" spans="1:31" x14ac:dyDescent="0.25">
      <c r="A59" s="2" t="s">
        <v>2530</v>
      </c>
      <c r="B59" s="2">
        <v>2104008610</v>
      </c>
      <c r="C59" s="2" t="s">
        <v>2182</v>
      </c>
      <c r="D59" s="290">
        <v>1.3051663712459252</v>
      </c>
      <c r="E59" s="290">
        <v>4.6363117678120624E-2</v>
      </c>
      <c r="F59" s="290">
        <v>1.1499263182783484E-2</v>
      </c>
      <c r="G59" s="290">
        <v>0.28374869103509148</v>
      </c>
      <c r="H59" s="290">
        <v>0.28374869103509148</v>
      </c>
      <c r="I59" s="290">
        <v>7.0076098617365039E-3</v>
      </c>
      <c r="J59" s="290">
        <v>1.7412950877266007</v>
      </c>
      <c r="K59" s="114">
        <v>923.05409476751095</v>
      </c>
      <c r="L59" s="291">
        <v>82.13827263190214</v>
      </c>
      <c r="M59" s="114" t="s">
        <v>2531</v>
      </c>
      <c r="N59" s="290">
        <v>1.1933724447464649</v>
      </c>
      <c r="O59" s="290">
        <v>4.2391888351206691E-2</v>
      </c>
      <c r="P59" s="290">
        <v>1.0514294667369735E-2</v>
      </c>
      <c r="Q59" s="290">
        <v>0.25944421843393678</v>
      </c>
      <c r="R59" s="290">
        <v>0.25944421843393678</v>
      </c>
      <c r="S59" s="290">
        <v>6.4073735707324553E-3</v>
      </c>
      <c r="T59" s="290">
        <v>1.5921445891082917</v>
      </c>
      <c r="U59" s="114">
        <v>843.9896577383779</v>
      </c>
      <c r="V59" s="291">
        <v>75.10272512186495</v>
      </c>
      <c r="W59" t="s">
        <v>2531</v>
      </c>
      <c r="Y59" s="43">
        <f t="shared" si="0"/>
        <v>2.8279314415873791</v>
      </c>
      <c r="Z59" s="11">
        <f t="shared" si="1"/>
        <v>0.10045594270622553</v>
      </c>
      <c r="AA59" s="511">
        <f t="shared" si="1"/>
        <v>2.491569552059365E-2</v>
      </c>
      <c r="AB59" s="11">
        <f t="shared" si="1"/>
        <v>0.61480425987485254</v>
      </c>
      <c r="AC59" s="512">
        <f t="shared" si="1"/>
        <v>0.61480425987485254</v>
      </c>
      <c r="AD59" s="11">
        <f t="shared" si="1"/>
        <v>1.5183535750668237E-2</v>
      </c>
      <c r="AE59" s="43">
        <f t="shared" si="1"/>
        <v>3.7729007091739239</v>
      </c>
    </row>
    <row r="60" spans="1:31" x14ac:dyDescent="0.25">
      <c r="A60" s="2" t="s">
        <v>2530</v>
      </c>
      <c r="B60" s="2">
        <v>2104004000</v>
      </c>
      <c r="C60" s="2" t="s">
        <v>2196</v>
      </c>
      <c r="D60" s="290">
        <v>8.8528381130794143E-2</v>
      </c>
      <c r="E60" s="290">
        <v>1.387078200598725</v>
      </c>
      <c r="F60" s="290">
        <v>3.5886374676951598</v>
      </c>
      <c r="G60" s="290">
        <v>5.6692569506759924E-2</v>
      </c>
      <c r="H60" s="290">
        <v>5.6692569506759924E-2</v>
      </c>
      <c r="I60" s="290">
        <v>3.0415563540376694E-3</v>
      </c>
      <c r="J60" s="290">
        <v>5.5605961924547018E-2</v>
      </c>
      <c r="K60" s="114">
        <v>33328.057632842276</v>
      </c>
      <c r="L60" s="291">
        <v>248.3264547848363</v>
      </c>
      <c r="M60" s="114" t="s">
        <v>2532</v>
      </c>
      <c r="N60" s="290">
        <v>8.1835221398759303E-2</v>
      </c>
      <c r="O60" s="290">
        <v>1.2822086001514474</v>
      </c>
      <c r="P60" s="290">
        <v>3.3173196881893761</v>
      </c>
      <c r="Q60" s="290">
        <v>5.2406346055236287E-2</v>
      </c>
      <c r="R60" s="290">
        <v>5.2406346055236287E-2</v>
      </c>
      <c r="S60" s="290">
        <v>2.8116004658634269E-3</v>
      </c>
      <c r="T60" s="290">
        <v>5.1401891089177594E-2</v>
      </c>
      <c r="U60" s="114">
        <v>30808.300573628596</v>
      </c>
      <c r="V60" s="291">
        <v>229.55181318025041</v>
      </c>
      <c r="W60" t="s">
        <v>2532</v>
      </c>
      <c r="Y60" s="43">
        <f t="shared" si="0"/>
        <v>5.3125436895281996E-3</v>
      </c>
      <c r="Z60" s="11">
        <f t="shared" si="1"/>
        <v>8.323786617746759E-2</v>
      </c>
      <c r="AA60" s="511">
        <f t="shared" si="1"/>
        <v>0.21535233209383497</v>
      </c>
      <c r="AB60" s="11">
        <f t="shared" si="1"/>
        <v>3.4020926230572597E-3</v>
      </c>
      <c r="AC60" s="512">
        <f t="shared" si="1"/>
        <v>3.4020926230572597E-3</v>
      </c>
      <c r="AD60" s="11">
        <f t="shared" si="1"/>
        <v>1.8252226922702195E-4</v>
      </c>
      <c r="AE60" s="43">
        <f t="shared" si="1"/>
        <v>3.3368858477819956E-3</v>
      </c>
    </row>
    <row r="61" spans="1:31" x14ac:dyDescent="0.25">
      <c r="A61" s="2" t="s">
        <v>2530</v>
      </c>
      <c r="B61" s="2">
        <v>2103004001</v>
      </c>
      <c r="C61" s="2" t="s">
        <v>2206</v>
      </c>
      <c r="D61" s="290">
        <v>2.8181256452590168E-2</v>
      </c>
      <c r="E61" s="290">
        <v>0.71144826949035489</v>
      </c>
      <c r="F61" s="290">
        <v>0.50288325679887125</v>
      </c>
      <c r="G61" s="290">
        <v>1.8046956465473576E-2</v>
      </c>
      <c r="H61" s="290">
        <v>1.8046956465473576E-2</v>
      </c>
      <c r="I61" s="290">
        <v>9.6821921437265806E-4</v>
      </c>
      <c r="J61" s="290">
        <v>1.7701056466551998E-2</v>
      </c>
      <c r="K61" s="114">
        <v>10948.398369379353</v>
      </c>
      <c r="L61" s="291">
        <v>81.576219730276449</v>
      </c>
      <c r="M61" s="114" t="s">
        <v>2532</v>
      </c>
      <c r="N61" s="290">
        <v>2.7708478324262618E-2</v>
      </c>
      <c r="O61" s="290">
        <v>0.69951277676960322</v>
      </c>
      <c r="P61" s="290">
        <v>0.49444672007750112</v>
      </c>
      <c r="Q61" s="290">
        <v>1.7744194723316727E-2</v>
      </c>
      <c r="R61" s="290">
        <v>1.7744194723316727E-2</v>
      </c>
      <c r="S61" s="290">
        <v>9.5197604690594245E-4</v>
      </c>
      <c r="T61" s="290">
        <v>1.7404097657786489E-2</v>
      </c>
      <c r="U61" s="114">
        <v>10764.724398065568</v>
      </c>
      <c r="V61" s="291">
        <v>80.207669944535027</v>
      </c>
      <c r="W61" t="s">
        <v>2532</v>
      </c>
      <c r="Y61" s="43">
        <f t="shared" si="0"/>
        <v>5.1480144404332101E-3</v>
      </c>
      <c r="Z61" s="11">
        <f t="shared" si="1"/>
        <v>0.12996389891696741</v>
      </c>
      <c r="AA61" s="511">
        <f t="shared" si="1"/>
        <v>9.1864259927797814E-2</v>
      </c>
      <c r="AB61" s="11">
        <f t="shared" si="1"/>
        <v>3.2967299611507709E-3</v>
      </c>
      <c r="AC61" s="512">
        <f t="shared" si="1"/>
        <v>3.2967299611507709E-3</v>
      </c>
      <c r="AD61" s="11">
        <f t="shared" si="1"/>
        <v>1.7686956241573889E-4</v>
      </c>
      <c r="AE61" s="43">
        <f t="shared" si="1"/>
        <v>3.2335426368953809E-3</v>
      </c>
    </row>
    <row r="62" spans="1:31" x14ac:dyDescent="0.25">
      <c r="A62" s="2" t="s">
        <v>2530</v>
      </c>
      <c r="B62" s="2">
        <v>2104004000</v>
      </c>
      <c r="C62" s="2" t="s">
        <v>2210</v>
      </c>
      <c r="D62" s="290">
        <v>6.0322014997356722E-4</v>
      </c>
      <c r="E62" s="290">
        <v>1.5228559185868459E-2</v>
      </c>
      <c r="F62" s="290">
        <v>2.4452479575624405E-2</v>
      </c>
      <c r="G62" s="290">
        <v>3.3841242635263252E-4</v>
      </c>
      <c r="H62" s="290">
        <v>3.3841242635263252E-4</v>
      </c>
      <c r="I62" s="290">
        <v>2.0724744501144602E-5</v>
      </c>
      <c r="J62" s="290">
        <v>3.788913370277601E-4</v>
      </c>
      <c r="K62" s="114">
        <v>231.80405174089441</v>
      </c>
      <c r="L62" s="291">
        <v>1.6920621317631623</v>
      </c>
      <c r="M62" s="114" t="s">
        <v>2532</v>
      </c>
      <c r="N62" s="290">
        <v>5.6952063100781491E-4</v>
      </c>
      <c r="O62" s="290">
        <v>1.4377799941291257E-2</v>
      </c>
      <c r="P62" s="290">
        <v>2.3086416457118609E-2</v>
      </c>
      <c r="Q62" s="290">
        <v>3.1950666536202806E-4</v>
      </c>
      <c r="R62" s="290">
        <v>3.1950666536202806E-4</v>
      </c>
      <c r="S62" s="290">
        <v>1.9566935166679729E-5</v>
      </c>
      <c r="T62" s="290">
        <v>3.5772417973255731E-4</v>
      </c>
      <c r="U62" s="114">
        <v>218.8540781063551</v>
      </c>
      <c r="V62" s="291">
        <v>1.5975333268101399</v>
      </c>
      <c r="W62" t="s">
        <v>2532</v>
      </c>
      <c r="Y62" s="43">
        <f t="shared" si="0"/>
        <v>5.2045695098361265E-3</v>
      </c>
      <c r="Z62" s="11">
        <f t="shared" si="1"/>
        <v>0.13139165662980398</v>
      </c>
      <c r="AA62" s="511">
        <f t="shared" si="1"/>
        <v>0.21097542853096346</v>
      </c>
      <c r="AB62" s="11">
        <f t="shared" si="1"/>
        <v>2.9198145917734234E-3</v>
      </c>
      <c r="AC62" s="512">
        <f t="shared" si="1"/>
        <v>2.9198145917734234E-3</v>
      </c>
      <c r="AD62" s="11">
        <f t="shared" si="1"/>
        <v>1.7881261647928638E-4</v>
      </c>
      <c r="AE62" s="43">
        <f t="shared" si="1"/>
        <v>3.2690656973612927E-3</v>
      </c>
    </row>
    <row r="63" spans="1:31" x14ac:dyDescent="0.25">
      <c r="A63" s="2" t="s">
        <v>2530</v>
      </c>
      <c r="B63" s="2">
        <v>2104004000</v>
      </c>
      <c r="C63" s="2" t="s">
        <v>2214</v>
      </c>
      <c r="D63" s="290">
        <v>2.3071783456174153E-3</v>
      </c>
      <c r="E63" s="290">
        <v>3.6149274924289376E-2</v>
      </c>
      <c r="F63" s="290">
        <v>9.3525110817344076E-2</v>
      </c>
      <c r="G63" s="290">
        <v>1.4774908007202745E-3</v>
      </c>
      <c r="H63" s="290">
        <v>1.4774908007202745E-3</v>
      </c>
      <c r="I63" s="290">
        <v>7.9267381458642748E-5</v>
      </c>
      <c r="J63" s="290">
        <v>1.4491722270398024E-3</v>
      </c>
      <c r="K63" s="114">
        <v>808.96856438198301</v>
      </c>
      <c r="L63" s="291">
        <v>6.4717485150558662</v>
      </c>
      <c r="M63" s="114" t="s">
        <v>2532</v>
      </c>
      <c r="N63" s="290">
        <v>1.9143251004104457E-3</v>
      </c>
      <c r="O63" s="290">
        <v>2.9993981384515093E-2</v>
      </c>
      <c r="P63" s="290">
        <v>7.7600185307043809E-2</v>
      </c>
      <c r="Q63" s="290">
        <v>1.2259120456886278E-3</v>
      </c>
      <c r="R63" s="290">
        <v>1.2259120456886278E-3</v>
      </c>
      <c r="S63" s="290">
        <v>6.5770181251194909E-5</v>
      </c>
      <c r="T63" s="290">
        <v>1.2024153981462626E-3</v>
      </c>
      <c r="U63" s="114">
        <v>671.22198471614513</v>
      </c>
      <c r="V63" s="291">
        <v>5.3697758777291611</v>
      </c>
      <c r="W63" t="s">
        <v>2532</v>
      </c>
      <c r="Y63" s="43">
        <f t="shared" si="0"/>
        <v>5.703999999999999E-3</v>
      </c>
      <c r="Z63" s="11">
        <f t="shared" si="1"/>
        <v>8.9371272298833682E-2</v>
      </c>
      <c r="AA63" s="511">
        <f t="shared" si="1"/>
        <v>0.23122063065279472</v>
      </c>
      <c r="AB63" s="11">
        <f t="shared" si="1"/>
        <v>3.6527767969550553E-3</v>
      </c>
      <c r="AC63" s="512">
        <f t="shared" si="1"/>
        <v>3.6527767969550553E-3</v>
      </c>
      <c r="AD63" s="11">
        <f t="shared" si="1"/>
        <v>1.9597147515663878E-4</v>
      </c>
      <c r="AE63" s="43">
        <f t="shared" si="1"/>
        <v>3.5827652416800838E-3</v>
      </c>
    </row>
    <row r="64" spans="1:31" x14ac:dyDescent="0.25">
      <c r="A64" s="2" t="s">
        <v>2530</v>
      </c>
      <c r="B64" s="2">
        <v>2104006010</v>
      </c>
      <c r="C64" s="2" t="s">
        <v>2217</v>
      </c>
      <c r="D64" s="290">
        <v>6.5293806689556454E-4</v>
      </c>
      <c r="E64" s="290">
        <v>1.1159305143306025E-2</v>
      </c>
      <c r="F64" s="290">
        <v>7.1229607297698056E-5</v>
      </c>
      <c r="G64" s="290">
        <v>9.0224169243750764E-4</v>
      </c>
      <c r="H64" s="290">
        <v>9.0224169243750764E-4</v>
      </c>
      <c r="I64" s="290">
        <v>2.3743202432565994E-3</v>
      </c>
      <c r="J64" s="290">
        <v>4.7486404865131988E-3</v>
      </c>
      <c r="K64" s="114">
        <v>293.10011686938134</v>
      </c>
      <c r="L64" s="291">
        <v>288.76858804865174</v>
      </c>
      <c r="M64" s="114" t="s">
        <v>2533</v>
      </c>
      <c r="N64" s="290">
        <v>6.5293806689556454E-4</v>
      </c>
      <c r="O64" s="290">
        <v>1.1159305143306025E-2</v>
      </c>
      <c r="P64" s="290">
        <v>7.1229607297698056E-5</v>
      </c>
      <c r="Q64" s="290">
        <v>9.0224169243750764E-4</v>
      </c>
      <c r="R64" s="290">
        <v>9.0224169243750764E-4</v>
      </c>
      <c r="S64" s="290">
        <v>2.3743202432565994E-3</v>
      </c>
      <c r="T64" s="290">
        <v>4.7486404865131988E-3</v>
      </c>
      <c r="U64" s="114">
        <v>293.10011686938134</v>
      </c>
      <c r="V64" s="291">
        <v>288.76858804865174</v>
      </c>
      <c r="W64" t="s">
        <v>2533</v>
      </c>
      <c r="Y64" s="43">
        <f t="shared" si="0"/>
        <v>4.4553927434054438E-3</v>
      </c>
      <c r="Z64" s="11">
        <f t="shared" si="1"/>
        <v>7.6146712341838577E-2</v>
      </c>
      <c r="AA64" s="511">
        <f t="shared" si="1"/>
        <v>4.8604284473514008E-4</v>
      </c>
      <c r="AB64" s="11">
        <f t="shared" si="1"/>
        <v>6.1565426999784338E-3</v>
      </c>
      <c r="AC64" s="512">
        <f t="shared" si="1"/>
        <v>6.1565426999784338E-3</v>
      </c>
      <c r="AD64" s="11">
        <f t="shared" si="1"/>
        <v>1.6201428157837983E-2</v>
      </c>
      <c r="AE64" s="43">
        <f t="shared" si="1"/>
        <v>3.2402856315675965E-2</v>
      </c>
    </row>
    <row r="65" spans="1:31" x14ac:dyDescent="0.25">
      <c r="A65" s="2" t="s">
        <v>2530</v>
      </c>
      <c r="B65" s="2">
        <v>2103006000</v>
      </c>
      <c r="C65" s="2" t="s">
        <v>2221</v>
      </c>
      <c r="D65" s="290">
        <v>6.9828654415653056E-3</v>
      </c>
      <c r="E65" s="290">
        <v>0.12696118984664193</v>
      </c>
      <c r="F65" s="290">
        <v>7.6176713907985126E-4</v>
      </c>
      <c r="G65" s="290">
        <v>9.6490504283447895E-3</v>
      </c>
      <c r="H65" s="290">
        <v>9.6490504283447895E-3</v>
      </c>
      <c r="I65" s="290">
        <v>2.5392237969328404E-2</v>
      </c>
      <c r="J65" s="290">
        <v>5.0784475938656808E-2</v>
      </c>
      <c r="K65" s="114">
        <v>2577.3121538868322</v>
      </c>
      <c r="L65" s="291">
        <v>2539.2237969328407</v>
      </c>
      <c r="M65" s="114" t="s">
        <v>2533</v>
      </c>
      <c r="N65" s="290">
        <v>6.9828654415653056E-3</v>
      </c>
      <c r="O65" s="290">
        <v>0.12696118984664193</v>
      </c>
      <c r="P65" s="290">
        <v>7.6176713907985126E-4</v>
      </c>
      <c r="Q65" s="290">
        <v>9.6490504283447895E-3</v>
      </c>
      <c r="R65" s="290">
        <v>9.6490504283447895E-3</v>
      </c>
      <c r="S65" s="290">
        <v>2.5392237969328404E-2</v>
      </c>
      <c r="T65" s="290">
        <v>5.0784475938656808E-2</v>
      </c>
      <c r="U65" s="114">
        <v>2577.3121538868322</v>
      </c>
      <c r="V65" s="291">
        <v>2539.2237969328407</v>
      </c>
      <c r="W65" t="s">
        <v>2533</v>
      </c>
      <c r="Y65" s="43">
        <f t="shared" si="0"/>
        <v>5.4187192118226573E-3</v>
      </c>
      <c r="Z65" s="11">
        <f t="shared" si="1"/>
        <v>9.8522167487684678E-2</v>
      </c>
      <c r="AA65" s="511">
        <f t="shared" si="1"/>
        <v>5.911330049261079E-4</v>
      </c>
      <c r="AB65" s="11">
        <f t="shared" si="1"/>
        <v>7.4876847290640388E-3</v>
      </c>
      <c r="AC65" s="512">
        <f t="shared" si="1"/>
        <v>7.4876847290640388E-3</v>
      </c>
      <c r="AD65" s="11">
        <f t="shared" si="1"/>
        <v>1.9704433497536953E-2</v>
      </c>
      <c r="AE65" s="43">
        <f t="shared" si="1"/>
        <v>3.9408866995073906E-2</v>
      </c>
    </row>
    <row r="66" spans="1:31" x14ac:dyDescent="0.25">
      <c r="A66" s="2" t="s">
        <v>2530</v>
      </c>
      <c r="B66" s="2">
        <v>2104002000</v>
      </c>
      <c r="C66" s="2" t="s">
        <v>2223</v>
      </c>
      <c r="D66" s="290">
        <v>0.13623178629985644</v>
      </c>
      <c r="E66" s="290">
        <v>6.430140313353222E-2</v>
      </c>
      <c r="F66" s="290">
        <v>0.1266955612588665</v>
      </c>
      <c r="G66" s="290">
        <v>0.10884919725358526</v>
      </c>
      <c r="H66" s="290">
        <v>0.10884919725358526</v>
      </c>
      <c r="I66" s="290">
        <v>1.7246262986630331E-2</v>
      </c>
      <c r="J66" s="290">
        <v>1.7788465496103751</v>
      </c>
      <c r="K66" s="114">
        <v>414.14463035156353</v>
      </c>
      <c r="L66" s="291">
        <v>27.246357259971283</v>
      </c>
      <c r="M66" s="114" t="s">
        <v>2531</v>
      </c>
      <c r="N66" s="290">
        <v>0.11942191251120808</v>
      </c>
      <c r="O66" s="290">
        <v>5.636714270529021E-2</v>
      </c>
      <c r="P66" s="290">
        <v>0.11106237863542349</v>
      </c>
      <c r="Q66" s="290">
        <v>9.5418108096455248E-2</v>
      </c>
      <c r="R66" s="290">
        <v>9.5418108096455248E-2</v>
      </c>
      <c r="S66" s="290">
        <v>1.5118217014356387E-2</v>
      </c>
      <c r="T66" s="290">
        <v>1.5593516226150996</v>
      </c>
      <c r="U66" s="114">
        <v>363.04261403407253</v>
      </c>
      <c r="V66" s="291">
        <v>23.884382502241618</v>
      </c>
      <c r="W66" t="s">
        <v>2531</v>
      </c>
      <c r="Y66" s="43">
        <f t="shared" si="0"/>
        <v>0.65789473684210531</v>
      </c>
      <c r="Z66" s="11">
        <f t="shared" ref="Z66:AE66" si="2">O66/$U66*2000</f>
        <v>0.31052631578947371</v>
      </c>
      <c r="AA66" s="511">
        <f t="shared" si="2"/>
        <v>0.61184210526315785</v>
      </c>
      <c r="AB66" s="11">
        <f t="shared" si="2"/>
        <v>0.5256578947368421</v>
      </c>
      <c r="AC66" s="512">
        <f t="shared" si="2"/>
        <v>0.5256578947368421</v>
      </c>
      <c r="AD66" s="11">
        <f t="shared" si="2"/>
        <v>8.3286184210526318E-2</v>
      </c>
      <c r="AE66" s="43">
        <f t="shared" si="2"/>
        <v>8.5904605263157912</v>
      </c>
    </row>
    <row r="67" spans="1:31" x14ac:dyDescent="0.25">
      <c r="A67" s="2" t="s">
        <v>2530</v>
      </c>
      <c r="B67" s="2">
        <v>2103002000</v>
      </c>
      <c r="C67" s="2" t="s">
        <v>2527</v>
      </c>
      <c r="D67" s="290">
        <v>3.569531816721094E-4</v>
      </c>
      <c r="E67" s="290">
        <v>1.6848190174923567E-4</v>
      </c>
      <c r="F67" s="290">
        <v>3.3196645895506162E-4</v>
      </c>
      <c r="G67" s="290">
        <v>2.8520559215601543E-4</v>
      </c>
      <c r="H67" s="290">
        <v>2.8520559215601543E-4</v>
      </c>
      <c r="I67" s="290">
        <v>4.5188488033780734E-5</v>
      </c>
      <c r="J67" s="290">
        <v>4.6609161696835677E-3</v>
      </c>
      <c r="K67" s="114">
        <v>16.409830233226156</v>
      </c>
      <c r="L67" s="291">
        <v>1.0851376722832122</v>
      </c>
      <c r="M67" s="114" t="s">
        <v>2531</v>
      </c>
      <c r="N67" s="290">
        <v>3.3732506551167126E-4</v>
      </c>
      <c r="O67" s="290">
        <v>1.5921743092150883E-4</v>
      </c>
      <c r="P67" s="290">
        <v>3.1371231092585424E-4</v>
      </c>
      <c r="Q67" s="290">
        <v>2.6952272734382532E-4</v>
      </c>
      <c r="R67" s="290">
        <v>2.6952272734382532E-4</v>
      </c>
      <c r="S67" s="290">
        <v>4.2703666668450026E-5</v>
      </c>
      <c r="T67" s="290">
        <v>4.4046220429186456E-3</v>
      </c>
      <c r="U67" s="114">
        <v>15.502854241684634</v>
      </c>
      <c r="V67" s="291">
        <v>1.0254681991554806</v>
      </c>
      <c r="W67" t="s">
        <v>2531</v>
      </c>
      <c r="Y67" s="43"/>
      <c r="Z67" s="11"/>
      <c r="AA67" s="511"/>
      <c r="AB67" s="11"/>
      <c r="AC67" s="512"/>
      <c r="AD67" s="11"/>
      <c r="AE67" s="43"/>
    </row>
    <row r="68" spans="1:31" x14ac:dyDescent="0.25">
      <c r="A68" s="2" t="s">
        <v>2530</v>
      </c>
      <c r="B68" s="2">
        <v>2103008000</v>
      </c>
      <c r="C68" s="2" t="s">
        <v>2528</v>
      </c>
      <c r="D68" s="290">
        <v>1.0907183589339993E-3</v>
      </c>
      <c r="E68" s="290">
        <v>4.336668902742203E-5</v>
      </c>
      <c r="F68" s="290">
        <v>9.4541280565428541E-6</v>
      </c>
      <c r="G68" s="290">
        <v>3.0673763335701783E-4</v>
      </c>
      <c r="H68" s="290">
        <v>3.0673763335701783E-4</v>
      </c>
      <c r="I68" s="290">
        <v>1.123157753362016E-5</v>
      </c>
      <c r="J68" s="290">
        <v>2.1817155207571278E-3</v>
      </c>
      <c r="K68" s="114">
        <v>9.9032591487055033</v>
      </c>
      <c r="L68" s="291">
        <v>0.81778207689095661</v>
      </c>
      <c r="M68" s="114" t="s">
        <v>2531</v>
      </c>
      <c r="N68" s="290">
        <v>8.9417200808487429E-4</v>
      </c>
      <c r="O68" s="290">
        <v>3.6384819286996314E-5</v>
      </c>
      <c r="P68" s="290">
        <v>7.7224421459778723E-6</v>
      </c>
      <c r="Q68" s="290">
        <v>2.6400762512984857E-4</v>
      </c>
      <c r="R68" s="290">
        <v>2.6400762512984857E-4</v>
      </c>
      <c r="S68" s="290">
        <v>1.0176294332303952E-5</v>
      </c>
      <c r="T68" s="290">
        <v>1.9194920963844478E-3</v>
      </c>
      <c r="U68" s="114">
        <v>8.0893071656224507</v>
      </c>
      <c r="V68" s="291">
        <v>0.66799124562708578</v>
      </c>
      <c r="W68" t="s">
        <v>2531</v>
      </c>
      <c r="Y68" s="43"/>
      <c r="Z68" s="11"/>
      <c r="AA68" s="511"/>
      <c r="AB68" s="11"/>
      <c r="AC68" s="512"/>
      <c r="AD68" s="11"/>
      <c r="AE68" s="43"/>
    </row>
    <row r="69" spans="1:31" x14ac:dyDescent="0.25">
      <c r="A69" s="44" t="s">
        <v>2530</v>
      </c>
      <c r="B69" s="44">
        <v>2102012000</v>
      </c>
      <c r="C69" s="44" t="s">
        <v>2228</v>
      </c>
      <c r="D69" s="292">
        <v>4.6572617087992899E-4</v>
      </c>
      <c r="E69" s="292">
        <v>2.431320804726262E-2</v>
      </c>
      <c r="F69" s="292">
        <v>1.7215675806713709E-2</v>
      </c>
      <c r="G69" s="292">
        <v>2.4237240576798036E-3</v>
      </c>
      <c r="H69" s="292">
        <v>2.4237240576798036E-3</v>
      </c>
      <c r="I69" s="292">
        <v>1.6944363412197303E-5</v>
      </c>
      <c r="J69" s="292">
        <v>5.7879977496831138E-3</v>
      </c>
      <c r="K69" s="245">
        <v>129.0061493337403</v>
      </c>
      <c r="L69" s="293">
        <v>0.93145234175985725</v>
      </c>
      <c r="M69" s="245" t="s">
        <v>2532</v>
      </c>
      <c r="N69" s="292">
        <v>4.6572617087992899E-4</v>
      </c>
      <c r="O69" s="292">
        <v>2.431320804726262E-2</v>
      </c>
      <c r="P69" s="292">
        <v>1.7215675806713709E-2</v>
      </c>
      <c r="Q69" s="292">
        <v>2.4237240576798036E-3</v>
      </c>
      <c r="R69" s="292">
        <v>2.4237240576798036E-3</v>
      </c>
      <c r="S69" s="292">
        <v>1.6944363412197303E-5</v>
      </c>
      <c r="T69" s="292">
        <v>5.7879977496831138E-3</v>
      </c>
      <c r="U69" s="245">
        <v>129.0061493337403</v>
      </c>
      <c r="V69" s="293">
        <v>0.93145234175985725</v>
      </c>
      <c r="W69" s="9" t="s">
        <v>2532</v>
      </c>
      <c r="Y69" s="513">
        <f t="shared" ref="Y69:AE70" si="3">N69/$U69*2000</f>
        <v>7.2202166064981969E-3</v>
      </c>
      <c r="Z69" s="514">
        <f t="shared" si="3"/>
        <v>0.37693099395384771</v>
      </c>
      <c r="AA69" s="515">
        <f t="shared" si="3"/>
        <v>0.26689697964980835</v>
      </c>
      <c r="AB69" s="514">
        <f t="shared" si="3"/>
        <v>3.7575325985579236E-2</v>
      </c>
      <c r="AC69" s="516">
        <f t="shared" si="3"/>
        <v>3.7575325985579236E-2</v>
      </c>
      <c r="AD69" s="514">
        <f t="shared" si="3"/>
        <v>2.6269078644246724E-4</v>
      </c>
      <c r="AE69" s="513">
        <f t="shared" si="3"/>
        <v>8.973212175660715E-2</v>
      </c>
    </row>
    <row r="70" spans="1:31" x14ac:dyDescent="0.25">
      <c r="A70" s="71" t="s">
        <v>2530</v>
      </c>
      <c r="B70" s="71" t="s">
        <v>2462</v>
      </c>
      <c r="C70" s="71"/>
      <c r="D70" s="294">
        <v>11.379457260790858</v>
      </c>
      <c r="E70" s="294">
        <v>2.9097211414091575</v>
      </c>
      <c r="F70" s="294">
        <v>4.4638067536319248</v>
      </c>
      <c r="G70" s="294">
        <v>3.2593977298426648</v>
      </c>
      <c r="H70" s="294">
        <v>3.2593977298426648</v>
      </c>
      <c r="I70" s="294">
        <v>0.16395042611940883</v>
      </c>
      <c r="J70" s="294">
        <v>34.65265305605336</v>
      </c>
      <c r="K70" s="244">
        <v>57659.490741744012</v>
      </c>
      <c r="L70" s="244"/>
      <c r="M70" s="244"/>
      <c r="N70" s="294">
        <v>10.247846326488654</v>
      </c>
      <c r="O70" s="294">
        <v>2.714051076875422</v>
      </c>
      <c r="P70" s="294">
        <v>4.1379362206070427</v>
      </c>
      <c r="Q70" s="294">
        <v>2.8985245639136403</v>
      </c>
      <c r="R70" s="294">
        <v>2.8985245639136403</v>
      </c>
      <c r="S70" s="294">
        <v>0.14916182641389236</v>
      </c>
      <c r="T70" s="294">
        <v>30.56592840952521</v>
      </c>
      <c r="U70" s="244">
        <v>53676.687207214156</v>
      </c>
      <c r="Y70" s="43">
        <f t="shared" si="3"/>
        <v>0.38183602080090151</v>
      </c>
      <c r="Z70" s="11">
        <f t="shared" si="3"/>
        <v>0.10112587859224863</v>
      </c>
      <c r="AA70" s="511">
        <f t="shared" si="3"/>
        <v>0.15418001504574608</v>
      </c>
      <c r="AB70" s="11">
        <f t="shared" si="3"/>
        <v>0.107999383520974</v>
      </c>
      <c r="AC70" s="512">
        <f t="shared" si="3"/>
        <v>0.107999383520974</v>
      </c>
      <c r="AD70" s="11">
        <f t="shared" si="3"/>
        <v>5.5577880891965695E-3</v>
      </c>
      <c r="AE70" s="43">
        <f t="shared" si="3"/>
        <v>1.1388902706133155</v>
      </c>
    </row>
    <row r="71" spans="1:31" x14ac:dyDescent="0.25">
      <c r="R71" s="290"/>
    </row>
    <row r="72" spans="1:31" x14ac:dyDescent="0.25">
      <c r="L72" s="291"/>
      <c r="Y72" s="923" t="s">
        <v>3010</v>
      </c>
      <c r="Z72" s="923"/>
      <c r="AA72" s="923"/>
      <c r="AB72" s="923"/>
      <c r="AC72" s="923"/>
      <c r="AD72" s="923"/>
      <c r="AE72" s="923"/>
    </row>
    <row r="73" spans="1:31" x14ac:dyDescent="0.25">
      <c r="I73" s="923" t="s">
        <v>3177</v>
      </c>
      <c r="J73" s="923"/>
      <c r="K73" s="923"/>
      <c r="L73" s="923"/>
      <c r="M73" s="923"/>
      <c r="N73" s="923"/>
      <c r="O73" s="923"/>
      <c r="P73" s="923"/>
      <c r="Q73" s="923"/>
      <c r="R73" s="923"/>
      <c r="S73" s="923"/>
      <c r="T73" s="923"/>
      <c r="U73" s="923"/>
      <c r="Y73" s="44" t="s">
        <v>2143</v>
      </c>
      <c r="Z73" s="44" t="s">
        <v>2144</v>
      </c>
      <c r="AA73" s="517" t="s">
        <v>2145</v>
      </c>
      <c r="AB73" s="44" t="s">
        <v>2146</v>
      </c>
      <c r="AC73" s="518" t="s">
        <v>2147</v>
      </c>
      <c r="AD73" s="44" t="s">
        <v>2148</v>
      </c>
      <c r="AE73" s="44" t="s">
        <v>2149</v>
      </c>
    </row>
    <row r="74" spans="1:31" x14ac:dyDescent="0.25">
      <c r="I74" s="71"/>
      <c r="J74" s="71"/>
      <c r="K74" s="71"/>
      <c r="L74" s="71"/>
      <c r="M74" s="1" t="s">
        <v>3178</v>
      </c>
      <c r="N74" s="290">
        <f>SUM(N51,N54)</f>
        <v>2.1094644908746729</v>
      </c>
      <c r="O74" s="290">
        <f t="shared" ref="O74:U74" si="4">SUM(O51,O54)</f>
        <v>6.0316335948690146E-2</v>
      </c>
      <c r="P74" s="290">
        <f t="shared" si="4"/>
        <v>1.5920486723582438E-2</v>
      </c>
      <c r="Q74" s="290">
        <f t="shared" si="4"/>
        <v>0.51776750072522182</v>
      </c>
      <c r="R74" s="290">
        <f t="shared" si="4"/>
        <v>0.51776750072522182</v>
      </c>
      <c r="S74" s="290">
        <f t="shared" si="4"/>
        <v>1.8237614715853376E-2</v>
      </c>
      <c r="T74" s="290">
        <f t="shared" si="4"/>
        <v>5.0276481874946803</v>
      </c>
      <c r="U74" s="114">
        <f t="shared" si="4"/>
        <v>1278.3868925247552</v>
      </c>
      <c r="Y74" s="43">
        <f t="shared" ref="Y74:AE81" si="5">N74/$U74*2000</f>
        <v>3.3001973083572183</v>
      </c>
      <c r="Z74" s="11">
        <f t="shared" si="5"/>
        <v>9.4363195213255285E-2</v>
      </c>
      <c r="AA74" s="511">
        <f t="shared" si="5"/>
        <v>2.4907149497035611E-2</v>
      </c>
      <c r="AB74" s="11">
        <f t="shared" si="5"/>
        <v>0.81003255548506892</v>
      </c>
      <c r="AC74" s="512">
        <f t="shared" si="5"/>
        <v>0.81003255548506892</v>
      </c>
      <c r="AD74" s="11">
        <f t="shared" si="5"/>
        <v>2.8532230457768426E-2</v>
      </c>
      <c r="AE74" s="43">
        <f t="shared" si="5"/>
        <v>7.8656128545956951</v>
      </c>
    </row>
    <row r="75" spans="1:31" x14ac:dyDescent="0.25">
      <c r="M75" s="1" t="s">
        <v>3003</v>
      </c>
      <c r="N75" s="290">
        <f t="shared" ref="N75:U75" si="6">SUM(N52:N53,N55:N56)</f>
        <v>1.7623667261847622</v>
      </c>
      <c r="O75" s="290">
        <f t="shared" si="6"/>
        <v>0.21845400862740705</v>
      </c>
      <c r="P75" s="290">
        <f t="shared" si="6"/>
        <v>5.3700296505027181E-2</v>
      </c>
      <c r="Q75" s="290">
        <f t="shared" si="6"/>
        <v>1.1337742296669282</v>
      </c>
      <c r="R75" s="290">
        <f t="shared" si="6"/>
        <v>1.1337742296669282</v>
      </c>
      <c r="S75" s="290">
        <f t="shared" si="6"/>
        <v>3.7627606978896395E-2</v>
      </c>
      <c r="T75" s="290">
        <f t="shared" si="6"/>
        <v>16.626986616460673</v>
      </c>
      <c r="U75" s="114">
        <f t="shared" si="6"/>
        <v>4312.0387189564553</v>
      </c>
      <c r="Y75" s="43">
        <f t="shared" si="5"/>
        <v>0.81741693015746753</v>
      </c>
      <c r="Z75" s="11">
        <f t="shared" si="5"/>
        <v>0.10132284186922816</v>
      </c>
      <c r="AA75" s="511">
        <f t="shared" si="5"/>
        <v>2.4907149497035611E-2</v>
      </c>
      <c r="AB75" s="11">
        <f t="shared" si="5"/>
        <v>0.52586458682880743</v>
      </c>
      <c r="AC75" s="512">
        <f t="shared" si="5"/>
        <v>0.52586458682880743</v>
      </c>
      <c r="AD75" s="11">
        <f t="shared" si="5"/>
        <v>1.7452351164417443E-2</v>
      </c>
      <c r="AE75" s="43">
        <f t="shared" si="5"/>
        <v>7.7118911494767488</v>
      </c>
    </row>
    <row r="76" spans="1:31" x14ac:dyDescent="0.25">
      <c r="M76" s="1" t="s">
        <v>3004</v>
      </c>
      <c r="N76" s="290">
        <f t="shared" ref="N76:V76" si="7">SUM(N60,N62:N63)</f>
        <v>8.4319067130177575E-2</v>
      </c>
      <c r="O76" s="290">
        <f t="shared" si="7"/>
        <v>1.3265803814772539</v>
      </c>
      <c r="P76" s="290">
        <f t="shared" si="7"/>
        <v>3.4180062899535386</v>
      </c>
      <c r="Q76" s="290">
        <f t="shared" si="7"/>
        <v>5.3951764766286943E-2</v>
      </c>
      <c r="R76" s="290">
        <f t="shared" si="7"/>
        <v>5.3951764766286943E-2</v>
      </c>
      <c r="S76" s="290">
        <f t="shared" si="7"/>
        <v>2.8969375822813013E-3</v>
      </c>
      <c r="T76" s="290">
        <f t="shared" si="7"/>
        <v>5.2962030667056417E-2</v>
      </c>
      <c r="U76" s="114">
        <f t="shared" si="7"/>
        <v>31698.376636451099</v>
      </c>
      <c r="V76" s="291">
        <f t="shared" si="7"/>
        <v>236.51912238478971</v>
      </c>
      <c r="W76" t="s">
        <v>2532</v>
      </c>
      <c r="Y76" s="43">
        <f t="shared" si="5"/>
        <v>5.3200874036695026E-3</v>
      </c>
      <c r="Z76" s="11">
        <f t="shared" si="5"/>
        <v>8.3700209426609662E-2</v>
      </c>
      <c r="AA76" s="511">
        <f t="shared" si="5"/>
        <v>0.2156581284369655</v>
      </c>
      <c r="AB76" s="11">
        <f t="shared" si="5"/>
        <v>3.4040711538676008E-3</v>
      </c>
      <c r="AC76" s="512">
        <f t="shared" si="5"/>
        <v>3.4040711538676008E-3</v>
      </c>
      <c r="AD76" s="11">
        <f t="shared" si="5"/>
        <v>1.827814474858633E-4</v>
      </c>
      <c r="AE76" s="43">
        <f t="shared" si="5"/>
        <v>3.3416241641947985E-3</v>
      </c>
    </row>
    <row r="77" spans="1:31" x14ac:dyDescent="0.25">
      <c r="M77" s="1" t="s">
        <v>3005</v>
      </c>
      <c r="N77" s="290">
        <f t="shared" ref="N77:U77" si="8">SUM(N64,N66)</f>
        <v>0.12007485057810365</v>
      </c>
      <c r="O77" s="290">
        <f t="shared" si="8"/>
        <v>6.7526447848596238E-2</v>
      </c>
      <c r="P77" s="290">
        <f t="shared" si="8"/>
        <v>0.1111336082427212</v>
      </c>
      <c r="Q77" s="290">
        <f t="shared" si="8"/>
        <v>9.6320349788892756E-2</v>
      </c>
      <c r="R77" s="290">
        <f t="shared" si="8"/>
        <v>9.6320349788892756E-2</v>
      </c>
      <c r="S77" s="290">
        <f t="shared" si="8"/>
        <v>1.7492537257612985E-2</v>
      </c>
      <c r="T77" s="290">
        <f t="shared" si="8"/>
        <v>1.5641002631016128</v>
      </c>
      <c r="U77" s="114">
        <f t="shared" si="8"/>
        <v>656.14273090345387</v>
      </c>
      <c r="Y77" s="43">
        <f t="shared" si="5"/>
        <v>0.36600222763352291</v>
      </c>
      <c r="Z77" s="11">
        <f t="shared" si="5"/>
        <v>0.20582853293403996</v>
      </c>
      <c r="AA77" s="511">
        <f t="shared" si="5"/>
        <v>0.33874827231477356</v>
      </c>
      <c r="AB77" s="11">
        <f t="shared" si="5"/>
        <v>0.29359572316306137</v>
      </c>
      <c r="AC77" s="512">
        <f t="shared" si="5"/>
        <v>0.29359572316306137</v>
      </c>
      <c r="AD77" s="11">
        <f t="shared" si="5"/>
        <v>5.3319305186928519E-2</v>
      </c>
      <c r="AE77" s="43">
        <f t="shared" si="5"/>
        <v>4.767561048639454</v>
      </c>
    </row>
    <row r="78" spans="1:31" x14ac:dyDescent="0.25">
      <c r="M78" s="1" t="s">
        <v>3006</v>
      </c>
      <c r="N78" s="290">
        <f t="shared" ref="N78:V78" si="9">N61</f>
        <v>2.7708478324262618E-2</v>
      </c>
      <c r="O78" s="290">
        <f t="shared" si="9"/>
        <v>0.69951277676960322</v>
      </c>
      <c r="P78" s="290">
        <f t="shared" si="9"/>
        <v>0.49444672007750112</v>
      </c>
      <c r="Q78" s="290">
        <f t="shared" si="9"/>
        <v>1.7744194723316727E-2</v>
      </c>
      <c r="R78" s="290">
        <f t="shared" si="9"/>
        <v>1.7744194723316727E-2</v>
      </c>
      <c r="S78" s="290">
        <f t="shared" si="9"/>
        <v>9.5197604690594245E-4</v>
      </c>
      <c r="T78" s="290">
        <f t="shared" si="9"/>
        <v>1.7404097657786489E-2</v>
      </c>
      <c r="U78" s="114">
        <f t="shared" si="9"/>
        <v>10764.724398065568</v>
      </c>
      <c r="V78" s="291">
        <f t="shared" si="9"/>
        <v>80.207669944535027</v>
      </c>
      <c r="W78" t="s">
        <v>2532</v>
      </c>
      <c r="Y78" s="43">
        <f t="shared" si="5"/>
        <v>5.1480144404332101E-3</v>
      </c>
      <c r="Z78" s="11">
        <f t="shared" si="5"/>
        <v>0.12996389891696741</v>
      </c>
      <c r="AA78" s="511">
        <f t="shared" si="5"/>
        <v>9.1864259927797814E-2</v>
      </c>
      <c r="AB78" s="11">
        <f t="shared" si="5"/>
        <v>3.2967299611507709E-3</v>
      </c>
      <c r="AC78" s="512">
        <f t="shared" si="5"/>
        <v>3.2967299611507709E-3</v>
      </c>
      <c r="AD78" s="11">
        <f t="shared" si="5"/>
        <v>1.7686956241573889E-4</v>
      </c>
      <c r="AE78" s="43">
        <f t="shared" si="5"/>
        <v>3.2335426368953809E-3</v>
      </c>
    </row>
    <row r="79" spans="1:31" x14ac:dyDescent="0.25">
      <c r="M79" s="1" t="s">
        <v>3007</v>
      </c>
      <c r="N79" s="290">
        <f t="shared" ref="N79:U79" si="10">SUM(N50:N59,N68)</f>
        <v>10.007958013778154</v>
      </c>
      <c r="O79" s="290">
        <f t="shared" si="10"/>
        <v>0.468997855455143</v>
      </c>
      <c r="P79" s="290">
        <f t="shared" si="10"/>
        <v>9.6058447076561096E-2</v>
      </c>
      <c r="Q79" s="290">
        <f t="shared" si="10"/>
        <v>2.7181659574217756</v>
      </c>
      <c r="R79" s="290">
        <f t="shared" si="10"/>
        <v>2.7181659574217756</v>
      </c>
      <c r="S79" s="290">
        <f t="shared" si="10"/>
        <v>0.10236848952768306</v>
      </c>
      <c r="T79" s="290">
        <f t="shared" si="10"/>
        <v>28.870484922367496</v>
      </c>
      <c r="U79" s="114">
        <f t="shared" si="10"/>
        <v>7835.6222843317737</v>
      </c>
      <c r="Y79" s="43">
        <f t="shared" si="5"/>
        <v>2.5544768878893547</v>
      </c>
      <c r="Z79" s="11">
        <f t="shared" si="5"/>
        <v>0.11970915351368022</v>
      </c>
      <c r="AA79" s="511">
        <f t="shared" si="5"/>
        <v>2.4518396520628871E-2</v>
      </c>
      <c r="AB79" s="11">
        <f t="shared" si="5"/>
        <v>0.6937970868904848</v>
      </c>
      <c r="AC79" s="512">
        <f t="shared" si="5"/>
        <v>0.6937970868904848</v>
      </c>
      <c r="AD79" s="11">
        <f t="shared" si="5"/>
        <v>2.6129000560014385E-2</v>
      </c>
      <c r="AE79" s="43">
        <f t="shared" si="5"/>
        <v>7.3690343599377792</v>
      </c>
    </row>
    <row r="80" spans="1:31" x14ac:dyDescent="0.25">
      <c r="M80" s="1" t="s">
        <v>3008</v>
      </c>
      <c r="N80" s="290">
        <f t="shared" ref="N80:U80" si="11">SUM(N65,N67,N69)</f>
        <v>7.7859166779569054E-3</v>
      </c>
      <c r="O80" s="290">
        <f t="shared" si="11"/>
        <v>0.15143361532482605</v>
      </c>
      <c r="P80" s="290">
        <f t="shared" si="11"/>
        <v>1.8291155256719416E-2</v>
      </c>
      <c r="Q80" s="290">
        <f t="shared" si="11"/>
        <v>1.2342297213368419E-2</v>
      </c>
      <c r="R80" s="290">
        <f t="shared" si="11"/>
        <v>1.2342297213368419E-2</v>
      </c>
      <c r="S80" s="290">
        <f t="shared" si="11"/>
        <v>2.5451885999409053E-2</v>
      </c>
      <c r="T80" s="290">
        <f t="shared" si="11"/>
        <v>6.0977095731258563E-2</v>
      </c>
      <c r="U80" s="114">
        <f t="shared" si="11"/>
        <v>2721.8211574622569</v>
      </c>
      <c r="Y80" s="43">
        <f t="shared" si="5"/>
        <v>5.7211082047846648E-3</v>
      </c>
      <c r="Z80" s="11">
        <f t="shared" si="5"/>
        <v>0.11127374398545578</v>
      </c>
      <c r="AA80" s="511">
        <f t="shared" si="5"/>
        <v>1.3440379950439897E-2</v>
      </c>
      <c r="AB80" s="11">
        <f t="shared" si="5"/>
        <v>9.0691463541094676E-3</v>
      </c>
      <c r="AC80" s="512">
        <f t="shared" si="5"/>
        <v>9.0691463541094676E-3</v>
      </c>
      <c r="AD80" s="11">
        <f t="shared" si="5"/>
        <v>1.8702100194664967E-2</v>
      </c>
      <c r="AE80" s="43">
        <f t="shared" si="5"/>
        <v>4.4806100183387321E-2</v>
      </c>
    </row>
    <row r="81" spans="13:31" x14ac:dyDescent="0.25">
      <c r="M81" s="1" t="s">
        <v>3009</v>
      </c>
      <c r="N81" s="290">
        <f>SUM(N76:N80)</f>
        <v>10.247846326488654</v>
      </c>
      <c r="O81" s="290">
        <f t="shared" ref="O81:U81" si="12">SUM(O76:O80)</f>
        <v>2.7140510768754225</v>
      </c>
      <c r="P81" s="290">
        <f t="shared" si="12"/>
        <v>4.1379362206070409</v>
      </c>
      <c r="Q81" s="290">
        <f t="shared" si="12"/>
        <v>2.8985245639136403</v>
      </c>
      <c r="R81" s="290">
        <f t="shared" si="12"/>
        <v>2.8985245639136403</v>
      </c>
      <c r="S81" s="290">
        <f t="shared" si="12"/>
        <v>0.14916182641389233</v>
      </c>
      <c r="T81" s="290">
        <f t="shared" si="12"/>
        <v>30.56592840952521</v>
      </c>
      <c r="U81" s="114">
        <f t="shared" si="12"/>
        <v>53676.687207214149</v>
      </c>
      <c r="Y81" s="43">
        <f t="shared" si="5"/>
        <v>0.38183602080090157</v>
      </c>
      <c r="Z81" s="11">
        <f t="shared" si="5"/>
        <v>0.10112587859224867</v>
      </c>
      <c r="AA81" s="511">
        <f t="shared" si="5"/>
        <v>0.15418001504574605</v>
      </c>
      <c r="AB81" s="11">
        <f t="shared" si="5"/>
        <v>0.10799938352097402</v>
      </c>
      <c r="AC81" s="512">
        <f t="shared" si="5"/>
        <v>0.10799938352097402</v>
      </c>
      <c r="AD81" s="11">
        <f t="shared" si="5"/>
        <v>5.5577880891965687E-3</v>
      </c>
      <c r="AE81" s="43">
        <f t="shared" si="5"/>
        <v>1.1388902706133157</v>
      </c>
    </row>
  </sheetData>
  <autoFilter ref="A1:W2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sheetPr>
  <dimension ref="A1:AE81"/>
  <sheetViews>
    <sheetView zoomScale="84" zoomScaleNormal="84" workbookViewId="0">
      <pane ySplit="5" topLeftCell="A6" activePane="bottomLeft" state="frozen"/>
      <selection activeCell="A2" sqref="A2:W2"/>
      <selection pane="bottomLeft" activeCell="A6" sqref="A6"/>
    </sheetView>
  </sheetViews>
  <sheetFormatPr defaultRowHeight="15" x14ac:dyDescent="0.25"/>
  <cols>
    <col min="2" max="3" width="13.42578125" customWidth="1"/>
  </cols>
  <sheetData>
    <row r="1" spans="1:23" ht="15.75" x14ac:dyDescent="0.25">
      <c r="A1" s="924" t="s">
        <v>2518</v>
      </c>
      <c r="B1" s="924"/>
      <c r="C1" s="924"/>
      <c r="D1" s="924"/>
      <c r="E1" s="924"/>
      <c r="F1" s="924"/>
      <c r="G1" s="924"/>
      <c r="H1" s="924"/>
      <c r="I1" s="924"/>
      <c r="J1" s="924"/>
      <c r="K1" s="924"/>
      <c r="L1" s="924"/>
      <c r="M1" s="924"/>
      <c r="N1" s="924"/>
      <c r="O1" s="924"/>
      <c r="P1" s="924"/>
      <c r="Q1" s="924"/>
      <c r="R1" s="924"/>
      <c r="S1" s="924"/>
      <c r="T1" s="924"/>
      <c r="U1" s="924"/>
      <c r="V1" s="924"/>
      <c r="W1" s="924"/>
    </row>
    <row r="2" spans="1:23" x14ac:dyDescent="0.25">
      <c r="A2" s="946" t="s">
        <v>3494</v>
      </c>
      <c r="B2" s="946"/>
      <c r="C2" s="946"/>
      <c r="D2" s="946"/>
      <c r="E2" s="946"/>
      <c r="F2" s="946"/>
      <c r="G2" s="946"/>
      <c r="H2" s="946"/>
      <c r="I2" s="946"/>
      <c r="J2" s="946"/>
      <c r="K2" s="946"/>
      <c r="L2" s="946"/>
      <c r="M2" s="946"/>
      <c r="N2" s="946"/>
      <c r="O2" s="946"/>
      <c r="P2" s="946"/>
      <c r="Q2" s="946"/>
      <c r="R2" s="946"/>
      <c r="S2" s="946"/>
      <c r="T2" s="946"/>
      <c r="U2" s="946"/>
      <c r="V2" s="946"/>
      <c r="W2" s="946"/>
    </row>
    <row r="3" spans="1:23" x14ac:dyDescent="0.25">
      <c r="D3" s="934" t="s">
        <v>2519</v>
      </c>
      <c r="E3" s="934"/>
      <c r="F3" s="934"/>
      <c r="G3" s="934"/>
      <c r="H3" s="934"/>
      <c r="I3" s="934"/>
      <c r="J3" s="934"/>
      <c r="K3" s="934"/>
      <c r="L3" s="727"/>
      <c r="M3" s="727"/>
      <c r="N3" s="934" t="s">
        <v>2520</v>
      </c>
      <c r="O3" s="934"/>
      <c r="P3" s="934"/>
      <c r="Q3" s="934"/>
      <c r="R3" s="934"/>
      <c r="S3" s="934"/>
      <c r="T3" s="934"/>
      <c r="U3" s="934"/>
    </row>
    <row r="4" spans="1:23" x14ac:dyDescent="0.25">
      <c r="B4" s="2"/>
      <c r="C4" s="2" t="s">
        <v>2124</v>
      </c>
      <c r="D4" s="945" t="s">
        <v>2521</v>
      </c>
      <c r="E4" s="945"/>
      <c r="F4" s="945"/>
      <c r="G4" s="945"/>
      <c r="H4" s="945"/>
      <c r="I4" s="945"/>
      <c r="J4" s="945"/>
      <c r="K4" s="945" t="s">
        <v>2522</v>
      </c>
      <c r="L4" s="945"/>
      <c r="M4" s="728" t="s">
        <v>2523</v>
      </c>
      <c r="N4" s="945" t="s">
        <v>2521</v>
      </c>
      <c r="O4" s="945"/>
      <c r="P4" s="945"/>
      <c r="Q4" s="945"/>
      <c r="R4" s="945"/>
      <c r="S4" s="945"/>
      <c r="T4" s="945"/>
      <c r="U4" s="945" t="s">
        <v>2522</v>
      </c>
      <c r="V4" s="945"/>
      <c r="W4" s="728" t="s">
        <v>2523</v>
      </c>
    </row>
    <row r="5" spans="1:23" ht="15.75" thickBot="1" x14ac:dyDescent="0.3">
      <c r="A5" s="15" t="s">
        <v>2524</v>
      </c>
      <c r="B5" s="15" t="s">
        <v>2139</v>
      </c>
      <c r="C5" s="15" t="s">
        <v>2525</v>
      </c>
      <c r="D5" s="15" t="s">
        <v>2143</v>
      </c>
      <c r="E5" s="15" t="s">
        <v>2144</v>
      </c>
      <c r="F5" s="15" t="s">
        <v>2145</v>
      </c>
      <c r="G5" s="15" t="s">
        <v>2146</v>
      </c>
      <c r="H5" s="15" t="s">
        <v>2147</v>
      </c>
      <c r="I5" s="15" t="s">
        <v>2148</v>
      </c>
      <c r="J5" s="15" t="s">
        <v>2149</v>
      </c>
      <c r="K5" s="242" t="s">
        <v>2460</v>
      </c>
      <c r="L5" s="242" t="s">
        <v>2523</v>
      </c>
      <c r="M5" s="242" t="s">
        <v>2072</v>
      </c>
      <c r="N5" s="15" t="s">
        <v>2143</v>
      </c>
      <c r="O5" s="15" t="s">
        <v>2144</v>
      </c>
      <c r="P5" s="15" t="s">
        <v>2145</v>
      </c>
      <c r="Q5" s="15" t="s">
        <v>2146</v>
      </c>
      <c r="R5" s="15" t="s">
        <v>2147</v>
      </c>
      <c r="S5" s="15" t="s">
        <v>2148</v>
      </c>
      <c r="T5" s="15" t="s">
        <v>2149</v>
      </c>
      <c r="U5" s="242" t="s">
        <v>2460</v>
      </c>
      <c r="V5" s="242" t="s">
        <v>2523</v>
      </c>
      <c r="W5" s="242" t="s">
        <v>2072</v>
      </c>
    </row>
    <row r="6" spans="1:23" ht="15.75" thickTop="1" x14ac:dyDescent="0.25">
      <c r="A6" s="2" t="s">
        <v>2526</v>
      </c>
      <c r="B6" s="2">
        <v>2104008100</v>
      </c>
      <c r="C6" s="2" t="s">
        <v>2152</v>
      </c>
      <c r="D6" s="290">
        <v>6.3172961507664125</v>
      </c>
      <c r="E6" s="290">
        <v>7.1724759790361012E-2</v>
      </c>
      <c r="F6" s="290">
        <v>1.1034578429286309E-2</v>
      </c>
      <c r="G6" s="290">
        <v>0.95449103413326619</v>
      </c>
      <c r="H6" s="290">
        <v>0.95449103413326619</v>
      </c>
      <c r="I6" s="290">
        <v>4.965560293178841E-2</v>
      </c>
      <c r="J6" s="290">
        <v>6.9683362780943021</v>
      </c>
      <c r="K6" s="114">
        <v>887.73261955511043</v>
      </c>
      <c r="L6" s="291">
        <v>78.819068404296999</v>
      </c>
      <c r="M6" s="114" t="s">
        <v>2531</v>
      </c>
      <c r="N6" s="290">
        <v>5.8210885162597803</v>
      </c>
      <c r="O6" s="290">
        <v>6.609096131998006E-2</v>
      </c>
      <c r="P6" s="290">
        <v>1.0167840203073852E-2</v>
      </c>
      <c r="Q6" s="290">
        <v>0.87951817756588824</v>
      </c>
      <c r="R6" s="290">
        <v>0.87951817756588824</v>
      </c>
      <c r="S6" s="290">
        <v>4.5755280913832325E-2</v>
      </c>
      <c r="T6" s="290">
        <v>6.4209910882411352</v>
      </c>
      <c r="U6" s="114">
        <v>818.0034676029137</v>
      </c>
      <c r="V6" s="291">
        <v>72.628029935700312</v>
      </c>
      <c r="W6" t="s">
        <v>2531</v>
      </c>
    </row>
    <row r="7" spans="1:23" x14ac:dyDescent="0.25">
      <c r="A7" s="2" t="s">
        <v>2526</v>
      </c>
      <c r="B7" s="2">
        <v>2104008210</v>
      </c>
      <c r="C7" s="2" t="s">
        <v>2156</v>
      </c>
      <c r="D7" s="290">
        <v>0.13028796657676192</v>
      </c>
      <c r="E7" s="290">
        <v>6.8831378568855331E-3</v>
      </c>
      <c r="F7" s="290">
        <v>9.8330540812650489E-4</v>
      </c>
      <c r="G7" s="290">
        <v>7.5222863721677635E-2</v>
      </c>
      <c r="H7" s="290">
        <v>7.5222863721677635E-2</v>
      </c>
      <c r="I7" s="290">
        <v>4.179047984537645E-3</v>
      </c>
      <c r="J7" s="290">
        <v>0.56736722048899346</v>
      </c>
      <c r="K7" s="114">
        <v>79.106990028916456</v>
      </c>
      <c r="L7" s="291">
        <v>7.0236680741459825</v>
      </c>
      <c r="M7" s="114" t="s">
        <v>2531</v>
      </c>
      <c r="N7" s="290">
        <v>0.11322793037154757</v>
      </c>
      <c r="O7" s="290">
        <v>5.9818529252893046E-3</v>
      </c>
      <c r="P7" s="290">
        <v>8.5455041789847216E-4</v>
      </c>
      <c r="Q7" s="290">
        <v>6.5373106969233111E-2</v>
      </c>
      <c r="R7" s="290">
        <v>6.5373106969233111E-2</v>
      </c>
      <c r="S7" s="290">
        <v>3.6318392760685066E-3</v>
      </c>
      <c r="T7" s="290">
        <v>0.49307559112741839</v>
      </c>
      <c r="U7" s="114">
        <v>68.748641906385004</v>
      </c>
      <c r="V7" s="291">
        <v>6.1039819758312799</v>
      </c>
      <c r="W7" t="s">
        <v>2531</v>
      </c>
    </row>
    <row r="8" spans="1:23" x14ac:dyDescent="0.25">
      <c r="A8" s="2" t="s">
        <v>2526</v>
      </c>
      <c r="B8" s="2">
        <v>2104008220</v>
      </c>
      <c r="C8" s="2" t="s">
        <v>2159</v>
      </c>
      <c r="D8" s="290">
        <v>6.21080172382628E-2</v>
      </c>
      <c r="E8" s="290">
        <v>1.0351336206377135E-2</v>
      </c>
      <c r="F8" s="290">
        <v>2.0702672412754274E-3</v>
      </c>
      <c r="G8" s="290">
        <v>6.21080172382628E-2</v>
      </c>
      <c r="H8" s="290">
        <v>6.21080172382628E-2</v>
      </c>
      <c r="I8" s="290">
        <v>4.6581012928697098E-3</v>
      </c>
      <c r="J8" s="290">
        <v>0.72873406892895021</v>
      </c>
      <c r="K8" s="114">
        <v>166.55314682424466</v>
      </c>
      <c r="L8" s="291">
        <v>14.787745300009341</v>
      </c>
      <c r="M8" s="114" t="s">
        <v>2531</v>
      </c>
      <c r="N8" s="290">
        <v>5.3975531556290215E-2</v>
      </c>
      <c r="O8" s="290">
        <v>8.9959219260483652E-3</v>
      </c>
      <c r="P8" s="290">
        <v>1.7991843852096731E-3</v>
      </c>
      <c r="Q8" s="290">
        <v>5.3975531556290215E-2</v>
      </c>
      <c r="R8" s="290">
        <v>5.3975531556290215E-2</v>
      </c>
      <c r="S8" s="290">
        <v>4.0481648667217655E-3</v>
      </c>
      <c r="T8" s="290">
        <v>0.63331290359380499</v>
      </c>
      <c r="U8" s="114">
        <v>144.74451177090748</v>
      </c>
      <c r="V8" s="291">
        <v>12.851423191067589</v>
      </c>
      <c r="W8" t="s">
        <v>2531</v>
      </c>
    </row>
    <row r="9" spans="1:23" x14ac:dyDescent="0.25">
      <c r="A9" s="2" t="s">
        <v>2526</v>
      </c>
      <c r="B9" s="2">
        <v>2104008230</v>
      </c>
      <c r="C9" s="2" t="s">
        <v>2162</v>
      </c>
      <c r="D9" s="290">
        <v>4.6741967253274876E-2</v>
      </c>
      <c r="E9" s="290">
        <v>6.2322623004366509E-3</v>
      </c>
      <c r="F9" s="290">
        <v>1.2464524600873303E-3</v>
      </c>
      <c r="G9" s="290">
        <v>4.0509704952838219E-2</v>
      </c>
      <c r="H9" s="290">
        <v>4.0509704952838219E-2</v>
      </c>
      <c r="I9" s="290">
        <v>2.8045180351964918E-3</v>
      </c>
      <c r="J9" s="290">
        <v>0.33342603307336077</v>
      </c>
      <c r="K9" s="114">
        <v>100.27718907751726</v>
      </c>
      <c r="L9" s="291">
        <v>8.9033053998313694</v>
      </c>
      <c r="M9" s="114" t="s">
        <v>2531</v>
      </c>
      <c r="N9" s="290">
        <v>4.0621527472107545E-2</v>
      </c>
      <c r="O9" s="290">
        <v>5.4162036629476721E-3</v>
      </c>
      <c r="P9" s="290">
        <v>1.0832407325895349E-3</v>
      </c>
      <c r="Q9" s="290">
        <v>3.5205323809159875E-2</v>
      </c>
      <c r="R9" s="290">
        <v>3.5205323809159875E-2</v>
      </c>
      <c r="S9" s="290">
        <v>2.4372916483264531E-3</v>
      </c>
      <c r="T9" s="290">
        <v>0.28976689596770039</v>
      </c>
      <c r="U9" s="114">
        <v>87.146793990633682</v>
      </c>
      <c r="V9" s="291">
        <v>7.7374977166044294</v>
      </c>
      <c r="W9" t="s">
        <v>2531</v>
      </c>
    </row>
    <row r="10" spans="1:23" x14ac:dyDescent="0.25">
      <c r="A10" s="2" t="s">
        <v>2526</v>
      </c>
      <c r="B10" s="2">
        <v>2104008310</v>
      </c>
      <c r="C10" s="2" t="s">
        <v>2165</v>
      </c>
      <c r="D10" s="290">
        <v>2.6440927448099147</v>
      </c>
      <c r="E10" s="290">
        <v>7.2445279265783494E-2</v>
      </c>
      <c r="F10" s="290">
        <v>1.995541694196162E-2</v>
      </c>
      <c r="G10" s="290">
        <v>0.60574814726666837</v>
      </c>
      <c r="H10" s="290">
        <v>0.60574814726666837</v>
      </c>
      <c r="I10" s="290">
        <v>1.9807175395020315E-2</v>
      </c>
      <c r="J10" s="290">
        <v>6.0450266905551064</v>
      </c>
      <c r="K10" s="114">
        <v>1605.414712462901</v>
      </c>
      <c r="L10" s="291">
        <v>142.53986983410923</v>
      </c>
      <c r="M10" s="114" t="s">
        <v>2531</v>
      </c>
      <c r="N10" s="290">
        <v>2.2978726053634584</v>
      </c>
      <c r="O10" s="290">
        <v>6.2959222190489744E-2</v>
      </c>
      <c r="P10" s="290">
        <v>1.7342434757460064E-2</v>
      </c>
      <c r="Q10" s="290">
        <v>0.5264308810974837</v>
      </c>
      <c r="R10" s="290">
        <v>0.5264308810974837</v>
      </c>
      <c r="S10" s="290">
        <v>1.7213604106431746E-2</v>
      </c>
      <c r="T10" s="290">
        <v>5.2534848704469752</v>
      </c>
      <c r="U10" s="114">
        <v>1395.200109851352</v>
      </c>
      <c r="V10" s="291">
        <v>123.87555720456382</v>
      </c>
      <c r="W10" t="s">
        <v>2531</v>
      </c>
    </row>
    <row r="11" spans="1:23" x14ac:dyDescent="0.25">
      <c r="A11" s="2" t="s">
        <v>2526</v>
      </c>
      <c r="B11" s="2">
        <v>2104008320</v>
      </c>
      <c r="C11" s="2" t="s">
        <v>2169</v>
      </c>
      <c r="D11" s="290">
        <v>1.2604338074266166</v>
      </c>
      <c r="E11" s="290">
        <v>0.16898632235347924</v>
      </c>
      <c r="F11" s="290">
        <v>4.2014460247553891E-2</v>
      </c>
      <c r="G11" s="290">
        <v>0.83242465057359372</v>
      </c>
      <c r="H11" s="290">
        <v>0.83242465057359372</v>
      </c>
      <c r="I11" s="290">
        <v>2.6231910637811717E-2</v>
      </c>
      <c r="J11" s="290">
        <v>12.986769288479483</v>
      </c>
      <c r="K11" s="114">
        <v>3380.0663155164489</v>
      </c>
      <c r="L11" s="291">
        <v>300.1057663818471</v>
      </c>
      <c r="M11" s="114" t="s">
        <v>2531</v>
      </c>
      <c r="N11" s="290">
        <v>1.0953913483726165</v>
      </c>
      <c r="O11" s="290">
        <v>0.14685908487113009</v>
      </c>
      <c r="P11" s="290">
        <v>3.6513044945753859E-2</v>
      </c>
      <c r="Q11" s="290">
        <v>0.72342613712660186</v>
      </c>
      <c r="R11" s="290">
        <v>0.72342613712660186</v>
      </c>
      <c r="S11" s="290">
        <v>2.2797078112819075E-2</v>
      </c>
      <c r="T11" s="290">
        <v>11.286268773570514</v>
      </c>
      <c r="U11" s="114">
        <v>2937.4770631562774</v>
      </c>
      <c r="V11" s="291">
        <v>260.80961820801366</v>
      </c>
      <c r="W11" t="s">
        <v>2531</v>
      </c>
    </row>
    <row r="12" spans="1:23" x14ac:dyDescent="0.25">
      <c r="A12" s="2" t="s">
        <v>2526</v>
      </c>
      <c r="B12" s="2">
        <v>2104008330</v>
      </c>
      <c r="C12" s="2" t="s">
        <v>2172</v>
      </c>
      <c r="D12" s="290">
        <v>0.94859179815129724</v>
      </c>
      <c r="E12" s="290">
        <v>0.1017421388983772</v>
      </c>
      <c r="F12" s="290">
        <v>2.5295781284034598E-2</v>
      </c>
      <c r="G12" s="290">
        <v>0.55610448818623226</v>
      </c>
      <c r="H12" s="290">
        <v>0.55610448818623226</v>
      </c>
      <c r="I12" s="290">
        <v>1.5793530852156033E-2</v>
      </c>
      <c r="J12" s="290">
        <v>7.8189859770177748</v>
      </c>
      <c r="K12" s="114">
        <v>2035.0474036570467</v>
      </c>
      <c r="L12" s="291">
        <v>180.68564450770882</v>
      </c>
      <c r="M12" s="114" t="s">
        <v>2531</v>
      </c>
      <c r="N12" s="290">
        <v>0.82438224261344228</v>
      </c>
      <c r="O12" s="290">
        <v>8.8419921821793854E-2</v>
      </c>
      <c r="P12" s="290">
        <v>2.1983526469691792E-2</v>
      </c>
      <c r="Q12" s="290">
        <v>0.4832876122182605</v>
      </c>
      <c r="R12" s="290">
        <v>0.4832876122182605</v>
      </c>
      <c r="S12" s="290">
        <v>1.3725510180521662E-2</v>
      </c>
      <c r="T12" s="290">
        <v>6.7951601597854827</v>
      </c>
      <c r="U12" s="114">
        <v>1768.5762682336392</v>
      </c>
      <c r="V12" s="291">
        <v>157.0264861214439</v>
      </c>
      <c r="W12" t="s">
        <v>2531</v>
      </c>
    </row>
    <row r="13" spans="1:23" x14ac:dyDescent="0.25">
      <c r="A13" s="2" t="s">
        <v>2526</v>
      </c>
      <c r="B13" s="2">
        <v>2104008410</v>
      </c>
      <c r="C13" s="2" t="s">
        <v>2175</v>
      </c>
      <c r="D13" s="290">
        <v>1.5894542507011031E-2</v>
      </c>
      <c r="E13" s="290">
        <v>2.7756822549476329E-2</v>
      </c>
      <c r="F13" s="290">
        <v>2.2183274764816254E-3</v>
      </c>
      <c r="G13" s="290">
        <v>2.0519529157455026E-2</v>
      </c>
      <c r="H13" s="290">
        <v>2.0519529157455026E-2</v>
      </c>
      <c r="I13" s="290">
        <v>4.9829180940468498E-4</v>
      </c>
      <c r="J13" s="290">
        <v>6.8851339051298449E-2</v>
      </c>
      <c r="K13" s="114">
        <v>213.11951255171417</v>
      </c>
      <c r="L13" s="291">
        <v>18.922230712353798</v>
      </c>
      <c r="M13" s="114" t="s">
        <v>2531</v>
      </c>
      <c r="N13" s="290">
        <v>1.381329526860881E-2</v>
      </c>
      <c r="O13" s="290">
        <v>2.4122316538848058E-2</v>
      </c>
      <c r="P13" s="290">
        <v>1.9278574656422028E-3</v>
      </c>
      <c r="Q13" s="290">
        <v>1.783268155719037E-2</v>
      </c>
      <c r="R13" s="290">
        <v>1.783268155719037E-2</v>
      </c>
      <c r="S13" s="290">
        <v>4.330449832198797E-4</v>
      </c>
      <c r="T13" s="290">
        <v>5.9835876089869879E-2</v>
      </c>
      <c r="U13" s="114">
        <v>185.21343115602554</v>
      </c>
      <c r="V13" s="291">
        <v>16.444534962562642</v>
      </c>
      <c r="W13" t="s">
        <v>2531</v>
      </c>
    </row>
    <row r="14" spans="1:23" x14ac:dyDescent="0.25">
      <c r="A14" s="2" t="s">
        <v>2526</v>
      </c>
      <c r="B14" s="2">
        <v>2104008420</v>
      </c>
      <c r="C14" s="2" t="s">
        <v>2179</v>
      </c>
      <c r="D14" s="290">
        <v>5.3612785856221958E-2</v>
      </c>
      <c r="E14" s="290">
        <v>9.3624625102472894E-2</v>
      </c>
      <c r="F14" s="290">
        <v>7.4824875206771562E-3</v>
      </c>
      <c r="G14" s="290">
        <v>6.9213009566263681E-2</v>
      </c>
      <c r="H14" s="290">
        <v>6.9213009566263681E-2</v>
      </c>
      <c r="I14" s="290">
        <v>1.6807537593321064E-3</v>
      </c>
      <c r="J14" s="290">
        <v>0.23223770642301722</v>
      </c>
      <c r="K14" s="114">
        <v>718.85873929227728</v>
      </c>
      <c r="L14" s="291">
        <v>63.825272269143291</v>
      </c>
      <c r="M14" s="114" t="s">
        <v>2531</v>
      </c>
      <c r="N14" s="290">
        <v>4.6592674238848053E-2</v>
      </c>
      <c r="O14" s="290">
        <v>8.1365323373277801E-2</v>
      </c>
      <c r="P14" s="290">
        <v>6.5027231467155132E-3</v>
      </c>
      <c r="Q14" s="290">
        <v>6.0150189107118474E-2</v>
      </c>
      <c r="R14" s="290">
        <v>6.0150189107118474E-2</v>
      </c>
      <c r="S14" s="290">
        <v>1.460674186830972E-3</v>
      </c>
      <c r="T14" s="290">
        <v>0.2018282696661827</v>
      </c>
      <c r="U14" s="114">
        <v>624.73065946277472</v>
      </c>
      <c r="V14" s="291">
        <v>55.467927501791181</v>
      </c>
      <c r="W14" t="s">
        <v>2531</v>
      </c>
    </row>
    <row r="15" spans="1:23" x14ac:dyDescent="0.25">
      <c r="A15" s="2" t="s">
        <v>2526</v>
      </c>
      <c r="B15" s="2">
        <v>2104008610</v>
      </c>
      <c r="C15" s="2" t="s">
        <v>2182</v>
      </c>
      <c r="D15" s="290">
        <v>1.3591344791062547</v>
      </c>
      <c r="E15" s="290">
        <v>4.828021406576765E-2</v>
      </c>
      <c r="F15" s="290">
        <v>1.19747531198789E-2</v>
      </c>
      <c r="G15" s="290">
        <v>0.29548158601336993</v>
      </c>
      <c r="H15" s="290">
        <v>0.29548158601336993</v>
      </c>
      <c r="I15" s="290">
        <v>7.2973717290303096E-3</v>
      </c>
      <c r="J15" s="290">
        <v>1.8132969437209305</v>
      </c>
      <c r="K15" s="114">
        <v>963.36974029041983</v>
      </c>
      <c r="L15" s="291">
        <v>85.534657379869543</v>
      </c>
      <c r="M15" s="114" t="s">
        <v>2531</v>
      </c>
      <c r="N15" s="290">
        <v>1.242590174498271</v>
      </c>
      <c r="O15" s="290">
        <v>4.4140238175876631E-2</v>
      </c>
      <c r="P15" s="290">
        <v>1.0947931052848203E-2</v>
      </c>
      <c r="Q15" s="290">
        <v>0.27014436111341927</v>
      </c>
      <c r="R15" s="290">
        <v>0.27014436111341927</v>
      </c>
      <c r="S15" s="290">
        <v>6.6716300333409702E-3</v>
      </c>
      <c r="T15" s="290">
        <v>1.6578087013119045</v>
      </c>
      <c r="U15" s="114">
        <v>880.76183195720512</v>
      </c>
      <c r="V15" s="291">
        <v>78.200153460305827</v>
      </c>
      <c r="W15" t="s">
        <v>2531</v>
      </c>
    </row>
    <row r="16" spans="1:23" x14ac:dyDescent="0.25">
      <c r="A16" s="2" t="s">
        <v>2526</v>
      </c>
      <c r="B16" s="2">
        <v>2104004000</v>
      </c>
      <c r="C16" s="2" t="s">
        <v>2196</v>
      </c>
      <c r="D16" s="290">
        <v>9.851165770327204E-2</v>
      </c>
      <c r="E16" s="290">
        <v>1.5434979286831383</v>
      </c>
      <c r="F16" s="290">
        <v>3.9933253192150766</v>
      </c>
      <c r="G16" s="290">
        <v>6.3085746403942974E-2</v>
      </c>
      <c r="H16" s="290">
        <v>6.3085746403942974E-2</v>
      </c>
      <c r="I16" s="290">
        <v>3.3845502945715426E-3</v>
      </c>
      <c r="J16" s="290">
        <v>6.1876602931200751E-2</v>
      </c>
      <c r="K16" s="114">
        <v>37086.436728022753</v>
      </c>
      <c r="L16" s="291">
        <v>276.33003563330163</v>
      </c>
      <c r="M16" s="114" t="s">
        <v>2532</v>
      </c>
      <c r="N16" s="290">
        <v>9.1015086104996604E-2</v>
      </c>
      <c r="O16" s="290">
        <v>1.4260403302229032</v>
      </c>
      <c r="P16" s="290">
        <v>3.6894399733723198</v>
      </c>
      <c r="Q16" s="290">
        <v>5.8285027120827129E-2</v>
      </c>
      <c r="R16" s="290">
        <v>5.8285027120827129E-2</v>
      </c>
      <c r="S16" s="290">
        <v>3.1269917050323758E-3</v>
      </c>
      <c r="T16" s="290">
        <v>5.7167897434344604E-2</v>
      </c>
      <c r="U16" s="114">
        <v>34264.221218321698</v>
      </c>
      <c r="V16" s="291">
        <v>255.3017843057408</v>
      </c>
      <c r="W16" t="s">
        <v>2532</v>
      </c>
    </row>
    <row r="17" spans="1:23" x14ac:dyDescent="0.25">
      <c r="A17" s="2" t="s">
        <v>2526</v>
      </c>
      <c r="B17" s="2">
        <v>2103004001</v>
      </c>
      <c r="C17" s="2" t="s">
        <v>2206</v>
      </c>
      <c r="D17" s="290">
        <v>3.2129713399464861E-2</v>
      </c>
      <c r="E17" s="290">
        <v>0.81112880952365696</v>
      </c>
      <c r="F17" s="290">
        <v>0.57334189274063307</v>
      </c>
      <c r="G17" s="290">
        <v>2.057550343590132E-2</v>
      </c>
      <c r="H17" s="290">
        <v>2.057550343590132E-2</v>
      </c>
      <c r="I17" s="290">
        <v>1.1038757593361062E-3</v>
      </c>
      <c r="J17" s="290">
        <v>2.0181139620046546E-2</v>
      </c>
      <c r="K17" s="114">
        <v>12482.37112433628</v>
      </c>
      <c r="L17" s="291">
        <v>93.005809182246452</v>
      </c>
      <c r="M17" s="114" t="s">
        <v>2532</v>
      </c>
      <c r="N17" s="290">
        <v>3.159461008226265E-2</v>
      </c>
      <c r="O17" s="290">
        <v>0.79761988987479349</v>
      </c>
      <c r="P17" s="290">
        <v>0.56379318793638722</v>
      </c>
      <c r="Q17" s="290">
        <v>2.0232829350864522E-2</v>
      </c>
      <c r="R17" s="290">
        <v>2.0232829350864522E-2</v>
      </c>
      <c r="S17" s="290">
        <v>1.0854912946738821E-3</v>
      </c>
      <c r="T17" s="290">
        <v>1.984503345497295E-2</v>
      </c>
      <c r="U17" s="114">
        <v>12274.483860850985</v>
      </c>
      <c r="V17" s="291">
        <v>91.456846812313671</v>
      </c>
      <c r="W17" t="s">
        <v>2532</v>
      </c>
    </row>
    <row r="18" spans="1:23" x14ac:dyDescent="0.25">
      <c r="A18" s="2" t="s">
        <v>2526</v>
      </c>
      <c r="B18" s="2">
        <v>2104004000</v>
      </c>
      <c r="C18" s="2" t="s">
        <v>2210</v>
      </c>
      <c r="D18" s="290">
        <v>6.7381237500735414E-4</v>
      </c>
      <c r="E18" s="290">
        <v>1.7010691094154803E-2</v>
      </c>
      <c r="F18" s="290">
        <v>2.7314046684933004E-2</v>
      </c>
      <c r="G18" s="290">
        <v>3.7801535764788461E-4</v>
      </c>
      <c r="H18" s="290">
        <v>3.7801535764788461E-4</v>
      </c>
      <c r="I18" s="290">
        <v>2.3150071021912601E-5</v>
      </c>
      <c r="J18" s="290">
        <v>4.2323133881315823E-4</v>
      </c>
      <c r="K18" s="114">
        <v>258.93106960485966</v>
      </c>
      <c r="L18" s="291">
        <v>1.8900767882394229</v>
      </c>
      <c r="M18" s="114" t="s">
        <v>2532</v>
      </c>
      <c r="N18" s="290">
        <v>6.3571064198395671E-4</v>
      </c>
      <c r="O18" s="290">
        <v>1.6048796010815179E-2</v>
      </c>
      <c r="P18" s="290">
        <v>2.5769532880824592E-2</v>
      </c>
      <c r="Q18" s="290">
        <v>3.5663991135144847E-4</v>
      </c>
      <c r="R18" s="290">
        <v>3.5663991135144847E-4</v>
      </c>
      <c r="S18" s="290">
        <v>2.1841015477273817E-5</v>
      </c>
      <c r="T18" s="290">
        <v>3.9929908693307363E-4</v>
      </c>
      <c r="U18" s="114">
        <v>244.28942327795835</v>
      </c>
      <c r="V18" s="291">
        <v>1.7831995567572421</v>
      </c>
      <c r="W18" t="s">
        <v>2532</v>
      </c>
    </row>
    <row r="19" spans="1:23" x14ac:dyDescent="0.25">
      <c r="A19" s="2" t="s">
        <v>2526</v>
      </c>
      <c r="B19" s="2">
        <v>2104004000</v>
      </c>
      <c r="C19" s="2" t="s">
        <v>2214</v>
      </c>
      <c r="D19" s="290">
        <v>2.808424239608618E-3</v>
      </c>
      <c r="E19" s="290">
        <v>4.4002883493812539E-2</v>
      </c>
      <c r="F19" s="290">
        <v>0.11384390319475807</v>
      </c>
      <c r="G19" s="290">
        <v>1.798482976586344E-3</v>
      </c>
      <c r="H19" s="290">
        <v>1.798482976586344E-3</v>
      </c>
      <c r="I19" s="290">
        <v>9.6488611693857352E-5</v>
      </c>
      <c r="J19" s="290">
        <v>1.7640120528684389E-3</v>
      </c>
      <c r="K19" s="114">
        <v>984.72098162995042</v>
      </c>
      <c r="L19" s="291">
        <v>7.8777678530396029</v>
      </c>
      <c r="M19" s="114" t="s">
        <v>2532</v>
      </c>
      <c r="N19" s="290">
        <v>2.3245363705957324E-3</v>
      </c>
      <c r="O19" s="290">
        <v>3.6421243503691053E-2</v>
      </c>
      <c r="P19" s="290">
        <v>9.4228745719583368E-2</v>
      </c>
      <c r="Q19" s="290">
        <v>1.4886066827121682E-3</v>
      </c>
      <c r="R19" s="290">
        <v>1.4886066827121682E-3</v>
      </c>
      <c r="S19" s="290">
        <v>7.9863748527507803E-5</v>
      </c>
      <c r="T19" s="290">
        <v>1.4600750546268516E-3</v>
      </c>
      <c r="U19" s="114">
        <v>815.05482839962576</v>
      </c>
      <c r="V19" s="291">
        <v>6.5204386271970041</v>
      </c>
      <c r="W19" t="s">
        <v>2532</v>
      </c>
    </row>
    <row r="20" spans="1:23" x14ac:dyDescent="0.25">
      <c r="A20" s="2" t="s">
        <v>2526</v>
      </c>
      <c r="B20" s="2">
        <v>2104006010</v>
      </c>
      <c r="C20" s="2" t="s">
        <v>2217</v>
      </c>
      <c r="D20" s="290">
        <v>6.6969683938961316E-4</v>
      </c>
      <c r="E20" s="290">
        <v>1.1445727800477036E-2</v>
      </c>
      <c r="F20" s="290">
        <v>7.3057837024321465E-5</v>
      </c>
      <c r="G20" s="290">
        <v>9.2539926897473868E-4</v>
      </c>
      <c r="H20" s="290">
        <v>9.2539926897473868E-4</v>
      </c>
      <c r="I20" s="290">
        <v>2.4352612341440503E-3</v>
      </c>
      <c r="J20" s="290">
        <v>4.8705224682881005E-3</v>
      </c>
      <c r="K20" s="114">
        <v>300.62303278688512</v>
      </c>
      <c r="L20" s="291">
        <v>296.18032786885277</v>
      </c>
      <c r="M20" s="114" t="s">
        <v>2533</v>
      </c>
      <c r="N20" s="290">
        <v>6.6969683938961316E-4</v>
      </c>
      <c r="O20" s="290">
        <v>1.1445727800477036E-2</v>
      </c>
      <c r="P20" s="290">
        <v>7.3057837024321465E-5</v>
      </c>
      <c r="Q20" s="290">
        <v>9.2539926897473868E-4</v>
      </c>
      <c r="R20" s="290">
        <v>9.2539926897473868E-4</v>
      </c>
      <c r="S20" s="290">
        <v>2.4352612341440503E-3</v>
      </c>
      <c r="T20" s="290">
        <v>4.8705224682881005E-3</v>
      </c>
      <c r="U20" s="114">
        <v>300.62303278688512</v>
      </c>
      <c r="V20" s="291">
        <v>296.18032786885277</v>
      </c>
      <c r="W20" t="s">
        <v>2533</v>
      </c>
    </row>
    <row r="21" spans="1:23" x14ac:dyDescent="0.25">
      <c r="A21" s="2" t="s">
        <v>2526</v>
      </c>
      <c r="B21" s="2">
        <v>2103006000</v>
      </c>
      <c r="C21" s="2" t="s">
        <v>2221</v>
      </c>
      <c r="D21" s="290">
        <v>5.2612909836065582E-3</v>
      </c>
      <c r="E21" s="290">
        <v>9.5659836065573725E-2</v>
      </c>
      <c r="F21" s="290">
        <v>5.7395901639344278E-4</v>
      </c>
      <c r="G21" s="290">
        <v>7.2701475409836002E-3</v>
      </c>
      <c r="H21" s="290">
        <v>7.2701475409836002E-3</v>
      </c>
      <c r="I21" s="290">
        <v>1.9131967213114748E-2</v>
      </c>
      <c r="J21" s="290">
        <v>3.8263934426229496E-2</v>
      </c>
      <c r="K21" s="114">
        <v>1941.8946721311484</v>
      </c>
      <c r="L21" s="291">
        <v>1913.196721311474</v>
      </c>
      <c r="M21" s="114" t="s">
        <v>2533</v>
      </c>
      <c r="N21" s="290">
        <v>5.2612909836065582E-3</v>
      </c>
      <c r="O21" s="290">
        <v>9.5659836065573725E-2</v>
      </c>
      <c r="P21" s="290">
        <v>5.7395901639344278E-4</v>
      </c>
      <c r="Q21" s="290">
        <v>7.2701475409836002E-3</v>
      </c>
      <c r="R21" s="290">
        <v>7.2701475409836002E-3</v>
      </c>
      <c r="S21" s="290">
        <v>1.9131967213114748E-2</v>
      </c>
      <c r="T21" s="290">
        <v>3.8263934426229496E-2</v>
      </c>
      <c r="U21" s="114">
        <v>1941.8946721311484</v>
      </c>
      <c r="V21" s="291">
        <v>1913.196721311474</v>
      </c>
      <c r="W21" t="s">
        <v>2533</v>
      </c>
    </row>
    <row r="22" spans="1:23" x14ac:dyDescent="0.25">
      <c r="A22" s="2" t="s">
        <v>2526</v>
      </c>
      <c r="B22" s="2">
        <v>2104002000</v>
      </c>
      <c r="C22" s="2" t="s">
        <v>2223</v>
      </c>
      <c r="D22" s="290">
        <v>0.15279195403435031</v>
      </c>
      <c r="E22" s="290">
        <v>7.2117802304213371E-2</v>
      </c>
      <c r="F22" s="290">
        <v>0.1420965172519458</v>
      </c>
      <c r="G22" s="290">
        <v>0.12208077127344594</v>
      </c>
      <c r="H22" s="290">
        <v>0.12208077127344594</v>
      </c>
      <c r="I22" s="290">
        <v>1.9342697420978581E-2</v>
      </c>
      <c r="J22" s="290">
        <v>1.995080939803529</v>
      </c>
      <c r="K22" s="114">
        <v>464.48754026442532</v>
      </c>
      <c r="L22" s="291">
        <v>30.558390806870062</v>
      </c>
      <c r="M22" s="114" t="s">
        <v>2531</v>
      </c>
      <c r="N22" s="290">
        <v>0.13378854066422793</v>
      </c>
      <c r="O22" s="290">
        <v>6.3148191193515599E-2</v>
      </c>
      <c r="P22" s="290">
        <v>0.12442334281773194</v>
      </c>
      <c r="Q22" s="290">
        <v>0.10689704399071813</v>
      </c>
      <c r="R22" s="290">
        <v>0.10689704399071813</v>
      </c>
      <c r="S22" s="290">
        <v>1.6936960305387938E-2</v>
      </c>
      <c r="T22" s="290">
        <v>1.7469438697231565</v>
      </c>
      <c r="U22" s="114">
        <v>406.71716361925303</v>
      </c>
      <c r="V22" s="291">
        <v>26.757708132845586</v>
      </c>
      <c r="W22" t="s">
        <v>2531</v>
      </c>
    </row>
    <row r="23" spans="1:23" x14ac:dyDescent="0.25">
      <c r="A23" s="2" t="s">
        <v>2526</v>
      </c>
      <c r="B23" s="2">
        <v>2103002000</v>
      </c>
      <c r="C23" s="2" t="s">
        <v>2527</v>
      </c>
      <c r="D23" s="290">
        <v>4.0148138126104761E-4</v>
      </c>
      <c r="E23" s="290">
        <v>1.8949921195521451E-4</v>
      </c>
      <c r="F23" s="290">
        <v>3.7337768457277438E-4</v>
      </c>
      <c r="G23" s="290">
        <v>3.2078362362757709E-4</v>
      </c>
      <c r="H23" s="290">
        <v>3.2078362362757709E-4</v>
      </c>
      <c r="I23" s="290">
        <v>5.0825535460742351E-5</v>
      </c>
      <c r="J23" s="290">
        <v>5.24234313581613E-3</v>
      </c>
      <c r="K23" s="114">
        <v>18.456877950864644</v>
      </c>
      <c r="L23" s="291">
        <v>1.2205033990335847</v>
      </c>
      <c r="M23" s="114" t="s">
        <v>2531</v>
      </c>
      <c r="N23" s="290">
        <v>3.7940475162931154E-4</v>
      </c>
      <c r="O23" s="290">
        <v>1.7907904276903496E-4</v>
      </c>
      <c r="P23" s="290">
        <v>3.5284641901525964E-4</v>
      </c>
      <c r="Q23" s="290">
        <v>3.0314439655181985E-4</v>
      </c>
      <c r="R23" s="290">
        <v>3.0314439655181985E-4</v>
      </c>
      <c r="S23" s="290">
        <v>4.8030744532512702E-5</v>
      </c>
      <c r="T23" s="290">
        <v>4.9540775443997348E-3</v>
      </c>
      <c r="U23" s="114">
        <v>17.43676104884138</v>
      </c>
      <c r="V23" s="291">
        <v>1.1533904449531067</v>
      </c>
      <c r="W23" t="s">
        <v>2531</v>
      </c>
    </row>
    <row r="24" spans="1:23" x14ac:dyDescent="0.25">
      <c r="A24" s="2" t="s">
        <v>2526</v>
      </c>
      <c r="B24" s="2">
        <v>2103008000</v>
      </c>
      <c r="C24" s="2" t="s">
        <v>2528</v>
      </c>
      <c r="D24" s="290">
        <v>1.2267802496122725E-3</v>
      </c>
      <c r="E24" s="290">
        <v>4.8776475754854215E-5</v>
      </c>
      <c r="F24" s="290">
        <v>1.0633485245822149E-5</v>
      </c>
      <c r="G24" s="290">
        <v>3.4500168382878613E-4</v>
      </c>
      <c r="H24" s="290">
        <v>3.4500168382878613E-4</v>
      </c>
      <c r="I24" s="290">
        <v>1.2632663031087651E-5</v>
      </c>
      <c r="J24" s="290">
        <v>2.4538740814386119E-3</v>
      </c>
      <c r="K24" s="114">
        <v>11.138643290370357</v>
      </c>
      <c r="L24" s="291">
        <v>0.91979647376361562</v>
      </c>
      <c r="M24" s="114" t="s">
        <v>2531</v>
      </c>
      <c r="N24" s="290">
        <v>1.0057156829621557E-3</v>
      </c>
      <c r="O24" s="290">
        <v>4.0923651207836463E-5</v>
      </c>
      <c r="P24" s="290">
        <v>8.6857798127814725E-6</v>
      </c>
      <c r="Q24" s="290">
        <v>2.9694131175428135E-4</v>
      </c>
      <c r="R24" s="290">
        <v>2.9694131175428135E-4</v>
      </c>
      <c r="S24" s="290">
        <v>1.1445738305269714E-5</v>
      </c>
      <c r="T24" s="290">
        <v>2.1589395409395405E-3</v>
      </c>
      <c r="U24" s="114">
        <v>9.0984094863238223</v>
      </c>
      <c r="V24" s="291">
        <v>0.75131995380559735</v>
      </c>
      <c r="W24" t="s">
        <v>2531</v>
      </c>
    </row>
    <row r="25" spans="1:23" x14ac:dyDescent="0.25">
      <c r="A25" s="44" t="s">
        <v>2526</v>
      </c>
      <c r="B25" s="44">
        <v>2102012000</v>
      </c>
      <c r="C25" s="44" t="s">
        <v>2228</v>
      </c>
      <c r="D25" s="292">
        <v>5.2382327984415976E-4</v>
      </c>
      <c r="E25" s="292">
        <v>2.7346164289603587E-2</v>
      </c>
      <c r="F25" s="292">
        <v>1.9363248899601761E-2</v>
      </c>
      <c r="G25" s="292">
        <v>2.7260720241086738E-3</v>
      </c>
      <c r="H25" s="292">
        <v>2.7260720241086738E-3</v>
      </c>
      <c r="I25" s="292">
        <v>1.9058091583470191E-5</v>
      </c>
      <c r="J25" s="292">
        <v>6.5100227441401174E-3</v>
      </c>
      <c r="K25" s="245">
        <v>145.09904851683226</v>
      </c>
      <c r="L25" s="293">
        <v>1.0476465596883191</v>
      </c>
      <c r="M25" s="245" t="s">
        <v>2532</v>
      </c>
      <c r="N25" s="292">
        <v>5.2382327984415976E-4</v>
      </c>
      <c r="O25" s="292">
        <v>2.7346164289603587E-2</v>
      </c>
      <c r="P25" s="292">
        <v>1.9363248899601761E-2</v>
      </c>
      <c r="Q25" s="292">
        <v>2.7260720241086738E-3</v>
      </c>
      <c r="R25" s="292">
        <v>2.7260720241086738E-3</v>
      </c>
      <c r="S25" s="292">
        <v>1.9058091583470191E-5</v>
      </c>
      <c r="T25" s="292">
        <v>6.5100227441401174E-3</v>
      </c>
      <c r="U25" s="245">
        <v>145.09904851683226</v>
      </c>
      <c r="V25" s="293">
        <v>1.0476465596883191</v>
      </c>
      <c r="W25" s="9" t="s">
        <v>2532</v>
      </c>
    </row>
    <row r="26" spans="1:23" x14ac:dyDescent="0.25">
      <c r="A26" s="71" t="s">
        <v>2526</v>
      </c>
      <c r="B26" s="71" t="s">
        <v>2462</v>
      </c>
      <c r="C26" s="71"/>
      <c r="D26" s="294">
        <v>13.133192894177443</v>
      </c>
      <c r="E26" s="294">
        <v>3.2304750173317576</v>
      </c>
      <c r="F26" s="294">
        <v>4.9945917861395479</v>
      </c>
      <c r="G26" s="294">
        <v>3.7313289543986761</v>
      </c>
      <c r="H26" s="294">
        <v>3.7313289543986761</v>
      </c>
      <c r="I26" s="294">
        <v>0.17820681132208355</v>
      </c>
      <c r="J26" s="294">
        <v>39.699698168435589</v>
      </c>
      <c r="K26" s="244">
        <v>63843.706087790953</v>
      </c>
      <c r="L26" s="244"/>
      <c r="M26" s="244"/>
      <c r="N26" s="294">
        <v>11.81675426141647</v>
      </c>
      <c r="O26" s="294">
        <v>3.0083012284610313</v>
      </c>
      <c r="P26" s="294">
        <v>4.6271489142555771</v>
      </c>
      <c r="Q26" s="294">
        <v>3.3141258537194922</v>
      </c>
      <c r="R26" s="294">
        <v>3.3141258537194922</v>
      </c>
      <c r="S26" s="294">
        <v>0.16107102939889237</v>
      </c>
      <c r="T26" s="294">
        <v>34.974106801279014</v>
      </c>
      <c r="U26" s="244">
        <v>59329.521197527662</v>
      </c>
    </row>
    <row r="27" spans="1:23" x14ac:dyDescent="0.25">
      <c r="A27" s="2"/>
      <c r="B27" s="2"/>
      <c r="C27" s="2"/>
      <c r="D27" s="290"/>
      <c r="E27" s="290"/>
      <c r="F27" s="290"/>
      <c r="G27" s="290"/>
      <c r="H27" s="290"/>
      <c r="I27" s="290"/>
      <c r="J27" s="290"/>
      <c r="K27" s="290"/>
      <c r="L27" s="290"/>
      <c r="M27" s="290"/>
      <c r="N27" s="290"/>
      <c r="O27" s="290"/>
      <c r="P27" s="290"/>
      <c r="Q27" s="290"/>
      <c r="R27" s="290"/>
      <c r="S27" s="290"/>
      <c r="T27" s="290"/>
    </row>
    <row r="28" spans="1:23" x14ac:dyDescent="0.25">
      <c r="A28" s="2" t="s">
        <v>2529</v>
      </c>
      <c r="B28" s="2">
        <v>2104008100</v>
      </c>
      <c r="C28" s="2" t="s">
        <v>2152</v>
      </c>
      <c r="D28" s="290">
        <v>3.9650873297097604</v>
      </c>
      <c r="E28" s="290">
        <v>4.5018458765263669E-2</v>
      </c>
      <c r="F28" s="290">
        <v>6.9259167331174867E-3</v>
      </c>
      <c r="G28" s="290">
        <v>0.59909179741466267</v>
      </c>
      <c r="H28" s="290">
        <v>0.59909179741466267</v>
      </c>
      <c r="I28" s="290">
        <v>3.1166625299028687E-2</v>
      </c>
      <c r="J28" s="290">
        <v>4.373716416963692</v>
      </c>
      <c r="K28" s="114">
        <v>553.99606214241953</v>
      </c>
      <c r="L28" s="291">
        <v>49.471242444679383</v>
      </c>
      <c r="M28" s="114" t="s">
        <v>2531</v>
      </c>
      <c r="N28" s="290">
        <v>3.6678978740857655</v>
      </c>
      <c r="O28" s="290">
        <v>4.1644255338965021E-2</v>
      </c>
      <c r="P28" s="290">
        <v>6.4068085136869271E-3</v>
      </c>
      <c r="Q28" s="290">
        <v>0.5541889364339192</v>
      </c>
      <c r="R28" s="290">
        <v>0.5541889364339192</v>
      </c>
      <c r="S28" s="290">
        <v>2.8830638311591158E-2</v>
      </c>
      <c r="T28" s="290">
        <v>4.0458995763932935</v>
      </c>
      <c r="U28" s="114">
        <v>512.47319658223137</v>
      </c>
      <c r="V28" s="291">
        <v>45.763295963648609</v>
      </c>
      <c r="W28" t="s">
        <v>2531</v>
      </c>
    </row>
    <row r="29" spans="1:23" x14ac:dyDescent="0.25">
      <c r="A29" s="2" t="s">
        <v>2529</v>
      </c>
      <c r="B29" s="2">
        <v>2104008210</v>
      </c>
      <c r="C29" s="2" t="s">
        <v>2156</v>
      </c>
      <c r="D29" s="290">
        <v>9.3034755703147065E-2</v>
      </c>
      <c r="E29" s="290">
        <v>4.9150436975247489E-3</v>
      </c>
      <c r="F29" s="290">
        <v>7.0214909964639281E-4</v>
      </c>
      <c r="G29" s="290">
        <v>5.371440612294906E-2</v>
      </c>
      <c r="H29" s="290">
        <v>5.371440612294906E-2</v>
      </c>
      <c r="I29" s="290">
        <v>2.9841336734971699E-3</v>
      </c>
      <c r="J29" s="290">
        <v>0.40514003049596864</v>
      </c>
      <c r="K29" s="114">
        <v>56.164093683213544</v>
      </c>
      <c r="L29" s="291">
        <v>5.0153921393283349</v>
      </c>
      <c r="M29" s="114" t="s">
        <v>2531</v>
      </c>
      <c r="N29" s="290">
        <v>8.1218245254779969E-2</v>
      </c>
      <c r="O29" s="290">
        <v>4.2907752210072422E-3</v>
      </c>
      <c r="P29" s="290">
        <v>6.1296788871532059E-4</v>
      </c>
      <c r="Q29" s="290">
        <v>4.6892043486722018E-2</v>
      </c>
      <c r="R29" s="290">
        <v>4.6892043486722018E-2</v>
      </c>
      <c r="S29" s="290">
        <v>2.6051135270401121E-3</v>
      </c>
      <c r="T29" s="290">
        <v>0.3536824717887399</v>
      </c>
      <c r="U29" s="114">
        <v>49.030591855699079</v>
      </c>
      <c r="V29" s="291">
        <v>4.3783782280312398</v>
      </c>
      <c r="W29" t="s">
        <v>2531</v>
      </c>
    </row>
    <row r="30" spans="1:23" x14ac:dyDescent="0.25">
      <c r="A30" s="2" t="s">
        <v>2529</v>
      </c>
      <c r="B30" s="2">
        <v>2104008220</v>
      </c>
      <c r="C30" s="2" t="s">
        <v>2159</v>
      </c>
      <c r="D30" s="290">
        <v>4.4349484935466199E-2</v>
      </c>
      <c r="E30" s="290">
        <v>7.3915808225776987E-3</v>
      </c>
      <c r="F30" s="290">
        <v>1.47831616451554E-3</v>
      </c>
      <c r="G30" s="290">
        <v>4.4349484935466199E-2</v>
      </c>
      <c r="H30" s="290">
        <v>4.4349484935466199E-2</v>
      </c>
      <c r="I30" s="290">
        <v>3.3262113701599638E-3</v>
      </c>
      <c r="J30" s="290">
        <v>0.52036728990947012</v>
      </c>
      <c r="K30" s="114">
        <v>118.24879872248405</v>
      </c>
      <c r="L30" s="291">
        <v>10.559488397389051</v>
      </c>
      <c r="M30" s="114" t="s">
        <v>2531</v>
      </c>
      <c r="N30" s="290">
        <v>3.8716577661632091E-2</v>
      </c>
      <c r="O30" s="290">
        <v>6.4527629436053509E-3</v>
      </c>
      <c r="P30" s="290">
        <v>1.2905525887210697E-3</v>
      </c>
      <c r="Q30" s="290">
        <v>3.8716577661632091E-2</v>
      </c>
      <c r="R30" s="290">
        <v>3.8716577661632091E-2</v>
      </c>
      <c r="S30" s="290">
        <v>2.9037433246224074E-3</v>
      </c>
      <c r="T30" s="290">
        <v>0.45427451122981649</v>
      </c>
      <c r="U30" s="114">
        <v>103.22980764704633</v>
      </c>
      <c r="V30" s="291">
        <v>9.2183089205998403</v>
      </c>
      <c r="W30" t="s">
        <v>2531</v>
      </c>
    </row>
    <row r="31" spans="1:23" x14ac:dyDescent="0.25">
      <c r="A31" s="2" t="s">
        <v>2529</v>
      </c>
      <c r="B31" s="2">
        <v>2104008230</v>
      </c>
      <c r="C31" s="2" t="s">
        <v>2162</v>
      </c>
      <c r="D31" s="290">
        <v>3.3377046390012093E-2</v>
      </c>
      <c r="E31" s="290">
        <v>4.4502728520016115E-3</v>
      </c>
      <c r="F31" s="290">
        <v>8.9005457040032218E-4</v>
      </c>
      <c r="G31" s="290">
        <v>2.8926773538010472E-2</v>
      </c>
      <c r="H31" s="290">
        <v>2.8926773538010472E-2</v>
      </c>
      <c r="I31" s="290">
        <v>2.0026227834007257E-3</v>
      </c>
      <c r="J31" s="290">
        <v>0.23808959758208623</v>
      </c>
      <c r="K31" s="114">
        <v>71.194434772202868</v>
      </c>
      <c r="L31" s="291">
        <v>6.3575851599142164</v>
      </c>
      <c r="M31" s="114" t="s">
        <v>2531</v>
      </c>
      <c r="N31" s="290">
        <v>2.9137768128652933E-2</v>
      </c>
      <c r="O31" s="290">
        <v>3.8850357504870573E-3</v>
      </c>
      <c r="P31" s="290">
        <v>7.7700715009741141E-4</v>
      </c>
      <c r="Q31" s="290">
        <v>2.525273237816587E-2</v>
      </c>
      <c r="R31" s="290">
        <v>2.525273237816587E-2</v>
      </c>
      <c r="S31" s="290">
        <v>1.7482660877191755E-3</v>
      </c>
      <c r="T31" s="290">
        <v>0.20784941265105761</v>
      </c>
      <c r="U31" s="114">
        <v>62.151902484209032</v>
      </c>
      <c r="V31" s="291">
        <v>5.550096916399986</v>
      </c>
      <c r="W31" t="s">
        <v>2531</v>
      </c>
    </row>
    <row r="32" spans="1:23" x14ac:dyDescent="0.25">
      <c r="A32" s="2" t="s">
        <v>2529</v>
      </c>
      <c r="B32" s="2">
        <v>2104008310</v>
      </c>
      <c r="C32" s="2" t="s">
        <v>2165</v>
      </c>
      <c r="D32" s="290">
        <v>1.8880678625444836</v>
      </c>
      <c r="E32" s="290">
        <v>5.173101580618699E-2</v>
      </c>
      <c r="F32" s="290">
        <v>1.4249568773920631E-2</v>
      </c>
      <c r="G32" s="290">
        <v>0.43254670695459274</v>
      </c>
      <c r="H32" s="290">
        <v>0.43254670695459274</v>
      </c>
      <c r="I32" s="290">
        <v>1.4143713901309538E-2</v>
      </c>
      <c r="J32" s="290">
        <v>4.3165734806633065</v>
      </c>
      <c r="K32" s="114">
        <v>1139.8065111340545</v>
      </c>
      <c r="L32" s="291">
        <v>101.78347483964791</v>
      </c>
      <c r="M32" s="114" t="s">
        <v>2531</v>
      </c>
      <c r="N32" s="290">
        <v>1.6482609919146469</v>
      </c>
      <c r="O32" s="290">
        <v>4.5160567115711481E-2</v>
      </c>
      <c r="P32" s="290">
        <v>1.2439705599355822E-2</v>
      </c>
      <c r="Q32" s="290">
        <v>0.37760817733191732</v>
      </c>
      <c r="R32" s="290">
        <v>0.37760817733191732</v>
      </c>
      <c r="S32" s="290">
        <v>1.2347295543133687E-2</v>
      </c>
      <c r="T32" s="290">
        <v>3.7683177750412749</v>
      </c>
      <c r="U32" s="114">
        <v>995.03765087168676</v>
      </c>
      <c r="V32" s="291">
        <v>88.855773951697628</v>
      </c>
      <c r="W32" t="s">
        <v>2531</v>
      </c>
    </row>
    <row r="33" spans="1:31" x14ac:dyDescent="0.25">
      <c r="A33" s="2" t="s">
        <v>2529</v>
      </c>
      <c r="B33" s="2">
        <v>2104008320</v>
      </c>
      <c r="C33" s="2" t="s">
        <v>2169</v>
      </c>
      <c r="D33" s="290">
        <v>0.90003823403625005</v>
      </c>
      <c r="E33" s="290">
        <v>0.12066809875389742</v>
      </c>
      <c r="F33" s="290">
        <v>3.0001274467875007E-2</v>
      </c>
      <c r="G33" s="290">
        <v>0.5944096453586436</v>
      </c>
      <c r="H33" s="290">
        <v>0.5944096453586436</v>
      </c>
      <c r="I33" s="290">
        <v>1.8731425947750426E-2</v>
      </c>
      <c r="J33" s="290">
        <v>9.2734650779507923</v>
      </c>
      <c r="K33" s="114">
        <v>2399.7672156499366</v>
      </c>
      <c r="L33" s="291">
        <v>214.29658773583711</v>
      </c>
      <c r="M33" s="114" t="s">
        <v>2531</v>
      </c>
      <c r="N33" s="290">
        <v>0.78572277078771835</v>
      </c>
      <c r="O33" s="290">
        <v>0.10534182806147285</v>
      </c>
      <c r="P33" s="290">
        <v>2.6190759026257289E-2</v>
      </c>
      <c r="Q33" s="290">
        <v>0.51891261490045537</v>
      </c>
      <c r="R33" s="290">
        <v>0.51891261490045537</v>
      </c>
      <c r="S33" s="290">
        <v>1.6352314090557464E-2</v>
      </c>
      <c r="T33" s="290">
        <v>8.0956257193371375</v>
      </c>
      <c r="U33" s="114">
        <v>2094.9684964717335</v>
      </c>
      <c r="V33" s="291">
        <v>187.07839547111254</v>
      </c>
      <c r="W33" t="s">
        <v>2531</v>
      </c>
    </row>
    <row r="34" spans="1:31" x14ac:dyDescent="0.25">
      <c r="A34" s="2" t="s">
        <v>2529</v>
      </c>
      <c r="B34" s="2">
        <v>2104008330</v>
      </c>
      <c r="C34" s="2" t="s">
        <v>2172</v>
      </c>
      <c r="D34" s="290">
        <v>0.6773611448684278</v>
      </c>
      <c r="E34" s="290">
        <v>7.2651030527438237E-2</v>
      </c>
      <c r="F34" s="290">
        <v>1.8062963863158074E-2</v>
      </c>
      <c r="G34" s="290">
        <v>0.39709764887110854</v>
      </c>
      <c r="H34" s="290">
        <v>0.39709764887110854</v>
      </c>
      <c r="I34" s="290">
        <v>1.1277689898205264E-2</v>
      </c>
      <c r="J34" s="290">
        <v>5.5833049615491221</v>
      </c>
      <c r="K34" s="114">
        <v>1444.8355699919221</v>
      </c>
      <c r="L34" s="291">
        <v>129.02223618584435</v>
      </c>
      <c r="M34" s="114" t="s">
        <v>2531</v>
      </c>
      <c r="N34" s="290">
        <v>0.59132829633604955</v>
      </c>
      <c r="O34" s="290">
        <v>6.3423493411617404E-2</v>
      </c>
      <c r="P34" s="290">
        <v>1.5768754568961318E-2</v>
      </c>
      <c r="Q34" s="290">
        <v>0.34666156741484555</v>
      </c>
      <c r="R34" s="290">
        <v>0.34666156741484555</v>
      </c>
      <c r="S34" s="290">
        <v>9.8452903663486004E-3</v>
      </c>
      <c r="T34" s="290">
        <v>4.8741594286143464</v>
      </c>
      <c r="U34" s="114">
        <v>1261.3244242921605</v>
      </c>
      <c r="V34" s="291">
        <v>112.63489158071258</v>
      </c>
      <c r="W34" t="s">
        <v>2531</v>
      </c>
    </row>
    <row r="35" spans="1:31" x14ac:dyDescent="0.25">
      <c r="A35" s="2" t="s">
        <v>2529</v>
      </c>
      <c r="B35" s="2">
        <v>2104008410</v>
      </c>
      <c r="C35" s="2" t="s">
        <v>2175</v>
      </c>
      <c r="D35" s="290">
        <v>1.1349819311838158E-2</v>
      </c>
      <c r="E35" s="290">
        <v>1.982032011732018E-2</v>
      </c>
      <c r="F35" s="290">
        <v>1.5840415678177967E-3</v>
      </c>
      <c r="G35" s="290">
        <v>1.4652384502314623E-2</v>
      </c>
      <c r="H35" s="290">
        <v>1.4652384502314623E-2</v>
      </c>
      <c r="I35" s="290">
        <v>3.5581533717107258E-4</v>
      </c>
      <c r="J35" s="290">
        <v>4.9164690161144879E-2</v>
      </c>
      <c r="K35" s="114">
        <v>151.30981806158891</v>
      </c>
      <c r="L35" s="291">
        <v>13.511801265585255</v>
      </c>
      <c r="M35" s="114" t="s">
        <v>2531</v>
      </c>
      <c r="N35" s="290">
        <v>9.9082584943588781E-3</v>
      </c>
      <c r="O35" s="290">
        <v>1.730290586727801E-2</v>
      </c>
      <c r="P35" s="290">
        <v>1.3828496197624785E-3</v>
      </c>
      <c r="Q35" s="290">
        <v>1.2791358982802927E-2</v>
      </c>
      <c r="R35" s="290">
        <v>1.2791358982802927E-2</v>
      </c>
      <c r="S35" s="290">
        <v>3.1062259583914672E-4</v>
      </c>
      <c r="T35" s="290">
        <v>4.2920195073377923E-2</v>
      </c>
      <c r="U35" s="114">
        <v>132.09168788483808</v>
      </c>
      <c r="V35" s="291">
        <v>11.795643259640741</v>
      </c>
      <c r="W35" t="s">
        <v>2531</v>
      </c>
    </row>
    <row r="36" spans="1:31" x14ac:dyDescent="0.25">
      <c r="A36" s="2" t="s">
        <v>2529</v>
      </c>
      <c r="B36" s="2">
        <v>2104008420</v>
      </c>
      <c r="C36" s="2" t="s">
        <v>2179</v>
      </c>
      <c r="D36" s="290">
        <v>3.8283293275285311E-2</v>
      </c>
      <c r="E36" s="290">
        <v>6.6854555743453198E-2</v>
      </c>
      <c r="F36" s="290">
        <v>5.3430214380382167E-3</v>
      </c>
      <c r="G36" s="290">
        <v>4.9422948301853516E-2</v>
      </c>
      <c r="H36" s="290">
        <v>4.9422948301853516E-2</v>
      </c>
      <c r="I36" s="290">
        <v>1.200176190519335E-3</v>
      </c>
      <c r="J36" s="290">
        <v>0.16583402788311119</v>
      </c>
      <c r="K36" s="114">
        <v>510.37271881852729</v>
      </c>
      <c r="L36" s="291">
        <v>45.575725596639145</v>
      </c>
      <c r="M36" s="114" t="s">
        <v>2531</v>
      </c>
      <c r="N36" s="290">
        <v>3.3420863836240655E-2</v>
      </c>
      <c r="O36" s="290">
        <v>5.836323924035916E-2</v>
      </c>
      <c r="P36" s="290">
        <v>4.6643947444842482E-3</v>
      </c>
      <c r="Q36" s="290">
        <v>4.31456513864793E-2</v>
      </c>
      <c r="R36" s="290">
        <v>4.31456513864793E-2</v>
      </c>
      <c r="S36" s="290">
        <v>1.0477396694797741E-3</v>
      </c>
      <c r="T36" s="290">
        <v>0.14477115188192988</v>
      </c>
      <c r="U36" s="114">
        <v>445.54936845983286</v>
      </c>
      <c r="V36" s="291">
        <v>39.787071306806027</v>
      </c>
      <c r="W36" t="s">
        <v>2531</v>
      </c>
    </row>
    <row r="37" spans="1:31" x14ac:dyDescent="0.25">
      <c r="A37" s="2" t="s">
        <v>2529</v>
      </c>
      <c r="B37" s="2">
        <v>2104008610</v>
      </c>
      <c r="C37" s="2" t="s">
        <v>2182</v>
      </c>
      <c r="D37" s="290">
        <v>1.263950818852146</v>
      </c>
      <c r="E37" s="290">
        <v>4.4899027315466425E-2</v>
      </c>
      <c r="F37" s="290">
        <v>1.113613056257398E-2</v>
      </c>
      <c r="G37" s="290">
        <v>0.27478825556902986</v>
      </c>
      <c r="H37" s="290">
        <v>0.27478825556902986</v>
      </c>
      <c r="I37" s="290">
        <v>6.7863181415584433E-3</v>
      </c>
      <c r="J37" s="290">
        <v>1.6863071256534474</v>
      </c>
      <c r="K37" s="114">
        <v>890.76619267885349</v>
      </c>
      <c r="L37" s="291">
        <v>79.544446776610613</v>
      </c>
      <c r="M37" s="114" t="s">
        <v>2531</v>
      </c>
      <c r="N37" s="290">
        <v>1.1558778417540707</v>
      </c>
      <c r="O37" s="290">
        <v>4.1059976397965582E-2</v>
      </c>
      <c r="P37" s="290">
        <v>1.0183945742326617E-2</v>
      </c>
      <c r="Q37" s="290">
        <v>0.25129273311040978</v>
      </c>
      <c r="R37" s="290">
        <v>0.25129273311040978</v>
      </c>
      <c r="S37" s="290">
        <v>6.2060601171529117E-3</v>
      </c>
      <c r="T37" s="290">
        <v>1.5421209527004751</v>
      </c>
      <c r="U37" s="114">
        <v>814.60203114245223</v>
      </c>
      <c r="V37" s="291">
        <v>72.743070452035965</v>
      </c>
      <c r="W37" t="s">
        <v>2531</v>
      </c>
    </row>
    <row r="38" spans="1:31" x14ac:dyDescent="0.25">
      <c r="A38" s="2" t="s">
        <v>2529</v>
      </c>
      <c r="B38" s="2">
        <v>2104004000</v>
      </c>
      <c r="C38" s="2" t="s">
        <v>2196</v>
      </c>
      <c r="D38" s="290">
        <v>7.4141558951047334E-2</v>
      </c>
      <c r="E38" s="290">
        <v>1.1616629476988216</v>
      </c>
      <c r="F38" s="290">
        <v>3.0054449541098385</v>
      </c>
      <c r="G38" s="290">
        <v>4.7479412031286999E-2</v>
      </c>
      <c r="H38" s="290">
        <v>4.7479412031286999E-2</v>
      </c>
      <c r="I38" s="290">
        <v>2.5472704554785476E-3</v>
      </c>
      <c r="J38" s="290">
        <v>4.6569389967353991E-2</v>
      </c>
      <c r="K38" s="114">
        <v>27911.88676610461</v>
      </c>
      <c r="L38" s="291">
        <v>207.97071234515386</v>
      </c>
      <c r="M38" s="114" t="s">
        <v>2532</v>
      </c>
      <c r="N38" s="290">
        <v>6.862687445551717E-2</v>
      </c>
      <c r="O38" s="290">
        <v>1.0752579039238943</v>
      </c>
      <c r="P38" s="290">
        <v>2.7818985258300919</v>
      </c>
      <c r="Q38" s="290">
        <v>4.3947870732584264E-2</v>
      </c>
      <c r="R38" s="290">
        <v>4.3947870732584264E-2</v>
      </c>
      <c r="S38" s="290">
        <v>2.3578032648031463E-3</v>
      </c>
      <c r="T38" s="290">
        <v>4.3105536543543051E-2</v>
      </c>
      <c r="U38" s="114">
        <v>25835.787323797747</v>
      </c>
      <c r="V38" s="291">
        <v>192.50175162837914</v>
      </c>
      <c r="W38" t="s">
        <v>2532</v>
      </c>
    </row>
    <row r="39" spans="1:31" x14ac:dyDescent="0.25">
      <c r="A39" s="2" t="s">
        <v>2529</v>
      </c>
      <c r="B39" s="2">
        <v>2103004001</v>
      </c>
      <c r="C39" s="2" t="s">
        <v>2206</v>
      </c>
      <c r="D39" s="290">
        <v>2.2924008998494588E-2</v>
      </c>
      <c r="E39" s="290">
        <v>0.57872673488485615</v>
      </c>
      <c r="F39" s="290">
        <v>0.40906977740483369</v>
      </c>
      <c r="G39" s="290">
        <v>1.4680274923367801E-2</v>
      </c>
      <c r="H39" s="290">
        <v>1.4680274923367801E-2</v>
      </c>
      <c r="I39" s="290">
        <v>7.8759674963868262E-4</v>
      </c>
      <c r="J39" s="290">
        <v>1.4398902987336586E-2</v>
      </c>
      <c r="K39" s="114">
        <v>8905.9614201725108</v>
      </c>
      <c r="L39" s="291">
        <v>66.358077337894926</v>
      </c>
      <c r="M39" s="114" t="s">
        <v>2532</v>
      </c>
      <c r="N39" s="290">
        <v>2.2542221800266049E-2</v>
      </c>
      <c r="O39" s="290">
        <v>0.56908834839381328</v>
      </c>
      <c r="P39" s="290">
        <v>0.40225693746023133</v>
      </c>
      <c r="Q39" s="290">
        <v>1.443578273909997E-2</v>
      </c>
      <c r="R39" s="290">
        <v>1.443578273909997E-2</v>
      </c>
      <c r="S39" s="290">
        <v>7.7447974395271357E-4</v>
      </c>
      <c r="T39" s="290">
        <v>1.4159096903267221E-2</v>
      </c>
      <c r="U39" s="114">
        <v>8757.6373613936794</v>
      </c>
      <c r="V39" s="291">
        <v>65.252918793055272</v>
      </c>
      <c r="W39" t="s">
        <v>2532</v>
      </c>
    </row>
    <row r="40" spans="1:31" x14ac:dyDescent="0.25">
      <c r="A40" s="2" t="s">
        <v>2529</v>
      </c>
      <c r="B40" s="2">
        <v>2104004000</v>
      </c>
      <c r="C40" s="2" t="s">
        <v>2210</v>
      </c>
      <c r="D40" s="290">
        <v>5.0310206530647546E-4</v>
      </c>
      <c r="E40" s="290">
        <v>1.2701033906755338E-2</v>
      </c>
      <c r="F40" s="290">
        <v>2.039403520737847E-2</v>
      </c>
      <c r="G40" s="290">
        <v>2.8224519792789649E-4</v>
      </c>
      <c r="H40" s="290">
        <v>2.8224519792789649E-4</v>
      </c>
      <c r="I40" s="290">
        <v>1.7285002435564789E-5</v>
      </c>
      <c r="J40" s="290">
        <v>3.1600571398974461E-4</v>
      </c>
      <c r="K40" s="114">
        <v>193.33090445066094</v>
      </c>
      <c r="L40" s="291">
        <v>1.4112259896394821</v>
      </c>
      <c r="M40" s="114" t="s">
        <v>2532</v>
      </c>
      <c r="N40" s="290">
        <v>4.757278083976366E-4</v>
      </c>
      <c r="O40" s="290">
        <v>1.2009958697275539E-2</v>
      </c>
      <c r="P40" s="290">
        <v>1.9284376556236583E-2</v>
      </c>
      <c r="Q40" s="290">
        <v>2.6688797105056764E-4</v>
      </c>
      <c r="R40" s="290">
        <v>2.6688797105056764E-4</v>
      </c>
      <c r="S40" s="290">
        <v>1.634450918385688E-5</v>
      </c>
      <c r="T40" s="290">
        <v>2.9881154565702928E-4</v>
      </c>
      <c r="U40" s="114">
        <v>182.81158797036258</v>
      </c>
      <c r="V40" s="291">
        <v>1.3344398552528378</v>
      </c>
      <c r="W40" t="s">
        <v>2532</v>
      </c>
    </row>
    <row r="41" spans="1:31" x14ac:dyDescent="0.25">
      <c r="A41" s="2" t="s">
        <v>2529</v>
      </c>
      <c r="B41" s="2">
        <v>2104004000</v>
      </c>
      <c r="C41" s="2" t="s">
        <v>2214</v>
      </c>
      <c r="D41" s="290">
        <v>1.5487978156792188E-3</v>
      </c>
      <c r="E41" s="290">
        <v>2.4266835785572639E-2</v>
      </c>
      <c r="F41" s="290">
        <v>6.2782960675845031E-2</v>
      </c>
      <c r="G41" s="290">
        <v>9.9183252529588448E-4</v>
      </c>
      <c r="H41" s="290">
        <v>9.9183252529588448E-4</v>
      </c>
      <c r="I41" s="290">
        <v>5.3211814982124215E-5</v>
      </c>
      <c r="J41" s="290">
        <v>9.7282240189437979E-4</v>
      </c>
      <c r="K41" s="114">
        <v>543.05673761543437</v>
      </c>
      <c r="L41" s="291">
        <v>4.3444539009234768</v>
      </c>
      <c r="M41" s="114" t="s">
        <v>2532</v>
      </c>
      <c r="N41" s="290">
        <v>1.2946427726878479E-3</v>
      </c>
      <c r="O41" s="290">
        <v>2.0284690001332876E-2</v>
      </c>
      <c r="P41" s="290">
        <v>5.2480385408654816E-2</v>
      </c>
      <c r="Q41" s="290">
        <v>8.2907452321524019E-4</v>
      </c>
      <c r="R41" s="290">
        <v>8.2907452321524019E-4</v>
      </c>
      <c r="S41" s="290">
        <v>4.4479848170497641E-5</v>
      </c>
      <c r="T41" s="290">
        <v>8.1318392818694818E-4</v>
      </c>
      <c r="U41" s="114">
        <v>453.94206615983467</v>
      </c>
      <c r="V41" s="291">
        <v>3.6315365292786779</v>
      </c>
      <c r="W41" t="s">
        <v>2532</v>
      </c>
    </row>
    <row r="42" spans="1:31" x14ac:dyDescent="0.25">
      <c r="A42" s="2" t="s">
        <v>2529</v>
      </c>
      <c r="B42" s="2">
        <v>2104006010</v>
      </c>
      <c r="C42" s="2" t="s">
        <v>2217</v>
      </c>
      <c r="D42" s="290">
        <v>6.2640334377998916E-4</v>
      </c>
      <c r="E42" s="290">
        <v>1.0705802602785273E-2</v>
      </c>
      <c r="F42" s="290">
        <v>6.8334910230544272E-5</v>
      </c>
      <c r="G42" s="290">
        <v>8.655755295868937E-4</v>
      </c>
      <c r="H42" s="290">
        <v>8.655755295868937E-4</v>
      </c>
      <c r="I42" s="290">
        <v>2.2778303410181419E-3</v>
      </c>
      <c r="J42" s="290">
        <v>4.5556606820362838E-3</v>
      </c>
      <c r="K42" s="114">
        <v>281.18883333333321</v>
      </c>
      <c r="L42" s="291">
        <v>277.03333333333364</v>
      </c>
      <c r="M42" s="114" t="s">
        <v>2533</v>
      </c>
      <c r="N42" s="290">
        <v>6.2640334377998916E-4</v>
      </c>
      <c r="O42" s="290">
        <v>1.0705802602785273E-2</v>
      </c>
      <c r="P42" s="290">
        <v>6.8334910230544272E-5</v>
      </c>
      <c r="Q42" s="290">
        <v>8.655755295868937E-4</v>
      </c>
      <c r="R42" s="290">
        <v>8.655755295868937E-4</v>
      </c>
      <c r="S42" s="290">
        <v>2.2778303410181419E-3</v>
      </c>
      <c r="T42" s="290">
        <v>4.5556606820362838E-3</v>
      </c>
      <c r="U42" s="114">
        <v>281.18883333333321</v>
      </c>
      <c r="V42" s="291">
        <v>277.03333333333364</v>
      </c>
      <c r="W42" t="s">
        <v>2533</v>
      </c>
    </row>
    <row r="43" spans="1:31" x14ac:dyDescent="0.25">
      <c r="A43" s="2" t="s">
        <v>2529</v>
      </c>
      <c r="B43" s="2">
        <v>2103006000</v>
      </c>
      <c r="C43" s="2" t="s">
        <v>2221</v>
      </c>
      <c r="D43" s="290">
        <v>9.7086916666666613E-3</v>
      </c>
      <c r="E43" s="290">
        <v>0.17652166666666658</v>
      </c>
      <c r="F43" s="290">
        <v>1.0591299999999993E-3</v>
      </c>
      <c r="G43" s="290">
        <v>1.341564666666667E-2</v>
      </c>
      <c r="H43" s="290">
        <v>1.341564666666667E-2</v>
      </c>
      <c r="I43" s="290">
        <v>3.5304333333333326E-2</v>
      </c>
      <c r="J43" s="290">
        <v>7.0608666666666653E-2</v>
      </c>
      <c r="K43" s="114">
        <v>3583.3898333333323</v>
      </c>
      <c r="L43" s="291">
        <v>3530.4333333333293</v>
      </c>
      <c r="M43" s="114" t="s">
        <v>2533</v>
      </c>
      <c r="N43" s="290">
        <v>9.7086916666666613E-3</v>
      </c>
      <c r="O43" s="290">
        <v>0.17652166666666658</v>
      </c>
      <c r="P43" s="290">
        <v>1.0591299999999993E-3</v>
      </c>
      <c r="Q43" s="290">
        <v>1.341564666666667E-2</v>
      </c>
      <c r="R43" s="290">
        <v>1.341564666666667E-2</v>
      </c>
      <c r="S43" s="290">
        <v>3.5304333333333326E-2</v>
      </c>
      <c r="T43" s="290">
        <v>7.0608666666666653E-2</v>
      </c>
      <c r="U43" s="114">
        <v>3583.3898333333323</v>
      </c>
      <c r="V43" s="291">
        <v>3530.4333333333293</v>
      </c>
      <c r="W43" t="s">
        <v>2533</v>
      </c>
    </row>
    <row r="44" spans="1:31" x14ac:dyDescent="0.25">
      <c r="A44" s="2" t="s">
        <v>2529</v>
      </c>
      <c r="B44" s="2">
        <v>2104002000</v>
      </c>
      <c r="C44" s="2" t="s">
        <v>2223</v>
      </c>
      <c r="D44" s="290">
        <v>0.11264269921938846</v>
      </c>
      <c r="E44" s="290">
        <v>5.3167354031551352E-2</v>
      </c>
      <c r="F44" s="290">
        <v>0.10475771027403125</v>
      </c>
      <c r="G44" s="290">
        <v>9.000151667629136E-2</v>
      </c>
      <c r="H44" s="290">
        <v>9.000151667629136E-2</v>
      </c>
      <c r="I44" s="290">
        <v>1.4260002507678483E-2</v>
      </c>
      <c r="J44" s="290">
        <v>1.4708320450571646</v>
      </c>
      <c r="K44" s="114">
        <v>342.43380562694097</v>
      </c>
      <c r="L44" s="291">
        <v>22.528539843877692</v>
      </c>
      <c r="M44" s="114" t="s">
        <v>2531</v>
      </c>
      <c r="N44" s="290">
        <v>9.8984204428268011E-2</v>
      </c>
      <c r="O44" s="290">
        <v>4.672054449014252E-2</v>
      </c>
      <c r="P44" s="290">
        <v>9.2055310118289269E-2</v>
      </c>
      <c r="Q44" s="290">
        <v>7.9088379338186146E-2</v>
      </c>
      <c r="R44" s="290">
        <v>7.9088379338186146E-2</v>
      </c>
      <c r="S44" s="290">
        <v>1.2530905359596592E-2</v>
      </c>
      <c r="T44" s="290">
        <v>1.2924862493221099</v>
      </c>
      <c r="U44" s="114">
        <v>300.91198146193489</v>
      </c>
      <c r="V44" s="291">
        <v>19.796840885653609</v>
      </c>
      <c r="W44" t="s">
        <v>2531</v>
      </c>
    </row>
    <row r="45" spans="1:31" x14ac:dyDescent="0.25">
      <c r="A45" s="2" t="s">
        <v>2529</v>
      </c>
      <c r="B45" s="2">
        <v>2103002000</v>
      </c>
      <c r="C45" s="2" t="s">
        <v>2527</v>
      </c>
      <c r="D45" s="290">
        <v>2.8645019898962393E-4</v>
      </c>
      <c r="E45" s="290">
        <v>1.3520449392310247E-4</v>
      </c>
      <c r="F45" s="290">
        <v>2.6639868506035018E-4</v>
      </c>
      <c r="G45" s="290">
        <v>2.2887370899270956E-4</v>
      </c>
      <c r="H45" s="290">
        <v>2.2887370899270956E-4</v>
      </c>
      <c r="I45" s="290">
        <v>3.6263162941091441E-5</v>
      </c>
      <c r="J45" s="290">
        <v>3.7403234733070132E-3</v>
      </c>
      <c r="K45" s="114">
        <v>13.168671346965224</v>
      </c>
      <c r="L45" s="291">
        <v>0.8708086049284568</v>
      </c>
      <c r="M45" s="114" t="s">
        <v>2531</v>
      </c>
      <c r="N45" s="290">
        <v>2.7069889582540766E-4</v>
      </c>
      <c r="O45" s="290">
        <v>1.2776987882959239E-4</v>
      </c>
      <c r="P45" s="290">
        <v>2.5174997311762907E-4</v>
      </c>
      <c r="Q45" s="290">
        <v>2.1628841776450067E-4</v>
      </c>
      <c r="R45" s="290">
        <v>2.1628841776450067E-4</v>
      </c>
      <c r="S45" s="290">
        <v>3.4269126717017481E-5</v>
      </c>
      <c r="T45" s="290">
        <v>3.5346508322402601E-3</v>
      </c>
      <c r="U45" s="114">
        <v>12.440835130353117</v>
      </c>
      <c r="V45" s="291">
        <v>0.8229246433092392</v>
      </c>
      <c r="W45" t="s">
        <v>2531</v>
      </c>
    </row>
    <row r="46" spans="1:31" x14ac:dyDescent="0.25">
      <c r="A46" s="2" t="s">
        <v>2529</v>
      </c>
      <c r="B46" s="2">
        <v>2103008000</v>
      </c>
      <c r="C46" s="2" t="s">
        <v>2528</v>
      </c>
      <c r="D46" s="290">
        <v>8.7528703202673379E-4</v>
      </c>
      <c r="E46" s="290">
        <v>3.4801193375654412E-5</v>
      </c>
      <c r="F46" s="290">
        <v>7.5868125068506339E-6</v>
      </c>
      <c r="G46" s="290">
        <v>2.4615288677671816E-4</v>
      </c>
      <c r="H46" s="290">
        <v>2.4615288677671816E-4</v>
      </c>
      <c r="I46" s="290">
        <v>9.0131921626299533E-6</v>
      </c>
      <c r="J46" s="290">
        <v>1.750797799678111E-3</v>
      </c>
      <c r="K46" s="114">
        <v>7.9472342577361532</v>
      </c>
      <c r="L46" s="291">
        <v>0.65625928184257976</v>
      </c>
      <c r="M46" s="114" t="s">
        <v>2531</v>
      </c>
      <c r="N46" s="290">
        <v>7.1756118952917862E-4</v>
      </c>
      <c r="O46" s="290">
        <v>2.9198335412332746E-5</v>
      </c>
      <c r="P46" s="290">
        <v>6.1971575068721741E-6</v>
      </c>
      <c r="Q46" s="290">
        <v>2.1186262130782997E-4</v>
      </c>
      <c r="R46" s="290">
        <v>2.1186262130782997E-4</v>
      </c>
      <c r="S46" s="290">
        <v>8.1663413751081686E-6</v>
      </c>
      <c r="T46" s="290">
        <v>1.5403669758388857E-3</v>
      </c>
      <c r="U46" s="114">
        <v>6.4915618245119404</v>
      </c>
      <c r="V46" s="291">
        <v>0.53605412434444311</v>
      </c>
      <c r="W46" t="s">
        <v>2531</v>
      </c>
    </row>
    <row r="47" spans="1:31" x14ac:dyDescent="0.25">
      <c r="A47" s="44" t="s">
        <v>2529</v>
      </c>
      <c r="B47" s="44">
        <v>2102012000</v>
      </c>
      <c r="C47" s="44" t="s">
        <v>2228</v>
      </c>
      <c r="D47" s="292">
        <v>3.7373908168656338E-4</v>
      </c>
      <c r="E47" s="292">
        <v>1.951102733022278E-2</v>
      </c>
      <c r="F47" s="292">
        <v>1.3815351742974295E-2</v>
      </c>
      <c r="G47" s="292">
        <v>1.9450064441674253E-3</v>
      </c>
      <c r="H47" s="292">
        <v>1.9450064441674253E-3</v>
      </c>
      <c r="I47" s="292">
        <v>1.3597627141015247E-5</v>
      </c>
      <c r="J47" s="292">
        <v>4.6447915084595207E-3</v>
      </c>
      <c r="K47" s="245">
        <v>103.52572562717806</v>
      </c>
      <c r="L47" s="293">
        <v>0.74747816337312667</v>
      </c>
      <c r="M47" s="245" t="s">
        <v>2532</v>
      </c>
      <c r="N47" s="292">
        <v>3.7373908168656338E-4</v>
      </c>
      <c r="O47" s="292">
        <v>1.951102733022278E-2</v>
      </c>
      <c r="P47" s="292">
        <v>1.3815351742974295E-2</v>
      </c>
      <c r="Q47" s="292">
        <v>1.9450064441674253E-3</v>
      </c>
      <c r="R47" s="292">
        <v>1.9450064441674253E-3</v>
      </c>
      <c r="S47" s="292">
        <v>1.3597627141015247E-5</v>
      </c>
      <c r="T47" s="292">
        <v>4.6447915084595207E-3</v>
      </c>
      <c r="U47" s="245">
        <v>103.52572562717806</v>
      </c>
      <c r="V47" s="293">
        <v>0.74747816337312667</v>
      </c>
      <c r="W47" s="9" t="s">
        <v>2532</v>
      </c>
    </row>
    <row r="48" spans="1:31" x14ac:dyDescent="0.25">
      <c r="A48" s="71" t="s">
        <v>2529</v>
      </c>
      <c r="B48" s="71" t="s">
        <v>2462</v>
      </c>
      <c r="C48" s="71"/>
      <c r="D48" s="294">
        <v>9.138530527999885</v>
      </c>
      <c r="E48" s="294">
        <v>2.4758328129956602</v>
      </c>
      <c r="F48" s="294">
        <v>3.7080396770637618</v>
      </c>
      <c r="G48" s="294">
        <v>2.6591365881589919</v>
      </c>
      <c r="H48" s="294">
        <v>2.6591365881589919</v>
      </c>
      <c r="I48" s="294">
        <v>0.14728113672941023</v>
      </c>
      <c r="J48" s="294">
        <v>28.230352105070022</v>
      </c>
      <c r="K48" s="244">
        <v>49222.351347523916</v>
      </c>
      <c r="L48" s="244"/>
      <c r="M48" s="244"/>
      <c r="N48" s="294">
        <v>8.2451102536965415</v>
      </c>
      <c r="O48" s="294">
        <v>2.3171817496688436</v>
      </c>
      <c r="P48" s="294">
        <v>3.4428940445997012</v>
      </c>
      <c r="Q48" s="294">
        <v>2.3706847680709795</v>
      </c>
      <c r="R48" s="294">
        <v>2.3706847680709795</v>
      </c>
      <c r="S48" s="294">
        <v>0.13555929312877585</v>
      </c>
      <c r="T48" s="294">
        <v>24.965368209619456</v>
      </c>
      <c r="U48" s="244">
        <v>45988.58626772416</v>
      </c>
      <c r="Y48" s="923" t="s">
        <v>3010</v>
      </c>
      <c r="Z48" s="923"/>
      <c r="AA48" s="923"/>
      <c r="AB48" s="923"/>
      <c r="AC48" s="923"/>
      <c r="AD48" s="923"/>
      <c r="AE48" s="923"/>
    </row>
    <row r="49" spans="1:31" ht="15.75" thickBot="1" x14ac:dyDescent="0.3">
      <c r="A49" s="2"/>
      <c r="B49" s="2"/>
      <c r="C49" s="2"/>
      <c r="D49" s="290"/>
      <c r="E49" s="290"/>
      <c r="F49" s="290"/>
      <c r="G49" s="290"/>
      <c r="H49" s="290"/>
      <c r="I49" s="290"/>
      <c r="J49" s="290"/>
      <c r="K49" s="290"/>
      <c r="L49" s="290"/>
      <c r="M49" s="290"/>
      <c r="N49" s="290"/>
      <c r="O49" s="290"/>
      <c r="P49" s="290"/>
      <c r="Q49" s="290"/>
      <c r="R49" s="290"/>
      <c r="S49" s="290"/>
      <c r="T49" s="290"/>
      <c r="Y49" s="15" t="s">
        <v>2143</v>
      </c>
      <c r="Z49" s="15" t="s">
        <v>2144</v>
      </c>
      <c r="AA49" s="509" t="s">
        <v>2145</v>
      </c>
      <c r="AB49" s="15" t="s">
        <v>2146</v>
      </c>
      <c r="AC49" s="510" t="s">
        <v>2147</v>
      </c>
      <c r="AD49" s="15" t="s">
        <v>2148</v>
      </c>
      <c r="AE49" s="15" t="s">
        <v>2149</v>
      </c>
    </row>
    <row r="50" spans="1:31" ht="15.75" thickTop="1" x14ac:dyDescent="0.25">
      <c r="A50" s="2" t="s">
        <v>2530</v>
      </c>
      <c r="B50" s="2">
        <v>2104008100</v>
      </c>
      <c r="C50" s="2" t="s">
        <v>2152</v>
      </c>
      <c r="D50" s="290">
        <v>5.3617113172121487</v>
      </c>
      <c r="E50" s="290">
        <v>6.0875324998915216E-2</v>
      </c>
      <c r="F50" s="290">
        <v>9.3654346152177246E-3</v>
      </c>
      <c r="G50" s="290">
        <v>0.81011009421633362</v>
      </c>
      <c r="H50" s="290">
        <v>0.81011009421633362</v>
      </c>
      <c r="I50" s="290">
        <v>4.214445576847977E-2</v>
      </c>
      <c r="J50" s="290">
        <v>5.9142719595099909</v>
      </c>
      <c r="K50" s="114">
        <v>752.15214310620468</v>
      </c>
      <c r="L50" s="291">
        <v>66.896514108202368</v>
      </c>
      <c r="M50" s="114" t="s">
        <v>2531</v>
      </c>
      <c r="N50" s="290">
        <v>4.9463548178765864</v>
      </c>
      <c r="O50" s="290">
        <v>5.6159487015192695E-2</v>
      </c>
      <c r="P50" s="290">
        <v>8.6399210792604125E-3</v>
      </c>
      <c r="Q50" s="290">
        <v>0.74735317335602591</v>
      </c>
      <c r="R50" s="290">
        <v>0.74735317335602591</v>
      </c>
      <c r="S50" s="290">
        <v>3.8879644856671849E-2</v>
      </c>
      <c r="T50" s="290">
        <v>5.4561101615529495</v>
      </c>
      <c r="U50" s="114">
        <v>693.8817950007616</v>
      </c>
      <c r="V50" s="291">
        <v>61.714231759554309</v>
      </c>
      <c r="W50" t="s">
        <v>2531</v>
      </c>
      <c r="Y50" s="43">
        <f t="shared" ref="Y50:Y66" si="0">N50/$U50*2000</f>
        <v>14.257053156643654</v>
      </c>
      <c r="Z50" s="11">
        <f t="shared" ref="Z50:AE65" si="1">O50/$U50*2000</f>
        <v>0.16187047252084502</v>
      </c>
      <c r="AA50" s="511">
        <f t="shared" si="1"/>
        <v>2.4903149618591535E-2</v>
      </c>
      <c r="AB50" s="11">
        <f t="shared" si="1"/>
        <v>2.1541224420081684</v>
      </c>
      <c r="AC50" s="512">
        <f t="shared" si="1"/>
        <v>2.1541224420081684</v>
      </c>
      <c r="AD50" s="11">
        <f t="shared" si="1"/>
        <v>0.11206417328366187</v>
      </c>
      <c r="AE50" s="43">
        <f t="shared" si="1"/>
        <v>15.726338984140551</v>
      </c>
    </row>
    <row r="51" spans="1:31" x14ac:dyDescent="0.25">
      <c r="A51" s="2" t="s">
        <v>2530</v>
      </c>
      <c r="B51" s="2">
        <v>2104008210</v>
      </c>
      <c r="C51" s="2" t="s">
        <v>2156</v>
      </c>
      <c r="D51" s="290">
        <v>0.11515384965935589</v>
      </c>
      <c r="E51" s="290">
        <v>6.0835996046452153E-3</v>
      </c>
      <c r="F51" s="290">
        <v>8.6908565780645949E-4</v>
      </c>
      <c r="G51" s="290">
        <v>6.6485052822194135E-2</v>
      </c>
      <c r="H51" s="290">
        <v>6.6485052822194135E-2</v>
      </c>
      <c r="I51" s="290">
        <v>3.6936140456774514E-3</v>
      </c>
      <c r="J51" s="290">
        <v>0.5014624245543271</v>
      </c>
      <c r="K51" s="114">
        <v>69.78643838847465</v>
      </c>
      <c r="L51" s="291">
        <v>6.2078059756263126</v>
      </c>
      <c r="M51" s="114" t="s">
        <v>2531</v>
      </c>
      <c r="N51" s="290">
        <v>0.10022399579286076</v>
      </c>
      <c r="O51" s="290">
        <v>5.2948526079247176E-3</v>
      </c>
      <c r="P51" s="290">
        <v>7.5640751541781689E-4</v>
      </c>
      <c r="Q51" s="290">
        <v>5.7865174929462963E-2</v>
      </c>
      <c r="R51" s="290">
        <v>5.7865174929462963E-2</v>
      </c>
      <c r="S51" s="290">
        <v>3.2147319405257213E-3</v>
      </c>
      <c r="T51" s="290">
        <v>0.43644713639608013</v>
      </c>
      <c r="U51" s="114">
        <v>60.738184073293844</v>
      </c>
      <c r="V51" s="291">
        <v>5.4029554532875137</v>
      </c>
      <c r="W51" t="s">
        <v>2531</v>
      </c>
      <c r="Y51" s="43">
        <f t="shared" si="0"/>
        <v>3.3001973082342628</v>
      </c>
      <c r="Z51" s="11">
        <f t="shared" si="1"/>
        <v>0.17435004647275346</v>
      </c>
      <c r="AA51" s="511">
        <f t="shared" si="1"/>
        <v>2.4907149496107638E-2</v>
      </c>
      <c r="AB51" s="11">
        <f t="shared" si="1"/>
        <v>1.9053969364522334</v>
      </c>
      <c r="AC51" s="512">
        <f t="shared" si="1"/>
        <v>1.9053969364522334</v>
      </c>
      <c r="AD51" s="11">
        <f t="shared" si="1"/>
        <v>0.10585538535845744</v>
      </c>
      <c r="AE51" s="43">
        <f t="shared" si="1"/>
        <v>14.371425259254101</v>
      </c>
    </row>
    <row r="52" spans="1:31" x14ac:dyDescent="0.25">
      <c r="A52" s="2" t="s">
        <v>2530</v>
      </c>
      <c r="B52" s="2">
        <v>2104008220</v>
      </c>
      <c r="C52" s="2" t="s">
        <v>2159</v>
      </c>
      <c r="D52" s="290">
        <v>5.4893613490251673E-2</v>
      </c>
      <c r="E52" s="290">
        <v>9.1489355817086157E-3</v>
      </c>
      <c r="F52" s="290">
        <v>1.8297871163417228E-3</v>
      </c>
      <c r="G52" s="290">
        <v>5.4893613490251673E-2</v>
      </c>
      <c r="H52" s="290">
        <v>5.4893613490251673E-2</v>
      </c>
      <c r="I52" s="290">
        <v>4.1170210117688769E-3</v>
      </c>
      <c r="J52" s="290">
        <v>0.64408506495228635</v>
      </c>
      <c r="K52" s="114">
        <v>146.9295054079044</v>
      </c>
      <c r="L52" s="291">
        <v>13.07001593331985</v>
      </c>
      <c r="M52" s="114" t="s">
        <v>2531</v>
      </c>
      <c r="N52" s="290">
        <v>4.7776581536585358E-2</v>
      </c>
      <c r="O52" s="290">
        <v>7.9627635894308907E-3</v>
      </c>
      <c r="P52" s="290">
        <v>1.5925527178861784E-3</v>
      </c>
      <c r="Q52" s="290">
        <v>4.7776581536585358E-2</v>
      </c>
      <c r="R52" s="290">
        <v>4.7776581536585358E-2</v>
      </c>
      <c r="S52" s="290">
        <v>3.5832436152439008E-3</v>
      </c>
      <c r="T52" s="290">
        <v>0.56057855669593459</v>
      </c>
      <c r="U52" s="114">
        <v>127.87916322058889</v>
      </c>
      <c r="V52" s="291">
        <v>11.375470518690063</v>
      </c>
      <c r="W52" t="s">
        <v>2531</v>
      </c>
      <c r="Y52" s="43">
        <f t="shared" si="0"/>
        <v>0.74721448488322917</v>
      </c>
      <c r="Z52" s="11">
        <f t="shared" si="1"/>
        <v>0.12453574748053815</v>
      </c>
      <c r="AA52" s="511">
        <f t="shared" si="1"/>
        <v>2.4907149496107634E-2</v>
      </c>
      <c r="AB52" s="11">
        <f t="shared" si="1"/>
        <v>0.74721448488322917</v>
      </c>
      <c r="AC52" s="512">
        <f t="shared" si="1"/>
        <v>0.74721448488322917</v>
      </c>
      <c r="AD52" s="11">
        <f t="shared" si="1"/>
        <v>5.6041086366242165E-2</v>
      </c>
      <c r="AE52" s="43">
        <f t="shared" si="1"/>
        <v>8.7673166226298846</v>
      </c>
    </row>
    <row r="53" spans="1:31" x14ac:dyDescent="0.25">
      <c r="A53" s="2" t="s">
        <v>2530</v>
      </c>
      <c r="B53" s="2">
        <v>2104008230</v>
      </c>
      <c r="C53" s="2" t="s">
        <v>2162</v>
      </c>
      <c r="D53" s="290">
        <v>4.1312468152574375E-2</v>
      </c>
      <c r="E53" s="290">
        <v>5.5083290870099151E-3</v>
      </c>
      <c r="F53" s="290">
        <v>1.1016658174019835E-3</v>
      </c>
      <c r="G53" s="290">
        <v>3.5804139065564441E-2</v>
      </c>
      <c r="H53" s="290">
        <v>3.5804139065564441E-2</v>
      </c>
      <c r="I53" s="290">
        <v>2.4787480891544614E-3</v>
      </c>
      <c r="J53" s="290">
        <v>0.29469560615503043</v>
      </c>
      <c r="K53" s="114">
        <v>88.46232014098328</v>
      </c>
      <c r="L53" s="291">
        <v>7.8691065523650279</v>
      </c>
      <c r="M53" s="114" t="s">
        <v>2531</v>
      </c>
      <c r="N53" s="290">
        <v>3.5956250238829104E-2</v>
      </c>
      <c r="O53" s="290">
        <v>4.7941666985105488E-3</v>
      </c>
      <c r="P53" s="290">
        <v>9.5883333970210962E-4</v>
      </c>
      <c r="Q53" s="290">
        <v>3.1162083540318557E-2</v>
      </c>
      <c r="R53" s="290">
        <v>3.1162083540318557E-2</v>
      </c>
      <c r="S53" s="290">
        <v>2.157375014329747E-3</v>
      </c>
      <c r="T53" s="290">
        <v>0.25648791837031426</v>
      </c>
      <c r="U53" s="114">
        <v>76.992619316148691</v>
      </c>
      <c r="V53" s="291">
        <v>6.8488661415213734</v>
      </c>
      <c r="W53" t="s">
        <v>2531</v>
      </c>
      <c r="Y53" s="43">
        <f t="shared" si="0"/>
        <v>0.93401810610403579</v>
      </c>
      <c r="Z53" s="11">
        <f t="shared" si="1"/>
        <v>0.12453574748053815</v>
      </c>
      <c r="AA53" s="511">
        <f t="shared" si="1"/>
        <v>2.4907149496107631E-2</v>
      </c>
      <c r="AB53" s="11">
        <f t="shared" si="1"/>
        <v>0.80948235862349782</v>
      </c>
      <c r="AC53" s="512">
        <f t="shared" si="1"/>
        <v>0.80948235862349782</v>
      </c>
      <c r="AD53" s="11">
        <f t="shared" si="1"/>
        <v>5.6041086366242165E-2</v>
      </c>
      <c r="AE53" s="43">
        <f t="shared" si="1"/>
        <v>6.6626624902087892</v>
      </c>
    </row>
    <row r="54" spans="1:31" x14ac:dyDescent="0.25">
      <c r="A54" s="2" t="s">
        <v>2530</v>
      </c>
      <c r="B54" s="2">
        <v>2104008310</v>
      </c>
      <c r="C54" s="2" t="s">
        <v>2165</v>
      </c>
      <c r="D54" s="290">
        <v>2.3369576363895832</v>
      </c>
      <c r="E54" s="290">
        <v>6.4030109735322402E-2</v>
      </c>
      <c r="F54" s="290">
        <v>1.7637416123694967E-2</v>
      </c>
      <c r="G54" s="290">
        <v>0.53538506213988779</v>
      </c>
      <c r="H54" s="290">
        <v>0.53538506213988779</v>
      </c>
      <c r="I54" s="290">
        <v>1.7506394163200316E-2</v>
      </c>
      <c r="J54" s="290">
        <v>5.3428425740365642</v>
      </c>
      <c r="K54" s="114">
        <v>1416.2613806730571</v>
      </c>
      <c r="L54" s="291">
        <v>125.98258436760931</v>
      </c>
      <c r="M54" s="114" t="s">
        <v>2531</v>
      </c>
      <c r="N54" s="290">
        <v>2.033967887399879</v>
      </c>
      <c r="O54" s="290">
        <v>5.5728518566361074E-2</v>
      </c>
      <c r="P54" s="290">
        <v>1.5350701036980215E-2</v>
      </c>
      <c r="Q54" s="290">
        <v>0.46597165769272242</v>
      </c>
      <c r="R54" s="290">
        <v>0.46597165769272242</v>
      </c>
      <c r="S54" s="290">
        <v>1.5236666252591912E-2</v>
      </c>
      <c r="T54" s="290">
        <v>4.6501357379384087</v>
      </c>
      <c r="U54" s="114">
        <v>1232.634110890863</v>
      </c>
      <c r="V54" s="291">
        <v>109.64877025808691</v>
      </c>
      <c r="W54" t="s">
        <v>2531</v>
      </c>
      <c r="Y54" s="43">
        <f t="shared" si="0"/>
        <v>3.3001973082342615</v>
      </c>
      <c r="Z54" s="11">
        <f t="shared" si="1"/>
        <v>9.0421834141981253E-2</v>
      </c>
      <c r="AA54" s="511">
        <f t="shared" si="1"/>
        <v>2.4907149496107627E-2</v>
      </c>
      <c r="AB54" s="11">
        <f t="shared" si="1"/>
        <v>0.75605835271904043</v>
      </c>
      <c r="AC54" s="512">
        <f t="shared" si="1"/>
        <v>0.75605835271904043</v>
      </c>
      <c r="AD54" s="11">
        <f t="shared" si="1"/>
        <v>2.4722123325923374E-2</v>
      </c>
      <c r="AE54" s="43">
        <f t="shared" si="1"/>
        <v>7.5450382183202942</v>
      </c>
    </row>
    <row r="55" spans="1:31" x14ac:dyDescent="0.25">
      <c r="A55" s="2" t="s">
        <v>2530</v>
      </c>
      <c r="B55" s="2">
        <v>2104008320</v>
      </c>
      <c r="C55" s="2" t="s">
        <v>2169</v>
      </c>
      <c r="D55" s="290">
        <v>1.1140231057367802</v>
      </c>
      <c r="E55" s="290">
        <v>0.14935704401614913</v>
      </c>
      <c r="F55" s="290">
        <v>3.7134103524559328E-2</v>
      </c>
      <c r="G55" s="290">
        <v>0.73573105470502032</v>
      </c>
      <c r="H55" s="290">
        <v>0.73573105470502032</v>
      </c>
      <c r="I55" s="290">
        <v>2.3184838732474317E-2</v>
      </c>
      <c r="J55" s="290">
        <v>11.4782394529522</v>
      </c>
      <c r="K55" s="114">
        <v>2981.8198061956787</v>
      </c>
      <c r="L55" s="291">
        <v>265.2457875569055</v>
      </c>
      <c r="M55" s="114" t="s">
        <v>2531</v>
      </c>
      <c r="N55" s="290">
        <v>0.96958848872875147</v>
      </c>
      <c r="O55" s="290">
        <v>0.12999269929220683</v>
      </c>
      <c r="P55" s="290">
        <v>3.2319616290958378E-2</v>
      </c>
      <c r="Q55" s="290">
        <v>0.6403425187222298</v>
      </c>
      <c r="R55" s="290">
        <v>0.6403425187222298</v>
      </c>
      <c r="S55" s="290">
        <v>2.0178892728775294E-2</v>
      </c>
      <c r="T55" s="290">
        <v>9.9900700327882053</v>
      </c>
      <c r="U55" s="114">
        <v>2595.2079579406814</v>
      </c>
      <c r="V55" s="291">
        <v>230.8563089711476</v>
      </c>
      <c r="W55" t="s">
        <v>2531</v>
      </c>
      <c r="Y55" s="43">
        <f t="shared" si="0"/>
        <v>0.74721448488322906</v>
      </c>
      <c r="Z55" s="11">
        <f t="shared" si="1"/>
        <v>0.10017902333758032</v>
      </c>
      <c r="AA55" s="511">
        <f t="shared" si="1"/>
        <v>2.4907149496107634E-2</v>
      </c>
      <c r="AB55" s="11">
        <f t="shared" si="1"/>
        <v>0.49348069911926967</v>
      </c>
      <c r="AC55" s="512">
        <f t="shared" si="1"/>
        <v>0.49348069911926967</v>
      </c>
      <c r="AD55" s="11">
        <f t="shared" si="1"/>
        <v>1.5550886908336555E-2</v>
      </c>
      <c r="AE55" s="43">
        <f t="shared" si="1"/>
        <v>7.6988589698340837</v>
      </c>
    </row>
    <row r="56" spans="1:31" x14ac:dyDescent="0.25">
      <c r="A56" s="2" t="s">
        <v>2530</v>
      </c>
      <c r="B56" s="2">
        <v>2104008330</v>
      </c>
      <c r="C56" s="2" t="s">
        <v>2172</v>
      </c>
      <c r="D56" s="290">
        <v>0.83840434525513163</v>
      </c>
      <c r="E56" s="290">
        <v>8.9923876122683252E-2</v>
      </c>
      <c r="F56" s="290">
        <v>2.235744920680351E-2</v>
      </c>
      <c r="G56" s="290">
        <v>0.49150795971446332</v>
      </c>
      <c r="H56" s="290">
        <v>0.49150795971446332</v>
      </c>
      <c r="I56" s="290">
        <v>1.3958970464613533E-2</v>
      </c>
      <c r="J56" s="290">
        <v>6.9107405644836337</v>
      </c>
      <c r="K56" s="114">
        <v>1795.2738462305897</v>
      </c>
      <c r="L56" s="291">
        <v>159.69738487695133</v>
      </c>
      <c r="M56" s="114" t="s">
        <v>2531</v>
      </c>
      <c r="N56" s="290">
        <v>0.72970407693825157</v>
      </c>
      <c r="O56" s="290">
        <v>7.8265122780159652E-2</v>
      </c>
      <c r="P56" s="290">
        <v>1.9458775385020041E-2</v>
      </c>
      <c r="Q56" s="290">
        <v>0.42778328151687317</v>
      </c>
      <c r="R56" s="290">
        <v>0.42778328151687317</v>
      </c>
      <c r="S56" s="290">
        <v>1.2149170881013856E-2</v>
      </c>
      <c r="T56" s="290">
        <v>6.0147536127472083</v>
      </c>
      <c r="U56" s="114">
        <v>1562.5052066324133</v>
      </c>
      <c r="V56" s="291">
        <v>138.99240083927177</v>
      </c>
      <c r="W56" t="s">
        <v>2531</v>
      </c>
      <c r="Y56" s="43">
        <f t="shared" si="0"/>
        <v>0.93401810610403668</v>
      </c>
      <c r="Z56" s="11">
        <f t="shared" si="1"/>
        <v>0.10017902333758033</v>
      </c>
      <c r="AA56" s="511">
        <f t="shared" si="1"/>
        <v>2.4907149496107641E-2</v>
      </c>
      <c r="AB56" s="11">
        <f t="shared" si="1"/>
        <v>0.54756077573508044</v>
      </c>
      <c r="AC56" s="512">
        <f t="shared" si="1"/>
        <v>0.54756077573508044</v>
      </c>
      <c r="AD56" s="11">
        <f t="shared" si="1"/>
        <v>1.5550886908336562E-2</v>
      </c>
      <c r="AE56" s="43">
        <f t="shared" si="1"/>
        <v>7.6988589698340855</v>
      </c>
    </row>
    <row r="57" spans="1:31" x14ac:dyDescent="0.25">
      <c r="A57" s="2" t="s">
        <v>2530</v>
      </c>
      <c r="B57" s="2">
        <v>2104008410</v>
      </c>
      <c r="C57" s="2" t="s">
        <v>2175</v>
      </c>
      <c r="D57" s="290">
        <v>1.4048248708972057E-2</v>
      </c>
      <c r="E57" s="290">
        <v>2.4532618436412891E-2</v>
      </c>
      <c r="F57" s="290">
        <v>1.9606488260869451E-3</v>
      </c>
      <c r="G57" s="290">
        <v>1.8136001641304241E-2</v>
      </c>
      <c r="H57" s="290">
        <v>1.8136001641304241E-2</v>
      </c>
      <c r="I57" s="290">
        <v>4.4041074255977985E-4</v>
      </c>
      <c r="J57" s="290">
        <v>6.0853637939673556E-2</v>
      </c>
      <c r="K57" s="114">
        <v>188.00932416510074</v>
      </c>
      <c r="L57" s="291">
        <v>16.724243749604078</v>
      </c>
      <c r="M57" s="114" t="s">
        <v>2531</v>
      </c>
      <c r="N57" s="290">
        <v>1.2226874079069775E-2</v>
      </c>
      <c r="O57" s="290">
        <v>2.1351930953522724E-2</v>
      </c>
      <c r="P57" s="290">
        <v>1.706448028253565E-3</v>
      </c>
      <c r="Q57" s="290">
        <v>1.578464426134547E-2</v>
      </c>
      <c r="R57" s="290">
        <v>1.578464426134547E-2</v>
      </c>
      <c r="S57" s="290">
        <v>3.8331088834645693E-4</v>
      </c>
      <c r="T57" s="290">
        <v>5.2963880676920025E-2</v>
      </c>
      <c r="U57" s="114">
        <v>163.63272295210564</v>
      </c>
      <c r="V57" s="291">
        <v>14.555922708250618</v>
      </c>
      <c r="W57" t="s">
        <v>2531</v>
      </c>
      <c r="X57">
        <f>U57/V57</f>
        <v>11.241659236027338</v>
      </c>
      <c r="Y57" s="43">
        <f t="shared" si="0"/>
        <v>0.14944289697664584</v>
      </c>
      <c r="Z57" s="11">
        <f t="shared" si="1"/>
        <v>0.26097385129711875</v>
      </c>
      <c r="AA57" s="511">
        <f t="shared" si="1"/>
        <v>2.0857051052716794E-2</v>
      </c>
      <c r="AB57" s="11">
        <f t="shared" si="1"/>
        <v>0.19292772223763024</v>
      </c>
      <c r="AC57" s="512">
        <f t="shared" si="1"/>
        <v>0.19292772223763024</v>
      </c>
      <c r="AD57" s="11">
        <f t="shared" si="1"/>
        <v>4.6850150927165079E-3</v>
      </c>
      <c r="AE57" s="43">
        <f t="shared" si="1"/>
        <v>0.64735072204869737</v>
      </c>
    </row>
    <row r="58" spans="1:31" x14ac:dyDescent="0.25">
      <c r="A58" s="2" t="s">
        <v>2530</v>
      </c>
      <c r="B58" s="2">
        <v>2104008420</v>
      </c>
      <c r="C58" s="2" t="s">
        <v>2179</v>
      </c>
      <c r="D58" s="290">
        <v>4.7385179495216444E-2</v>
      </c>
      <c r="E58" s="290">
        <v>8.2749284425371133E-2</v>
      </c>
      <c r="F58" s="290">
        <v>6.6133294246050883E-3</v>
      </c>
      <c r="G58" s="290">
        <v>6.1173297177597057E-2</v>
      </c>
      <c r="H58" s="290">
        <v>6.1173297177597057E-2</v>
      </c>
      <c r="I58" s="290">
        <v>1.4855191220019179E-3</v>
      </c>
      <c r="J58" s="290">
        <v>0.20526121201618042</v>
      </c>
      <c r="K58" s="114">
        <v>634.16129347481626</v>
      </c>
      <c r="L58" s="291">
        <v>56.411393933438475</v>
      </c>
      <c r="M58" s="114" t="s">
        <v>2531</v>
      </c>
      <c r="N58" s="290">
        <v>4.1241626262788794E-2</v>
      </c>
      <c r="O58" s="290">
        <v>7.2020726694279599E-2</v>
      </c>
      <c r="P58" s="290">
        <v>5.7559022333090615E-3</v>
      </c>
      <c r="Q58" s="290">
        <v>5.3242095658108807E-2</v>
      </c>
      <c r="R58" s="290">
        <v>5.3242095658108807E-2</v>
      </c>
      <c r="S58" s="290">
        <v>1.2929195391570476E-3</v>
      </c>
      <c r="T58" s="290">
        <v>0.17864881556633005</v>
      </c>
      <c r="U58" s="114">
        <v>551.93825999282944</v>
      </c>
      <c r="V58" s="291">
        <v>49.097579672578455</v>
      </c>
      <c r="W58" t="s">
        <v>2531</v>
      </c>
      <c r="X58">
        <f>U58/V58</f>
        <v>11.241659236027333</v>
      </c>
      <c r="Y58" s="43">
        <f t="shared" si="0"/>
        <v>0.14944289697664587</v>
      </c>
      <c r="Z58" s="11">
        <f t="shared" si="1"/>
        <v>0.26097385129711886</v>
      </c>
      <c r="AA58" s="511">
        <f t="shared" si="1"/>
        <v>2.0857051052716805E-2</v>
      </c>
      <c r="AB58" s="11">
        <f t="shared" si="1"/>
        <v>0.19292772223763038</v>
      </c>
      <c r="AC58" s="512">
        <f t="shared" si="1"/>
        <v>0.19292772223763038</v>
      </c>
      <c r="AD58" s="11">
        <f t="shared" si="1"/>
        <v>4.6850150927165105E-3</v>
      </c>
      <c r="AE58" s="43">
        <f t="shared" si="1"/>
        <v>0.64735072204869792</v>
      </c>
    </row>
    <row r="59" spans="1:31" x14ac:dyDescent="0.25">
      <c r="A59" s="2" t="s">
        <v>2530</v>
      </c>
      <c r="B59" s="2">
        <v>2104008610</v>
      </c>
      <c r="C59" s="2" t="s">
        <v>2182</v>
      </c>
      <c r="D59" s="290">
        <v>1.3204661171280232</v>
      </c>
      <c r="E59" s="290">
        <v>4.6906606948457788E-2</v>
      </c>
      <c r="F59" s="290">
        <v>1.1634062705973775E-2</v>
      </c>
      <c r="G59" s="290">
        <v>0.28707492052035677</v>
      </c>
      <c r="H59" s="290">
        <v>0.28707492052035677</v>
      </c>
      <c r="I59" s="290">
        <v>7.0897562091198647E-3</v>
      </c>
      <c r="J59" s="290">
        <v>1.7617073301310151</v>
      </c>
      <c r="K59" s="114">
        <v>933.87454907322092</v>
      </c>
      <c r="L59" s="291">
        <v>83.101134322295593</v>
      </c>
      <c r="M59" s="114" t="s">
        <v>2531</v>
      </c>
      <c r="N59" s="290">
        <v>1.2073632893209396</v>
      </c>
      <c r="O59" s="290">
        <v>4.2888881828600275E-2</v>
      </c>
      <c r="P59" s="290">
        <v>1.0637562020448807E-2</v>
      </c>
      <c r="Q59" s="290">
        <v>0.26248588723719662</v>
      </c>
      <c r="R59" s="290">
        <v>0.26248588723719662</v>
      </c>
      <c r="S59" s="290">
        <v>6.4824922548895715E-3</v>
      </c>
      <c r="T59" s="290">
        <v>1.6108105534385111</v>
      </c>
      <c r="U59" s="114">
        <v>853.88441287621163</v>
      </c>
      <c r="V59" s="291">
        <v>75.983213488196199</v>
      </c>
      <c r="W59" t="s">
        <v>2531</v>
      </c>
      <c r="Y59" s="43">
        <f t="shared" si="0"/>
        <v>2.8279314415731633</v>
      </c>
      <c r="Z59" s="11">
        <f t="shared" si="1"/>
        <v>0.10045594270572056</v>
      </c>
      <c r="AA59" s="511">
        <f t="shared" si="1"/>
        <v>2.4915695520468399E-2</v>
      </c>
      <c r="AB59" s="11">
        <f t="shared" si="1"/>
        <v>0.6148042598717619</v>
      </c>
      <c r="AC59" s="512">
        <f t="shared" si="1"/>
        <v>0.6148042598717619</v>
      </c>
      <c r="AD59" s="11">
        <f t="shared" si="1"/>
        <v>1.5183535750591911E-2</v>
      </c>
      <c r="AE59" s="43">
        <f t="shared" si="1"/>
        <v>3.772900709154956</v>
      </c>
    </row>
    <row r="60" spans="1:31" x14ac:dyDescent="0.25">
      <c r="A60" s="2" t="s">
        <v>2530</v>
      </c>
      <c r="B60" s="2">
        <v>2104004000</v>
      </c>
      <c r="C60" s="2" t="s">
        <v>2196</v>
      </c>
      <c r="D60" s="290">
        <v>8.9078071089507632E-2</v>
      </c>
      <c r="E60" s="290">
        <v>1.3956908392698546</v>
      </c>
      <c r="F60" s="290">
        <v>3.6109200165936945</v>
      </c>
      <c r="G60" s="290">
        <v>5.7044584711301957E-2</v>
      </c>
      <c r="H60" s="290">
        <v>5.7044584711301957E-2</v>
      </c>
      <c r="I60" s="290">
        <v>3.0604419697613521E-3</v>
      </c>
      <c r="J60" s="290">
        <v>5.5951230171002023E-2</v>
      </c>
      <c r="K60" s="114">
        <v>33534.998033086704</v>
      </c>
      <c r="L60" s="291">
        <v>249.86836210240574</v>
      </c>
      <c r="M60" s="114" t="s">
        <v>2532</v>
      </c>
      <c r="N60" s="290">
        <v>8.2348681595520695E-2</v>
      </c>
      <c r="O60" s="290">
        <v>1.2902535845587708</v>
      </c>
      <c r="P60" s="290">
        <v>3.3381336065817795</v>
      </c>
      <c r="Q60" s="290">
        <v>5.2735160131829904E-2</v>
      </c>
      <c r="R60" s="290">
        <v>5.2735160131829904E-2</v>
      </c>
      <c r="S60" s="290">
        <v>2.8292413410726746E-3</v>
      </c>
      <c r="T60" s="290">
        <v>5.1724402895969808E-2</v>
      </c>
      <c r="U60" s="114">
        <v>31001.601646247902</v>
      </c>
      <c r="V60" s="291">
        <v>230.9920942370847</v>
      </c>
      <c r="W60" t="s">
        <v>2532</v>
      </c>
      <c r="Y60" s="43">
        <f t="shared" si="0"/>
        <v>5.3125436895282013E-3</v>
      </c>
      <c r="Z60" s="11">
        <f t="shared" si="1"/>
        <v>8.323786617746759E-2</v>
      </c>
      <c r="AA60" s="511">
        <f t="shared" si="1"/>
        <v>0.21535233209383497</v>
      </c>
      <c r="AB60" s="11">
        <f t="shared" si="1"/>
        <v>3.4020926230572601E-3</v>
      </c>
      <c r="AC60" s="512">
        <f t="shared" si="1"/>
        <v>3.4020926230572601E-3</v>
      </c>
      <c r="AD60" s="11">
        <f t="shared" si="1"/>
        <v>1.8252226922702204E-4</v>
      </c>
      <c r="AE60" s="43">
        <f t="shared" si="1"/>
        <v>3.3368858477819952E-3</v>
      </c>
    </row>
    <row r="61" spans="1:31" x14ac:dyDescent="0.25">
      <c r="A61" s="2" t="s">
        <v>2530</v>
      </c>
      <c r="B61" s="2">
        <v>2103004001</v>
      </c>
      <c r="C61" s="2" t="s">
        <v>2206</v>
      </c>
      <c r="D61" s="290">
        <v>2.8566214921669917E-2</v>
      </c>
      <c r="E61" s="290">
        <v>0.72116671611508909</v>
      </c>
      <c r="F61" s="290">
        <v>0.5097526868041945</v>
      </c>
      <c r="G61" s="290">
        <v>1.8293479495565763E-2</v>
      </c>
      <c r="H61" s="290">
        <v>1.8293479495565763E-2</v>
      </c>
      <c r="I61" s="290">
        <v>9.8144517493710371E-4</v>
      </c>
      <c r="J61" s="290">
        <v>1.7942854471900756E-2</v>
      </c>
      <c r="K61" s="114">
        <v>11097.954464659984</v>
      </c>
      <c r="L61" s="291">
        <v>82.690558145723287</v>
      </c>
      <c r="M61" s="114" t="s">
        <v>2532</v>
      </c>
      <c r="N61" s="290">
        <v>2.8090459779554294E-2</v>
      </c>
      <c r="O61" s="290">
        <v>0.70915606736602677</v>
      </c>
      <c r="P61" s="290">
        <v>0.50126302646174625</v>
      </c>
      <c r="Q61" s="290">
        <v>1.798881130760082E-2</v>
      </c>
      <c r="R61" s="290">
        <v>1.798881130760082E-2</v>
      </c>
      <c r="S61" s="290">
        <v>9.6509972665278479E-4</v>
      </c>
      <c r="T61" s="290">
        <v>1.7644025757538474E-2</v>
      </c>
      <c r="U61" s="114">
        <v>10913.123925577189</v>
      </c>
      <c r="V61" s="291">
        <v>81.313390804858798</v>
      </c>
      <c r="W61" t="s">
        <v>2532</v>
      </c>
      <c r="Y61" s="43">
        <f t="shared" si="0"/>
        <v>5.1480144404332153E-3</v>
      </c>
      <c r="Z61" s="11">
        <f t="shared" si="1"/>
        <v>0.12996389891696752</v>
      </c>
      <c r="AA61" s="511">
        <f t="shared" si="1"/>
        <v>9.1864259927797842E-2</v>
      </c>
      <c r="AB61" s="11">
        <f t="shared" si="1"/>
        <v>3.2967299611507714E-3</v>
      </c>
      <c r="AC61" s="512">
        <f t="shared" si="1"/>
        <v>3.2967299611507714E-3</v>
      </c>
      <c r="AD61" s="11">
        <f t="shared" si="1"/>
        <v>1.7686956241573902E-4</v>
      </c>
      <c r="AE61" s="43">
        <f t="shared" si="1"/>
        <v>3.2335426368953822E-3</v>
      </c>
    </row>
    <row r="62" spans="1:31" x14ac:dyDescent="0.25">
      <c r="A62" s="2" t="s">
        <v>2530</v>
      </c>
      <c r="B62" s="2">
        <v>2104004000</v>
      </c>
      <c r="C62" s="2" t="s">
        <v>2210</v>
      </c>
      <c r="D62" s="290">
        <v>6.0773096480056248E-4</v>
      </c>
      <c r="E62" s="290">
        <v>1.5342436699032432E-2</v>
      </c>
      <c r="F62" s="290">
        <v>2.4635332564589316E-2</v>
      </c>
      <c r="G62" s="290">
        <v>3.4094303775627631E-4</v>
      </c>
      <c r="H62" s="290">
        <v>3.4094303775627631E-4</v>
      </c>
      <c r="I62" s="290">
        <v>2.0879721891713444E-5</v>
      </c>
      <c r="J62" s="290">
        <v>3.8172464533312722E-4</v>
      </c>
      <c r="K62" s="114">
        <v>233.53745728710527</v>
      </c>
      <c r="L62" s="291">
        <v>1.704715188781381</v>
      </c>
      <c r="M62" s="114" t="s">
        <v>2532</v>
      </c>
      <c r="N62" s="290">
        <v>5.7378180317634909E-4</v>
      </c>
      <c r="O62" s="290">
        <v>1.4485375115251449E-2</v>
      </c>
      <c r="P62" s="290">
        <v>2.3259149787435693E-2</v>
      </c>
      <c r="Q62" s="290">
        <v>3.218972247833655E-4</v>
      </c>
      <c r="R62" s="290">
        <v>3.218972247833655E-4</v>
      </c>
      <c r="S62" s="290">
        <v>1.9713335621757585E-5</v>
      </c>
      <c r="T62" s="290">
        <v>3.6040068385847585E-4</v>
      </c>
      <c r="U62" s="114">
        <v>220.4915515459858</v>
      </c>
      <c r="V62" s="291">
        <v>1.609486123916827</v>
      </c>
      <c r="W62" t="s">
        <v>2532</v>
      </c>
      <c r="Y62" s="43">
        <f t="shared" si="0"/>
        <v>5.2045695098361265E-3</v>
      </c>
      <c r="Z62" s="11">
        <f t="shared" si="1"/>
        <v>0.13139165662980401</v>
      </c>
      <c r="AA62" s="511">
        <f t="shared" si="1"/>
        <v>0.21097542853096352</v>
      </c>
      <c r="AB62" s="11">
        <f t="shared" si="1"/>
        <v>2.9198145917734221E-3</v>
      </c>
      <c r="AC62" s="512">
        <f t="shared" si="1"/>
        <v>2.9198145917734221E-3</v>
      </c>
      <c r="AD62" s="11">
        <f t="shared" si="1"/>
        <v>1.7881261647928641E-4</v>
      </c>
      <c r="AE62" s="43">
        <f t="shared" si="1"/>
        <v>3.2690656973612935E-3</v>
      </c>
    </row>
    <row r="63" spans="1:31" x14ac:dyDescent="0.25">
      <c r="A63" s="2" t="s">
        <v>2530</v>
      </c>
      <c r="B63" s="2">
        <v>2104004000</v>
      </c>
      <c r="C63" s="2" t="s">
        <v>2214</v>
      </c>
      <c r="D63" s="290">
        <v>2.320826914216592E-3</v>
      </c>
      <c r="E63" s="290">
        <v>3.6363123090622902E-2</v>
      </c>
      <c r="F63" s="290">
        <v>9.4078377058404633E-2</v>
      </c>
      <c r="G63" s="290">
        <v>1.4862311889900367E-3</v>
      </c>
      <c r="H63" s="290">
        <v>1.4862311889900367E-3</v>
      </c>
      <c r="I63" s="290">
        <v>7.973630328931548E-5</v>
      </c>
      <c r="J63" s="290">
        <v>1.4577450912010618E-3</v>
      </c>
      <c r="K63" s="114">
        <v>813.7541774952989</v>
      </c>
      <c r="L63" s="291">
        <v>6.5100334199623928</v>
      </c>
      <c r="M63" s="114" t="s">
        <v>2532</v>
      </c>
      <c r="N63" s="290">
        <v>1.9258678810830029E-3</v>
      </c>
      <c r="O63" s="290">
        <v>3.0174835696326598E-2</v>
      </c>
      <c r="P63" s="290">
        <v>7.8068090115352956E-2</v>
      </c>
      <c r="Q63" s="290">
        <v>1.2333039112940025E-3</v>
      </c>
      <c r="R63" s="290">
        <v>1.2333039112940025E-3</v>
      </c>
      <c r="S63" s="290">
        <v>6.6166754840923209E-5</v>
      </c>
      <c r="T63" s="290">
        <v>1.2096655863275338E-3</v>
      </c>
      <c r="U63" s="114">
        <v>675.26924301648091</v>
      </c>
      <c r="V63" s="291">
        <v>5.4021539441318449</v>
      </c>
      <c r="W63" t="s">
        <v>2532</v>
      </c>
      <c r="Y63" s="43">
        <f t="shared" si="0"/>
        <v>5.7039999999999981E-3</v>
      </c>
      <c r="Z63" s="11">
        <f t="shared" si="1"/>
        <v>8.9371272298833668E-2</v>
      </c>
      <c r="AA63" s="511">
        <f t="shared" si="1"/>
        <v>0.23122063065279458</v>
      </c>
      <c r="AB63" s="11">
        <f t="shared" si="1"/>
        <v>3.652776796955054E-3</v>
      </c>
      <c r="AC63" s="512">
        <f t="shared" si="1"/>
        <v>3.652776796955054E-3</v>
      </c>
      <c r="AD63" s="11">
        <f t="shared" si="1"/>
        <v>1.9597147515663859E-4</v>
      </c>
      <c r="AE63" s="43">
        <f t="shared" si="1"/>
        <v>3.5827652416800808E-3</v>
      </c>
    </row>
    <row r="64" spans="1:31" x14ac:dyDescent="0.25">
      <c r="A64" s="2" t="s">
        <v>2530</v>
      </c>
      <c r="B64" s="2">
        <v>2104006010</v>
      </c>
      <c r="C64" s="2" t="s">
        <v>2217</v>
      </c>
      <c r="D64" s="290">
        <v>6.5293806689556498E-4</v>
      </c>
      <c r="E64" s="290">
        <v>1.1159305143306026E-2</v>
      </c>
      <c r="F64" s="290">
        <v>7.1229607297698056E-5</v>
      </c>
      <c r="G64" s="290">
        <v>9.0224169243750775E-4</v>
      </c>
      <c r="H64" s="290">
        <v>9.0224169243750775E-4</v>
      </c>
      <c r="I64" s="290">
        <v>2.3743202432566007E-3</v>
      </c>
      <c r="J64" s="290">
        <v>4.7486404865132014E-3</v>
      </c>
      <c r="K64" s="114">
        <v>293.10011686938134</v>
      </c>
      <c r="L64" s="291">
        <v>288.76858804865179</v>
      </c>
      <c r="M64" s="114" t="s">
        <v>2533</v>
      </c>
      <c r="N64" s="290">
        <v>6.5293806689556498E-4</v>
      </c>
      <c r="O64" s="290">
        <v>1.1159305143306026E-2</v>
      </c>
      <c r="P64" s="290">
        <v>7.1229607297698056E-5</v>
      </c>
      <c r="Q64" s="290">
        <v>9.0224169243750775E-4</v>
      </c>
      <c r="R64" s="290">
        <v>9.0224169243750775E-4</v>
      </c>
      <c r="S64" s="290">
        <v>2.3743202432566007E-3</v>
      </c>
      <c r="T64" s="290">
        <v>4.7486404865132014E-3</v>
      </c>
      <c r="U64" s="114">
        <v>293.10011686938134</v>
      </c>
      <c r="V64" s="291">
        <v>288.76858804865179</v>
      </c>
      <c r="W64" t="s">
        <v>2533</v>
      </c>
      <c r="Y64" s="43">
        <f t="shared" si="0"/>
        <v>4.4553927434054473E-3</v>
      </c>
      <c r="Z64" s="11">
        <f t="shared" si="1"/>
        <v>7.614671234183859E-2</v>
      </c>
      <c r="AA64" s="511">
        <f t="shared" si="1"/>
        <v>4.8604284473514008E-4</v>
      </c>
      <c r="AB64" s="11">
        <f t="shared" si="1"/>
        <v>6.1565426999784347E-3</v>
      </c>
      <c r="AC64" s="512">
        <f t="shared" si="1"/>
        <v>6.1565426999784347E-3</v>
      </c>
      <c r="AD64" s="11">
        <f t="shared" si="1"/>
        <v>1.6201428157837993E-2</v>
      </c>
      <c r="AE64" s="43">
        <f t="shared" si="1"/>
        <v>3.2402856315675986E-2</v>
      </c>
    </row>
    <row r="65" spans="1:31" x14ac:dyDescent="0.25">
      <c r="A65" s="2" t="s">
        <v>2530</v>
      </c>
      <c r="B65" s="2">
        <v>2103006000</v>
      </c>
      <c r="C65" s="2" t="s">
        <v>2221</v>
      </c>
      <c r="D65" s="290">
        <v>6.9828654415653073E-3</v>
      </c>
      <c r="E65" s="290">
        <v>0.1269611898466419</v>
      </c>
      <c r="F65" s="290">
        <v>7.6176713907985158E-4</v>
      </c>
      <c r="G65" s="290">
        <v>9.6490504283447878E-3</v>
      </c>
      <c r="H65" s="290">
        <v>9.6490504283447878E-3</v>
      </c>
      <c r="I65" s="290">
        <v>2.5392237969328376E-2</v>
      </c>
      <c r="J65" s="290">
        <v>5.0784475938656752E-2</v>
      </c>
      <c r="K65" s="114">
        <v>2577.3121538868331</v>
      </c>
      <c r="L65" s="291">
        <v>2539.2237969328376</v>
      </c>
      <c r="M65" s="114" t="s">
        <v>2533</v>
      </c>
      <c r="N65" s="290">
        <v>6.9828654415653073E-3</v>
      </c>
      <c r="O65" s="290">
        <v>0.1269611898466419</v>
      </c>
      <c r="P65" s="290">
        <v>7.6176713907985158E-4</v>
      </c>
      <c r="Q65" s="290">
        <v>9.6490504283447878E-3</v>
      </c>
      <c r="R65" s="290">
        <v>9.6490504283447878E-3</v>
      </c>
      <c r="S65" s="290">
        <v>2.5392237969328376E-2</v>
      </c>
      <c r="T65" s="290">
        <v>5.0784475938656752E-2</v>
      </c>
      <c r="U65" s="114">
        <v>2577.3121538868331</v>
      </c>
      <c r="V65" s="291">
        <v>2539.2237969328376</v>
      </c>
      <c r="W65" t="s">
        <v>2533</v>
      </c>
      <c r="Y65" s="43">
        <f t="shared" si="0"/>
        <v>5.4187192118226564E-3</v>
      </c>
      <c r="Z65" s="11">
        <f t="shared" si="1"/>
        <v>9.8522167487684623E-2</v>
      </c>
      <c r="AA65" s="511">
        <f t="shared" si="1"/>
        <v>5.911330049261079E-4</v>
      </c>
      <c r="AB65" s="11">
        <f t="shared" si="1"/>
        <v>7.4876847290640345E-3</v>
      </c>
      <c r="AC65" s="512">
        <f t="shared" si="1"/>
        <v>7.4876847290640345E-3</v>
      </c>
      <c r="AD65" s="11">
        <f t="shared" si="1"/>
        <v>1.9704433497536922E-2</v>
      </c>
      <c r="AE65" s="43">
        <f t="shared" si="1"/>
        <v>3.9408866995073843E-2</v>
      </c>
    </row>
    <row r="66" spans="1:31" x14ac:dyDescent="0.25">
      <c r="A66" s="2" t="s">
        <v>2530</v>
      </c>
      <c r="B66" s="2">
        <v>2104002000</v>
      </c>
      <c r="C66" s="2" t="s">
        <v>2223</v>
      </c>
      <c r="D66" s="290">
        <v>0.13725030700920376</v>
      </c>
      <c r="E66" s="290">
        <v>6.4782144908344191E-2</v>
      </c>
      <c r="F66" s="290">
        <v>0.12764278551855957</v>
      </c>
      <c r="G66" s="290">
        <v>0.10966299530035384</v>
      </c>
      <c r="H66" s="290">
        <v>0.10966299530035384</v>
      </c>
      <c r="I66" s="290">
        <v>1.7375202615830157E-2</v>
      </c>
      <c r="J66" s="290">
        <v>1.7921458837726787</v>
      </c>
      <c r="K66" s="114">
        <v>417.24093330797979</v>
      </c>
      <c r="L66" s="291">
        <v>27.450061401840752</v>
      </c>
      <c r="M66" s="114" t="s">
        <v>2531</v>
      </c>
      <c r="N66" s="290">
        <v>0.12031589437934022</v>
      </c>
      <c r="O66" s="290">
        <v>5.6789102147048603E-2</v>
      </c>
      <c r="P66" s="290">
        <v>0.11189378177278637</v>
      </c>
      <c r="Q66" s="290">
        <v>9.6132399609092853E-2</v>
      </c>
      <c r="R66" s="290">
        <v>9.6132399609092853E-2</v>
      </c>
      <c r="S66" s="290">
        <v>1.5231390648952577E-2</v>
      </c>
      <c r="T66" s="290">
        <v>1.5710247908582351</v>
      </c>
      <c r="U66" s="114">
        <v>365.76031891319445</v>
      </c>
      <c r="V66" s="291">
        <v>24.063178875868044</v>
      </c>
      <c r="W66" t="s">
        <v>2531</v>
      </c>
      <c r="Y66" s="43">
        <f t="shared" si="0"/>
        <v>0.65789473684210498</v>
      </c>
      <c r="Z66" s="11">
        <f t="shared" ref="Z66:AE66" si="2">O66/$U66*2000</f>
        <v>0.31052631578947365</v>
      </c>
      <c r="AA66" s="511">
        <f t="shared" si="2"/>
        <v>0.61184210526315741</v>
      </c>
      <c r="AB66" s="11">
        <f t="shared" si="2"/>
        <v>0.52565789473684188</v>
      </c>
      <c r="AC66" s="512">
        <f t="shared" si="2"/>
        <v>0.52565789473684188</v>
      </c>
      <c r="AD66" s="11">
        <f t="shared" si="2"/>
        <v>8.328618421052629E-2</v>
      </c>
      <c r="AE66" s="43">
        <f t="shared" si="2"/>
        <v>8.5904605263157858</v>
      </c>
    </row>
    <row r="67" spans="1:31" x14ac:dyDescent="0.25">
      <c r="A67" s="2" t="s">
        <v>2530</v>
      </c>
      <c r="B67" s="2">
        <v>2103002000</v>
      </c>
      <c r="C67" s="2" t="s">
        <v>2527</v>
      </c>
      <c r="D67" s="290">
        <v>3.5695318167210945E-4</v>
      </c>
      <c r="E67" s="290">
        <v>1.684819017492357E-4</v>
      </c>
      <c r="F67" s="290">
        <v>3.3196645895506173E-4</v>
      </c>
      <c r="G67" s="290">
        <v>2.8520559215601543E-4</v>
      </c>
      <c r="H67" s="290">
        <v>2.8520559215601543E-4</v>
      </c>
      <c r="I67" s="290">
        <v>4.5188488033780741E-5</v>
      </c>
      <c r="J67" s="290">
        <v>4.6609161696835686E-3</v>
      </c>
      <c r="K67" s="114">
        <v>16.409830233226156</v>
      </c>
      <c r="L67" s="291">
        <v>1.0851376722832122</v>
      </c>
      <c r="M67" s="114" t="s">
        <v>2531</v>
      </c>
      <c r="N67" s="290">
        <v>3.3732506551167126E-4</v>
      </c>
      <c r="O67" s="290">
        <v>1.5921743092150881E-4</v>
      </c>
      <c r="P67" s="290">
        <v>3.1371231092585424E-4</v>
      </c>
      <c r="Q67" s="290">
        <v>2.6952272734382532E-4</v>
      </c>
      <c r="R67" s="290">
        <v>2.6952272734382532E-4</v>
      </c>
      <c r="S67" s="290">
        <v>4.2703666668450039E-5</v>
      </c>
      <c r="T67" s="290">
        <v>4.4046220429186482E-3</v>
      </c>
      <c r="U67" s="114">
        <v>15.502854241684634</v>
      </c>
      <c r="V67" s="291">
        <v>1.0254681991554806</v>
      </c>
      <c r="W67" t="s">
        <v>2531</v>
      </c>
      <c r="Y67" s="43"/>
      <c r="Z67" s="11"/>
      <c r="AA67" s="511"/>
      <c r="AB67" s="11"/>
      <c r="AC67" s="512"/>
      <c r="AD67" s="11"/>
      <c r="AE67" s="43"/>
    </row>
    <row r="68" spans="1:31" x14ac:dyDescent="0.25">
      <c r="A68" s="2" t="s">
        <v>2530</v>
      </c>
      <c r="B68" s="2">
        <v>2103008000</v>
      </c>
      <c r="C68" s="2" t="s">
        <v>2528</v>
      </c>
      <c r="D68" s="290">
        <v>1.0907183589339991E-3</v>
      </c>
      <c r="E68" s="290">
        <v>4.3366689027422037E-5</v>
      </c>
      <c r="F68" s="290">
        <v>9.4541280565428541E-6</v>
      </c>
      <c r="G68" s="290">
        <v>3.0673763335701789E-4</v>
      </c>
      <c r="H68" s="290">
        <v>3.0673763335701789E-4</v>
      </c>
      <c r="I68" s="290">
        <v>1.1231577533620158E-5</v>
      </c>
      <c r="J68" s="290">
        <v>2.1817155207571278E-3</v>
      </c>
      <c r="K68" s="114">
        <v>9.9032591487055033</v>
      </c>
      <c r="L68" s="291">
        <v>0.81778207689095661</v>
      </c>
      <c r="M68" s="114" t="s">
        <v>2531</v>
      </c>
      <c r="N68" s="290">
        <v>8.9417200808487429E-4</v>
      </c>
      <c r="O68" s="290">
        <v>3.6384819286996321E-5</v>
      </c>
      <c r="P68" s="290">
        <v>7.7224421459778723E-6</v>
      </c>
      <c r="Q68" s="290">
        <v>2.6400762512984862E-4</v>
      </c>
      <c r="R68" s="290">
        <v>2.6400762512984862E-4</v>
      </c>
      <c r="S68" s="290">
        <v>1.0176294332303952E-5</v>
      </c>
      <c r="T68" s="290">
        <v>1.9194920963844482E-3</v>
      </c>
      <c r="U68" s="114">
        <v>8.0893071656224507</v>
      </c>
      <c r="V68" s="291">
        <v>0.66799124562708578</v>
      </c>
      <c r="W68" t="s">
        <v>2531</v>
      </c>
      <c r="Y68" s="43"/>
      <c r="Z68" s="11"/>
      <c r="AA68" s="511"/>
      <c r="AB68" s="11"/>
      <c r="AC68" s="512"/>
      <c r="AD68" s="11"/>
      <c r="AE68" s="43"/>
    </row>
    <row r="69" spans="1:31" x14ac:dyDescent="0.25">
      <c r="A69" s="44" t="s">
        <v>2530</v>
      </c>
      <c r="B69" s="44">
        <v>2102012000</v>
      </c>
      <c r="C69" s="44" t="s">
        <v>2228</v>
      </c>
      <c r="D69" s="292">
        <v>4.6572617087992899E-4</v>
      </c>
      <c r="E69" s="292">
        <v>2.4313208047262631E-2</v>
      </c>
      <c r="F69" s="292">
        <v>1.7215675806713709E-2</v>
      </c>
      <c r="G69" s="292">
        <v>2.4237240576798031E-3</v>
      </c>
      <c r="H69" s="292">
        <v>2.4237240576798031E-3</v>
      </c>
      <c r="I69" s="292">
        <v>1.6944363412197307E-5</v>
      </c>
      <c r="J69" s="292">
        <v>5.7879977496831129E-3</v>
      </c>
      <c r="K69" s="245">
        <v>129.0061493337403</v>
      </c>
      <c r="L69" s="293">
        <v>0.93145234175985725</v>
      </c>
      <c r="M69" s="245" t="s">
        <v>2532</v>
      </c>
      <c r="N69" s="292">
        <v>4.6572617087992899E-4</v>
      </c>
      <c r="O69" s="292">
        <v>2.4313208047262631E-2</v>
      </c>
      <c r="P69" s="292">
        <v>1.7215675806713709E-2</v>
      </c>
      <c r="Q69" s="292">
        <v>2.4237240576798031E-3</v>
      </c>
      <c r="R69" s="292">
        <v>2.4237240576798031E-3</v>
      </c>
      <c r="S69" s="292">
        <v>1.6944363412197307E-5</v>
      </c>
      <c r="T69" s="292">
        <v>5.7879977496831129E-3</v>
      </c>
      <c r="U69" s="245">
        <v>129.0061493337403</v>
      </c>
      <c r="V69" s="293">
        <v>0.93145234175985725</v>
      </c>
      <c r="W69" s="9" t="s">
        <v>2532</v>
      </c>
      <c r="Y69" s="513">
        <f t="shared" ref="Y69:AE70" si="3">N69/$U69*2000</f>
        <v>7.2202166064981969E-3</v>
      </c>
      <c r="Z69" s="514">
        <f t="shared" si="3"/>
        <v>0.37693099395384788</v>
      </c>
      <c r="AA69" s="515">
        <f t="shared" si="3"/>
        <v>0.26689697964980835</v>
      </c>
      <c r="AB69" s="514">
        <f t="shared" si="3"/>
        <v>3.7575325985579229E-2</v>
      </c>
      <c r="AC69" s="516">
        <f t="shared" si="3"/>
        <v>3.7575325985579229E-2</v>
      </c>
      <c r="AD69" s="514">
        <f t="shared" si="3"/>
        <v>2.6269078644246729E-4</v>
      </c>
      <c r="AE69" s="513">
        <f t="shared" si="3"/>
        <v>8.9732121756607136E-2</v>
      </c>
    </row>
    <row r="70" spans="1:31" x14ac:dyDescent="0.25">
      <c r="A70" s="71" t="s">
        <v>2530</v>
      </c>
      <c r="B70" s="71" t="s">
        <v>2462</v>
      </c>
      <c r="C70" s="71"/>
      <c r="D70" s="294">
        <v>11.511728233347382</v>
      </c>
      <c r="E70" s="294">
        <v>2.935106540667606</v>
      </c>
      <c r="F70" s="294">
        <v>4.4959222746980361</v>
      </c>
      <c r="G70" s="294">
        <v>3.2966963886309166</v>
      </c>
      <c r="H70" s="294">
        <v>3.2966963886309166</v>
      </c>
      <c r="I70" s="294">
        <v>0.16545735677632453</v>
      </c>
      <c r="J70" s="294">
        <v>35.050203010748305</v>
      </c>
      <c r="K70" s="244">
        <v>58129.947182164993</v>
      </c>
      <c r="L70" s="244"/>
      <c r="M70" s="244"/>
      <c r="N70" s="294">
        <v>10.366991600366152</v>
      </c>
      <c r="O70" s="294">
        <v>2.737947420197032</v>
      </c>
      <c r="P70" s="294">
        <v>4.168164481672501</v>
      </c>
      <c r="Q70" s="294">
        <v>2.9316872171664059</v>
      </c>
      <c r="R70" s="294">
        <v>2.9316872171664059</v>
      </c>
      <c r="S70" s="294">
        <v>0.15050644231568402</v>
      </c>
      <c r="T70" s="294">
        <v>30.916614920266944</v>
      </c>
      <c r="U70" s="244">
        <v>54118.551699693919</v>
      </c>
      <c r="Y70" s="43">
        <f t="shared" si="3"/>
        <v>0.38312154611575777</v>
      </c>
      <c r="Z70" s="11">
        <f t="shared" si="3"/>
        <v>0.10118332195547344</v>
      </c>
      <c r="AA70" s="511">
        <f t="shared" si="3"/>
        <v>0.15403828634593986</v>
      </c>
      <c r="AB70" s="11">
        <f t="shared" si="3"/>
        <v>0.10834315128883934</v>
      </c>
      <c r="AC70" s="512">
        <f t="shared" si="3"/>
        <v>0.10834315128883934</v>
      </c>
      <c r="AD70" s="11">
        <f t="shared" si="3"/>
        <v>5.5621016301711287E-3</v>
      </c>
      <c r="AE70" s="43">
        <f t="shared" si="3"/>
        <v>1.1425514522940126</v>
      </c>
    </row>
    <row r="71" spans="1:31" x14ac:dyDescent="0.25">
      <c r="R71" s="290"/>
    </row>
    <row r="72" spans="1:31" x14ac:dyDescent="0.25">
      <c r="L72" s="291"/>
      <c r="Y72" s="923" t="s">
        <v>3010</v>
      </c>
      <c r="Z72" s="923"/>
      <c r="AA72" s="923"/>
      <c r="AB72" s="923"/>
      <c r="AC72" s="923"/>
      <c r="AD72" s="923"/>
      <c r="AE72" s="923"/>
    </row>
    <row r="73" spans="1:31" x14ac:dyDescent="0.25">
      <c r="I73" s="923" t="s">
        <v>3177</v>
      </c>
      <c r="J73" s="923"/>
      <c r="K73" s="923"/>
      <c r="L73" s="923"/>
      <c r="M73" s="923"/>
      <c r="N73" s="923"/>
      <c r="O73" s="923"/>
      <c r="P73" s="923"/>
      <c r="Q73" s="923"/>
      <c r="R73" s="923"/>
      <c r="S73" s="923"/>
      <c r="T73" s="923"/>
      <c r="U73" s="923"/>
      <c r="Y73" s="44" t="s">
        <v>2143</v>
      </c>
      <c r="Z73" s="44" t="s">
        <v>2144</v>
      </c>
      <c r="AA73" s="517" t="s">
        <v>2145</v>
      </c>
      <c r="AB73" s="44" t="s">
        <v>2146</v>
      </c>
      <c r="AC73" s="518" t="s">
        <v>2147</v>
      </c>
      <c r="AD73" s="44" t="s">
        <v>2148</v>
      </c>
      <c r="AE73" s="44" t="s">
        <v>2149</v>
      </c>
    </row>
    <row r="74" spans="1:31" x14ac:dyDescent="0.25">
      <c r="I74" s="71"/>
      <c r="J74" s="71"/>
      <c r="K74" s="71"/>
      <c r="L74" s="71"/>
      <c r="M74" s="1" t="s">
        <v>3178</v>
      </c>
      <c r="N74" s="290">
        <f>SUM(N51,N54)</f>
        <v>2.1341918831927398</v>
      </c>
      <c r="O74" s="290">
        <f t="shared" ref="O74:U74" si="4">SUM(O51,O54)</f>
        <v>6.1023371174285794E-2</v>
      </c>
      <c r="P74" s="290">
        <f t="shared" si="4"/>
        <v>1.6107108552398032E-2</v>
      </c>
      <c r="Q74" s="290">
        <f t="shared" si="4"/>
        <v>0.52383683262218539</v>
      </c>
      <c r="R74" s="290">
        <f t="shared" si="4"/>
        <v>0.52383683262218539</v>
      </c>
      <c r="S74" s="290">
        <f t="shared" si="4"/>
        <v>1.8451398193117634E-2</v>
      </c>
      <c r="T74" s="290">
        <f t="shared" si="4"/>
        <v>5.0865828743344892</v>
      </c>
      <c r="U74" s="114">
        <f t="shared" si="4"/>
        <v>1293.3722949641569</v>
      </c>
      <c r="Y74" s="43">
        <f t="shared" ref="Y74:AE81" si="5">N74/$U74*2000</f>
        <v>3.3001973082342611</v>
      </c>
      <c r="Z74" s="11">
        <f t="shared" si="5"/>
        <v>9.4363195209739556E-2</v>
      </c>
      <c r="AA74" s="511">
        <f t="shared" si="5"/>
        <v>2.4907149496107627E-2</v>
      </c>
      <c r="AB74" s="11">
        <f t="shared" si="5"/>
        <v>0.81003255545488928</v>
      </c>
      <c r="AC74" s="512">
        <f t="shared" si="5"/>
        <v>0.81003255545488928</v>
      </c>
      <c r="AD74" s="11">
        <f t="shared" si="5"/>
        <v>2.8532230456705391E-2</v>
      </c>
      <c r="AE74" s="43">
        <f t="shared" si="5"/>
        <v>7.8656128543026398</v>
      </c>
    </row>
    <row r="75" spans="1:31" x14ac:dyDescent="0.25">
      <c r="M75" s="1" t="s">
        <v>3003</v>
      </c>
      <c r="N75" s="290">
        <f t="shared" ref="N75:U75" si="6">SUM(N52:N53,N55:N56)</f>
        <v>1.7830253974424175</v>
      </c>
      <c r="O75" s="290">
        <f t="shared" si="6"/>
        <v>0.22101475236030793</v>
      </c>
      <c r="P75" s="290">
        <f t="shared" si="6"/>
        <v>5.432977773356671E-2</v>
      </c>
      <c r="Q75" s="290">
        <f t="shared" si="6"/>
        <v>1.1470644653160069</v>
      </c>
      <c r="R75" s="290">
        <f t="shared" si="6"/>
        <v>1.1470644653160069</v>
      </c>
      <c r="S75" s="290">
        <f t="shared" si="6"/>
        <v>3.80686822393628E-2</v>
      </c>
      <c r="T75" s="290">
        <f t="shared" si="6"/>
        <v>16.821890120601662</v>
      </c>
      <c r="U75" s="114">
        <f t="shared" si="6"/>
        <v>4362.5849471098318</v>
      </c>
      <c r="Y75" s="43">
        <f t="shared" si="5"/>
        <v>0.81741693012701278</v>
      </c>
      <c r="Z75" s="11">
        <f t="shared" si="5"/>
        <v>0.10132284186545316</v>
      </c>
      <c r="AA75" s="511">
        <f t="shared" si="5"/>
        <v>2.4907149496107638E-2</v>
      </c>
      <c r="AB75" s="11">
        <f t="shared" si="5"/>
        <v>0.52586458680921533</v>
      </c>
      <c r="AC75" s="512">
        <f t="shared" si="5"/>
        <v>0.52586458680921533</v>
      </c>
      <c r="AD75" s="11">
        <f t="shared" si="5"/>
        <v>1.7452351163767213E-2</v>
      </c>
      <c r="AE75" s="43">
        <f t="shared" si="5"/>
        <v>7.711891149189424</v>
      </c>
    </row>
    <row r="76" spans="1:31" x14ac:dyDescent="0.25">
      <c r="M76" s="1" t="s">
        <v>3004</v>
      </c>
      <c r="N76" s="290">
        <f t="shared" ref="N76:V76" si="7">SUM(N60,N62:N63)</f>
        <v>8.4848331279780059E-2</v>
      </c>
      <c r="O76" s="290">
        <f t="shared" si="7"/>
        <v>1.3349137953703487</v>
      </c>
      <c r="P76" s="290">
        <f t="shared" si="7"/>
        <v>3.4394608464845682</v>
      </c>
      <c r="Q76" s="290">
        <f t="shared" si="7"/>
        <v>5.4290361267907275E-2</v>
      </c>
      <c r="R76" s="290">
        <f t="shared" si="7"/>
        <v>5.4290361267907275E-2</v>
      </c>
      <c r="S76" s="290">
        <f t="shared" si="7"/>
        <v>2.9151214315353553E-3</v>
      </c>
      <c r="T76" s="290">
        <f t="shared" si="7"/>
        <v>5.3294469166155815E-2</v>
      </c>
      <c r="U76" s="114">
        <f t="shared" si="7"/>
        <v>31897.362440810371</v>
      </c>
      <c r="V76" s="291">
        <f t="shared" si="7"/>
        <v>238.00373430513338</v>
      </c>
      <c r="W76" t="s">
        <v>2532</v>
      </c>
      <c r="Y76" s="43">
        <f t="shared" si="5"/>
        <v>5.3200844701330385E-3</v>
      </c>
      <c r="Z76" s="11">
        <f t="shared" si="5"/>
        <v>8.3700575422024415E-2</v>
      </c>
      <c r="AA76" s="511">
        <f t="shared" si="5"/>
        <v>0.21565800952144096</v>
      </c>
      <c r="AB76" s="11">
        <f t="shared" si="5"/>
        <v>3.4040658608466435E-3</v>
      </c>
      <c r="AC76" s="512">
        <f t="shared" si="5"/>
        <v>3.4040658608466435E-3</v>
      </c>
      <c r="AD76" s="11">
        <f t="shared" si="5"/>
        <v>1.8278134669878963E-4</v>
      </c>
      <c r="AE76" s="43">
        <f t="shared" si="5"/>
        <v>3.3416223215979382E-3</v>
      </c>
    </row>
    <row r="77" spans="1:31" x14ac:dyDescent="0.25">
      <c r="M77" s="1" t="s">
        <v>3005</v>
      </c>
      <c r="N77" s="290">
        <f t="shared" ref="N77:U77" si="8">SUM(N64,N66)</f>
        <v>0.12096883244623578</v>
      </c>
      <c r="O77" s="290">
        <f t="shared" si="8"/>
        <v>6.7948407290354632E-2</v>
      </c>
      <c r="P77" s="290">
        <f t="shared" si="8"/>
        <v>0.11196501138008408</v>
      </c>
      <c r="Q77" s="290">
        <f t="shared" si="8"/>
        <v>9.7034641301530361E-2</v>
      </c>
      <c r="R77" s="290">
        <f t="shared" si="8"/>
        <v>9.7034641301530361E-2</v>
      </c>
      <c r="S77" s="290">
        <f t="shared" si="8"/>
        <v>1.7605710892209178E-2</v>
      </c>
      <c r="T77" s="290">
        <f t="shared" si="8"/>
        <v>1.5757734313447482</v>
      </c>
      <c r="U77" s="114">
        <f t="shared" si="8"/>
        <v>658.86043578257579</v>
      </c>
      <c r="Y77" s="43">
        <f t="shared" si="5"/>
        <v>0.36720624240413657</v>
      </c>
      <c r="Z77" s="11">
        <f t="shared" si="5"/>
        <v>0.20626039628452553</v>
      </c>
      <c r="AA77" s="511">
        <f t="shared" si="5"/>
        <v>0.33987474523977207</v>
      </c>
      <c r="AB77" s="11">
        <f t="shared" si="5"/>
        <v>0.29455294636496226</v>
      </c>
      <c r="AC77" s="512">
        <f t="shared" si="5"/>
        <v>0.29455294636496226</v>
      </c>
      <c r="AD77" s="11">
        <f t="shared" si="5"/>
        <v>5.3442914268475125E-2</v>
      </c>
      <c r="AE77" s="43">
        <f t="shared" si="5"/>
        <v>4.7833299611414342</v>
      </c>
    </row>
    <row r="78" spans="1:31" x14ac:dyDescent="0.25">
      <c r="M78" s="1" t="s">
        <v>3006</v>
      </c>
      <c r="N78" s="290">
        <f t="shared" ref="N78:V78" si="9">N61</f>
        <v>2.8090459779554294E-2</v>
      </c>
      <c r="O78" s="290">
        <f t="shared" si="9"/>
        <v>0.70915606736602677</v>
      </c>
      <c r="P78" s="290">
        <f t="shared" si="9"/>
        <v>0.50126302646174625</v>
      </c>
      <c r="Q78" s="290">
        <f t="shared" si="9"/>
        <v>1.798881130760082E-2</v>
      </c>
      <c r="R78" s="290">
        <f t="shared" si="9"/>
        <v>1.798881130760082E-2</v>
      </c>
      <c r="S78" s="290">
        <f t="shared" si="9"/>
        <v>9.6509972665278479E-4</v>
      </c>
      <c r="T78" s="290">
        <f t="shared" si="9"/>
        <v>1.7644025757538474E-2</v>
      </c>
      <c r="U78" s="114">
        <f t="shared" si="9"/>
        <v>10913.123925577189</v>
      </c>
      <c r="V78" s="291">
        <f t="shared" si="9"/>
        <v>81.313390804858798</v>
      </c>
      <c r="W78" t="s">
        <v>2532</v>
      </c>
      <c r="Y78" s="43">
        <f t="shared" si="5"/>
        <v>5.1480144404332153E-3</v>
      </c>
      <c r="Z78" s="11">
        <f t="shared" si="5"/>
        <v>0.12996389891696752</v>
      </c>
      <c r="AA78" s="511">
        <f t="shared" si="5"/>
        <v>9.1864259927797842E-2</v>
      </c>
      <c r="AB78" s="11">
        <f t="shared" si="5"/>
        <v>3.2967299611507714E-3</v>
      </c>
      <c r="AC78" s="512">
        <f t="shared" si="5"/>
        <v>3.2967299611507714E-3</v>
      </c>
      <c r="AD78" s="11">
        <f t="shared" si="5"/>
        <v>1.7686956241573902E-4</v>
      </c>
      <c r="AE78" s="43">
        <f t="shared" si="5"/>
        <v>3.2335426368953822E-3</v>
      </c>
    </row>
    <row r="79" spans="1:31" x14ac:dyDescent="0.25">
      <c r="M79" s="1" t="s">
        <v>3007</v>
      </c>
      <c r="N79" s="290">
        <f t="shared" ref="N79:U79" si="10">SUM(N50:N59,N68)</f>
        <v>10.125298060182626</v>
      </c>
      <c r="O79" s="290">
        <f t="shared" si="10"/>
        <v>0.47449553484547596</v>
      </c>
      <c r="P79" s="290">
        <f t="shared" si="10"/>
        <v>9.7184442089382567E-2</v>
      </c>
      <c r="Q79" s="290">
        <f t="shared" si="10"/>
        <v>2.750031106075999</v>
      </c>
      <c r="R79" s="290">
        <f t="shared" si="10"/>
        <v>2.750031106075999</v>
      </c>
      <c r="S79" s="290">
        <f t="shared" si="10"/>
        <v>0.10356862426587768</v>
      </c>
      <c r="T79" s="290">
        <f t="shared" si="10"/>
        <v>29.208925898267243</v>
      </c>
      <c r="U79" s="114">
        <f t="shared" si="10"/>
        <v>7927.3837400615212</v>
      </c>
      <c r="Y79" s="43">
        <f t="shared" si="5"/>
        <v>2.5545119025874348</v>
      </c>
      <c r="Z79" s="11">
        <f t="shared" si="5"/>
        <v>0.119710499807795</v>
      </c>
      <c r="AA79" s="511">
        <f t="shared" si="5"/>
        <v>2.4518667261748669E-2</v>
      </c>
      <c r="AB79" s="11">
        <f t="shared" si="5"/>
        <v>0.69380547132556425</v>
      </c>
      <c r="AC79" s="512">
        <f t="shared" si="5"/>
        <v>0.69380547132556425</v>
      </c>
      <c r="AD79" s="11">
        <f t="shared" si="5"/>
        <v>2.6129332869932173E-2</v>
      </c>
      <c r="AE79" s="43">
        <f t="shared" si="5"/>
        <v>7.3691212273875779</v>
      </c>
    </row>
    <row r="80" spans="1:31" x14ac:dyDescent="0.25">
      <c r="M80" s="1" t="s">
        <v>3008</v>
      </c>
      <c r="N80" s="290">
        <f t="shared" ref="N80:U80" si="11">SUM(N65,N67,N69)</f>
        <v>7.7859166779569071E-3</v>
      </c>
      <c r="O80" s="290">
        <f t="shared" si="11"/>
        <v>0.15143361532482605</v>
      </c>
      <c r="P80" s="290">
        <f t="shared" si="11"/>
        <v>1.8291155256719416E-2</v>
      </c>
      <c r="Q80" s="290">
        <f t="shared" si="11"/>
        <v>1.2342297213368415E-2</v>
      </c>
      <c r="R80" s="290">
        <f t="shared" si="11"/>
        <v>1.2342297213368415E-2</v>
      </c>
      <c r="S80" s="290">
        <f t="shared" si="11"/>
        <v>2.5451885999409025E-2</v>
      </c>
      <c r="T80" s="290">
        <f t="shared" si="11"/>
        <v>6.0977095731258507E-2</v>
      </c>
      <c r="U80" s="114">
        <f t="shared" si="11"/>
        <v>2721.8211574622578</v>
      </c>
      <c r="Y80" s="43">
        <f t="shared" si="5"/>
        <v>5.721108204784664E-3</v>
      </c>
      <c r="Z80" s="11">
        <f t="shared" si="5"/>
        <v>0.11127374398545574</v>
      </c>
      <c r="AA80" s="511">
        <f t="shared" si="5"/>
        <v>1.3440379950439894E-2</v>
      </c>
      <c r="AB80" s="11">
        <f t="shared" si="5"/>
        <v>9.0691463541094624E-3</v>
      </c>
      <c r="AC80" s="512">
        <f t="shared" si="5"/>
        <v>9.0691463541094624E-3</v>
      </c>
      <c r="AD80" s="11">
        <f t="shared" si="5"/>
        <v>1.870210019466494E-2</v>
      </c>
      <c r="AE80" s="43">
        <f t="shared" si="5"/>
        <v>4.4806100183387265E-2</v>
      </c>
    </row>
    <row r="81" spans="13:31" x14ac:dyDescent="0.25">
      <c r="M81" s="1" t="s">
        <v>3009</v>
      </c>
      <c r="N81" s="290">
        <f>SUM(N76:N80)</f>
        <v>10.366991600366152</v>
      </c>
      <c r="O81" s="290">
        <f t="shared" ref="O81:U81" si="12">SUM(O76:O80)</f>
        <v>2.7379474201970324</v>
      </c>
      <c r="P81" s="290">
        <f t="shared" si="12"/>
        <v>4.1681644816725001</v>
      </c>
      <c r="Q81" s="290">
        <f t="shared" si="12"/>
        <v>2.9316872171664059</v>
      </c>
      <c r="R81" s="290">
        <f t="shared" si="12"/>
        <v>2.9316872171664059</v>
      </c>
      <c r="S81" s="290">
        <f t="shared" si="12"/>
        <v>0.15050644231568402</v>
      </c>
      <c r="T81" s="290">
        <f t="shared" si="12"/>
        <v>30.916614920266941</v>
      </c>
      <c r="U81" s="114">
        <f t="shared" si="12"/>
        <v>54118.551699693911</v>
      </c>
      <c r="Y81" s="43">
        <f t="shared" si="5"/>
        <v>0.38312154611575783</v>
      </c>
      <c r="Z81" s="11">
        <f t="shared" si="5"/>
        <v>0.10118332195547347</v>
      </c>
      <c r="AA81" s="511">
        <f t="shared" si="5"/>
        <v>0.15403828634593986</v>
      </c>
      <c r="AB81" s="11">
        <f t="shared" si="5"/>
        <v>0.10834315128883935</v>
      </c>
      <c r="AC81" s="512">
        <f t="shared" si="5"/>
        <v>0.10834315128883935</v>
      </c>
      <c r="AD81" s="11">
        <f t="shared" si="5"/>
        <v>5.5621016301711295E-3</v>
      </c>
      <c r="AE81" s="43">
        <f t="shared" si="5"/>
        <v>1.1425514522940128</v>
      </c>
    </row>
  </sheetData>
  <autoFilter ref="A1:W2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V79"/>
  <sheetViews>
    <sheetView workbookViewId="0">
      <selection sqref="A1:U1"/>
    </sheetView>
  </sheetViews>
  <sheetFormatPr defaultRowHeight="15" x14ac:dyDescent="0.25"/>
  <cols>
    <col min="1" max="1" width="38" style="326" customWidth="1"/>
    <col min="2" max="3" width="11.85546875" style="326" customWidth="1"/>
    <col min="4" max="9" width="13.85546875" style="326" customWidth="1"/>
    <col min="10" max="21" width="12.85546875" style="326" customWidth="1"/>
    <col min="22" max="258" width="8.85546875" style="326"/>
    <col min="259" max="259" width="25.7109375" style="326" customWidth="1"/>
    <col min="260" max="260" width="7.5703125" style="326" customWidth="1"/>
    <col min="261" max="261" width="6.28515625" style="326" customWidth="1"/>
    <col min="262" max="262" width="6.140625" style="326" customWidth="1"/>
    <col min="263" max="264" width="6.7109375" style="326" customWidth="1"/>
    <col min="265" max="265" width="6.28515625" style="326" customWidth="1"/>
    <col min="266" max="268" width="7.140625" style="326" customWidth="1"/>
    <col min="269" max="269" width="6.5703125" style="326" customWidth="1"/>
    <col min="270" max="270" width="6.28515625" style="326" customWidth="1"/>
    <col min="271" max="514" width="8.85546875" style="326"/>
    <col min="515" max="515" width="25.7109375" style="326" customWidth="1"/>
    <col min="516" max="516" width="7.5703125" style="326" customWidth="1"/>
    <col min="517" max="517" width="6.28515625" style="326" customWidth="1"/>
    <col min="518" max="518" width="6.140625" style="326" customWidth="1"/>
    <col min="519" max="520" width="6.7109375" style="326" customWidth="1"/>
    <col min="521" max="521" width="6.28515625" style="326" customWidth="1"/>
    <col min="522" max="524" width="7.140625" style="326" customWidth="1"/>
    <col min="525" max="525" width="6.5703125" style="326" customWidth="1"/>
    <col min="526" max="526" width="6.28515625" style="326" customWidth="1"/>
    <col min="527" max="770" width="8.85546875" style="326"/>
    <col min="771" max="771" width="25.7109375" style="326" customWidth="1"/>
    <col min="772" max="772" width="7.5703125" style="326" customWidth="1"/>
    <col min="773" max="773" width="6.28515625" style="326" customWidth="1"/>
    <col min="774" max="774" width="6.140625" style="326" customWidth="1"/>
    <col min="775" max="776" width="6.7109375" style="326" customWidth="1"/>
    <col min="777" max="777" width="6.28515625" style="326" customWidth="1"/>
    <col min="778" max="780" width="7.140625" style="326" customWidth="1"/>
    <col min="781" max="781" width="6.5703125" style="326" customWidth="1"/>
    <col min="782" max="782" width="6.28515625" style="326" customWidth="1"/>
    <col min="783" max="1026" width="8.85546875" style="326"/>
    <col min="1027" max="1027" width="25.7109375" style="326" customWidth="1"/>
    <col min="1028" max="1028" width="7.5703125" style="326" customWidth="1"/>
    <col min="1029" max="1029" width="6.28515625" style="326" customWidth="1"/>
    <col min="1030" max="1030" width="6.140625" style="326" customWidth="1"/>
    <col min="1031" max="1032" width="6.7109375" style="326" customWidth="1"/>
    <col min="1033" max="1033" width="6.28515625" style="326" customWidth="1"/>
    <col min="1034" max="1036" width="7.140625" style="326" customWidth="1"/>
    <col min="1037" max="1037" width="6.5703125" style="326" customWidth="1"/>
    <col min="1038" max="1038" width="6.28515625" style="326" customWidth="1"/>
    <col min="1039" max="1282" width="8.85546875" style="326"/>
    <col min="1283" max="1283" width="25.7109375" style="326" customWidth="1"/>
    <col min="1284" max="1284" width="7.5703125" style="326" customWidth="1"/>
    <col min="1285" max="1285" width="6.28515625" style="326" customWidth="1"/>
    <col min="1286" max="1286" width="6.140625" style="326" customWidth="1"/>
    <col min="1287" max="1288" width="6.7109375" style="326" customWidth="1"/>
    <col min="1289" max="1289" width="6.28515625" style="326" customWidth="1"/>
    <col min="1290" max="1292" width="7.140625" style="326" customWidth="1"/>
    <col min="1293" max="1293" width="6.5703125" style="326" customWidth="1"/>
    <col min="1294" max="1294" width="6.28515625" style="326" customWidth="1"/>
    <col min="1295" max="1538" width="8.85546875" style="326"/>
    <col min="1539" max="1539" width="25.7109375" style="326" customWidth="1"/>
    <col min="1540" max="1540" width="7.5703125" style="326" customWidth="1"/>
    <col min="1541" max="1541" width="6.28515625" style="326" customWidth="1"/>
    <col min="1542" max="1542" width="6.140625" style="326" customWidth="1"/>
    <col min="1543" max="1544" width="6.7109375" style="326" customWidth="1"/>
    <col min="1545" max="1545" width="6.28515625" style="326" customWidth="1"/>
    <col min="1546" max="1548" width="7.140625" style="326" customWidth="1"/>
    <col min="1549" max="1549" width="6.5703125" style="326" customWidth="1"/>
    <col min="1550" max="1550" width="6.28515625" style="326" customWidth="1"/>
    <col min="1551" max="1794" width="8.85546875" style="326"/>
    <col min="1795" max="1795" width="25.7109375" style="326" customWidth="1"/>
    <col min="1796" max="1796" width="7.5703125" style="326" customWidth="1"/>
    <col min="1797" max="1797" width="6.28515625" style="326" customWidth="1"/>
    <col min="1798" max="1798" width="6.140625" style="326" customWidth="1"/>
    <col min="1799" max="1800" width="6.7109375" style="326" customWidth="1"/>
    <col min="1801" max="1801" width="6.28515625" style="326" customWidth="1"/>
    <col min="1802" max="1804" width="7.140625" style="326" customWidth="1"/>
    <col min="1805" max="1805" width="6.5703125" style="326" customWidth="1"/>
    <col min="1806" max="1806" width="6.28515625" style="326" customWidth="1"/>
    <col min="1807" max="2050" width="8.85546875" style="326"/>
    <col min="2051" max="2051" width="25.7109375" style="326" customWidth="1"/>
    <col min="2052" max="2052" width="7.5703125" style="326" customWidth="1"/>
    <col min="2053" max="2053" width="6.28515625" style="326" customWidth="1"/>
    <col min="2054" max="2054" width="6.140625" style="326" customWidth="1"/>
    <col min="2055" max="2056" width="6.7109375" style="326" customWidth="1"/>
    <col min="2057" max="2057" width="6.28515625" style="326" customWidth="1"/>
    <col min="2058" max="2060" width="7.140625" style="326" customWidth="1"/>
    <col min="2061" max="2061" width="6.5703125" style="326" customWidth="1"/>
    <col min="2062" max="2062" width="6.28515625" style="326" customWidth="1"/>
    <col min="2063" max="2306" width="8.85546875" style="326"/>
    <col min="2307" max="2307" width="25.7109375" style="326" customWidth="1"/>
    <col min="2308" max="2308" width="7.5703125" style="326" customWidth="1"/>
    <col min="2309" max="2309" width="6.28515625" style="326" customWidth="1"/>
    <col min="2310" max="2310" width="6.140625" style="326" customWidth="1"/>
    <col min="2311" max="2312" width="6.7109375" style="326" customWidth="1"/>
    <col min="2313" max="2313" width="6.28515625" style="326" customWidth="1"/>
    <col min="2314" max="2316" width="7.140625" style="326" customWidth="1"/>
    <col min="2317" max="2317" width="6.5703125" style="326" customWidth="1"/>
    <col min="2318" max="2318" width="6.28515625" style="326" customWidth="1"/>
    <col min="2319" max="2562" width="8.85546875" style="326"/>
    <col min="2563" max="2563" width="25.7109375" style="326" customWidth="1"/>
    <col min="2564" max="2564" width="7.5703125" style="326" customWidth="1"/>
    <col min="2565" max="2565" width="6.28515625" style="326" customWidth="1"/>
    <col min="2566" max="2566" width="6.140625" style="326" customWidth="1"/>
    <col min="2567" max="2568" width="6.7109375" style="326" customWidth="1"/>
    <col min="2569" max="2569" width="6.28515625" style="326" customWidth="1"/>
    <col min="2570" max="2572" width="7.140625" style="326" customWidth="1"/>
    <col min="2573" max="2573" width="6.5703125" style="326" customWidth="1"/>
    <col min="2574" max="2574" width="6.28515625" style="326" customWidth="1"/>
    <col min="2575" max="2818" width="8.85546875" style="326"/>
    <col min="2819" max="2819" width="25.7109375" style="326" customWidth="1"/>
    <col min="2820" max="2820" width="7.5703125" style="326" customWidth="1"/>
    <col min="2821" max="2821" width="6.28515625" style="326" customWidth="1"/>
    <col min="2822" max="2822" width="6.140625" style="326" customWidth="1"/>
    <col min="2823" max="2824" width="6.7109375" style="326" customWidth="1"/>
    <col min="2825" max="2825" width="6.28515625" style="326" customWidth="1"/>
    <col min="2826" max="2828" width="7.140625" style="326" customWidth="1"/>
    <col min="2829" max="2829" width="6.5703125" style="326" customWidth="1"/>
    <col min="2830" max="2830" width="6.28515625" style="326" customWidth="1"/>
    <col min="2831" max="3074" width="8.85546875" style="326"/>
    <col min="3075" max="3075" width="25.7109375" style="326" customWidth="1"/>
    <col min="3076" max="3076" width="7.5703125" style="326" customWidth="1"/>
    <col min="3077" max="3077" width="6.28515625" style="326" customWidth="1"/>
    <col min="3078" max="3078" width="6.140625" style="326" customWidth="1"/>
    <col min="3079" max="3080" width="6.7109375" style="326" customWidth="1"/>
    <col min="3081" max="3081" width="6.28515625" style="326" customWidth="1"/>
    <col min="3082" max="3084" width="7.140625" style="326" customWidth="1"/>
    <col min="3085" max="3085" width="6.5703125" style="326" customWidth="1"/>
    <col min="3086" max="3086" width="6.28515625" style="326" customWidth="1"/>
    <col min="3087" max="3330" width="8.85546875" style="326"/>
    <col min="3331" max="3331" width="25.7109375" style="326" customWidth="1"/>
    <col min="3332" max="3332" width="7.5703125" style="326" customWidth="1"/>
    <col min="3333" max="3333" width="6.28515625" style="326" customWidth="1"/>
    <col min="3334" max="3334" width="6.140625" style="326" customWidth="1"/>
    <col min="3335" max="3336" width="6.7109375" style="326" customWidth="1"/>
    <col min="3337" max="3337" width="6.28515625" style="326" customWidth="1"/>
    <col min="3338" max="3340" width="7.140625" style="326" customWidth="1"/>
    <col min="3341" max="3341" width="6.5703125" style="326" customWidth="1"/>
    <col min="3342" max="3342" width="6.28515625" style="326" customWidth="1"/>
    <col min="3343" max="3586" width="8.85546875" style="326"/>
    <col min="3587" max="3587" width="25.7109375" style="326" customWidth="1"/>
    <col min="3588" max="3588" width="7.5703125" style="326" customWidth="1"/>
    <col min="3589" max="3589" width="6.28515625" style="326" customWidth="1"/>
    <col min="3590" max="3590" width="6.140625" style="326" customWidth="1"/>
    <col min="3591" max="3592" width="6.7109375" style="326" customWidth="1"/>
    <col min="3593" max="3593" width="6.28515625" style="326" customWidth="1"/>
    <col min="3594" max="3596" width="7.140625" style="326" customWidth="1"/>
    <col min="3597" max="3597" width="6.5703125" style="326" customWidth="1"/>
    <col min="3598" max="3598" width="6.28515625" style="326" customWidth="1"/>
    <col min="3599" max="3842" width="8.85546875" style="326"/>
    <col min="3843" max="3843" width="25.7109375" style="326" customWidth="1"/>
    <col min="3844" max="3844" width="7.5703125" style="326" customWidth="1"/>
    <col min="3845" max="3845" width="6.28515625" style="326" customWidth="1"/>
    <col min="3846" max="3846" width="6.140625" style="326" customWidth="1"/>
    <col min="3847" max="3848" width="6.7109375" style="326" customWidth="1"/>
    <col min="3849" max="3849" width="6.28515625" style="326" customWidth="1"/>
    <col min="3850" max="3852" width="7.140625" style="326" customWidth="1"/>
    <col min="3853" max="3853" width="6.5703125" style="326" customWidth="1"/>
    <col min="3854" max="3854" width="6.28515625" style="326" customWidth="1"/>
    <col min="3855" max="4098" width="8.85546875" style="326"/>
    <col min="4099" max="4099" width="25.7109375" style="326" customWidth="1"/>
    <col min="4100" max="4100" width="7.5703125" style="326" customWidth="1"/>
    <col min="4101" max="4101" width="6.28515625" style="326" customWidth="1"/>
    <col min="4102" max="4102" width="6.140625" style="326" customWidth="1"/>
    <col min="4103" max="4104" width="6.7109375" style="326" customWidth="1"/>
    <col min="4105" max="4105" width="6.28515625" style="326" customWidth="1"/>
    <col min="4106" max="4108" width="7.140625" style="326" customWidth="1"/>
    <col min="4109" max="4109" width="6.5703125" style="326" customWidth="1"/>
    <col min="4110" max="4110" width="6.28515625" style="326" customWidth="1"/>
    <col min="4111" max="4354" width="8.85546875" style="326"/>
    <col min="4355" max="4355" width="25.7109375" style="326" customWidth="1"/>
    <col min="4356" max="4356" width="7.5703125" style="326" customWidth="1"/>
    <col min="4357" max="4357" width="6.28515625" style="326" customWidth="1"/>
    <col min="4358" max="4358" width="6.140625" style="326" customWidth="1"/>
    <col min="4359" max="4360" width="6.7109375" style="326" customWidth="1"/>
    <col min="4361" max="4361" width="6.28515625" style="326" customWidth="1"/>
    <col min="4362" max="4364" width="7.140625" style="326" customWidth="1"/>
    <col min="4365" max="4365" width="6.5703125" style="326" customWidth="1"/>
    <col min="4366" max="4366" width="6.28515625" style="326" customWidth="1"/>
    <col min="4367" max="4610" width="8.85546875" style="326"/>
    <col min="4611" max="4611" width="25.7109375" style="326" customWidth="1"/>
    <col min="4612" max="4612" width="7.5703125" style="326" customWidth="1"/>
    <col min="4613" max="4613" width="6.28515625" style="326" customWidth="1"/>
    <col min="4614" max="4614" width="6.140625" style="326" customWidth="1"/>
    <col min="4615" max="4616" width="6.7109375" style="326" customWidth="1"/>
    <col min="4617" max="4617" width="6.28515625" style="326" customWidth="1"/>
    <col min="4618" max="4620" width="7.140625" style="326" customWidth="1"/>
    <col min="4621" max="4621" width="6.5703125" style="326" customWidth="1"/>
    <col min="4622" max="4622" width="6.28515625" style="326" customWidth="1"/>
    <col min="4623" max="4866" width="8.85546875" style="326"/>
    <col min="4867" max="4867" width="25.7109375" style="326" customWidth="1"/>
    <col min="4868" max="4868" width="7.5703125" style="326" customWidth="1"/>
    <col min="4869" max="4869" width="6.28515625" style="326" customWidth="1"/>
    <col min="4870" max="4870" width="6.140625" style="326" customWidth="1"/>
    <col min="4871" max="4872" width="6.7109375" style="326" customWidth="1"/>
    <col min="4873" max="4873" width="6.28515625" style="326" customWidth="1"/>
    <col min="4874" max="4876" width="7.140625" style="326" customWidth="1"/>
    <col min="4877" max="4877" width="6.5703125" style="326" customWidth="1"/>
    <col min="4878" max="4878" width="6.28515625" style="326" customWidth="1"/>
    <col min="4879" max="5122" width="8.85546875" style="326"/>
    <col min="5123" max="5123" width="25.7109375" style="326" customWidth="1"/>
    <col min="5124" max="5124" width="7.5703125" style="326" customWidth="1"/>
    <col min="5125" max="5125" width="6.28515625" style="326" customWidth="1"/>
    <col min="5126" max="5126" width="6.140625" style="326" customWidth="1"/>
    <col min="5127" max="5128" width="6.7109375" style="326" customWidth="1"/>
    <col min="5129" max="5129" width="6.28515625" style="326" customWidth="1"/>
    <col min="5130" max="5132" width="7.140625" style="326" customWidth="1"/>
    <col min="5133" max="5133" width="6.5703125" style="326" customWidth="1"/>
    <col min="5134" max="5134" width="6.28515625" style="326" customWidth="1"/>
    <col min="5135" max="5378" width="8.85546875" style="326"/>
    <col min="5379" max="5379" width="25.7109375" style="326" customWidth="1"/>
    <col min="5380" max="5380" width="7.5703125" style="326" customWidth="1"/>
    <col min="5381" max="5381" width="6.28515625" style="326" customWidth="1"/>
    <col min="5382" max="5382" width="6.140625" style="326" customWidth="1"/>
    <col min="5383" max="5384" width="6.7109375" style="326" customWidth="1"/>
    <col min="5385" max="5385" width="6.28515625" style="326" customWidth="1"/>
    <col min="5386" max="5388" width="7.140625" style="326" customWidth="1"/>
    <col min="5389" max="5389" width="6.5703125" style="326" customWidth="1"/>
    <col min="5390" max="5390" width="6.28515625" style="326" customWidth="1"/>
    <col min="5391" max="5634" width="8.85546875" style="326"/>
    <col min="5635" max="5635" width="25.7109375" style="326" customWidth="1"/>
    <col min="5636" max="5636" width="7.5703125" style="326" customWidth="1"/>
    <col min="5637" max="5637" width="6.28515625" style="326" customWidth="1"/>
    <col min="5638" max="5638" width="6.140625" style="326" customWidth="1"/>
    <col min="5639" max="5640" width="6.7109375" style="326" customWidth="1"/>
    <col min="5641" max="5641" width="6.28515625" style="326" customWidth="1"/>
    <col min="5642" max="5644" width="7.140625" style="326" customWidth="1"/>
    <col min="5645" max="5645" width="6.5703125" style="326" customWidth="1"/>
    <col min="5646" max="5646" width="6.28515625" style="326" customWidth="1"/>
    <col min="5647" max="5890" width="8.85546875" style="326"/>
    <col min="5891" max="5891" width="25.7109375" style="326" customWidth="1"/>
    <col min="5892" max="5892" width="7.5703125" style="326" customWidth="1"/>
    <col min="5893" max="5893" width="6.28515625" style="326" customWidth="1"/>
    <col min="5894" max="5894" width="6.140625" style="326" customWidth="1"/>
    <col min="5895" max="5896" width="6.7109375" style="326" customWidth="1"/>
    <col min="5897" max="5897" width="6.28515625" style="326" customWidth="1"/>
    <col min="5898" max="5900" width="7.140625" style="326" customWidth="1"/>
    <col min="5901" max="5901" width="6.5703125" style="326" customWidth="1"/>
    <col min="5902" max="5902" width="6.28515625" style="326" customWidth="1"/>
    <col min="5903" max="6146" width="8.85546875" style="326"/>
    <col min="6147" max="6147" width="25.7109375" style="326" customWidth="1"/>
    <col min="6148" max="6148" width="7.5703125" style="326" customWidth="1"/>
    <col min="6149" max="6149" width="6.28515625" style="326" customWidth="1"/>
    <col min="6150" max="6150" width="6.140625" style="326" customWidth="1"/>
    <col min="6151" max="6152" width="6.7109375" style="326" customWidth="1"/>
    <col min="6153" max="6153" width="6.28515625" style="326" customWidth="1"/>
    <col min="6154" max="6156" width="7.140625" style="326" customWidth="1"/>
    <col min="6157" max="6157" width="6.5703125" style="326" customWidth="1"/>
    <col min="6158" max="6158" width="6.28515625" style="326" customWidth="1"/>
    <col min="6159" max="6402" width="8.85546875" style="326"/>
    <col min="6403" max="6403" width="25.7109375" style="326" customWidth="1"/>
    <col min="6404" max="6404" width="7.5703125" style="326" customWidth="1"/>
    <col min="6405" max="6405" width="6.28515625" style="326" customWidth="1"/>
    <col min="6406" max="6406" width="6.140625" style="326" customWidth="1"/>
    <col min="6407" max="6408" width="6.7109375" style="326" customWidth="1"/>
    <col min="6409" max="6409" width="6.28515625" style="326" customWidth="1"/>
    <col min="6410" max="6412" width="7.140625" style="326" customWidth="1"/>
    <col min="6413" max="6413" width="6.5703125" style="326" customWidth="1"/>
    <col min="6414" max="6414" width="6.28515625" style="326" customWidth="1"/>
    <col min="6415" max="6658" width="8.85546875" style="326"/>
    <col min="6659" max="6659" width="25.7109375" style="326" customWidth="1"/>
    <col min="6660" max="6660" width="7.5703125" style="326" customWidth="1"/>
    <col min="6661" max="6661" width="6.28515625" style="326" customWidth="1"/>
    <col min="6662" max="6662" width="6.140625" style="326" customWidth="1"/>
    <col min="6663" max="6664" width="6.7109375" style="326" customWidth="1"/>
    <col min="6665" max="6665" width="6.28515625" style="326" customWidth="1"/>
    <col min="6666" max="6668" width="7.140625" style="326" customWidth="1"/>
    <col min="6669" max="6669" width="6.5703125" style="326" customWidth="1"/>
    <col min="6670" max="6670" width="6.28515625" style="326" customWidth="1"/>
    <col min="6671" max="6914" width="8.85546875" style="326"/>
    <col min="6915" max="6915" width="25.7109375" style="326" customWidth="1"/>
    <col min="6916" max="6916" width="7.5703125" style="326" customWidth="1"/>
    <col min="6917" max="6917" width="6.28515625" style="326" customWidth="1"/>
    <col min="6918" max="6918" width="6.140625" style="326" customWidth="1"/>
    <col min="6919" max="6920" width="6.7109375" style="326" customWidth="1"/>
    <col min="6921" max="6921" width="6.28515625" style="326" customWidth="1"/>
    <col min="6922" max="6924" width="7.140625" style="326" customWidth="1"/>
    <col min="6925" max="6925" width="6.5703125" style="326" customWidth="1"/>
    <col min="6926" max="6926" width="6.28515625" style="326" customWidth="1"/>
    <col min="6927" max="7170" width="8.85546875" style="326"/>
    <col min="7171" max="7171" width="25.7109375" style="326" customWidth="1"/>
    <col min="7172" max="7172" width="7.5703125" style="326" customWidth="1"/>
    <col min="7173" max="7173" width="6.28515625" style="326" customWidth="1"/>
    <col min="7174" max="7174" width="6.140625" style="326" customWidth="1"/>
    <col min="7175" max="7176" width="6.7109375" style="326" customWidth="1"/>
    <col min="7177" max="7177" width="6.28515625" style="326" customWidth="1"/>
    <col min="7178" max="7180" width="7.140625" style="326" customWidth="1"/>
    <col min="7181" max="7181" width="6.5703125" style="326" customWidth="1"/>
    <col min="7182" max="7182" width="6.28515625" style="326" customWidth="1"/>
    <col min="7183" max="7426" width="8.85546875" style="326"/>
    <col min="7427" max="7427" width="25.7109375" style="326" customWidth="1"/>
    <col min="7428" max="7428" width="7.5703125" style="326" customWidth="1"/>
    <col min="7429" max="7429" width="6.28515625" style="326" customWidth="1"/>
    <col min="7430" max="7430" width="6.140625" style="326" customWidth="1"/>
    <col min="7431" max="7432" width="6.7109375" style="326" customWidth="1"/>
    <col min="7433" max="7433" width="6.28515625" style="326" customWidth="1"/>
    <col min="7434" max="7436" width="7.140625" style="326" customWidth="1"/>
    <col min="7437" max="7437" width="6.5703125" style="326" customWidth="1"/>
    <col min="7438" max="7438" width="6.28515625" style="326" customWidth="1"/>
    <col min="7439" max="7682" width="8.85546875" style="326"/>
    <col min="7683" max="7683" width="25.7109375" style="326" customWidth="1"/>
    <col min="7684" max="7684" width="7.5703125" style="326" customWidth="1"/>
    <col min="7685" max="7685" width="6.28515625" style="326" customWidth="1"/>
    <col min="7686" max="7686" width="6.140625" style="326" customWidth="1"/>
    <col min="7687" max="7688" width="6.7109375" style="326" customWidth="1"/>
    <col min="7689" max="7689" width="6.28515625" style="326" customWidth="1"/>
    <col min="7690" max="7692" width="7.140625" style="326" customWidth="1"/>
    <col min="7693" max="7693" width="6.5703125" style="326" customWidth="1"/>
    <col min="7694" max="7694" width="6.28515625" style="326" customWidth="1"/>
    <col min="7695" max="7938" width="8.85546875" style="326"/>
    <col min="7939" max="7939" width="25.7109375" style="326" customWidth="1"/>
    <col min="7940" max="7940" width="7.5703125" style="326" customWidth="1"/>
    <col min="7941" max="7941" width="6.28515625" style="326" customWidth="1"/>
    <col min="7942" max="7942" width="6.140625" style="326" customWidth="1"/>
    <col min="7943" max="7944" width="6.7109375" style="326" customWidth="1"/>
    <col min="7945" max="7945" width="6.28515625" style="326" customWidth="1"/>
    <col min="7946" max="7948" width="7.140625" style="326" customWidth="1"/>
    <col min="7949" max="7949" width="6.5703125" style="326" customWidth="1"/>
    <col min="7950" max="7950" width="6.28515625" style="326" customWidth="1"/>
    <col min="7951" max="8194" width="8.85546875" style="326"/>
    <col min="8195" max="8195" width="25.7109375" style="326" customWidth="1"/>
    <col min="8196" max="8196" width="7.5703125" style="326" customWidth="1"/>
    <col min="8197" max="8197" width="6.28515625" style="326" customWidth="1"/>
    <col min="8198" max="8198" width="6.140625" style="326" customWidth="1"/>
    <col min="8199" max="8200" width="6.7109375" style="326" customWidth="1"/>
    <col min="8201" max="8201" width="6.28515625" style="326" customWidth="1"/>
    <col min="8202" max="8204" width="7.140625" style="326" customWidth="1"/>
    <col min="8205" max="8205" width="6.5703125" style="326" customWidth="1"/>
    <col min="8206" max="8206" width="6.28515625" style="326" customWidth="1"/>
    <col min="8207" max="8450" width="8.85546875" style="326"/>
    <col min="8451" max="8451" width="25.7109375" style="326" customWidth="1"/>
    <col min="8452" max="8452" width="7.5703125" style="326" customWidth="1"/>
    <col min="8453" max="8453" width="6.28515625" style="326" customWidth="1"/>
    <col min="8454" max="8454" width="6.140625" style="326" customWidth="1"/>
    <col min="8455" max="8456" width="6.7109375" style="326" customWidth="1"/>
    <col min="8457" max="8457" width="6.28515625" style="326" customWidth="1"/>
    <col min="8458" max="8460" width="7.140625" style="326" customWidth="1"/>
    <col min="8461" max="8461" width="6.5703125" style="326" customWidth="1"/>
    <col min="8462" max="8462" width="6.28515625" style="326" customWidth="1"/>
    <col min="8463" max="8706" width="8.85546875" style="326"/>
    <col min="8707" max="8707" width="25.7109375" style="326" customWidth="1"/>
    <col min="8708" max="8708" width="7.5703125" style="326" customWidth="1"/>
    <col min="8709" max="8709" width="6.28515625" style="326" customWidth="1"/>
    <col min="8710" max="8710" width="6.140625" style="326" customWidth="1"/>
    <col min="8711" max="8712" width="6.7109375" style="326" customWidth="1"/>
    <col min="8713" max="8713" width="6.28515625" style="326" customWidth="1"/>
    <col min="8714" max="8716" width="7.140625" style="326" customWidth="1"/>
    <col min="8717" max="8717" width="6.5703125" style="326" customWidth="1"/>
    <col min="8718" max="8718" width="6.28515625" style="326" customWidth="1"/>
    <col min="8719" max="8962" width="8.85546875" style="326"/>
    <col min="8963" max="8963" width="25.7109375" style="326" customWidth="1"/>
    <col min="8964" max="8964" width="7.5703125" style="326" customWidth="1"/>
    <col min="8965" max="8965" width="6.28515625" style="326" customWidth="1"/>
    <col min="8966" max="8966" width="6.140625" style="326" customWidth="1"/>
    <col min="8967" max="8968" width="6.7109375" style="326" customWidth="1"/>
    <col min="8969" max="8969" width="6.28515625" style="326" customWidth="1"/>
    <col min="8970" max="8972" width="7.140625" style="326" customWidth="1"/>
    <col min="8973" max="8973" width="6.5703125" style="326" customWidth="1"/>
    <col min="8974" max="8974" width="6.28515625" style="326" customWidth="1"/>
    <col min="8975" max="9218" width="8.85546875" style="326"/>
    <col min="9219" max="9219" width="25.7109375" style="326" customWidth="1"/>
    <col min="9220" max="9220" width="7.5703125" style="326" customWidth="1"/>
    <col min="9221" max="9221" width="6.28515625" style="326" customWidth="1"/>
    <col min="9222" max="9222" width="6.140625" style="326" customWidth="1"/>
    <col min="9223" max="9224" width="6.7109375" style="326" customWidth="1"/>
    <col min="9225" max="9225" width="6.28515625" style="326" customWidth="1"/>
    <col min="9226" max="9228" width="7.140625" style="326" customWidth="1"/>
    <col min="9229" max="9229" width="6.5703125" style="326" customWidth="1"/>
    <col min="9230" max="9230" width="6.28515625" style="326" customWidth="1"/>
    <col min="9231" max="9474" width="8.85546875" style="326"/>
    <col min="9475" max="9475" width="25.7109375" style="326" customWidth="1"/>
    <col min="9476" max="9476" width="7.5703125" style="326" customWidth="1"/>
    <col min="9477" max="9477" width="6.28515625" style="326" customWidth="1"/>
    <col min="9478" max="9478" width="6.140625" style="326" customWidth="1"/>
    <col min="9479" max="9480" width="6.7109375" style="326" customWidth="1"/>
    <col min="9481" max="9481" width="6.28515625" style="326" customWidth="1"/>
    <col min="9482" max="9484" width="7.140625" style="326" customWidth="1"/>
    <col min="9485" max="9485" width="6.5703125" style="326" customWidth="1"/>
    <col min="9486" max="9486" width="6.28515625" style="326" customWidth="1"/>
    <col min="9487" max="9730" width="8.85546875" style="326"/>
    <col min="9731" max="9731" width="25.7109375" style="326" customWidth="1"/>
    <col min="9732" max="9732" width="7.5703125" style="326" customWidth="1"/>
    <col min="9733" max="9733" width="6.28515625" style="326" customWidth="1"/>
    <col min="9734" max="9734" width="6.140625" style="326" customWidth="1"/>
    <col min="9735" max="9736" width="6.7109375" style="326" customWidth="1"/>
    <col min="9737" max="9737" width="6.28515625" style="326" customWidth="1"/>
    <col min="9738" max="9740" width="7.140625" style="326" customWidth="1"/>
    <col min="9741" max="9741" width="6.5703125" style="326" customWidth="1"/>
    <col min="9742" max="9742" width="6.28515625" style="326" customWidth="1"/>
    <col min="9743" max="9986" width="8.85546875" style="326"/>
    <col min="9987" max="9987" width="25.7109375" style="326" customWidth="1"/>
    <col min="9988" max="9988" width="7.5703125" style="326" customWidth="1"/>
    <col min="9989" max="9989" width="6.28515625" style="326" customWidth="1"/>
    <col min="9990" max="9990" width="6.140625" style="326" customWidth="1"/>
    <col min="9991" max="9992" width="6.7109375" style="326" customWidth="1"/>
    <col min="9993" max="9993" width="6.28515625" style="326" customWidth="1"/>
    <col min="9994" max="9996" width="7.140625" style="326" customWidth="1"/>
    <col min="9997" max="9997" width="6.5703125" style="326" customWidth="1"/>
    <col min="9998" max="9998" width="6.28515625" style="326" customWidth="1"/>
    <col min="9999" max="10242" width="8.85546875" style="326"/>
    <col min="10243" max="10243" width="25.7109375" style="326" customWidth="1"/>
    <col min="10244" max="10244" width="7.5703125" style="326" customWidth="1"/>
    <col min="10245" max="10245" width="6.28515625" style="326" customWidth="1"/>
    <col min="10246" max="10246" width="6.140625" style="326" customWidth="1"/>
    <col min="10247" max="10248" width="6.7109375" style="326" customWidth="1"/>
    <col min="10249" max="10249" width="6.28515625" style="326" customWidth="1"/>
    <col min="10250" max="10252" width="7.140625" style="326" customWidth="1"/>
    <col min="10253" max="10253" width="6.5703125" style="326" customWidth="1"/>
    <col min="10254" max="10254" width="6.28515625" style="326" customWidth="1"/>
    <col min="10255" max="10498" width="8.85546875" style="326"/>
    <col min="10499" max="10499" width="25.7109375" style="326" customWidth="1"/>
    <col min="10500" max="10500" width="7.5703125" style="326" customWidth="1"/>
    <col min="10501" max="10501" width="6.28515625" style="326" customWidth="1"/>
    <col min="10502" max="10502" width="6.140625" style="326" customWidth="1"/>
    <col min="10503" max="10504" width="6.7109375" style="326" customWidth="1"/>
    <col min="10505" max="10505" width="6.28515625" style="326" customWidth="1"/>
    <col min="10506" max="10508" width="7.140625" style="326" customWidth="1"/>
    <col min="10509" max="10509" width="6.5703125" style="326" customWidth="1"/>
    <col min="10510" max="10510" width="6.28515625" style="326" customWidth="1"/>
    <col min="10511" max="10754" width="8.85546875" style="326"/>
    <col min="10755" max="10755" width="25.7109375" style="326" customWidth="1"/>
    <col min="10756" max="10756" width="7.5703125" style="326" customWidth="1"/>
    <col min="10757" max="10757" width="6.28515625" style="326" customWidth="1"/>
    <col min="10758" max="10758" width="6.140625" style="326" customWidth="1"/>
    <col min="10759" max="10760" width="6.7109375" style="326" customWidth="1"/>
    <col min="10761" max="10761" width="6.28515625" style="326" customWidth="1"/>
    <col min="10762" max="10764" width="7.140625" style="326" customWidth="1"/>
    <col min="10765" max="10765" width="6.5703125" style="326" customWidth="1"/>
    <col min="10766" max="10766" width="6.28515625" style="326" customWidth="1"/>
    <col min="10767" max="11010" width="8.85546875" style="326"/>
    <col min="11011" max="11011" width="25.7109375" style="326" customWidth="1"/>
    <col min="11012" max="11012" width="7.5703125" style="326" customWidth="1"/>
    <col min="11013" max="11013" width="6.28515625" style="326" customWidth="1"/>
    <col min="11014" max="11014" width="6.140625" style="326" customWidth="1"/>
    <col min="11015" max="11016" width="6.7109375" style="326" customWidth="1"/>
    <col min="11017" max="11017" width="6.28515625" style="326" customWidth="1"/>
    <col min="11018" max="11020" width="7.140625" style="326" customWidth="1"/>
    <col min="11021" max="11021" width="6.5703125" style="326" customWidth="1"/>
    <col min="11022" max="11022" width="6.28515625" style="326" customWidth="1"/>
    <col min="11023" max="11266" width="8.85546875" style="326"/>
    <col min="11267" max="11267" width="25.7109375" style="326" customWidth="1"/>
    <col min="11268" max="11268" width="7.5703125" style="326" customWidth="1"/>
    <col min="11269" max="11269" width="6.28515625" style="326" customWidth="1"/>
    <col min="11270" max="11270" width="6.140625" style="326" customWidth="1"/>
    <col min="11271" max="11272" width="6.7109375" style="326" customWidth="1"/>
    <col min="11273" max="11273" width="6.28515625" style="326" customWidth="1"/>
    <col min="11274" max="11276" width="7.140625" style="326" customWidth="1"/>
    <col min="11277" max="11277" width="6.5703125" style="326" customWidth="1"/>
    <col min="11278" max="11278" width="6.28515625" style="326" customWidth="1"/>
    <col min="11279" max="11522" width="8.85546875" style="326"/>
    <col min="11523" max="11523" width="25.7109375" style="326" customWidth="1"/>
    <col min="11524" max="11524" width="7.5703125" style="326" customWidth="1"/>
    <col min="11525" max="11525" width="6.28515625" style="326" customWidth="1"/>
    <col min="11526" max="11526" width="6.140625" style="326" customWidth="1"/>
    <col min="11527" max="11528" width="6.7109375" style="326" customWidth="1"/>
    <col min="11529" max="11529" width="6.28515625" style="326" customWidth="1"/>
    <col min="11530" max="11532" width="7.140625" style="326" customWidth="1"/>
    <col min="11533" max="11533" width="6.5703125" style="326" customWidth="1"/>
    <col min="11534" max="11534" width="6.28515625" style="326" customWidth="1"/>
    <col min="11535" max="11778" width="8.85546875" style="326"/>
    <col min="11779" max="11779" width="25.7109375" style="326" customWidth="1"/>
    <col min="11780" max="11780" width="7.5703125" style="326" customWidth="1"/>
    <col min="11781" max="11781" width="6.28515625" style="326" customWidth="1"/>
    <col min="11782" max="11782" width="6.140625" style="326" customWidth="1"/>
    <col min="11783" max="11784" width="6.7109375" style="326" customWidth="1"/>
    <col min="11785" max="11785" width="6.28515625" style="326" customWidth="1"/>
    <col min="11786" max="11788" width="7.140625" style="326" customWidth="1"/>
    <col min="11789" max="11789" width="6.5703125" style="326" customWidth="1"/>
    <col min="11790" max="11790" width="6.28515625" style="326" customWidth="1"/>
    <col min="11791" max="12034" width="8.85546875" style="326"/>
    <col min="12035" max="12035" width="25.7109375" style="326" customWidth="1"/>
    <col min="12036" max="12036" width="7.5703125" style="326" customWidth="1"/>
    <col min="12037" max="12037" width="6.28515625" style="326" customWidth="1"/>
    <col min="12038" max="12038" width="6.140625" style="326" customWidth="1"/>
    <col min="12039" max="12040" width="6.7109375" style="326" customWidth="1"/>
    <col min="12041" max="12041" width="6.28515625" style="326" customWidth="1"/>
    <col min="12042" max="12044" width="7.140625" style="326" customWidth="1"/>
    <col min="12045" max="12045" width="6.5703125" style="326" customWidth="1"/>
    <col min="12046" max="12046" width="6.28515625" style="326" customWidth="1"/>
    <col min="12047" max="12290" width="8.85546875" style="326"/>
    <col min="12291" max="12291" width="25.7109375" style="326" customWidth="1"/>
    <col min="12292" max="12292" width="7.5703125" style="326" customWidth="1"/>
    <col min="12293" max="12293" width="6.28515625" style="326" customWidth="1"/>
    <col min="12294" max="12294" width="6.140625" style="326" customWidth="1"/>
    <col min="12295" max="12296" width="6.7109375" style="326" customWidth="1"/>
    <col min="12297" max="12297" width="6.28515625" style="326" customWidth="1"/>
    <col min="12298" max="12300" width="7.140625" style="326" customWidth="1"/>
    <col min="12301" max="12301" width="6.5703125" style="326" customWidth="1"/>
    <col min="12302" max="12302" width="6.28515625" style="326" customWidth="1"/>
    <col min="12303" max="12546" width="8.85546875" style="326"/>
    <col min="12547" max="12547" width="25.7109375" style="326" customWidth="1"/>
    <col min="12548" max="12548" width="7.5703125" style="326" customWidth="1"/>
    <col min="12549" max="12549" width="6.28515625" style="326" customWidth="1"/>
    <col min="12550" max="12550" width="6.140625" style="326" customWidth="1"/>
    <col min="12551" max="12552" width="6.7109375" style="326" customWidth="1"/>
    <col min="12553" max="12553" width="6.28515625" style="326" customWidth="1"/>
    <col min="12554" max="12556" width="7.140625" style="326" customWidth="1"/>
    <col min="12557" max="12557" width="6.5703125" style="326" customWidth="1"/>
    <col min="12558" max="12558" width="6.28515625" style="326" customWidth="1"/>
    <col min="12559" max="12802" width="8.85546875" style="326"/>
    <col min="12803" max="12803" width="25.7109375" style="326" customWidth="1"/>
    <col min="12804" max="12804" width="7.5703125" style="326" customWidth="1"/>
    <col min="12805" max="12805" width="6.28515625" style="326" customWidth="1"/>
    <col min="12806" max="12806" width="6.140625" style="326" customWidth="1"/>
    <col min="12807" max="12808" width="6.7109375" style="326" customWidth="1"/>
    <col min="12809" max="12809" width="6.28515625" style="326" customWidth="1"/>
    <col min="12810" max="12812" width="7.140625" style="326" customWidth="1"/>
    <col min="12813" max="12813" width="6.5703125" style="326" customWidth="1"/>
    <col min="12814" max="12814" width="6.28515625" style="326" customWidth="1"/>
    <col min="12815" max="13058" width="8.85546875" style="326"/>
    <col min="13059" max="13059" width="25.7109375" style="326" customWidth="1"/>
    <col min="13060" max="13060" width="7.5703125" style="326" customWidth="1"/>
    <col min="13061" max="13061" width="6.28515625" style="326" customWidth="1"/>
    <col min="13062" max="13062" width="6.140625" style="326" customWidth="1"/>
    <col min="13063" max="13064" width="6.7109375" style="326" customWidth="1"/>
    <col min="13065" max="13065" width="6.28515625" style="326" customWidth="1"/>
    <col min="13066" max="13068" width="7.140625" style="326" customWidth="1"/>
    <col min="13069" max="13069" width="6.5703125" style="326" customWidth="1"/>
    <col min="13070" max="13070" width="6.28515625" style="326" customWidth="1"/>
    <col min="13071" max="13314" width="8.85546875" style="326"/>
    <col min="13315" max="13315" width="25.7109375" style="326" customWidth="1"/>
    <col min="13316" max="13316" width="7.5703125" style="326" customWidth="1"/>
    <col min="13317" max="13317" width="6.28515625" style="326" customWidth="1"/>
    <col min="13318" max="13318" width="6.140625" style="326" customWidth="1"/>
    <col min="13319" max="13320" width="6.7109375" style="326" customWidth="1"/>
    <col min="13321" max="13321" width="6.28515625" style="326" customWidth="1"/>
    <col min="13322" max="13324" width="7.140625" style="326" customWidth="1"/>
    <col min="13325" max="13325" width="6.5703125" style="326" customWidth="1"/>
    <col min="13326" max="13326" width="6.28515625" style="326" customWidth="1"/>
    <col min="13327" max="13570" width="8.85546875" style="326"/>
    <col min="13571" max="13571" width="25.7109375" style="326" customWidth="1"/>
    <col min="13572" max="13572" width="7.5703125" style="326" customWidth="1"/>
    <col min="13573" max="13573" width="6.28515625" style="326" customWidth="1"/>
    <col min="13574" max="13574" width="6.140625" style="326" customWidth="1"/>
    <col min="13575" max="13576" width="6.7109375" style="326" customWidth="1"/>
    <col min="13577" max="13577" width="6.28515625" style="326" customWidth="1"/>
    <col min="13578" max="13580" width="7.140625" style="326" customWidth="1"/>
    <col min="13581" max="13581" width="6.5703125" style="326" customWidth="1"/>
    <col min="13582" max="13582" width="6.28515625" style="326" customWidth="1"/>
    <col min="13583" max="13826" width="8.85546875" style="326"/>
    <col min="13827" max="13827" width="25.7109375" style="326" customWidth="1"/>
    <col min="13828" max="13828" width="7.5703125" style="326" customWidth="1"/>
    <col min="13829" max="13829" width="6.28515625" style="326" customWidth="1"/>
    <col min="13830" max="13830" width="6.140625" style="326" customWidth="1"/>
    <col min="13831" max="13832" width="6.7109375" style="326" customWidth="1"/>
    <col min="13833" max="13833" width="6.28515625" style="326" customWidth="1"/>
    <col min="13834" max="13836" width="7.140625" style="326" customWidth="1"/>
    <col min="13837" max="13837" width="6.5703125" style="326" customWidth="1"/>
    <col min="13838" max="13838" width="6.28515625" style="326" customWidth="1"/>
    <col min="13839" max="14082" width="8.85546875" style="326"/>
    <col min="14083" max="14083" width="25.7109375" style="326" customWidth="1"/>
    <col min="14084" max="14084" width="7.5703125" style="326" customWidth="1"/>
    <col min="14085" max="14085" width="6.28515625" style="326" customWidth="1"/>
    <col min="14086" max="14086" width="6.140625" style="326" customWidth="1"/>
    <col min="14087" max="14088" width="6.7109375" style="326" customWidth="1"/>
    <col min="14089" max="14089" width="6.28515625" style="326" customWidth="1"/>
    <col min="14090" max="14092" width="7.140625" style="326" customWidth="1"/>
    <col min="14093" max="14093" width="6.5703125" style="326" customWidth="1"/>
    <col min="14094" max="14094" width="6.28515625" style="326" customWidth="1"/>
    <col min="14095" max="14338" width="8.85546875" style="326"/>
    <col min="14339" max="14339" width="25.7109375" style="326" customWidth="1"/>
    <col min="14340" max="14340" width="7.5703125" style="326" customWidth="1"/>
    <col min="14341" max="14341" width="6.28515625" style="326" customWidth="1"/>
    <col min="14342" max="14342" width="6.140625" style="326" customWidth="1"/>
    <col min="14343" max="14344" width="6.7109375" style="326" customWidth="1"/>
    <col min="14345" max="14345" width="6.28515625" style="326" customWidth="1"/>
    <col min="14346" max="14348" width="7.140625" style="326" customWidth="1"/>
    <col min="14349" max="14349" width="6.5703125" style="326" customWidth="1"/>
    <col min="14350" max="14350" width="6.28515625" style="326" customWidth="1"/>
    <col min="14351" max="14594" width="8.85546875" style="326"/>
    <col min="14595" max="14595" width="25.7109375" style="326" customWidth="1"/>
    <col min="14596" max="14596" width="7.5703125" style="326" customWidth="1"/>
    <col min="14597" max="14597" width="6.28515625" style="326" customWidth="1"/>
    <col min="14598" max="14598" width="6.140625" style="326" customWidth="1"/>
    <col min="14599" max="14600" width="6.7109375" style="326" customWidth="1"/>
    <col min="14601" max="14601" width="6.28515625" style="326" customWidth="1"/>
    <col min="14602" max="14604" width="7.140625" style="326" customWidth="1"/>
    <col min="14605" max="14605" width="6.5703125" style="326" customWidth="1"/>
    <col min="14606" max="14606" width="6.28515625" style="326" customWidth="1"/>
    <col min="14607" max="14850" width="8.85546875" style="326"/>
    <col min="14851" max="14851" width="25.7109375" style="326" customWidth="1"/>
    <col min="14852" max="14852" width="7.5703125" style="326" customWidth="1"/>
    <col min="14853" max="14853" width="6.28515625" style="326" customWidth="1"/>
    <col min="14854" max="14854" width="6.140625" style="326" customWidth="1"/>
    <col min="14855" max="14856" width="6.7109375" style="326" customWidth="1"/>
    <col min="14857" max="14857" width="6.28515625" style="326" customWidth="1"/>
    <col min="14858" max="14860" width="7.140625" style="326" customWidth="1"/>
    <col min="14861" max="14861" width="6.5703125" style="326" customWidth="1"/>
    <col min="14862" max="14862" width="6.28515625" style="326" customWidth="1"/>
    <col min="14863" max="15106" width="8.85546875" style="326"/>
    <col min="15107" max="15107" width="25.7109375" style="326" customWidth="1"/>
    <col min="15108" max="15108" width="7.5703125" style="326" customWidth="1"/>
    <col min="15109" max="15109" width="6.28515625" style="326" customWidth="1"/>
    <col min="15110" max="15110" width="6.140625" style="326" customWidth="1"/>
    <col min="15111" max="15112" width="6.7109375" style="326" customWidth="1"/>
    <col min="15113" max="15113" width="6.28515625" style="326" customWidth="1"/>
    <col min="15114" max="15116" width="7.140625" style="326" customWidth="1"/>
    <col min="15117" max="15117" width="6.5703125" style="326" customWidth="1"/>
    <col min="15118" max="15118" width="6.28515625" style="326" customWidth="1"/>
    <col min="15119" max="15362" width="8.85546875" style="326"/>
    <col min="15363" max="15363" width="25.7109375" style="326" customWidth="1"/>
    <col min="15364" max="15364" width="7.5703125" style="326" customWidth="1"/>
    <col min="15365" max="15365" width="6.28515625" style="326" customWidth="1"/>
    <col min="15366" max="15366" width="6.140625" style="326" customWidth="1"/>
    <col min="15367" max="15368" width="6.7109375" style="326" customWidth="1"/>
    <col min="15369" max="15369" width="6.28515625" style="326" customWidth="1"/>
    <col min="15370" max="15372" width="7.140625" style="326" customWidth="1"/>
    <col min="15373" max="15373" width="6.5703125" style="326" customWidth="1"/>
    <col min="15374" max="15374" width="6.28515625" style="326" customWidth="1"/>
    <col min="15375" max="15618" width="8.85546875" style="326"/>
    <col min="15619" max="15619" width="25.7109375" style="326" customWidth="1"/>
    <col min="15620" max="15620" width="7.5703125" style="326" customWidth="1"/>
    <col min="15621" max="15621" width="6.28515625" style="326" customWidth="1"/>
    <col min="15622" max="15622" width="6.140625" style="326" customWidth="1"/>
    <col min="15623" max="15624" width="6.7109375" style="326" customWidth="1"/>
    <col min="15625" max="15625" width="6.28515625" style="326" customWidth="1"/>
    <col min="15626" max="15628" width="7.140625" style="326" customWidth="1"/>
    <col min="15629" max="15629" width="6.5703125" style="326" customWidth="1"/>
    <col min="15630" max="15630" width="6.28515625" style="326" customWidth="1"/>
    <col min="15631" max="15874" width="8.85546875" style="326"/>
    <col min="15875" max="15875" width="25.7109375" style="326" customWidth="1"/>
    <col min="15876" max="15876" width="7.5703125" style="326" customWidth="1"/>
    <col min="15877" max="15877" width="6.28515625" style="326" customWidth="1"/>
    <col min="15878" max="15878" width="6.140625" style="326" customWidth="1"/>
    <col min="15879" max="15880" width="6.7109375" style="326" customWidth="1"/>
    <col min="15881" max="15881" width="6.28515625" style="326" customWidth="1"/>
    <col min="15882" max="15884" width="7.140625" style="326" customWidth="1"/>
    <col min="15885" max="15885" width="6.5703125" style="326" customWidth="1"/>
    <col min="15886" max="15886" width="6.28515625" style="326" customWidth="1"/>
    <col min="15887" max="16130" width="8.85546875" style="326"/>
    <col min="16131" max="16131" width="25.7109375" style="326" customWidth="1"/>
    <col min="16132" max="16132" width="7.5703125" style="326" customWidth="1"/>
    <col min="16133" max="16133" width="6.28515625" style="326" customWidth="1"/>
    <col min="16134" max="16134" width="6.140625" style="326" customWidth="1"/>
    <col min="16135" max="16136" width="6.7109375" style="326" customWidth="1"/>
    <col min="16137" max="16137" width="6.28515625" style="326" customWidth="1"/>
    <col min="16138" max="16140" width="7.140625" style="326" customWidth="1"/>
    <col min="16141" max="16141" width="6.5703125" style="326" customWidth="1"/>
    <col min="16142" max="16142" width="6.28515625" style="326" customWidth="1"/>
    <col min="16143" max="16384" width="8.85546875" style="326"/>
  </cols>
  <sheetData>
    <row r="1" spans="1:21" ht="15.75" x14ac:dyDescent="0.25">
      <c r="A1" s="924" t="s">
        <v>2634</v>
      </c>
      <c r="B1" s="924"/>
      <c r="C1" s="924"/>
      <c r="D1" s="924"/>
      <c r="E1" s="924"/>
      <c r="F1" s="924"/>
      <c r="G1" s="924"/>
      <c r="H1" s="924"/>
      <c r="I1" s="924"/>
      <c r="J1" s="924"/>
      <c r="K1" s="924"/>
      <c r="L1" s="924"/>
      <c r="M1" s="924"/>
      <c r="N1" s="924"/>
      <c r="O1" s="924"/>
      <c r="P1" s="924"/>
      <c r="Q1" s="924"/>
      <c r="R1" s="924"/>
      <c r="S1" s="924"/>
      <c r="T1" s="924"/>
      <c r="U1" s="924"/>
    </row>
    <row r="2" spans="1:21" x14ac:dyDescent="0.25">
      <c r="A2"/>
      <c r="B2"/>
      <c r="C2"/>
      <c r="D2"/>
      <c r="E2"/>
      <c r="F2"/>
      <c r="G2"/>
      <c r="H2"/>
      <c r="I2"/>
      <c r="J2"/>
      <c r="K2"/>
      <c r="L2"/>
    </row>
    <row r="3" spans="1:21" x14ac:dyDescent="0.25">
      <c r="A3"/>
      <c r="B3"/>
      <c r="C3"/>
      <c r="D3"/>
      <c r="E3"/>
      <c r="F3"/>
      <c r="G3"/>
      <c r="H3" s="327" t="s">
        <v>2635</v>
      </c>
    </row>
    <row r="4" spans="1:21" x14ac:dyDescent="0.25">
      <c r="A4"/>
      <c r="B4"/>
      <c r="C4"/>
      <c r="D4"/>
      <c r="E4"/>
      <c r="F4"/>
      <c r="G4"/>
      <c r="H4" s="328" t="s">
        <v>2636</v>
      </c>
    </row>
    <row r="5" spans="1:21" x14ac:dyDescent="0.25">
      <c r="A5"/>
      <c r="B5"/>
      <c r="C5"/>
      <c r="D5"/>
      <c r="E5"/>
      <c r="F5"/>
      <c r="G5"/>
      <c r="H5" s="328" t="s">
        <v>2637</v>
      </c>
      <c r="J5" s="328"/>
      <c r="K5" s="328"/>
      <c r="L5" s="328"/>
      <c r="M5" s="328"/>
      <c r="N5" s="328"/>
      <c r="O5" s="328"/>
      <c r="P5" s="328"/>
      <c r="R5" s="328"/>
    </row>
    <row r="6" spans="1:21" x14ac:dyDescent="0.25">
      <c r="A6"/>
      <c r="B6"/>
      <c r="C6"/>
      <c r="D6"/>
      <c r="E6"/>
      <c r="F6"/>
      <c r="G6"/>
      <c r="H6" s="328" t="s">
        <v>2638</v>
      </c>
      <c r="J6" s="328"/>
      <c r="K6" s="328"/>
      <c r="L6" s="328"/>
      <c r="M6" s="328"/>
      <c r="N6" s="328"/>
      <c r="O6" s="328"/>
      <c r="P6" s="328"/>
      <c r="R6" s="328"/>
    </row>
    <row r="7" spans="1:21" x14ac:dyDescent="0.25">
      <c r="A7"/>
      <c r="B7"/>
      <c r="C7"/>
      <c r="D7"/>
      <c r="E7"/>
      <c r="F7"/>
      <c r="G7"/>
      <c r="H7" s="328" t="s">
        <v>2639</v>
      </c>
      <c r="J7" s="328"/>
      <c r="K7" s="328"/>
      <c r="L7" s="328"/>
      <c r="M7" s="328"/>
      <c r="N7" s="328"/>
      <c r="O7" s="328"/>
      <c r="P7" s="328"/>
      <c r="R7" s="328"/>
    </row>
    <row r="8" spans="1:21" x14ac:dyDescent="0.25">
      <c r="A8"/>
      <c r="B8"/>
      <c r="C8"/>
      <c r="D8"/>
      <c r="E8"/>
      <c r="F8"/>
      <c r="G8"/>
      <c r="H8"/>
    </row>
    <row r="9" spans="1:21" x14ac:dyDescent="0.25">
      <c r="A9"/>
      <c r="B9"/>
      <c r="C9"/>
      <c r="D9"/>
      <c r="E9"/>
      <c r="F9"/>
      <c r="G9"/>
      <c r="H9" s="1" t="s">
        <v>2640</v>
      </c>
      <c r="I9" s="326" t="s">
        <v>2641</v>
      </c>
      <c r="M9" s="326" t="s">
        <v>2642</v>
      </c>
      <c r="S9" s="329" t="s">
        <v>2643</v>
      </c>
    </row>
    <row r="10" spans="1:21" x14ac:dyDescent="0.25">
      <c r="A10"/>
      <c r="B10"/>
      <c r="C10"/>
      <c r="D10"/>
      <c r="E10"/>
      <c r="F10"/>
      <c r="G10"/>
      <c r="M10" s="330" t="s">
        <v>2644</v>
      </c>
      <c r="N10" s="326" t="s">
        <v>2645</v>
      </c>
      <c r="S10" s="1" t="s">
        <v>2646</v>
      </c>
      <c r="T10" s="331">
        <v>60</v>
      </c>
      <c r="U10" s="332" t="s">
        <v>2647</v>
      </c>
    </row>
    <row r="11" spans="1:21" x14ac:dyDescent="0.25">
      <c r="A11"/>
      <c r="B11"/>
      <c r="C11"/>
      <c r="D11"/>
      <c r="E11"/>
      <c r="F11"/>
      <c r="G11"/>
      <c r="H11" s="333" t="s">
        <v>2648</v>
      </c>
      <c r="I11" s="328"/>
      <c r="J11" s="328"/>
      <c r="K11" s="328"/>
      <c r="L11" s="328"/>
      <c r="M11" s="330" t="s">
        <v>2649</v>
      </c>
      <c r="N11" s="326" t="s">
        <v>2650</v>
      </c>
      <c r="O11" s="328"/>
      <c r="S11" s="1" t="s">
        <v>2651</v>
      </c>
      <c r="T11" s="331">
        <v>300</v>
      </c>
      <c r="U11" s="332" t="s">
        <v>2647</v>
      </c>
    </row>
    <row r="12" spans="1:21" x14ac:dyDescent="0.25">
      <c r="A12"/>
      <c r="B12"/>
      <c r="C12"/>
      <c r="D12"/>
      <c r="E12"/>
      <c r="F12"/>
      <c r="G12"/>
      <c r="H12" s="1" t="s">
        <v>2652</v>
      </c>
      <c r="I12" s="326" t="s">
        <v>2653</v>
      </c>
      <c r="M12" s="330" t="s">
        <v>2654</v>
      </c>
      <c r="N12" s="328" t="s">
        <v>2655</v>
      </c>
      <c r="S12" s="1" t="s">
        <v>2656</v>
      </c>
      <c r="T12" s="334">
        <v>0.4</v>
      </c>
    </row>
    <row r="13" spans="1:21" x14ac:dyDescent="0.25">
      <c r="A13"/>
      <c r="B13"/>
      <c r="C13"/>
      <c r="D13"/>
      <c r="E13"/>
      <c r="F13"/>
      <c r="G13"/>
      <c r="H13" s="1" t="s">
        <v>2657</v>
      </c>
      <c r="I13" s="326" t="s">
        <v>2658</v>
      </c>
      <c r="M13" s="330" t="s">
        <v>2659</v>
      </c>
      <c r="N13" t="s">
        <v>2660</v>
      </c>
      <c r="R13" s="330"/>
      <c r="S13" s="1" t="s">
        <v>2661</v>
      </c>
      <c r="T13" s="335">
        <v>0.04</v>
      </c>
    </row>
    <row r="14" spans="1:21" x14ac:dyDescent="0.25">
      <c r="A14"/>
      <c r="B14"/>
      <c r="C14"/>
      <c r="D14"/>
      <c r="E14"/>
      <c r="F14"/>
      <c r="G14"/>
      <c r="H14" s="1" t="s">
        <v>2662</v>
      </c>
      <c r="I14" s="326" t="s">
        <v>2663</v>
      </c>
      <c r="M14" s="330" t="s">
        <v>2664</v>
      </c>
      <c r="N14" t="s">
        <v>2665</v>
      </c>
    </row>
    <row r="15" spans="1:21" x14ac:dyDescent="0.25">
      <c r="A15"/>
      <c r="B15"/>
      <c r="C15"/>
      <c r="D15"/>
      <c r="E15"/>
      <c r="F15"/>
      <c r="G15"/>
      <c r="H15" s="1" t="s">
        <v>2666</v>
      </c>
      <c r="I15" s="326" t="s">
        <v>2667</v>
      </c>
      <c r="M15" s="330" t="s">
        <v>2668</v>
      </c>
      <c r="N15" t="s">
        <v>2669</v>
      </c>
      <c r="S15" t="s">
        <v>2670</v>
      </c>
    </row>
    <row r="16" spans="1:21" x14ac:dyDescent="0.25">
      <c r="A16"/>
      <c r="B16"/>
      <c r="C16"/>
      <c r="D16"/>
      <c r="E16"/>
      <c r="F16"/>
      <c r="G16"/>
      <c r="H16"/>
      <c r="M16" s="330" t="s">
        <v>2671</v>
      </c>
      <c r="N16" t="s">
        <v>2672</v>
      </c>
      <c r="S16" s="336"/>
    </row>
    <row r="17" spans="1:21" x14ac:dyDescent="0.25">
      <c r="A17"/>
      <c r="B17"/>
      <c r="C17"/>
      <c r="D17"/>
      <c r="E17"/>
      <c r="F17"/>
      <c r="G17"/>
      <c r="H17" s="1" t="s">
        <v>2673</v>
      </c>
      <c r="I17" s="326" t="s">
        <v>2674</v>
      </c>
    </row>
    <row r="18" spans="1:21" x14ac:dyDescent="0.25">
      <c r="A18"/>
      <c r="B18"/>
      <c r="C18"/>
      <c r="D18"/>
      <c r="E18"/>
      <c r="F18"/>
      <c r="G18"/>
      <c r="H18"/>
      <c r="M18" s="337" t="s">
        <v>2675</v>
      </c>
      <c r="R18" s="337"/>
    </row>
    <row r="19" spans="1:21" x14ac:dyDescent="0.25">
      <c r="A19"/>
      <c r="B19"/>
      <c r="C19"/>
      <c r="D19"/>
      <c r="E19"/>
      <c r="F19"/>
      <c r="G19"/>
      <c r="H19"/>
      <c r="M19" s="337" t="s">
        <v>2676</v>
      </c>
      <c r="P19" s="947" t="s">
        <v>2677</v>
      </c>
      <c r="Q19" s="947"/>
      <c r="R19" s="947"/>
      <c r="S19" s="947"/>
      <c r="T19" s="337"/>
    </row>
    <row r="20" spans="1:21" x14ac:dyDescent="0.25">
      <c r="A20"/>
      <c r="B20"/>
      <c r="C20"/>
      <c r="D20"/>
      <c r="E20"/>
      <c r="F20"/>
      <c r="G20"/>
      <c r="H20"/>
      <c r="K20" s="337" t="s">
        <v>2678</v>
      </c>
      <c r="L20" s="337"/>
      <c r="M20" s="337" t="s">
        <v>2679</v>
      </c>
      <c r="N20" s="337" t="s">
        <v>2680</v>
      </c>
      <c r="O20" s="337" t="s">
        <v>2681</v>
      </c>
      <c r="P20" s="337" t="s">
        <v>2070</v>
      </c>
      <c r="Q20" s="337" t="s">
        <v>2070</v>
      </c>
      <c r="R20" s="337" t="s">
        <v>2682</v>
      </c>
      <c r="S20" s="337"/>
      <c r="T20" s="947" t="s">
        <v>2683</v>
      </c>
      <c r="U20" s="947"/>
    </row>
    <row r="21" spans="1:21" x14ac:dyDescent="0.25">
      <c r="A21"/>
      <c r="B21"/>
      <c r="C21"/>
      <c r="D21"/>
      <c r="E21"/>
      <c r="F21"/>
      <c r="G21"/>
      <c r="H21"/>
      <c r="J21" s="338" t="s">
        <v>2684</v>
      </c>
      <c r="K21" s="338" t="s">
        <v>2685</v>
      </c>
      <c r="L21" s="338" t="s">
        <v>2686</v>
      </c>
      <c r="M21" s="338" t="s">
        <v>2687</v>
      </c>
      <c r="N21" s="338" t="s">
        <v>2688</v>
      </c>
      <c r="O21" s="338" t="s">
        <v>2689</v>
      </c>
      <c r="P21" s="338" t="s">
        <v>2690</v>
      </c>
      <c r="Q21" s="338" t="s">
        <v>2691</v>
      </c>
      <c r="R21" s="338" t="s">
        <v>2692</v>
      </c>
      <c r="S21" s="338" t="s">
        <v>2693</v>
      </c>
      <c r="T21" s="338" t="s">
        <v>2687</v>
      </c>
      <c r="U21" s="338" t="s">
        <v>2694</v>
      </c>
    </row>
    <row r="22" spans="1:21" x14ac:dyDescent="0.25">
      <c r="A22"/>
      <c r="B22"/>
      <c r="C22"/>
      <c r="D22"/>
      <c r="E22"/>
      <c r="F22"/>
      <c r="G22"/>
      <c r="H22"/>
      <c r="I22" s="330" t="s">
        <v>2695</v>
      </c>
      <c r="J22" s="339">
        <f t="shared" ref="J22:J33" si="0">L22/(1-L22)</f>
        <v>0</v>
      </c>
      <c r="K22" s="340">
        <f>1+J22</f>
        <v>1</v>
      </c>
      <c r="L22" s="341">
        <v>0</v>
      </c>
      <c r="M22" s="342">
        <f>S51</f>
        <v>8263.7509050261433</v>
      </c>
      <c r="N22" s="337" t="s">
        <v>65</v>
      </c>
      <c r="O22" s="337" t="s">
        <v>65</v>
      </c>
      <c r="P22" s="343">
        <f t="shared" ref="P22:P39" si="1">L22*(970+(212-Tw)+(0.46*(Ts-212)))</f>
        <v>0</v>
      </c>
      <c r="Q22" s="344">
        <f t="shared" ref="Q22:Q39" si="2">0.54*(1-L22)*(970+(212-Tw)+(0.46*(Ts-212)))</f>
        <v>627.7392000000001</v>
      </c>
      <c r="R22" s="343">
        <f t="shared" ref="R22:R39" si="3">(Ts-Tw)*(1-L22)*((1.44*ExAir)+1.56)</f>
        <v>512.64</v>
      </c>
      <c r="S22" s="343">
        <f t="shared" ref="S22:S39" si="4">ConvLoss*M22</f>
        <v>330.55003620104571</v>
      </c>
      <c r="T22" s="343">
        <f>M22-SUM(P22:S22)</f>
        <v>6792.8216688250977</v>
      </c>
      <c r="U22" s="345">
        <f>T22*2000/1000000</f>
        <v>13.585643337650195</v>
      </c>
    </row>
    <row r="23" spans="1:21" x14ac:dyDescent="0.25">
      <c r="A23"/>
      <c r="B23"/>
      <c r="C23"/>
      <c r="D23"/>
      <c r="E23"/>
      <c r="F23"/>
      <c r="G23"/>
      <c r="H23"/>
      <c r="J23" s="339">
        <f t="shared" si="0"/>
        <v>5.2631578947368425E-2</v>
      </c>
      <c r="K23" s="340">
        <f>1+J23</f>
        <v>1.0526315789473684</v>
      </c>
      <c r="L23" s="341">
        <v>0.05</v>
      </c>
      <c r="M23" s="343">
        <f t="shared" ref="M23:M39" si="5">$M$22*(1-L23)</f>
        <v>7850.5633597748356</v>
      </c>
      <c r="N23" s="346">
        <f t="shared" ref="N23:N39" si="6">1-M23/M$22</f>
        <v>5.0000000000000044E-2</v>
      </c>
      <c r="O23" s="339">
        <f t="shared" ref="O23:O39" si="7">M$22/M23-1</f>
        <v>5.2631578947368585E-2</v>
      </c>
      <c r="P23" s="343">
        <f t="shared" si="1"/>
        <v>58.124000000000002</v>
      </c>
      <c r="Q23" s="344">
        <f t="shared" si="2"/>
        <v>596.35224000000005</v>
      </c>
      <c r="R23" s="343">
        <f t="shared" si="3"/>
        <v>487.00800000000004</v>
      </c>
      <c r="S23" s="343">
        <f t="shared" si="4"/>
        <v>314.02253439099343</v>
      </c>
      <c r="T23" s="343">
        <f t="shared" ref="T23:T39" si="8">M23-SUM(P23:S23)</f>
        <v>6395.0565853838416</v>
      </c>
      <c r="U23" s="345">
        <f t="shared" ref="U23:U39" si="9">T23*2000/1000000</f>
        <v>12.790113170767684</v>
      </c>
    </row>
    <row r="24" spans="1:21" x14ac:dyDescent="0.25">
      <c r="A24"/>
      <c r="B24"/>
      <c r="C24"/>
      <c r="D24"/>
      <c r="E24"/>
      <c r="F24"/>
      <c r="G24"/>
      <c r="H24"/>
      <c r="J24" s="339">
        <f t="shared" si="0"/>
        <v>0.11111111111111112</v>
      </c>
      <c r="K24" s="340">
        <f t="shared" ref="K24:K39" si="10">1+J24</f>
        <v>1.1111111111111112</v>
      </c>
      <c r="L24" s="341">
        <v>0.1</v>
      </c>
      <c r="M24" s="343">
        <f t="shared" si="5"/>
        <v>7437.3758145235288</v>
      </c>
      <c r="N24" s="346">
        <f t="shared" si="6"/>
        <v>9.9999999999999978E-2</v>
      </c>
      <c r="O24" s="339">
        <f t="shared" si="7"/>
        <v>0.11111111111111116</v>
      </c>
      <c r="P24" s="343">
        <f t="shared" si="1"/>
        <v>116.248</v>
      </c>
      <c r="Q24" s="344">
        <f t="shared" si="2"/>
        <v>564.96528000000001</v>
      </c>
      <c r="R24" s="343">
        <f t="shared" si="3"/>
        <v>461.37600000000003</v>
      </c>
      <c r="S24" s="343">
        <f t="shared" si="4"/>
        <v>297.49503258094114</v>
      </c>
      <c r="T24" s="343">
        <f t="shared" si="8"/>
        <v>5997.2915019425873</v>
      </c>
      <c r="U24" s="345">
        <f t="shared" si="9"/>
        <v>11.994583003885174</v>
      </c>
    </row>
    <row r="25" spans="1:21" x14ac:dyDescent="0.25">
      <c r="A25"/>
      <c r="B25"/>
      <c r="C25"/>
      <c r="D25"/>
      <c r="E25"/>
      <c r="F25"/>
      <c r="G25"/>
      <c r="H25"/>
      <c r="J25" s="339">
        <f t="shared" si="0"/>
        <v>0.17647058823529413</v>
      </c>
      <c r="K25" s="340">
        <f t="shared" si="10"/>
        <v>1.1764705882352942</v>
      </c>
      <c r="L25" s="341">
        <v>0.15</v>
      </c>
      <c r="M25" s="343">
        <f t="shared" si="5"/>
        <v>7024.188269272222</v>
      </c>
      <c r="N25" s="346">
        <f t="shared" si="6"/>
        <v>0.15000000000000002</v>
      </c>
      <c r="O25" s="339">
        <f t="shared" si="7"/>
        <v>0.17647058823529416</v>
      </c>
      <c r="P25" s="343">
        <f t="shared" si="1"/>
        <v>174.37199999999999</v>
      </c>
      <c r="Q25" s="344">
        <f t="shared" si="2"/>
        <v>533.57832000000008</v>
      </c>
      <c r="R25" s="343">
        <f t="shared" si="3"/>
        <v>435.74400000000003</v>
      </c>
      <c r="S25" s="343">
        <f t="shared" si="4"/>
        <v>280.96753077088891</v>
      </c>
      <c r="T25" s="343">
        <f t="shared" si="8"/>
        <v>5599.526418501333</v>
      </c>
      <c r="U25" s="345">
        <f t="shared" si="9"/>
        <v>11.199052837002666</v>
      </c>
    </row>
    <row r="26" spans="1:21" x14ac:dyDescent="0.25">
      <c r="A26"/>
      <c r="B26"/>
      <c r="C26"/>
      <c r="D26"/>
      <c r="E26"/>
      <c r="F26"/>
      <c r="G26"/>
      <c r="H26"/>
      <c r="J26" s="339">
        <f t="shared" si="0"/>
        <v>0.25</v>
      </c>
      <c r="K26" s="340">
        <f t="shared" si="10"/>
        <v>1.25</v>
      </c>
      <c r="L26" s="341">
        <v>0.2</v>
      </c>
      <c r="M26" s="343">
        <f t="shared" si="5"/>
        <v>6611.0007240209152</v>
      </c>
      <c r="N26" s="346">
        <f t="shared" si="6"/>
        <v>0.19999999999999996</v>
      </c>
      <c r="O26" s="339">
        <f t="shared" si="7"/>
        <v>0.25</v>
      </c>
      <c r="P26" s="343">
        <f t="shared" si="1"/>
        <v>232.49600000000001</v>
      </c>
      <c r="Q26" s="344">
        <f t="shared" si="2"/>
        <v>502.19136000000009</v>
      </c>
      <c r="R26" s="343">
        <f t="shared" si="3"/>
        <v>410.11200000000002</v>
      </c>
      <c r="S26" s="343">
        <f t="shared" si="4"/>
        <v>264.44002896083663</v>
      </c>
      <c r="T26" s="343">
        <f t="shared" si="8"/>
        <v>5201.7613350600786</v>
      </c>
      <c r="U26" s="345">
        <f t="shared" si="9"/>
        <v>10.403522670120157</v>
      </c>
    </row>
    <row r="27" spans="1:21" x14ac:dyDescent="0.25">
      <c r="A27"/>
      <c r="B27"/>
      <c r="C27"/>
      <c r="D27"/>
      <c r="E27"/>
      <c r="F27"/>
      <c r="G27"/>
      <c r="H27"/>
      <c r="J27" s="339">
        <f t="shared" si="0"/>
        <v>0.33333333333333331</v>
      </c>
      <c r="K27" s="340">
        <f t="shared" si="10"/>
        <v>1.3333333333333333</v>
      </c>
      <c r="L27" s="341">
        <v>0.25</v>
      </c>
      <c r="M27" s="343">
        <f t="shared" si="5"/>
        <v>6197.8131787696075</v>
      </c>
      <c r="N27" s="346">
        <f t="shared" si="6"/>
        <v>0.25</v>
      </c>
      <c r="O27" s="339">
        <f t="shared" si="7"/>
        <v>0.33333333333333326</v>
      </c>
      <c r="P27" s="343">
        <f t="shared" si="1"/>
        <v>290.62</v>
      </c>
      <c r="Q27" s="344">
        <f t="shared" si="2"/>
        <v>470.80440000000004</v>
      </c>
      <c r="R27" s="343">
        <f t="shared" si="3"/>
        <v>384.48</v>
      </c>
      <c r="S27" s="343">
        <f t="shared" si="4"/>
        <v>247.91252715078431</v>
      </c>
      <c r="T27" s="343">
        <f t="shared" si="8"/>
        <v>4803.9962516188225</v>
      </c>
      <c r="U27" s="345">
        <f t="shared" si="9"/>
        <v>9.6079925032376448</v>
      </c>
    </row>
    <row r="28" spans="1:21" x14ac:dyDescent="0.25">
      <c r="A28"/>
      <c r="B28"/>
      <c r="C28"/>
      <c r="D28"/>
      <c r="E28"/>
      <c r="F28"/>
      <c r="G28"/>
      <c r="H28"/>
      <c r="J28" s="339">
        <f t="shared" si="0"/>
        <v>0.4285714285714286</v>
      </c>
      <c r="K28" s="340">
        <f t="shared" si="10"/>
        <v>1.4285714285714286</v>
      </c>
      <c r="L28" s="341">
        <v>0.3</v>
      </c>
      <c r="M28" s="343">
        <f t="shared" si="5"/>
        <v>5784.6256335182998</v>
      </c>
      <c r="N28" s="346">
        <f t="shared" si="6"/>
        <v>0.30000000000000004</v>
      </c>
      <c r="O28" s="339">
        <f t="shared" si="7"/>
        <v>0.4285714285714286</v>
      </c>
      <c r="P28" s="343">
        <f t="shared" si="1"/>
        <v>348.74399999999997</v>
      </c>
      <c r="Q28" s="344">
        <f t="shared" si="2"/>
        <v>439.41744</v>
      </c>
      <c r="R28" s="343">
        <f t="shared" si="3"/>
        <v>358.84800000000001</v>
      </c>
      <c r="S28" s="343">
        <f t="shared" si="4"/>
        <v>231.385025340732</v>
      </c>
      <c r="T28" s="343">
        <f t="shared" si="8"/>
        <v>4406.2311681775682</v>
      </c>
      <c r="U28" s="345">
        <f t="shared" si="9"/>
        <v>8.8124623363551375</v>
      </c>
    </row>
    <row r="29" spans="1:21" x14ac:dyDescent="0.25">
      <c r="A29"/>
      <c r="B29"/>
      <c r="C29"/>
      <c r="D29"/>
      <c r="E29"/>
      <c r="F29"/>
      <c r="G29"/>
      <c r="H29"/>
      <c r="J29" s="339">
        <f t="shared" si="0"/>
        <v>0.53846153846153844</v>
      </c>
      <c r="K29" s="340">
        <f t="shared" si="10"/>
        <v>1.5384615384615383</v>
      </c>
      <c r="L29" s="341">
        <v>0.35</v>
      </c>
      <c r="M29" s="343">
        <f t="shared" si="5"/>
        <v>5371.438088266993</v>
      </c>
      <c r="N29" s="346">
        <f t="shared" si="6"/>
        <v>0.35</v>
      </c>
      <c r="O29" s="339">
        <f t="shared" si="7"/>
        <v>0.53846153846153855</v>
      </c>
      <c r="P29" s="343">
        <f t="shared" si="1"/>
        <v>406.86799999999999</v>
      </c>
      <c r="Q29" s="344">
        <f t="shared" si="2"/>
        <v>408.03048000000007</v>
      </c>
      <c r="R29" s="343">
        <f t="shared" si="3"/>
        <v>333.21600000000001</v>
      </c>
      <c r="S29" s="343">
        <f t="shared" si="4"/>
        <v>214.85752353067971</v>
      </c>
      <c r="T29" s="343">
        <f t="shared" si="8"/>
        <v>4008.466084736313</v>
      </c>
      <c r="U29" s="345">
        <f t="shared" si="9"/>
        <v>8.016932169472625</v>
      </c>
    </row>
    <row r="30" spans="1:21" x14ac:dyDescent="0.25">
      <c r="A30"/>
      <c r="B30"/>
      <c r="C30"/>
      <c r="D30"/>
      <c r="E30"/>
      <c r="F30"/>
      <c r="G30"/>
      <c r="H30"/>
      <c r="J30" s="339">
        <f t="shared" si="0"/>
        <v>0.66666666666666674</v>
      </c>
      <c r="K30" s="340">
        <f t="shared" si="10"/>
        <v>1.6666666666666667</v>
      </c>
      <c r="L30" s="341">
        <v>0.4</v>
      </c>
      <c r="M30" s="343">
        <f t="shared" si="5"/>
        <v>4958.2505430156862</v>
      </c>
      <c r="N30" s="346">
        <f t="shared" si="6"/>
        <v>0.4</v>
      </c>
      <c r="O30" s="339">
        <f t="shared" si="7"/>
        <v>0.66666666666666652</v>
      </c>
      <c r="P30" s="343">
        <f t="shared" si="1"/>
        <v>464.99200000000002</v>
      </c>
      <c r="Q30" s="344">
        <f t="shared" si="2"/>
        <v>376.64352000000002</v>
      </c>
      <c r="R30" s="343">
        <f t="shared" si="3"/>
        <v>307.584</v>
      </c>
      <c r="S30" s="343">
        <f t="shared" si="4"/>
        <v>198.33002172062746</v>
      </c>
      <c r="T30" s="343">
        <f t="shared" si="8"/>
        <v>3610.7010012950586</v>
      </c>
      <c r="U30" s="345">
        <f t="shared" si="9"/>
        <v>7.2214020025901169</v>
      </c>
    </row>
    <row r="31" spans="1:21" x14ac:dyDescent="0.25">
      <c r="A31"/>
      <c r="B31"/>
      <c r="C31"/>
      <c r="D31"/>
      <c r="E31"/>
      <c r="F31"/>
      <c r="G31"/>
      <c r="H31"/>
      <c r="J31" s="339">
        <f t="shared" si="0"/>
        <v>0.81818181818181812</v>
      </c>
      <c r="K31" s="340">
        <f t="shared" si="10"/>
        <v>1.8181818181818181</v>
      </c>
      <c r="L31" s="341">
        <v>0.45</v>
      </c>
      <c r="M31" s="343">
        <f t="shared" si="5"/>
        <v>4545.0629977643794</v>
      </c>
      <c r="N31" s="346">
        <f t="shared" si="6"/>
        <v>0.44999999999999996</v>
      </c>
      <c r="O31" s="339">
        <f t="shared" si="7"/>
        <v>0.8181818181818179</v>
      </c>
      <c r="P31" s="343">
        <f t="shared" si="1"/>
        <v>523.11599999999999</v>
      </c>
      <c r="Q31" s="344">
        <f t="shared" si="2"/>
        <v>345.25656000000004</v>
      </c>
      <c r="R31" s="343">
        <f t="shared" si="3"/>
        <v>281.952</v>
      </c>
      <c r="S31" s="343">
        <f t="shared" si="4"/>
        <v>181.80251991057517</v>
      </c>
      <c r="T31" s="343">
        <f t="shared" si="8"/>
        <v>3212.9359178538043</v>
      </c>
      <c r="U31" s="345">
        <f t="shared" si="9"/>
        <v>6.4258718357076088</v>
      </c>
    </row>
    <row r="32" spans="1:21" x14ac:dyDescent="0.25">
      <c r="A32"/>
      <c r="B32"/>
      <c r="C32"/>
      <c r="D32"/>
      <c r="E32"/>
      <c r="F32"/>
      <c r="G32"/>
      <c r="H32"/>
      <c r="J32" s="339">
        <f t="shared" si="0"/>
        <v>1</v>
      </c>
      <c r="K32" s="340">
        <f t="shared" si="10"/>
        <v>2</v>
      </c>
      <c r="L32" s="341">
        <v>0.5</v>
      </c>
      <c r="M32" s="343">
        <f t="shared" si="5"/>
        <v>4131.8754525130717</v>
      </c>
      <c r="N32" s="346">
        <f t="shared" si="6"/>
        <v>0.5</v>
      </c>
      <c r="O32" s="339">
        <f t="shared" si="7"/>
        <v>1</v>
      </c>
      <c r="P32" s="343">
        <f t="shared" si="1"/>
        <v>581.24</v>
      </c>
      <c r="Q32" s="344">
        <f t="shared" si="2"/>
        <v>313.86960000000005</v>
      </c>
      <c r="R32" s="343">
        <f t="shared" si="3"/>
        <v>256.32</v>
      </c>
      <c r="S32" s="343">
        <f t="shared" si="4"/>
        <v>165.27501810052286</v>
      </c>
      <c r="T32" s="343">
        <f t="shared" si="8"/>
        <v>2815.1708344125491</v>
      </c>
      <c r="U32" s="345">
        <f t="shared" si="9"/>
        <v>5.630341668825098</v>
      </c>
    </row>
    <row r="33" spans="1:21" x14ac:dyDescent="0.25">
      <c r="A33"/>
      <c r="B33"/>
      <c r="C33"/>
      <c r="D33"/>
      <c r="E33"/>
      <c r="F33"/>
      <c r="G33"/>
      <c r="H33"/>
      <c r="J33" s="339">
        <f t="shared" si="0"/>
        <v>1.2222222222222225</v>
      </c>
      <c r="K33" s="340">
        <f t="shared" si="10"/>
        <v>2.2222222222222223</v>
      </c>
      <c r="L33" s="341">
        <v>0.55000000000000004</v>
      </c>
      <c r="M33" s="343">
        <f t="shared" si="5"/>
        <v>3718.6879072617639</v>
      </c>
      <c r="N33" s="346">
        <f t="shared" si="6"/>
        <v>0.55000000000000004</v>
      </c>
      <c r="O33" s="339">
        <f t="shared" si="7"/>
        <v>1.2222222222222228</v>
      </c>
      <c r="P33" s="343">
        <f t="shared" si="1"/>
        <v>639.36400000000003</v>
      </c>
      <c r="Q33" s="344">
        <f t="shared" si="2"/>
        <v>282.48264</v>
      </c>
      <c r="R33" s="343">
        <f t="shared" si="3"/>
        <v>230.68799999999999</v>
      </c>
      <c r="S33" s="343">
        <f t="shared" si="4"/>
        <v>148.74751629047057</v>
      </c>
      <c r="T33" s="343">
        <f t="shared" si="8"/>
        <v>2417.4057509712934</v>
      </c>
      <c r="U33" s="345">
        <f t="shared" si="9"/>
        <v>4.8348115019425872</v>
      </c>
    </row>
    <row r="34" spans="1:21" x14ac:dyDescent="0.25">
      <c r="A34"/>
      <c r="B34"/>
      <c r="C34"/>
      <c r="D34"/>
      <c r="E34"/>
      <c r="F34"/>
      <c r="G34"/>
      <c r="H34"/>
      <c r="I34" s="330" t="s">
        <v>2696</v>
      </c>
      <c r="J34" s="347">
        <f>C58</f>
        <v>0.41493098097561693</v>
      </c>
      <c r="K34" s="348">
        <f t="shared" si="10"/>
        <v>1.414930980975617</v>
      </c>
      <c r="L34" s="347">
        <f t="shared" ref="L34:L40" si="11">J34/(1+J34)</f>
        <v>0.29325174623677797</v>
      </c>
      <c r="M34" s="349">
        <f t="shared" si="5"/>
        <v>5840.3915216614723</v>
      </c>
      <c r="N34" s="347">
        <f t="shared" si="6"/>
        <v>0.29325174623677797</v>
      </c>
      <c r="O34" s="347">
        <f t="shared" si="7"/>
        <v>0.41493098097561698</v>
      </c>
      <c r="P34" s="349">
        <f>L34*(970+(212-Tw)+(0.46*(Ts-212)))</f>
        <v>340.89928996532967</v>
      </c>
      <c r="Q34" s="350">
        <f>0.54*(1-L34)*(970+(212-Tw)+(0.46*(Ts-212)))</f>
        <v>443.65358341872206</v>
      </c>
      <c r="R34" s="349">
        <f>(Ts-Tw)*(1-L34)*((1.44*ExAir)+1.56)</f>
        <v>362.3074248091782</v>
      </c>
      <c r="S34" s="349">
        <f>ConvLoss*M34</f>
        <v>233.61566086645891</v>
      </c>
      <c r="T34" s="349">
        <f>M34-SUM(P34:S34)</f>
        <v>4459.9155626017837</v>
      </c>
      <c r="U34" s="351">
        <f t="shared" si="9"/>
        <v>8.9198311252035669</v>
      </c>
    </row>
    <row r="35" spans="1:21" x14ac:dyDescent="0.25">
      <c r="A35"/>
      <c r="B35"/>
      <c r="C35"/>
      <c r="D35"/>
      <c r="E35"/>
      <c r="F35"/>
      <c r="G35"/>
      <c r="H35"/>
      <c r="I35" s="330" t="s">
        <v>2697</v>
      </c>
      <c r="J35" s="352">
        <f>C56</f>
        <v>0.40952190722459647</v>
      </c>
      <c r="K35" s="353">
        <f t="shared" si="10"/>
        <v>1.4095219072245966</v>
      </c>
      <c r="L35" s="352">
        <f t="shared" si="11"/>
        <v>0.29053958304980232</v>
      </c>
      <c r="M35" s="354">
        <f t="shared" si="5"/>
        <v>5862.8041626524209</v>
      </c>
      <c r="N35" s="352">
        <f t="shared" si="6"/>
        <v>0.29053958304980232</v>
      </c>
      <c r="O35" s="352">
        <f t="shared" si="7"/>
        <v>0.40952190722459636</v>
      </c>
      <c r="P35" s="354">
        <f t="shared" si="1"/>
        <v>337.74645450373418</v>
      </c>
      <c r="Q35" s="355">
        <f t="shared" si="2"/>
        <v>445.35611456798358</v>
      </c>
      <c r="R35" s="354">
        <f t="shared" si="3"/>
        <v>363.69778814534936</v>
      </c>
      <c r="S35" s="354">
        <f t="shared" si="4"/>
        <v>234.51216650609683</v>
      </c>
      <c r="T35" s="354">
        <f t="shared" si="8"/>
        <v>4481.4916389292575</v>
      </c>
      <c r="U35" s="356">
        <f t="shared" si="9"/>
        <v>8.9629832778585143</v>
      </c>
    </row>
    <row r="36" spans="1:21" x14ac:dyDescent="0.25">
      <c r="A36"/>
      <c r="B36"/>
      <c r="C36"/>
      <c r="D36"/>
      <c r="E36"/>
      <c r="F36"/>
      <c r="G36"/>
      <c r="H36"/>
      <c r="I36" s="330" t="s">
        <v>2698</v>
      </c>
      <c r="J36" s="357">
        <f>C57</f>
        <v>0.42135425605495369</v>
      </c>
      <c r="K36" s="358">
        <f t="shared" si="10"/>
        <v>1.4213542560549537</v>
      </c>
      <c r="L36" s="357">
        <f t="shared" si="11"/>
        <v>0.29644562870937285</v>
      </c>
      <c r="M36" s="359">
        <f t="shared" si="5"/>
        <v>5813.9980724880197</v>
      </c>
      <c r="N36" s="357">
        <f t="shared" si="6"/>
        <v>0.29644562870937285</v>
      </c>
      <c r="O36" s="357">
        <f t="shared" si="7"/>
        <v>0.42135425605495347</v>
      </c>
      <c r="P36" s="359">
        <f t="shared" si="1"/>
        <v>344.61211446207176</v>
      </c>
      <c r="Q36" s="360">
        <f t="shared" si="2"/>
        <v>441.64865819048129</v>
      </c>
      <c r="R36" s="359">
        <f t="shared" si="3"/>
        <v>360.67011289842713</v>
      </c>
      <c r="S36" s="359">
        <f t="shared" si="4"/>
        <v>232.55992289952079</v>
      </c>
      <c r="T36" s="359">
        <f t="shared" si="8"/>
        <v>4434.5072640375183</v>
      </c>
      <c r="U36" s="361">
        <f t="shared" si="9"/>
        <v>8.8690145280750379</v>
      </c>
    </row>
    <row r="37" spans="1:21" x14ac:dyDescent="0.25">
      <c r="A37"/>
      <c r="B37"/>
      <c r="C37"/>
      <c r="D37"/>
      <c r="E37"/>
      <c r="F37"/>
      <c r="G37"/>
      <c r="H37"/>
      <c r="I37" s="330" t="s">
        <v>3226</v>
      </c>
      <c r="J37" s="362" t="e">
        <f>#REF!</f>
        <v>#REF!</v>
      </c>
      <c r="K37" s="363" t="e">
        <f t="shared" si="10"/>
        <v>#REF!</v>
      </c>
      <c r="L37" s="364" t="e">
        <f t="shared" si="11"/>
        <v>#REF!</v>
      </c>
      <c r="M37" s="365" t="e">
        <f t="shared" si="5"/>
        <v>#REF!</v>
      </c>
      <c r="N37" s="364" t="e">
        <f t="shared" si="6"/>
        <v>#REF!</v>
      </c>
      <c r="O37" s="364" t="e">
        <f t="shared" si="7"/>
        <v>#REF!</v>
      </c>
      <c r="P37" s="365" t="e">
        <f t="shared" si="1"/>
        <v>#REF!</v>
      </c>
      <c r="Q37" s="366" t="e">
        <f t="shared" si="2"/>
        <v>#REF!</v>
      </c>
      <c r="R37" s="365" t="e">
        <f t="shared" si="3"/>
        <v>#REF!</v>
      </c>
      <c r="S37" s="365" t="e">
        <f t="shared" si="4"/>
        <v>#REF!</v>
      </c>
      <c r="T37" s="365" t="e">
        <f t="shared" si="8"/>
        <v>#REF!</v>
      </c>
      <c r="U37" s="367" t="e">
        <f t="shared" si="9"/>
        <v>#REF!</v>
      </c>
    </row>
    <row r="38" spans="1:21" x14ac:dyDescent="0.25">
      <c r="A38"/>
      <c r="B38"/>
      <c r="C38"/>
      <c r="D38"/>
      <c r="E38"/>
      <c r="F38"/>
      <c r="G38"/>
      <c r="H38"/>
      <c r="I38" s="330" t="s">
        <v>3227</v>
      </c>
      <c r="J38" s="362" t="e">
        <f>#REF!</f>
        <v>#REF!</v>
      </c>
      <c r="K38" s="363" t="e">
        <f>1+J38</f>
        <v>#REF!</v>
      </c>
      <c r="L38" s="364" t="e">
        <f t="shared" si="11"/>
        <v>#REF!</v>
      </c>
      <c r="M38" s="365" t="e">
        <f>$M$22*(1-L38)</f>
        <v>#REF!</v>
      </c>
      <c r="N38" s="364" t="e">
        <f>1-M38/M$22</f>
        <v>#REF!</v>
      </c>
      <c r="O38" s="364" t="e">
        <f>M$22/M38-1</f>
        <v>#REF!</v>
      </c>
      <c r="P38" s="365" t="e">
        <f>L38*(970+(212-Tw)+(0.46*(Ts-212)))</f>
        <v>#REF!</v>
      </c>
      <c r="Q38" s="366" t="e">
        <f>0.54*(1-L38)*(970+(212-Tw)+(0.46*(Ts-212)))</f>
        <v>#REF!</v>
      </c>
      <c r="R38" s="365" t="e">
        <f>(Ts-Tw)*(1-L38)*((1.44*ExAir)+1.56)</f>
        <v>#REF!</v>
      </c>
      <c r="S38" s="365" t="e">
        <f>ConvLoss*M38</f>
        <v>#REF!</v>
      </c>
      <c r="T38" s="365" t="e">
        <f>M38-SUM(P38:S38)</f>
        <v>#REF!</v>
      </c>
      <c r="U38" s="367" t="e">
        <f>T38*2000/1000000</f>
        <v>#REF!</v>
      </c>
    </row>
    <row r="39" spans="1:21" x14ac:dyDescent="0.25">
      <c r="A39"/>
      <c r="B39"/>
      <c r="C39"/>
      <c r="D39"/>
      <c r="E39"/>
      <c r="F39"/>
      <c r="G39"/>
      <c r="H39"/>
      <c r="I39" s="330" t="s">
        <v>2699</v>
      </c>
      <c r="J39" s="632">
        <f>C54</f>
        <v>0.26600000000000001</v>
      </c>
      <c r="K39" s="633">
        <f t="shared" si="10"/>
        <v>1.266</v>
      </c>
      <c r="L39" s="634">
        <f t="shared" si="11"/>
        <v>0.21011058451816747</v>
      </c>
      <c r="M39" s="635">
        <f t="shared" si="5"/>
        <v>6527.4493720585651</v>
      </c>
      <c r="N39" s="634">
        <f t="shared" si="6"/>
        <v>0.21011058451816744</v>
      </c>
      <c r="O39" s="634">
        <f t="shared" si="7"/>
        <v>0.26600000000000001</v>
      </c>
      <c r="P39" s="635">
        <f t="shared" si="1"/>
        <v>244.24935229067933</v>
      </c>
      <c r="Q39" s="636">
        <f t="shared" si="2"/>
        <v>495.84454976303323</v>
      </c>
      <c r="R39" s="635">
        <f t="shared" si="3"/>
        <v>404.92890995260666</v>
      </c>
      <c r="S39" s="635">
        <f t="shared" si="4"/>
        <v>261.09797488234261</v>
      </c>
      <c r="T39" s="635">
        <f t="shared" si="8"/>
        <v>5121.3285851699029</v>
      </c>
      <c r="U39" s="637">
        <f t="shared" si="9"/>
        <v>10.242657170339806</v>
      </c>
    </row>
    <row r="40" spans="1:21" x14ac:dyDescent="0.25">
      <c r="A40"/>
      <c r="B40"/>
      <c r="C40"/>
      <c r="D40"/>
      <c r="E40"/>
      <c r="F40"/>
      <c r="G40"/>
      <c r="H40"/>
      <c r="I40" s="330" t="s">
        <v>3215</v>
      </c>
      <c r="J40" s="368">
        <f>C60</f>
        <v>0.64284753550418072</v>
      </c>
      <c r="K40" s="369">
        <f>1+J40</f>
        <v>1.6428475355041807</v>
      </c>
      <c r="L40" s="370">
        <f t="shared" si="11"/>
        <v>0.39130078818111041</v>
      </c>
      <c r="M40" s="371">
        <f>$M$22*(1-L40)</f>
        <v>5030.1386625570494</v>
      </c>
      <c r="N40" s="370">
        <f>1-M40/M$22</f>
        <v>0.39130078818111036</v>
      </c>
      <c r="O40" s="370">
        <f>M$22/M40-1</f>
        <v>0.6428475355041805</v>
      </c>
      <c r="P40" s="371">
        <f>L40*(970+(212-Tw)+(0.46*(Ts-212)))</f>
        <v>454.87934024477727</v>
      </c>
      <c r="Q40" s="372">
        <f>0.54*(1-L40)*(970+(212-Tw)+(0.46*(Ts-212)))</f>
        <v>382.10435626782038</v>
      </c>
      <c r="R40" s="371">
        <f>(Ts-Tw)*(1-L40)*((1.44*ExAir)+1.56)</f>
        <v>312.0435639468356</v>
      </c>
      <c r="S40" s="371">
        <f>ConvLoss*M40</f>
        <v>201.20554650228198</v>
      </c>
      <c r="T40" s="371">
        <f>M40-SUM(P40:S40)</f>
        <v>3679.9058555953343</v>
      </c>
      <c r="U40" s="373">
        <f>T40*2000/1000000</f>
        <v>7.3598117111906687</v>
      </c>
    </row>
    <row r="41" spans="1:21" x14ac:dyDescent="0.25">
      <c r="A41"/>
      <c r="B41"/>
      <c r="C41"/>
      <c r="D41"/>
      <c r="E41"/>
      <c r="F41"/>
      <c r="G41"/>
      <c r="H41"/>
      <c r="L41" s="330" t="s">
        <v>2700</v>
      </c>
      <c r="M41" s="365">
        <v>6053</v>
      </c>
    </row>
    <row r="42" spans="1:21" ht="12.75" customHeight="1" x14ac:dyDescent="0.25">
      <c r="A42"/>
      <c r="B42"/>
      <c r="C42"/>
      <c r="D42"/>
      <c r="E42"/>
      <c r="F42"/>
      <c r="G42"/>
      <c r="H42"/>
      <c r="I42"/>
      <c r="J42"/>
      <c r="K42"/>
      <c r="L42" s="330" t="s">
        <v>2701</v>
      </c>
      <c r="M42" s="374">
        <f>M39/M41</f>
        <v>1.0783825164478051</v>
      </c>
      <c r="O42" s="345">
        <f>M35*2/1000</f>
        <v>11.725608325304842</v>
      </c>
    </row>
    <row r="43" spans="1:21" ht="12.75" customHeight="1" x14ac:dyDescent="0.25">
      <c r="A43" s="375" t="s">
        <v>2702</v>
      </c>
      <c r="B43"/>
      <c r="C43"/>
      <c r="D43"/>
      <c r="E43"/>
      <c r="F43"/>
      <c r="G43"/>
      <c r="H43"/>
      <c r="I43"/>
      <c r="J43"/>
      <c r="K43"/>
      <c r="L43"/>
      <c r="O43" s="345">
        <f>M36*2/1000</f>
        <v>11.62799614497604</v>
      </c>
    </row>
    <row r="44" spans="1:21" ht="12.75" customHeight="1" x14ac:dyDescent="0.25">
      <c r="A44" s="375"/>
      <c r="B44"/>
      <c r="C44"/>
      <c r="D44"/>
      <c r="E44"/>
      <c r="F44"/>
      <c r="G44"/>
      <c r="H44"/>
      <c r="I44"/>
      <c r="J44"/>
      <c r="K44"/>
      <c r="L44"/>
      <c r="M44" s="376" t="e">
        <f>M22/M37</f>
        <v>#REF!</v>
      </c>
      <c r="O44" s="345" t="e">
        <f>M37*2/1000</f>
        <v>#REF!</v>
      </c>
    </row>
    <row r="45" spans="1:21" ht="12.75" customHeight="1" x14ac:dyDescent="0.25">
      <c r="A45"/>
      <c r="B45"/>
      <c r="C45"/>
      <c r="D45"/>
      <c r="E45"/>
      <c r="F45"/>
      <c r="G45"/>
      <c r="H45"/>
      <c r="I45"/>
      <c r="J45"/>
      <c r="K45"/>
      <c r="L45"/>
      <c r="O45" s="345"/>
      <c r="P45" s="377">
        <v>0.4637005615330928</v>
      </c>
      <c r="Q45" s="377">
        <v>0.35138400532752173</v>
      </c>
      <c r="R45" s="377">
        <v>0.18491543313938538</v>
      </c>
      <c r="S45" s="326" t="s">
        <v>2703</v>
      </c>
    </row>
    <row r="46" spans="1:21" ht="12.75" customHeight="1" x14ac:dyDescent="0.25">
      <c r="A46"/>
      <c r="B46"/>
      <c r="C46"/>
      <c r="D46"/>
      <c r="E46"/>
      <c r="F46"/>
      <c r="G46"/>
      <c r="H46"/>
      <c r="I46"/>
      <c r="J46"/>
      <c r="K46"/>
      <c r="L46"/>
      <c r="P46" s="377">
        <v>0.54623788565977127</v>
      </c>
      <c r="Q46" s="377">
        <v>0.30287510904825726</v>
      </c>
      <c r="R46" s="377">
        <v>0.15088700529197147</v>
      </c>
      <c r="S46" s="326" t="s">
        <v>2704</v>
      </c>
    </row>
    <row r="47" spans="1:21" ht="15.75" x14ac:dyDescent="0.25">
      <c r="A47" s="378" t="s">
        <v>2705</v>
      </c>
      <c r="P47" s="379">
        <v>0.51941238195173123</v>
      </c>
      <c r="Q47" s="379">
        <v>5.941762854144806E-2</v>
      </c>
      <c r="R47" s="379">
        <v>0.42576075550891901</v>
      </c>
      <c r="S47" s="326" t="s">
        <v>2706</v>
      </c>
    </row>
    <row r="48" spans="1:21" x14ac:dyDescent="0.25">
      <c r="P48" s="333" t="s">
        <v>2707</v>
      </c>
      <c r="Q48" s="333" t="s">
        <v>2708</v>
      </c>
      <c r="R48" s="333" t="s">
        <v>9</v>
      </c>
      <c r="S48" s="333" t="s">
        <v>2709</v>
      </c>
    </row>
    <row r="49" spans="1:22" x14ac:dyDescent="0.25">
      <c r="C49" s="337"/>
      <c r="K49" s="333" t="s">
        <v>2710</v>
      </c>
      <c r="L49" s="333" t="s">
        <v>2711</v>
      </c>
      <c r="O49" s="330" t="s">
        <v>2712</v>
      </c>
      <c r="P49" s="380">
        <f>P46</f>
        <v>0.54623788565977127</v>
      </c>
      <c r="Q49" s="380">
        <f>Q46</f>
        <v>0.30287510904825726</v>
      </c>
      <c r="R49" s="380">
        <f>R46</f>
        <v>0.15088700529197147</v>
      </c>
    </row>
    <row r="50" spans="1:22" x14ac:dyDescent="0.25">
      <c r="B50" s="337" t="s">
        <v>2713</v>
      </c>
      <c r="C50" s="337" t="s">
        <v>2714</v>
      </c>
      <c r="D50" s="22">
        <f>$P49*K50</f>
        <v>0.27311894282988564</v>
      </c>
      <c r="E50" s="22">
        <f>$P49*L50</f>
        <v>0.27311894282988564</v>
      </c>
      <c r="F50" s="22">
        <f>$Q49*K50</f>
        <v>0.15143755452412863</v>
      </c>
      <c r="G50" s="22">
        <f>$Q49*L50</f>
        <v>0.15143755452412863</v>
      </c>
      <c r="H50" s="22">
        <f>$R49*K50</f>
        <v>7.5443502645985733E-2</v>
      </c>
      <c r="I50" s="22">
        <f>$R49*L50</f>
        <v>7.5443502645985733E-2</v>
      </c>
      <c r="J50" s="326" t="s">
        <v>2715</v>
      </c>
      <c r="K50" s="381">
        <v>0.5</v>
      </c>
      <c r="L50" s="22">
        <f>1-K50</f>
        <v>0.5</v>
      </c>
      <c r="O50" s="330" t="s">
        <v>2716</v>
      </c>
      <c r="P50" s="382">
        <f>(9490+10310)/2</f>
        <v>9900</v>
      </c>
      <c r="Q50" s="382">
        <v>8890</v>
      </c>
      <c r="R50" s="382">
        <f>AVERAGE(8430,8712,8765,9000)</f>
        <v>8726.75</v>
      </c>
      <c r="S50" s="383">
        <f>SUMPRODUCT(P$49:R$49,P50:R50)</f>
        <v>9417.0679609024555</v>
      </c>
      <c r="T50" s="326" t="s">
        <v>2717</v>
      </c>
      <c r="U50" s="383">
        <f>S50*2000/1000</f>
        <v>18834.135921804911</v>
      </c>
      <c r="V50" s="326" t="s">
        <v>2718</v>
      </c>
    </row>
    <row r="51" spans="1:22" ht="15.75" thickBot="1" x14ac:dyDescent="0.3">
      <c r="A51" s="384" t="s">
        <v>2719</v>
      </c>
      <c r="B51" s="385" t="s">
        <v>2720</v>
      </c>
      <c r="C51" s="385" t="s">
        <v>2709</v>
      </c>
      <c r="D51" s="385" t="s">
        <v>2721</v>
      </c>
      <c r="E51" s="385" t="s">
        <v>2722</v>
      </c>
      <c r="F51" s="385" t="s">
        <v>2723</v>
      </c>
      <c r="G51" s="385" t="s">
        <v>2724</v>
      </c>
      <c r="H51" s="385" t="s">
        <v>2725</v>
      </c>
      <c r="I51" s="385" t="s">
        <v>2726</v>
      </c>
      <c r="O51" s="386" t="s">
        <v>2716</v>
      </c>
      <c r="P51" s="387">
        <v>8126.2553802008606</v>
      </c>
      <c r="Q51" s="387">
        <v>8517.6470588235297</v>
      </c>
      <c r="R51" s="387">
        <v>8251.864125932063</v>
      </c>
      <c r="S51" s="388">
        <f>SUMPRODUCT(P$49:R$49,P51:R51)</f>
        <v>8263.7509050261433</v>
      </c>
      <c r="T51" s="326" t="s">
        <v>2717</v>
      </c>
      <c r="U51" s="388">
        <f>S51*2000/1000</f>
        <v>16527.501810052287</v>
      </c>
      <c r="V51" s="326" t="s">
        <v>2718</v>
      </c>
    </row>
    <row r="52" spans="1:22" ht="15.75" thickTop="1" x14ac:dyDescent="0.25">
      <c r="A52" s="389" t="s">
        <v>2727</v>
      </c>
      <c r="B52" s="390">
        <f>B53</f>
        <v>0.33830983111579521</v>
      </c>
      <c r="C52" s="391">
        <f>SUMPRODUCT(D52:I52,D$50:I$50)</f>
        <v>0.62916068472888009</v>
      </c>
      <c r="D52" s="392">
        <f>$K$54*[6]CCHRCTables!$F$14+$L$54*[6]CCHRCTables!$D$34</f>
        <v>0.51</v>
      </c>
      <c r="E52" s="392">
        <f>$K$54*[6]CCHRCTables!$F$15+$L$54*[6]CCHRCTables!$D$35</f>
        <v>0.58250000000000002</v>
      </c>
      <c r="F52" s="392">
        <f>$K$54*[6]CCHRCTables!$F$16+$L$54*[6]CCHRCTables!$D$36</f>
        <v>0.96499999999999997</v>
      </c>
      <c r="G52" s="392">
        <f>$K$54*[6]CCHRCTables!$F$17+$L$54*[6]CCHRCTables!$D$37</f>
        <v>0.6725000000000001</v>
      </c>
      <c r="H52" s="392">
        <f>$K$54*[6]CCHRCTables!$F$12+$L$54*[6]CCHRCTables!$D$32</f>
        <v>0.51</v>
      </c>
      <c r="I52" s="392">
        <f>$K$54*[6]CCHRCTables!$F$13+$L$54*[6]CCHRCTables!$D$33</f>
        <v>0.58750000000000002</v>
      </c>
      <c r="K52" s="947" t="s">
        <v>2728</v>
      </c>
      <c r="L52" s="947"/>
    </row>
    <row r="53" spans="1:22" x14ac:dyDescent="0.25">
      <c r="A53" s="389" t="s">
        <v>2729</v>
      </c>
      <c r="B53" s="393">
        <v>0.33830983111579521</v>
      </c>
      <c r="C53" s="391">
        <f>SUMPRODUCT(D53:I53,D$50:I$50)</f>
        <v>0.65910067079985035</v>
      </c>
      <c r="D53" s="392">
        <f>$K$54*AVERAGE([6]CCHRCTables!$E$14,[6]CCHRCTables!$F$14)+$L$54*AVERAGE([6]CCHRCTables!$C$34,[6]CCHRCTables!$D$34)</f>
        <v>0.57250000000000001</v>
      </c>
      <c r="E53" s="392">
        <f>$K$54*AVERAGE([6]CCHRCTables!$E$15,[6]CCHRCTables!$F$15)+$L$54*AVERAGE([6]CCHRCTables!$C$35,[6]CCHRCTables!$D$35)</f>
        <v>0.62250000000000005</v>
      </c>
      <c r="F53" s="392">
        <f>$K$54*AVERAGE([6]CCHRCTables!$E$16,[6]CCHRCTables!$F$16)+$L$54*AVERAGE([6]CCHRCTables!$C$36,[6]CCHRCTables!$D$36)</f>
        <v>0.85499999999999998</v>
      </c>
      <c r="G53" s="392">
        <f>$K$54*AVERAGE([6]CCHRCTables!$E$17,[6]CCHRCTables!$F$17)+$L$54*AVERAGE([6]CCHRCTables!$C$37,[6]CCHRCTables!$D$37)</f>
        <v>0.71875</v>
      </c>
      <c r="H53" s="392">
        <f>$K$54*AVERAGE([6]CCHRCTables!$E$12,[6]CCHRCTables!$F$12)+$L$54*AVERAGE([6]CCHRCTables!$C$32,[6]CCHRCTables!$D$32)</f>
        <v>0.59124999999999994</v>
      </c>
      <c r="I53" s="392">
        <f>$K$54*AVERAGE([6]CCHRCTables!$E$13,[6]CCHRCTables!$F$13)+$L$54*AVERAGE([6]CCHRCTables!$C$33,[6]CCHRCTables!$D$33)</f>
        <v>0.65999999999999992</v>
      </c>
      <c r="K53" s="333" t="s">
        <v>2730</v>
      </c>
      <c r="L53" s="333" t="s">
        <v>2731</v>
      </c>
    </row>
    <row r="54" spans="1:22" x14ac:dyDescent="0.25">
      <c r="A54" s="389" t="s">
        <v>2732</v>
      </c>
      <c r="B54" s="394">
        <v>0.51773251318123159</v>
      </c>
      <c r="C54" s="395">
        <v>0.26600000000000001</v>
      </c>
      <c r="D54" s="326" t="s">
        <v>2733</v>
      </c>
      <c r="K54" s="381">
        <v>0.25</v>
      </c>
      <c r="L54" s="22">
        <f>1-K54</f>
        <v>0.75</v>
      </c>
    </row>
    <row r="55" spans="1:22" ht="15.75" thickBot="1" x14ac:dyDescent="0.3">
      <c r="A55" s="396" t="s">
        <v>2734</v>
      </c>
      <c r="B55" s="397">
        <v>0.14395765570297325</v>
      </c>
      <c r="C55" s="398">
        <f>(B52*C52+B54*C54)/SUM(B52:B54)</f>
        <v>0.2935215430744797</v>
      </c>
    </row>
    <row r="56" spans="1:22" ht="15.75" thickTop="1" x14ac:dyDescent="0.25">
      <c r="A56" s="399" t="s">
        <v>2735</v>
      </c>
      <c r="B56" s="395">
        <f>SUM(B52,B54:B55)</f>
        <v>1</v>
      </c>
      <c r="C56" s="400">
        <f>(B52*C52+B$54*C$54)/(B52+B$54)</f>
        <v>0.40952190722459647</v>
      </c>
    </row>
    <row r="57" spans="1:22" x14ac:dyDescent="0.25">
      <c r="A57" s="399" t="s">
        <v>2736</v>
      </c>
      <c r="B57" s="395">
        <f>SUM(B53,B54:B55)</f>
        <v>1</v>
      </c>
      <c r="C57" s="401">
        <f>(B53*C53+B$54*C$54)/(B53+B$54)</f>
        <v>0.42135425605495369</v>
      </c>
    </row>
    <row r="58" spans="1:22" x14ac:dyDescent="0.25">
      <c r="A58" s="399" t="s">
        <v>2737</v>
      </c>
      <c r="C58" s="402">
        <f>(19*C56+16*C57)/35</f>
        <v>0.41493098097561693</v>
      </c>
    </row>
    <row r="59" spans="1:22" x14ac:dyDescent="0.25">
      <c r="A59" s="399" t="s">
        <v>2738</v>
      </c>
      <c r="C59" s="403" t="e">
        <f>(19*K35+16*K36)/35/K37</f>
        <v>#REF!</v>
      </c>
    </row>
    <row r="60" spans="1:22" x14ac:dyDescent="0.25">
      <c r="A60" s="399" t="s">
        <v>3213</v>
      </c>
      <c r="C60" s="630">
        <f>(19*C52+16*C53)/35</f>
        <v>0.64284753550418072</v>
      </c>
    </row>
    <row r="61" spans="1:22" x14ac:dyDescent="0.25">
      <c r="A61" s="399" t="s">
        <v>3214</v>
      </c>
      <c r="C61" s="628" t="e">
        <f>K40/K37</f>
        <v>#REF!</v>
      </c>
    </row>
    <row r="63" spans="1:22" x14ac:dyDescent="0.25">
      <c r="B63" s="337">
        <v>2011</v>
      </c>
      <c r="C63" s="337">
        <v>2012</v>
      </c>
      <c r="D63" s="337">
        <v>2013</v>
      </c>
      <c r="E63" s="337">
        <v>2014</v>
      </c>
      <c r="F63" s="337">
        <v>2015</v>
      </c>
      <c r="G63" s="337" t="s">
        <v>3159</v>
      </c>
      <c r="H63" s="337">
        <v>2013</v>
      </c>
      <c r="I63" s="337">
        <v>2013</v>
      </c>
    </row>
    <row r="64" spans="1:22" x14ac:dyDescent="0.25">
      <c r="B64" s="337" t="s">
        <v>2739</v>
      </c>
      <c r="C64" s="337" t="s">
        <v>2739</v>
      </c>
      <c r="D64" s="337" t="s">
        <v>2739</v>
      </c>
      <c r="E64" s="337" t="s">
        <v>2739</v>
      </c>
      <c r="F64" s="337" t="s">
        <v>2739</v>
      </c>
      <c r="G64" s="337" t="s">
        <v>2739</v>
      </c>
      <c r="H64" s="337" t="s">
        <v>2740</v>
      </c>
      <c r="I64" s="337" t="s">
        <v>2741</v>
      </c>
    </row>
    <row r="65" spans="1:9" ht="15.75" thickBot="1" x14ac:dyDescent="0.3">
      <c r="A65" s="384" t="s">
        <v>2719</v>
      </c>
      <c r="B65" s="385" t="s">
        <v>2742</v>
      </c>
      <c r="C65" s="385" t="s">
        <v>2742</v>
      </c>
      <c r="D65" s="385" t="s">
        <v>2742</v>
      </c>
      <c r="E65" s="385" t="s">
        <v>2742</v>
      </c>
      <c r="F65" s="385" t="s">
        <v>2742</v>
      </c>
      <c r="G65" s="385" t="s">
        <v>2742</v>
      </c>
      <c r="H65" s="385" t="s">
        <v>2742</v>
      </c>
      <c r="I65" s="385" t="s">
        <v>2742</v>
      </c>
    </row>
    <row r="66" spans="1:9" ht="15.75" thickTop="1" x14ac:dyDescent="0.25">
      <c r="A66" s="389" t="s">
        <v>2743</v>
      </c>
      <c r="B66" s="404">
        <v>0.33830983111579521</v>
      </c>
      <c r="C66" s="404">
        <v>0.36087998157670853</v>
      </c>
      <c r="D66" s="404">
        <v>0.35394221563358225</v>
      </c>
      <c r="E66" s="404">
        <v>0.32276959504623765</v>
      </c>
      <c r="F66" s="404">
        <v>0.27169660848578614</v>
      </c>
      <c r="G66" s="404">
        <v>0.33830983111579521</v>
      </c>
      <c r="H66" s="404">
        <v>0.22405532516935692</v>
      </c>
      <c r="I66" s="404">
        <v>0.19900000000000001</v>
      </c>
    </row>
    <row r="67" spans="1:9" x14ac:dyDescent="0.25">
      <c r="A67" s="389" t="s">
        <v>2732</v>
      </c>
      <c r="B67" s="391">
        <v>0.51773251318123159</v>
      </c>
      <c r="C67" s="391">
        <v>0.49128234977521285</v>
      </c>
      <c r="D67" s="391">
        <v>0.47111401999000924</v>
      </c>
      <c r="E67" s="391">
        <v>0.54313759166709985</v>
      </c>
      <c r="F67" s="391">
        <v>0.72830339151421397</v>
      </c>
      <c r="G67" s="391">
        <v>0.51773251318123159</v>
      </c>
      <c r="H67" s="391">
        <v>0.63061092590447232</v>
      </c>
      <c r="I67" s="391">
        <v>0.57799999999999996</v>
      </c>
    </row>
    <row r="68" spans="1:9" ht="15.75" thickBot="1" x14ac:dyDescent="0.3">
      <c r="A68" s="396" t="s">
        <v>2734</v>
      </c>
      <c r="B68" s="398">
        <v>0.14395765570297325</v>
      </c>
      <c r="C68" s="398">
        <v>0.14783766864807882</v>
      </c>
      <c r="D68" s="398">
        <v>0.17494376437640843</v>
      </c>
      <c r="E68" s="398">
        <v>0.13409281328666259</v>
      </c>
      <c r="F68" s="398">
        <v>0</v>
      </c>
      <c r="G68" s="398">
        <v>0.14395765570297325</v>
      </c>
      <c r="H68" s="398">
        <v>0.14533374892617076</v>
      </c>
      <c r="I68" s="398">
        <v>0.223</v>
      </c>
    </row>
    <row r="69" spans="1:9" ht="15.75" thickTop="1" x14ac:dyDescent="0.25">
      <c r="A69" s="326" t="s">
        <v>2515</v>
      </c>
      <c r="B69" s="395">
        <f t="shared" ref="B69:I69" si="12">SUM(B66:B68)</f>
        <v>1</v>
      </c>
      <c r="C69" s="395">
        <f t="shared" si="12"/>
        <v>1.0000000000000002</v>
      </c>
      <c r="D69" s="395">
        <f t="shared" si="12"/>
        <v>1</v>
      </c>
      <c r="E69" s="395">
        <f t="shared" si="12"/>
        <v>1</v>
      </c>
      <c r="F69" s="395">
        <f t="shared" si="12"/>
        <v>1</v>
      </c>
      <c r="G69" s="395">
        <f t="shared" si="12"/>
        <v>1</v>
      </c>
      <c r="H69" s="395">
        <f t="shared" si="12"/>
        <v>1</v>
      </c>
      <c r="I69" s="395">
        <f t="shared" si="12"/>
        <v>0.99999999999999989</v>
      </c>
    </row>
    <row r="71" spans="1:9" x14ac:dyDescent="0.25">
      <c r="A71" s="326" t="s">
        <v>2744</v>
      </c>
    </row>
    <row r="72" spans="1:9" x14ac:dyDescent="0.25">
      <c r="A72" s="389" t="s">
        <v>2743</v>
      </c>
      <c r="B72" s="391">
        <f t="shared" ref="B72:I73" si="13">B66/(B$69-B$68)</f>
        <v>0.39520221560256086</v>
      </c>
      <c r="C72" s="391">
        <f t="shared" si="13"/>
        <v>0.42348736654926639</v>
      </c>
      <c r="D72" s="391">
        <f t="shared" si="13"/>
        <v>0.42899162548122155</v>
      </c>
      <c r="E72" s="391">
        <f t="shared" si="13"/>
        <v>0.37275310795300282</v>
      </c>
      <c r="F72" s="391">
        <f t="shared" si="13"/>
        <v>0.27169660848578614</v>
      </c>
      <c r="G72" s="391">
        <f t="shared" si="13"/>
        <v>0.39520221560256086</v>
      </c>
      <c r="H72" s="391">
        <f t="shared" si="13"/>
        <v>0.2621553441332764</v>
      </c>
      <c r="I72" s="391">
        <f t="shared" si="13"/>
        <v>0.25611325611325614</v>
      </c>
    </row>
    <row r="73" spans="1:9" x14ac:dyDescent="0.25">
      <c r="A73" s="389" t="s">
        <v>2732</v>
      </c>
      <c r="B73" s="391">
        <f t="shared" si="13"/>
        <v>0.60479778439743914</v>
      </c>
      <c r="C73" s="391">
        <f t="shared" si="13"/>
        <v>0.57651263345073356</v>
      </c>
      <c r="D73" s="391">
        <f t="shared" si="13"/>
        <v>0.57100837451877839</v>
      </c>
      <c r="E73" s="391">
        <f t="shared" si="13"/>
        <v>0.62724689204699724</v>
      </c>
      <c r="F73" s="391">
        <f t="shared" si="13"/>
        <v>0.72830339151421397</v>
      </c>
      <c r="G73" s="391">
        <f t="shared" si="13"/>
        <v>0.60479778439743914</v>
      </c>
      <c r="H73" s="391">
        <f t="shared" si="13"/>
        <v>0.73784465586672365</v>
      </c>
      <c r="I73" s="391">
        <f t="shared" si="13"/>
        <v>0.74388674388674392</v>
      </c>
    </row>
    <row r="75" spans="1:9" x14ac:dyDescent="0.25">
      <c r="A75" s="326" t="s">
        <v>2745</v>
      </c>
    </row>
    <row r="76" spans="1:9" x14ac:dyDescent="0.25">
      <c r="A76" s="389" t="s">
        <v>2526</v>
      </c>
      <c r="B76" s="400">
        <v>0.40952190722459647</v>
      </c>
      <c r="C76" s="400">
        <v>0.41979396201006192</v>
      </c>
      <c r="D76" s="400">
        <v>0.42179289245271567</v>
      </c>
      <c r="E76" s="400">
        <v>0.40136927391903066</v>
      </c>
      <c r="F76" s="400">
        <v>0.36466952637621258</v>
      </c>
      <c r="G76" s="400">
        <v>0.40952190722459647</v>
      </c>
      <c r="H76" s="400">
        <v>0.36120451428077593</v>
      </c>
      <c r="I76" s="400">
        <v>0.35901026545823317</v>
      </c>
    </row>
    <row r="77" spans="1:9" x14ac:dyDescent="0.25">
      <c r="A77" s="389" t="s">
        <v>2529</v>
      </c>
      <c r="B77" s="401">
        <v>0.42135425605495369</v>
      </c>
      <c r="C77" s="401">
        <v>0.43247316786577877</v>
      </c>
      <c r="D77" s="401">
        <v>0.43463689574418635</v>
      </c>
      <c r="E77" s="401">
        <v>0.41252949677905443</v>
      </c>
      <c r="F77" s="401">
        <v>0.37280411904980693</v>
      </c>
      <c r="G77" s="401">
        <v>0.42135425605495369</v>
      </c>
      <c r="H77" s="401">
        <v>0.3690534416325566</v>
      </c>
      <c r="I77" s="401">
        <v>0.36667829277885483</v>
      </c>
    </row>
    <row r="78" spans="1:9" x14ac:dyDescent="0.25">
      <c r="A78" s="389" t="s">
        <v>2746</v>
      </c>
      <c r="B78" s="402">
        <v>0.41493098097561693</v>
      </c>
      <c r="C78" s="402">
        <v>0.4255901704012468</v>
      </c>
      <c r="D78" s="402">
        <v>0.42766443681453087</v>
      </c>
      <c r="E78" s="402">
        <v>0.40647109008361298</v>
      </c>
      <c r="F78" s="402">
        <v>0.36838819731271288</v>
      </c>
      <c r="G78" s="402">
        <v>0.41493098097561693</v>
      </c>
      <c r="H78" s="402">
        <v>0.36479259535587566</v>
      </c>
      <c r="I78" s="402">
        <v>0.36251564937623165</v>
      </c>
    </row>
    <row r="79" spans="1:9" x14ac:dyDescent="0.25">
      <c r="A79" s="326" t="s">
        <v>2747</v>
      </c>
      <c r="B79" s="403">
        <v>1.1791091508130143</v>
      </c>
      <c r="C79" s="403">
        <v>1.1879918086677057</v>
      </c>
      <c r="D79" s="403">
        <v>1.189720364012109</v>
      </c>
      <c r="E79" s="403">
        <v>1.172059241736344</v>
      </c>
      <c r="F79" s="403">
        <v>1.1403234977605938</v>
      </c>
      <c r="G79" s="403">
        <v>1.1791091508130143</v>
      </c>
      <c r="H79" s="403">
        <v>1.136830386267573</v>
      </c>
      <c r="I79" s="403">
        <v>1.1354297078135265</v>
      </c>
    </row>
  </sheetData>
  <mergeCells count="4">
    <mergeCell ref="A1:U1"/>
    <mergeCell ref="P19:S19"/>
    <mergeCell ref="T20:U20"/>
    <mergeCell ref="K52:L52"/>
  </mergeCells>
  <printOptions horizontalCentered="1"/>
  <pageMargins left="0.25" right="0.25" top="0.25" bottom="0.25" header="0" footer="0.05"/>
  <pageSetup scale="42" orientation="landscape" r:id="rId1"/>
  <headerFooter alignWithMargins="0">
    <oddFooter>&amp;CBiomass Energy Data Book -- 2010 -- http://cta.ornl.gov/bedb</oddFooter>
  </headerFooter>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L756"/>
  <sheetViews>
    <sheetView workbookViewId="0">
      <selection sqref="A1:O1"/>
    </sheetView>
  </sheetViews>
  <sheetFormatPr defaultColWidth="9.140625" defaultRowHeight="15" x14ac:dyDescent="0.25"/>
  <cols>
    <col min="1" max="1" width="17.140625" style="117" customWidth="1"/>
    <col min="2" max="14" width="15" style="117" customWidth="1"/>
    <col min="15" max="29" width="12.7109375" style="117" customWidth="1"/>
    <col min="30" max="33" width="12.85546875" style="117" customWidth="1"/>
    <col min="34" max="16384" width="9.140625" style="117"/>
  </cols>
  <sheetData>
    <row r="1" spans="1:19" ht="18.75" x14ac:dyDescent="0.3">
      <c r="A1" s="950" t="s">
        <v>3029</v>
      </c>
      <c r="B1" s="950"/>
      <c r="C1" s="950"/>
      <c r="D1" s="950"/>
      <c r="E1" s="950"/>
      <c r="F1" s="950"/>
      <c r="G1" s="950"/>
      <c r="H1" s="950"/>
      <c r="I1" s="950"/>
      <c r="J1" s="950"/>
      <c r="K1" s="950"/>
      <c r="L1" s="950"/>
      <c r="M1" s="950"/>
      <c r="N1" s="950"/>
      <c r="O1" s="950"/>
    </row>
    <row r="2" spans="1:19" x14ac:dyDescent="0.25">
      <c r="C2" s="303"/>
      <c r="G2" s="494" t="s">
        <v>2906</v>
      </c>
      <c r="H2" s="521" t="s">
        <v>2905</v>
      </c>
    </row>
    <row r="3" spans="1:19" ht="15" customHeight="1" x14ac:dyDescent="0.25">
      <c r="G3" s="494" t="s">
        <v>3030</v>
      </c>
      <c r="H3" s="521">
        <v>50</v>
      </c>
      <c r="I3" s="522" t="s">
        <v>3031</v>
      </c>
      <c r="J3" s="298">
        <v>19</v>
      </c>
      <c r="K3" s="522" t="s">
        <v>3032</v>
      </c>
      <c r="L3" s="297">
        <v>0.22619047619047619</v>
      </c>
      <c r="M3" s="522" t="s">
        <v>3033</v>
      </c>
      <c r="N3" s="297">
        <v>0.43181818181818182</v>
      </c>
    </row>
    <row r="4" spans="1:19" ht="15" customHeight="1" x14ac:dyDescent="0.25">
      <c r="A4" s="915" t="s">
        <v>3034</v>
      </c>
      <c r="B4" s="915"/>
      <c r="C4" s="915"/>
      <c r="D4" s="915"/>
      <c r="E4" s="915"/>
      <c r="F4" s="915"/>
      <c r="G4" s="915"/>
      <c r="H4" s="915"/>
      <c r="I4" s="915"/>
      <c r="J4" s="915"/>
      <c r="K4" s="915"/>
      <c r="L4" s="915"/>
      <c r="M4" s="915"/>
      <c r="N4" s="915"/>
    </row>
    <row r="5" spans="1:19" ht="15" customHeight="1" x14ac:dyDescent="0.25">
      <c r="O5" s="296" t="s">
        <v>2977</v>
      </c>
      <c r="P5" s="296" t="s">
        <v>3035</v>
      </c>
    </row>
    <row r="6" spans="1:19" ht="15" customHeight="1" x14ac:dyDescent="0.25">
      <c r="A6" s="302" t="s">
        <v>3036</v>
      </c>
      <c r="B6" s="523" t="s">
        <v>3037</v>
      </c>
      <c r="C6" s="523" t="s">
        <v>3038</v>
      </c>
      <c r="D6" s="523" t="s">
        <v>3039</v>
      </c>
      <c r="E6" s="523" t="s">
        <v>3040</v>
      </c>
      <c r="F6" s="523" t="s">
        <v>2152</v>
      </c>
      <c r="G6" s="523" t="s">
        <v>3041</v>
      </c>
      <c r="H6" s="523" t="s">
        <v>3042</v>
      </c>
      <c r="I6" s="523" t="s">
        <v>2210</v>
      </c>
      <c r="J6" s="523" t="s">
        <v>3043</v>
      </c>
      <c r="K6" s="523" t="s">
        <v>3044</v>
      </c>
      <c r="L6" s="523" t="s">
        <v>2223</v>
      </c>
      <c r="M6" s="523" t="s">
        <v>3045</v>
      </c>
      <c r="N6" s="301" t="s">
        <v>2462</v>
      </c>
      <c r="O6" s="302" t="s">
        <v>2972</v>
      </c>
      <c r="P6" s="302" t="s">
        <v>3046</v>
      </c>
    </row>
    <row r="7" spans="1:19" ht="15" customHeight="1" x14ac:dyDescent="0.25">
      <c r="A7" s="21" t="s">
        <v>3047</v>
      </c>
      <c r="B7" s="344">
        <v>0</v>
      </c>
      <c r="C7" s="344">
        <v>0</v>
      </c>
      <c r="D7" s="344">
        <v>0</v>
      </c>
      <c r="E7" s="344">
        <v>0</v>
      </c>
      <c r="F7" s="344">
        <v>0</v>
      </c>
      <c r="G7" s="344">
        <v>0</v>
      </c>
      <c r="H7" s="344">
        <v>0</v>
      </c>
      <c r="I7" s="344">
        <v>0</v>
      </c>
      <c r="J7" s="344">
        <v>0</v>
      </c>
      <c r="K7" s="344">
        <v>0</v>
      </c>
      <c r="L7" s="344">
        <v>0</v>
      </c>
      <c r="M7" s="344">
        <v>0</v>
      </c>
      <c r="N7" s="312">
        <v>0</v>
      </c>
      <c r="O7" s="303">
        <v>1</v>
      </c>
      <c r="P7" s="524">
        <v>9.5732644831887669E-4</v>
      </c>
    </row>
    <row r="8" spans="1:19" ht="15" customHeight="1" x14ac:dyDescent="0.25">
      <c r="A8" s="21" t="s">
        <v>3048</v>
      </c>
      <c r="B8" s="344">
        <v>183356819.44850639</v>
      </c>
      <c r="C8" s="344">
        <v>0</v>
      </c>
      <c r="D8" s="344">
        <v>0</v>
      </c>
      <c r="E8" s="344">
        <v>0</v>
      </c>
      <c r="F8" s="344">
        <v>0</v>
      </c>
      <c r="G8" s="344">
        <v>0</v>
      </c>
      <c r="H8" s="344">
        <v>0</v>
      </c>
      <c r="I8" s="344">
        <v>0</v>
      </c>
      <c r="J8" s="344">
        <v>0</v>
      </c>
      <c r="K8" s="344">
        <v>0</v>
      </c>
      <c r="L8" s="344">
        <v>0</v>
      </c>
      <c r="M8" s="344">
        <v>0</v>
      </c>
      <c r="N8" s="312">
        <v>183356819.44850639</v>
      </c>
      <c r="O8" s="303">
        <v>3</v>
      </c>
      <c r="P8" s="524">
        <v>2.9009892373299295E-5</v>
      </c>
      <c r="R8" s="606" t="s">
        <v>3261</v>
      </c>
    </row>
    <row r="9" spans="1:19" ht="15" customHeight="1" x14ac:dyDescent="0.25">
      <c r="A9" s="21" t="s">
        <v>3049</v>
      </c>
      <c r="B9" s="344">
        <v>20372979.938722931</v>
      </c>
      <c r="C9" s="344">
        <v>0</v>
      </c>
      <c r="D9" s="344">
        <v>0</v>
      </c>
      <c r="E9" s="344">
        <v>0</v>
      </c>
      <c r="F9" s="344">
        <v>0</v>
      </c>
      <c r="G9" s="344">
        <v>0</v>
      </c>
      <c r="H9" s="344">
        <v>133650000</v>
      </c>
      <c r="I9" s="344">
        <v>0</v>
      </c>
      <c r="J9" s="344">
        <v>0</v>
      </c>
      <c r="K9" s="344">
        <v>0</v>
      </c>
      <c r="L9" s="344">
        <v>0</v>
      </c>
      <c r="M9" s="344">
        <v>0</v>
      </c>
      <c r="N9" s="312">
        <v>154022979.93872294</v>
      </c>
      <c r="O9" s="303">
        <v>1</v>
      </c>
      <c r="P9" s="524">
        <v>2.9009892373299295E-5</v>
      </c>
      <c r="S9" s="117">
        <v>2019</v>
      </c>
    </row>
    <row r="10" spans="1:19" ht="15" customHeight="1" x14ac:dyDescent="0.25">
      <c r="A10" s="21" t="s">
        <v>3050</v>
      </c>
      <c r="B10" s="344">
        <v>81491919.754891723</v>
      </c>
      <c r="C10" s="344">
        <v>0</v>
      </c>
      <c r="D10" s="344">
        <v>0</v>
      </c>
      <c r="E10" s="344">
        <v>0</v>
      </c>
      <c r="F10" s="344">
        <v>0</v>
      </c>
      <c r="G10" s="344">
        <v>0</v>
      </c>
      <c r="H10" s="344">
        <v>0</v>
      </c>
      <c r="I10" s="344">
        <v>0</v>
      </c>
      <c r="J10" s="344">
        <v>13500000</v>
      </c>
      <c r="K10" s="344">
        <v>0</v>
      </c>
      <c r="L10" s="344">
        <v>0</v>
      </c>
      <c r="M10" s="344">
        <v>0</v>
      </c>
      <c r="N10" s="312">
        <v>94991919.754891723</v>
      </c>
      <c r="O10" s="303">
        <v>1</v>
      </c>
      <c r="P10" s="524">
        <v>0</v>
      </c>
    </row>
    <row r="11" spans="1:19" ht="15" customHeight="1" x14ac:dyDescent="0.25">
      <c r="A11" s="21" t="s">
        <v>3051</v>
      </c>
      <c r="B11" s="344">
        <v>142610859.57106051</v>
      </c>
      <c r="C11" s="344">
        <v>0</v>
      </c>
      <c r="D11" s="344">
        <v>0</v>
      </c>
      <c r="E11" s="344">
        <v>0</v>
      </c>
      <c r="F11" s="344">
        <v>0</v>
      </c>
      <c r="G11" s="344">
        <v>0</v>
      </c>
      <c r="H11" s="344">
        <v>216000000</v>
      </c>
      <c r="I11" s="344">
        <v>0</v>
      </c>
      <c r="J11" s="344">
        <v>121500000</v>
      </c>
      <c r="K11" s="344">
        <v>0</v>
      </c>
      <c r="L11" s="344">
        <v>0</v>
      </c>
      <c r="M11" s="344">
        <v>0</v>
      </c>
      <c r="N11" s="312">
        <v>480110859.57106054</v>
      </c>
      <c r="O11" s="303">
        <v>3</v>
      </c>
      <c r="P11" s="524">
        <v>5.8019784746598591E-4</v>
      </c>
    </row>
    <row r="12" spans="1:19" ht="15" customHeight="1" x14ac:dyDescent="0.25">
      <c r="A12" s="21" t="s">
        <v>3052</v>
      </c>
      <c r="B12" s="344">
        <v>0</v>
      </c>
      <c r="C12" s="344">
        <v>0</v>
      </c>
      <c r="D12" s="344">
        <v>0</v>
      </c>
      <c r="E12" s="344">
        <v>0</v>
      </c>
      <c r="F12" s="344">
        <v>81491919.754891723</v>
      </c>
      <c r="G12" s="344">
        <v>0</v>
      </c>
      <c r="H12" s="344">
        <v>108000000</v>
      </c>
      <c r="I12" s="344">
        <v>0</v>
      </c>
      <c r="J12" s="344">
        <v>0</v>
      </c>
      <c r="K12" s="344">
        <v>0</v>
      </c>
      <c r="L12" s="344">
        <v>0</v>
      </c>
      <c r="M12" s="344">
        <v>0</v>
      </c>
      <c r="N12" s="312">
        <v>189491919.75489172</v>
      </c>
      <c r="O12" s="303">
        <v>1</v>
      </c>
      <c r="P12" s="524">
        <v>9.2831655594557744E-4</v>
      </c>
    </row>
    <row r="13" spans="1:19" ht="15" customHeight="1" x14ac:dyDescent="0.25">
      <c r="A13" s="21" t="s">
        <v>3053</v>
      </c>
      <c r="B13" s="344">
        <v>264848739.20339811</v>
      </c>
      <c r="C13" s="344">
        <v>0</v>
      </c>
      <c r="D13" s="344">
        <v>0</v>
      </c>
      <c r="E13" s="344">
        <v>0</v>
      </c>
      <c r="F13" s="344">
        <v>0</v>
      </c>
      <c r="G13" s="344">
        <v>0</v>
      </c>
      <c r="H13" s="344">
        <v>121500000</v>
      </c>
      <c r="I13" s="344">
        <v>0</v>
      </c>
      <c r="J13" s="344">
        <v>22950000</v>
      </c>
      <c r="K13" s="344">
        <v>0</v>
      </c>
      <c r="L13" s="344">
        <v>0</v>
      </c>
      <c r="M13" s="344">
        <v>0</v>
      </c>
      <c r="N13" s="312">
        <v>409298739.20339811</v>
      </c>
      <c r="O13" s="303">
        <v>5</v>
      </c>
      <c r="P13" s="524">
        <v>2.3788111746105424E-3</v>
      </c>
    </row>
    <row r="14" spans="1:19" ht="15" customHeight="1" x14ac:dyDescent="0.25">
      <c r="A14" s="21" t="s">
        <v>3054</v>
      </c>
      <c r="B14" s="344">
        <v>101864899.69361466</v>
      </c>
      <c r="C14" s="344">
        <v>0</v>
      </c>
      <c r="D14" s="344">
        <v>0</v>
      </c>
      <c r="E14" s="344">
        <v>0</v>
      </c>
      <c r="F14" s="344">
        <v>0</v>
      </c>
      <c r="G14" s="344">
        <v>0</v>
      </c>
      <c r="H14" s="344">
        <v>81000000</v>
      </c>
      <c r="I14" s="344">
        <v>6750000</v>
      </c>
      <c r="J14" s="344">
        <v>74250000</v>
      </c>
      <c r="K14" s="344">
        <v>0</v>
      </c>
      <c r="L14" s="344">
        <v>0</v>
      </c>
      <c r="M14" s="344">
        <v>0</v>
      </c>
      <c r="N14" s="312">
        <v>263864899.69361466</v>
      </c>
      <c r="O14" s="303">
        <v>4</v>
      </c>
      <c r="P14" s="524">
        <v>3.3651475153027182E-3</v>
      </c>
    </row>
    <row r="15" spans="1:19" ht="15" customHeight="1" x14ac:dyDescent="0.25">
      <c r="A15" s="21" t="s">
        <v>3055</v>
      </c>
      <c r="B15" s="344">
        <v>488951518.5293504</v>
      </c>
      <c r="C15" s="344">
        <v>0</v>
      </c>
      <c r="D15" s="344">
        <v>0</v>
      </c>
      <c r="E15" s="344">
        <v>0</v>
      </c>
      <c r="F15" s="344">
        <v>0</v>
      </c>
      <c r="G15" s="344">
        <v>0</v>
      </c>
      <c r="H15" s="344">
        <v>742500000</v>
      </c>
      <c r="I15" s="344">
        <v>0</v>
      </c>
      <c r="J15" s="344">
        <v>144450000</v>
      </c>
      <c r="K15" s="344">
        <v>0</v>
      </c>
      <c r="L15" s="344">
        <v>0</v>
      </c>
      <c r="M15" s="344">
        <v>0</v>
      </c>
      <c r="N15" s="312">
        <v>1375901518.5293503</v>
      </c>
      <c r="O15" s="303">
        <v>15</v>
      </c>
      <c r="P15" s="524">
        <v>4.1194047170084996E-3</v>
      </c>
    </row>
    <row r="16" spans="1:19" ht="15" customHeight="1" x14ac:dyDescent="0.25">
      <c r="A16" s="21" t="s">
        <v>3056</v>
      </c>
      <c r="B16" s="344">
        <v>0</v>
      </c>
      <c r="C16" s="344">
        <v>0</v>
      </c>
      <c r="D16" s="344">
        <v>0</v>
      </c>
      <c r="E16" s="344">
        <v>0</v>
      </c>
      <c r="F16" s="344">
        <v>0</v>
      </c>
      <c r="G16" s="344">
        <v>0</v>
      </c>
      <c r="H16" s="344">
        <v>0</v>
      </c>
      <c r="I16" s="344">
        <v>0</v>
      </c>
      <c r="J16" s="344">
        <v>0</v>
      </c>
      <c r="K16" s="344">
        <v>0</v>
      </c>
      <c r="L16" s="344">
        <v>0</v>
      </c>
      <c r="M16" s="344">
        <v>0</v>
      </c>
      <c r="N16" s="312">
        <v>0</v>
      </c>
      <c r="O16" s="303">
        <v>1</v>
      </c>
      <c r="P16" s="524">
        <v>0</v>
      </c>
    </row>
    <row r="17" spans="1:16" ht="15" customHeight="1" x14ac:dyDescent="0.25">
      <c r="A17" s="21" t="s">
        <v>3057</v>
      </c>
      <c r="B17" s="344">
        <v>40745959.877445862</v>
      </c>
      <c r="C17" s="344">
        <v>0</v>
      </c>
      <c r="D17" s="344">
        <v>0</v>
      </c>
      <c r="E17" s="344">
        <v>0</v>
      </c>
      <c r="F17" s="344">
        <v>0</v>
      </c>
      <c r="G17" s="344">
        <v>0</v>
      </c>
      <c r="H17" s="344">
        <v>202500000</v>
      </c>
      <c r="I17" s="344">
        <v>0</v>
      </c>
      <c r="J17" s="344">
        <v>81000000</v>
      </c>
      <c r="K17" s="344">
        <v>0</v>
      </c>
      <c r="L17" s="344">
        <v>0</v>
      </c>
      <c r="M17" s="344">
        <v>0</v>
      </c>
      <c r="N17" s="312">
        <v>324245959.87744588</v>
      </c>
      <c r="O17" s="303">
        <v>3</v>
      </c>
      <c r="P17" s="524">
        <v>3.7132662237823097E-3</v>
      </c>
    </row>
    <row r="18" spans="1:16" ht="15" customHeight="1" x14ac:dyDescent="0.25">
      <c r="A18" s="21" t="s">
        <v>3058</v>
      </c>
      <c r="B18" s="344">
        <v>3078357268.7410345</v>
      </c>
      <c r="C18" s="344">
        <v>128000000</v>
      </c>
      <c r="D18" s="344">
        <v>0</v>
      </c>
      <c r="E18" s="344">
        <v>128000000</v>
      </c>
      <c r="F18" s="344">
        <v>61118939.816168793</v>
      </c>
      <c r="G18" s="344">
        <v>57582557.63063819</v>
      </c>
      <c r="H18" s="344">
        <v>4138283067.417635</v>
      </c>
      <c r="I18" s="344">
        <v>2700000</v>
      </c>
      <c r="J18" s="344">
        <v>637875000</v>
      </c>
      <c r="K18" s="344">
        <v>16220556.745182011</v>
      </c>
      <c r="L18" s="344">
        <v>0</v>
      </c>
      <c r="M18" s="344">
        <v>142857142.85714287</v>
      </c>
      <c r="N18" s="312">
        <v>8390994533.2078009</v>
      </c>
      <c r="O18" s="303">
        <v>67</v>
      </c>
      <c r="P18" s="524">
        <v>1.3083461460357982E-2</v>
      </c>
    </row>
    <row r="19" spans="1:16" ht="15" customHeight="1" x14ac:dyDescent="0.25">
      <c r="A19" s="21" t="s">
        <v>3059</v>
      </c>
      <c r="B19" s="344">
        <v>1120513896.6297612</v>
      </c>
      <c r="C19" s="344">
        <v>0</v>
      </c>
      <c r="D19" s="344">
        <v>81491919.754891723</v>
      </c>
      <c r="E19" s="344">
        <v>0</v>
      </c>
      <c r="F19" s="344">
        <v>0</v>
      </c>
      <c r="G19" s="344">
        <v>0</v>
      </c>
      <c r="H19" s="344">
        <v>1564875000</v>
      </c>
      <c r="I19" s="344">
        <v>1446945.3376205789</v>
      </c>
      <c r="J19" s="344">
        <v>368377813.50482315</v>
      </c>
      <c r="K19" s="344">
        <v>0</v>
      </c>
      <c r="L19" s="344">
        <v>0</v>
      </c>
      <c r="M19" s="344">
        <v>0</v>
      </c>
      <c r="N19" s="312">
        <v>3136705575.227097</v>
      </c>
      <c r="O19" s="303">
        <v>28</v>
      </c>
      <c r="P19" s="524">
        <v>1.9436627890110528E-3</v>
      </c>
    </row>
    <row r="20" spans="1:16" ht="15" customHeight="1" x14ac:dyDescent="0.25">
      <c r="A20" s="21" t="s">
        <v>3060</v>
      </c>
      <c r="B20" s="344">
        <v>348957371.97794235</v>
      </c>
      <c r="C20" s="344">
        <v>0</v>
      </c>
      <c r="D20" s="344">
        <v>0</v>
      </c>
      <c r="E20" s="344">
        <v>0</v>
      </c>
      <c r="F20" s="344">
        <v>0</v>
      </c>
      <c r="G20" s="344">
        <v>0</v>
      </c>
      <c r="H20" s="344">
        <v>1155539420.8126192</v>
      </c>
      <c r="I20" s="344">
        <v>0</v>
      </c>
      <c r="J20" s="344">
        <v>135000000</v>
      </c>
      <c r="K20" s="344">
        <v>0</v>
      </c>
      <c r="L20" s="344">
        <v>0</v>
      </c>
      <c r="M20" s="344">
        <v>0</v>
      </c>
      <c r="N20" s="312">
        <v>1639496792.7905617</v>
      </c>
      <c r="O20" s="303">
        <v>12</v>
      </c>
      <c r="P20" s="524">
        <v>5.1927707348205735E-3</v>
      </c>
    </row>
    <row r="21" spans="1:16" ht="15" customHeight="1" x14ac:dyDescent="0.25">
      <c r="A21" s="21" t="s">
        <v>3061</v>
      </c>
      <c r="B21" s="344">
        <v>61118939.816168793</v>
      </c>
      <c r="C21" s="344">
        <v>0</v>
      </c>
      <c r="D21" s="344">
        <v>0</v>
      </c>
      <c r="E21" s="344">
        <v>0</v>
      </c>
      <c r="F21" s="344">
        <v>0</v>
      </c>
      <c r="G21" s="344">
        <v>0</v>
      </c>
      <c r="H21" s="344">
        <v>0</v>
      </c>
      <c r="I21" s="344">
        <v>0</v>
      </c>
      <c r="J21" s="344">
        <v>33750000</v>
      </c>
      <c r="K21" s="344">
        <v>0</v>
      </c>
      <c r="L21" s="344">
        <v>0</v>
      </c>
      <c r="M21" s="344">
        <v>0</v>
      </c>
      <c r="N21" s="312">
        <v>94868939.816168785</v>
      </c>
      <c r="O21" s="303">
        <v>1</v>
      </c>
      <c r="P21" s="524">
        <v>0</v>
      </c>
    </row>
    <row r="22" spans="1:16" ht="15" customHeight="1" x14ac:dyDescent="0.25">
      <c r="A22" s="21" t="s">
        <v>3062</v>
      </c>
      <c r="B22" s="344">
        <v>814919197.54891729</v>
      </c>
      <c r="C22" s="344">
        <v>0</v>
      </c>
      <c r="D22" s="344">
        <v>0</v>
      </c>
      <c r="E22" s="344">
        <v>0</v>
      </c>
      <c r="F22" s="344">
        <v>0</v>
      </c>
      <c r="G22" s="344">
        <v>28791278.815319095</v>
      </c>
      <c r="H22" s="344">
        <v>1522125000</v>
      </c>
      <c r="I22" s="344">
        <v>0</v>
      </c>
      <c r="J22" s="344">
        <v>36450000</v>
      </c>
      <c r="K22" s="344">
        <v>0</v>
      </c>
      <c r="L22" s="344">
        <v>0</v>
      </c>
      <c r="M22" s="344">
        <v>0</v>
      </c>
      <c r="N22" s="312">
        <v>2402285476.3642364</v>
      </c>
      <c r="O22" s="303">
        <v>15</v>
      </c>
      <c r="P22" s="524">
        <v>4.6415827797278872E-4</v>
      </c>
    </row>
    <row r="23" spans="1:16" ht="15" customHeight="1" x14ac:dyDescent="0.25">
      <c r="A23" s="21" t="s">
        <v>3063</v>
      </c>
      <c r="B23" s="344">
        <v>0</v>
      </c>
      <c r="C23" s="344">
        <v>0</v>
      </c>
      <c r="D23" s="344">
        <v>0</v>
      </c>
      <c r="E23" s="344">
        <v>0</v>
      </c>
      <c r="F23" s="344">
        <v>0</v>
      </c>
      <c r="G23" s="344">
        <v>0</v>
      </c>
      <c r="H23" s="344">
        <v>148500000</v>
      </c>
      <c r="I23" s="344">
        <v>0</v>
      </c>
      <c r="J23" s="344">
        <v>20250000</v>
      </c>
      <c r="K23" s="344">
        <v>0</v>
      </c>
      <c r="L23" s="344">
        <v>0</v>
      </c>
      <c r="M23" s="344">
        <v>0</v>
      </c>
      <c r="N23" s="312">
        <v>168750000</v>
      </c>
      <c r="O23" s="303">
        <v>2</v>
      </c>
      <c r="P23" s="524">
        <v>0</v>
      </c>
    </row>
    <row r="24" spans="1:16" ht="15" customHeight="1" x14ac:dyDescent="0.25">
      <c r="A24" s="21" t="s">
        <v>3064</v>
      </c>
      <c r="B24" s="344">
        <v>366713638.89701277</v>
      </c>
      <c r="C24" s="344">
        <v>97280000</v>
      </c>
      <c r="D24" s="344">
        <v>203729799.38722932</v>
      </c>
      <c r="E24" s="344">
        <v>97280000</v>
      </c>
      <c r="F24" s="344">
        <v>0</v>
      </c>
      <c r="G24" s="344">
        <v>57582557.63063819</v>
      </c>
      <c r="H24" s="344">
        <v>2949036074.4763384</v>
      </c>
      <c r="I24" s="344">
        <v>68175000</v>
      </c>
      <c r="J24" s="344">
        <v>116100000</v>
      </c>
      <c r="K24" s="344">
        <v>0</v>
      </c>
      <c r="L24" s="344">
        <v>0</v>
      </c>
      <c r="M24" s="344">
        <v>0</v>
      </c>
      <c r="N24" s="312">
        <v>3955897070.3912187</v>
      </c>
      <c r="O24" s="303">
        <v>29</v>
      </c>
      <c r="P24" s="524">
        <v>3.5682167619158133E-3</v>
      </c>
    </row>
    <row r="25" spans="1:16" ht="15" customHeight="1" x14ac:dyDescent="0.25">
      <c r="A25" s="21" t="s">
        <v>3065</v>
      </c>
      <c r="B25" s="344">
        <v>1161259856.5072072</v>
      </c>
      <c r="C25" s="344">
        <v>192000000</v>
      </c>
      <c r="D25" s="344">
        <v>122237879.6323376</v>
      </c>
      <c r="E25" s="344">
        <v>192000000</v>
      </c>
      <c r="F25" s="344">
        <v>40745959.877445862</v>
      </c>
      <c r="G25" s="344">
        <v>201538951.70723367</v>
      </c>
      <c r="H25" s="344">
        <v>6992324082.1029415</v>
      </c>
      <c r="I25" s="344">
        <v>40347871.452420697</v>
      </c>
      <c r="J25" s="344">
        <v>336150000</v>
      </c>
      <c r="K25" s="344">
        <v>23790149.892933618</v>
      </c>
      <c r="L25" s="344">
        <v>0</v>
      </c>
      <c r="M25" s="344">
        <v>0</v>
      </c>
      <c r="N25" s="312">
        <v>9302394751.1725197</v>
      </c>
      <c r="O25" s="303">
        <v>74</v>
      </c>
      <c r="P25" s="524">
        <v>3.3825534507266976E-2</v>
      </c>
    </row>
    <row r="26" spans="1:16" ht="15" customHeight="1" x14ac:dyDescent="0.25">
      <c r="A26" s="21" t="s">
        <v>3066</v>
      </c>
      <c r="B26" s="344">
        <v>509324498.46807325</v>
      </c>
      <c r="C26" s="344">
        <v>94400000</v>
      </c>
      <c r="D26" s="344">
        <v>0</v>
      </c>
      <c r="E26" s="344">
        <v>94400000</v>
      </c>
      <c r="F26" s="344">
        <v>0</v>
      </c>
      <c r="G26" s="344">
        <v>0</v>
      </c>
      <c r="H26" s="344">
        <v>2784542972.3502302</v>
      </c>
      <c r="I26" s="344">
        <v>675000</v>
      </c>
      <c r="J26" s="344">
        <v>151150005.47825134</v>
      </c>
      <c r="K26" s="344">
        <v>0</v>
      </c>
      <c r="L26" s="344">
        <v>0</v>
      </c>
      <c r="M26" s="344">
        <v>0</v>
      </c>
      <c r="N26" s="312">
        <v>3634492476.296555</v>
      </c>
      <c r="O26" s="303">
        <v>35</v>
      </c>
      <c r="P26" s="524">
        <v>7.6005918018044157E-3</v>
      </c>
    </row>
    <row r="27" spans="1:16" ht="15" customHeight="1" x14ac:dyDescent="0.25">
      <c r="A27" s="21" t="s">
        <v>3067</v>
      </c>
      <c r="B27" s="344">
        <v>519510988.43743479</v>
      </c>
      <c r="C27" s="344">
        <v>0</v>
      </c>
      <c r="D27" s="344">
        <v>20372979.938722931</v>
      </c>
      <c r="E27" s="344">
        <v>0</v>
      </c>
      <c r="F27" s="344">
        <v>0</v>
      </c>
      <c r="G27" s="344">
        <v>0</v>
      </c>
      <c r="H27" s="344">
        <v>303750000</v>
      </c>
      <c r="I27" s="344">
        <v>0</v>
      </c>
      <c r="J27" s="344">
        <v>94500000</v>
      </c>
      <c r="K27" s="344">
        <v>0</v>
      </c>
      <c r="L27" s="344">
        <v>0</v>
      </c>
      <c r="M27" s="344">
        <v>0</v>
      </c>
      <c r="N27" s="312">
        <v>938133968.37615776</v>
      </c>
      <c r="O27" s="303">
        <v>11</v>
      </c>
      <c r="P27" s="524">
        <v>4.4965333178613905E-3</v>
      </c>
    </row>
    <row r="28" spans="1:16" ht="15" customHeight="1" x14ac:dyDescent="0.25">
      <c r="A28" s="21" t="s">
        <v>3068</v>
      </c>
      <c r="B28" s="344">
        <v>1202005816.3846529</v>
      </c>
      <c r="C28" s="344">
        <v>0</v>
      </c>
      <c r="D28" s="344">
        <v>0</v>
      </c>
      <c r="E28" s="344">
        <v>0</v>
      </c>
      <c r="F28" s="344">
        <v>0</v>
      </c>
      <c r="G28" s="344">
        <v>0</v>
      </c>
      <c r="H28" s="344">
        <v>2993355000</v>
      </c>
      <c r="I28" s="344">
        <v>0</v>
      </c>
      <c r="J28" s="344">
        <v>243675000</v>
      </c>
      <c r="K28" s="344">
        <v>0</v>
      </c>
      <c r="L28" s="344">
        <v>0</v>
      </c>
      <c r="M28" s="344">
        <v>0</v>
      </c>
      <c r="N28" s="312">
        <v>4439035816.3846531</v>
      </c>
      <c r="O28" s="303">
        <v>35</v>
      </c>
      <c r="P28" s="524">
        <v>3.8873255780221055E-3</v>
      </c>
    </row>
    <row r="29" spans="1:16" ht="15" customHeight="1" x14ac:dyDescent="0.25">
      <c r="A29" s="21" t="s">
        <v>3069</v>
      </c>
      <c r="B29" s="344">
        <v>1825419002.5095744</v>
      </c>
      <c r="C29" s="344">
        <v>85420689.655172408</v>
      </c>
      <c r="D29" s="344">
        <v>101864899.69361466</v>
      </c>
      <c r="E29" s="344">
        <v>85420689.655172408</v>
      </c>
      <c r="F29" s="344">
        <v>122237879.6323376</v>
      </c>
      <c r="G29" s="344">
        <v>172747672.89191458</v>
      </c>
      <c r="H29" s="344">
        <v>5494666639.1605911</v>
      </c>
      <c r="I29" s="344">
        <v>0</v>
      </c>
      <c r="J29" s="344">
        <v>156600000</v>
      </c>
      <c r="K29" s="344">
        <v>0</v>
      </c>
      <c r="L29" s="344">
        <v>243200000</v>
      </c>
      <c r="M29" s="344">
        <v>0</v>
      </c>
      <c r="N29" s="312">
        <v>8287577473.1983776</v>
      </c>
      <c r="O29" s="303">
        <v>59</v>
      </c>
      <c r="P29" s="524">
        <v>1.9378608105363928E-2</v>
      </c>
    </row>
    <row r="30" spans="1:16" ht="15" customHeight="1" x14ac:dyDescent="0.25">
      <c r="A30" s="21" t="s">
        <v>3070</v>
      </c>
      <c r="B30" s="344">
        <v>1622467081.098964</v>
      </c>
      <c r="C30" s="344">
        <v>48000000</v>
      </c>
      <c r="D30" s="344">
        <v>0</v>
      </c>
      <c r="E30" s="344">
        <v>48000000</v>
      </c>
      <c r="F30" s="344">
        <v>268443970.95729041</v>
      </c>
      <c r="G30" s="344">
        <v>115165115.26127638</v>
      </c>
      <c r="H30" s="344">
        <v>16726248018.344275</v>
      </c>
      <c r="I30" s="344">
        <v>340875000</v>
      </c>
      <c r="J30" s="344">
        <v>240975000</v>
      </c>
      <c r="K30" s="344">
        <v>194646680.94218415</v>
      </c>
      <c r="L30" s="344">
        <v>15200000</v>
      </c>
      <c r="M30" s="344">
        <v>142857142.85714287</v>
      </c>
      <c r="N30" s="312">
        <v>19762878009.461132</v>
      </c>
      <c r="O30" s="303">
        <v>171</v>
      </c>
      <c r="P30" s="524">
        <v>5.5321864755881758E-2</v>
      </c>
    </row>
    <row r="31" spans="1:16" ht="15" customHeight="1" x14ac:dyDescent="0.25">
      <c r="A31" s="21" t="s">
        <v>3071</v>
      </c>
      <c r="B31" s="344">
        <v>1473415557.9104576</v>
      </c>
      <c r="C31" s="344">
        <v>188800000</v>
      </c>
      <c r="D31" s="344">
        <v>202747489.94861087</v>
      </c>
      <c r="E31" s="344">
        <v>112000000</v>
      </c>
      <c r="F31" s="344">
        <v>96771654.70893392</v>
      </c>
      <c r="G31" s="344">
        <v>0</v>
      </c>
      <c r="H31" s="344">
        <v>5649060475.016223</v>
      </c>
      <c r="I31" s="344">
        <v>47250000</v>
      </c>
      <c r="J31" s="344">
        <v>227475000</v>
      </c>
      <c r="K31" s="344">
        <v>0</v>
      </c>
      <c r="L31" s="344">
        <v>0</v>
      </c>
      <c r="M31" s="344">
        <v>0</v>
      </c>
      <c r="N31" s="312">
        <v>7997520177.5842247</v>
      </c>
      <c r="O31" s="303">
        <v>70</v>
      </c>
      <c r="P31" s="524">
        <v>1.4359896724783151E-2</v>
      </c>
    </row>
    <row r="32" spans="1:16" ht="15" customHeight="1" x14ac:dyDescent="0.25">
      <c r="A32" s="21" t="s">
        <v>3072</v>
      </c>
      <c r="B32" s="344">
        <v>1792822234.6076181</v>
      </c>
      <c r="C32" s="344">
        <v>48000000</v>
      </c>
      <c r="D32" s="344">
        <v>61118939.816168793</v>
      </c>
      <c r="E32" s="344">
        <v>48000000</v>
      </c>
      <c r="F32" s="344">
        <v>40745959.877445862</v>
      </c>
      <c r="G32" s="344">
        <v>28791278.815319095</v>
      </c>
      <c r="H32" s="344">
        <v>4677297972.922245</v>
      </c>
      <c r="I32" s="344">
        <v>37125000</v>
      </c>
      <c r="J32" s="344">
        <v>656100000</v>
      </c>
      <c r="K32" s="344">
        <v>0</v>
      </c>
      <c r="L32" s="344">
        <v>0</v>
      </c>
      <c r="M32" s="344">
        <v>0</v>
      </c>
      <c r="N32" s="312">
        <v>7390001386.0387974</v>
      </c>
      <c r="O32" s="303">
        <v>68</v>
      </c>
      <c r="P32" s="524">
        <v>4.699602564474486E-3</v>
      </c>
    </row>
    <row r="33" spans="1:16" ht="15" customHeight="1" x14ac:dyDescent="0.25">
      <c r="A33" s="21" t="s">
        <v>3073</v>
      </c>
      <c r="B33" s="344">
        <v>285221719.14212102</v>
      </c>
      <c r="C33" s="344">
        <v>0</v>
      </c>
      <c r="D33" s="344">
        <v>0</v>
      </c>
      <c r="E33" s="344">
        <v>0</v>
      </c>
      <c r="F33" s="344">
        <v>0</v>
      </c>
      <c r="G33" s="344">
        <v>0</v>
      </c>
      <c r="H33" s="344">
        <v>568350000</v>
      </c>
      <c r="I33" s="344">
        <v>0</v>
      </c>
      <c r="J33" s="344">
        <v>0</v>
      </c>
      <c r="K33" s="344">
        <v>0</v>
      </c>
      <c r="L33" s="344">
        <v>0</v>
      </c>
      <c r="M33" s="344">
        <v>0</v>
      </c>
      <c r="N33" s="312">
        <v>853571719.14212108</v>
      </c>
      <c r="O33" s="303">
        <v>5</v>
      </c>
      <c r="P33" s="524">
        <v>4.0613849322619015E-4</v>
      </c>
    </row>
    <row r="34" spans="1:16" ht="15" customHeight="1" x14ac:dyDescent="0.25">
      <c r="A34" s="21" t="s">
        <v>3074</v>
      </c>
      <c r="B34" s="344">
        <v>142610859.57106051</v>
      </c>
      <c r="C34" s="344">
        <v>0</v>
      </c>
      <c r="D34" s="344">
        <v>0</v>
      </c>
      <c r="E34" s="344">
        <v>0</v>
      </c>
      <c r="F34" s="344">
        <v>0</v>
      </c>
      <c r="G34" s="344">
        <v>0</v>
      </c>
      <c r="H34" s="344">
        <v>121500000</v>
      </c>
      <c r="I34" s="344">
        <v>0</v>
      </c>
      <c r="J34" s="344">
        <v>0</v>
      </c>
      <c r="K34" s="344">
        <v>0</v>
      </c>
      <c r="L34" s="344">
        <v>0</v>
      </c>
      <c r="M34" s="344">
        <v>0</v>
      </c>
      <c r="N34" s="312">
        <v>264110859.57106051</v>
      </c>
      <c r="O34" s="303">
        <v>1</v>
      </c>
      <c r="P34" s="524">
        <v>8.7029677119897881E-5</v>
      </c>
    </row>
    <row r="35" spans="1:16" ht="15" customHeight="1" x14ac:dyDescent="0.25">
      <c r="A35" s="21" t="s">
        <v>3075</v>
      </c>
      <c r="B35" s="344">
        <v>1560570263.3061767</v>
      </c>
      <c r="C35" s="344">
        <v>123520000</v>
      </c>
      <c r="D35" s="344">
        <v>20372979.938722931</v>
      </c>
      <c r="E35" s="344">
        <v>219520000</v>
      </c>
      <c r="F35" s="344">
        <v>0</v>
      </c>
      <c r="G35" s="344">
        <v>115165115.26127638</v>
      </c>
      <c r="H35" s="344">
        <v>7508240613.973115</v>
      </c>
      <c r="I35" s="344">
        <v>135000</v>
      </c>
      <c r="J35" s="344">
        <v>233550000</v>
      </c>
      <c r="K35" s="344">
        <v>888886509.63597429</v>
      </c>
      <c r="L35" s="344">
        <v>45600000</v>
      </c>
      <c r="M35" s="344">
        <v>47619047.619047619</v>
      </c>
      <c r="N35" s="312">
        <v>10763179529.734312</v>
      </c>
      <c r="O35" s="303">
        <v>108</v>
      </c>
      <c r="P35" s="524">
        <v>4.911374778799571E-2</v>
      </c>
    </row>
    <row r="36" spans="1:16" ht="15" customHeight="1" x14ac:dyDescent="0.25">
      <c r="A36" s="21" t="s">
        <v>3076</v>
      </c>
      <c r="B36" s="344">
        <v>3705845050.8537021</v>
      </c>
      <c r="C36" s="344">
        <v>209600000</v>
      </c>
      <c r="D36" s="344">
        <v>162983839.50978345</v>
      </c>
      <c r="E36" s="344">
        <v>201600000</v>
      </c>
      <c r="F36" s="344">
        <v>101864899.69361466</v>
      </c>
      <c r="G36" s="344">
        <v>201538951.70723367</v>
      </c>
      <c r="H36" s="344">
        <v>30582199974.064938</v>
      </c>
      <c r="I36" s="344">
        <v>139264310.54461181</v>
      </c>
      <c r="J36" s="344">
        <v>450765000</v>
      </c>
      <c r="K36" s="344">
        <v>1416595289.0792289</v>
      </c>
      <c r="L36" s="344">
        <v>0</v>
      </c>
      <c r="M36" s="344">
        <v>619047619.0476191</v>
      </c>
      <c r="N36" s="312">
        <v>37791304934.500732</v>
      </c>
      <c r="O36" s="303">
        <v>326</v>
      </c>
      <c r="P36" s="524">
        <v>9.8836703315830693E-2</v>
      </c>
    </row>
    <row r="37" spans="1:16" ht="15" customHeight="1" x14ac:dyDescent="0.25">
      <c r="A37" s="21" t="s">
        <v>3077</v>
      </c>
      <c r="B37" s="344">
        <v>3500035028.2312369</v>
      </c>
      <c r="C37" s="344">
        <v>117357706.68882428</v>
      </c>
      <c r="D37" s="344">
        <v>305594699.08084399</v>
      </c>
      <c r="E37" s="344">
        <v>137357706.6888243</v>
      </c>
      <c r="F37" s="344">
        <v>213916289.35659081</v>
      </c>
      <c r="G37" s="344">
        <v>115165115.26127638</v>
      </c>
      <c r="H37" s="344">
        <v>11237538417.885317</v>
      </c>
      <c r="I37" s="344">
        <v>8775000</v>
      </c>
      <c r="J37" s="344">
        <v>257290032.15434083</v>
      </c>
      <c r="K37" s="344">
        <v>77858672.376873657</v>
      </c>
      <c r="L37" s="344">
        <v>0</v>
      </c>
      <c r="M37" s="344">
        <v>714285714.28571439</v>
      </c>
      <c r="N37" s="312">
        <v>16685174382.009842</v>
      </c>
      <c r="O37" s="303">
        <v>120</v>
      </c>
      <c r="P37" s="524">
        <v>2.7153259261408141E-2</v>
      </c>
    </row>
    <row r="38" spans="1:16" ht="15" customHeight="1" x14ac:dyDescent="0.25">
      <c r="A38" s="21" t="s">
        <v>3078</v>
      </c>
      <c r="B38" s="344">
        <v>264848739.20339811</v>
      </c>
      <c r="C38" s="344">
        <v>0</v>
      </c>
      <c r="D38" s="344">
        <v>0</v>
      </c>
      <c r="E38" s="344">
        <v>27200000</v>
      </c>
      <c r="F38" s="344">
        <v>0</v>
      </c>
      <c r="G38" s="344">
        <v>28791278.815319095</v>
      </c>
      <c r="H38" s="344">
        <v>222750000</v>
      </c>
      <c r="I38" s="344">
        <v>0</v>
      </c>
      <c r="J38" s="344">
        <v>101250000</v>
      </c>
      <c r="K38" s="344">
        <v>0</v>
      </c>
      <c r="L38" s="344">
        <v>0</v>
      </c>
      <c r="M38" s="344">
        <v>0</v>
      </c>
      <c r="N38" s="312">
        <v>644840018.01871729</v>
      </c>
      <c r="O38" s="303">
        <v>8</v>
      </c>
      <c r="P38" s="524">
        <v>4.1194047170084996E-3</v>
      </c>
    </row>
    <row r="39" spans="1:16" ht="15" customHeight="1" x14ac:dyDescent="0.25">
      <c r="A39" s="21" t="s">
        <v>3079</v>
      </c>
      <c r="B39" s="344">
        <v>488951518.52935034</v>
      </c>
      <c r="C39" s="344">
        <v>0</v>
      </c>
      <c r="D39" s="344">
        <v>0</v>
      </c>
      <c r="E39" s="344">
        <v>0</v>
      </c>
      <c r="F39" s="344">
        <v>0</v>
      </c>
      <c r="G39" s="344">
        <v>0</v>
      </c>
      <c r="H39" s="344">
        <v>745200000</v>
      </c>
      <c r="I39" s="344">
        <v>0</v>
      </c>
      <c r="J39" s="344">
        <v>237600000</v>
      </c>
      <c r="K39" s="344">
        <v>0</v>
      </c>
      <c r="L39" s="344">
        <v>0</v>
      </c>
      <c r="M39" s="344">
        <v>0</v>
      </c>
      <c r="N39" s="312">
        <v>1471751518.5293503</v>
      </c>
      <c r="O39" s="303">
        <v>16</v>
      </c>
      <c r="P39" s="524">
        <v>9.6602941603086655E-3</v>
      </c>
    </row>
    <row r="40" spans="1:16" ht="15" customHeight="1" x14ac:dyDescent="0.25">
      <c r="A40" s="21" t="s">
        <v>3080</v>
      </c>
      <c r="B40" s="344">
        <v>1652907798.8519764</v>
      </c>
      <c r="C40" s="344">
        <v>208000000</v>
      </c>
      <c r="D40" s="344">
        <v>162983839.50978345</v>
      </c>
      <c r="E40" s="344">
        <v>220000000</v>
      </c>
      <c r="F40" s="344">
        <v>40745959.877445862</v>
      </c>
      <c r="G40" s="344">
        <v>86373836.445957288</v>
      </c>
      <c r="H40" s="344">
        <v>14379906141.56428</v>
      </c>
      <c r="I40" s="344">
        <v>488186906.14136732</v>
      </c>
      <c r="J40" s="344">
        <v>462375000</v>
      </c>
      <c r="K40" s="344">
        <v>1381126338.3297644</v>
      </c>
      <c r="L40" s="344">
        <v>32300000</v>
      </c>
      <c r="M40" s="344">
        <v>382857142.85714287</v>
      </c>
      <c r="N40" s="312">
        <v>19497762963.577721</v>
      </c>
      <c r="O40" s="303">
        <v>221</v>
      </c>
      <c r="P40" s="524">
        <v>9.4746308491195502E-2</v>
      </c>
    </row>
    <row r="41" spans="1:16" ht="15" customHeight="1" x14ac:dyDescent="0.25">
      <c r="A41" s="21" t="s">
        <v>3081</v>
      </c>
      <c r="B41" s="344">
        <v>4632241201.7379904</v>
      </c>
      <c r="C41" s="344">
        <v>345600000</v>
      </c>
      <c r="D41" s="344">
        <v>325967679.01956683</v>
      </c>
      <c r="E41" s="344">
        <v>345608000</v>
      </c>
      <c r="F41" s="344">
        <v>331959731.94272065</v>
      </c>
      <c r="G41" s="344">
        <v>143956394.07659546</v>
      </c>
      <c r="H41" s="344">
        <v>52034849414.504837</v>
      </c>
      <c r="I41" s="344">
        <v>166137540.19292605</v>
      </c>
      <c r="J41" s="344">
        <v>1129950000</v>
      </c>
      <c r="K41" s="344">
        <v>452012847.96573877</v>
      </c>
      <c r="L41" s="344">
        <v>257792000</v>
      </c>
      <c r="M41" s="344">
        <v>1661858095.2380953</v>
      </c>
      <c r="N41" s="312">
        <v>61827932904.678467</v>
      </c>
      <c r="O41" s="303">
        <v>621</v>
      </c>
      <c r="P41" s="524">
        <v>0.14467233326564358</v>
      </c>
    </row>
    <row r="42" spans="1:16" ht="15" customHeight="1" x14ac:dyDescent="0.25">
      <c r="A42" s="21" t="s">
        <v>3082</v>
      </c>
      <c r="B42" s="344">
        <v>1241835926.7052205</v>
      </c>
      <c r="C42" s="344">
        <v>0</v>
      </c>
      <c r="D42" s="344">
        <v>61118939.816168793</v>
      </c>
      <c r="E42" s="344">
        <v>0</v>
      </c>
      <c r="F42" s="344">
        <v>270960633.18501496</v>
      </c>
      <c r="G42" s="344">
        <v>172747672.89191458</v>
      </c>
      <c r="H42" s="344">
        <v>5508558875.9329987</v>
      </c>
      <c r="I42" s="344">
        <v>16605000</v>
      </c>
      <c r="J42" s="344">
        <v>537300000</v>
      </c>
      <c r="K42" s="344">
        <v>89753747.323340461</v>
      </c>
      <c r="L42" s="344">
        <v>220400000</v>
      </c>
      <c r="M42" s="344">
        <v>0</v>
      </c>
      <c r="N42" s="312">
        <v>8119280795.8546581</v>
      </c>
      <c r="O42" s="303">
        <v>73</v>
      </c>
      <c r="P42" s="524">
        <v>2.2946824867279742E-2</v>
      </c>
    </row>
    <row r="43" spans="1:16" ht="15" customHeight="1" x14ac:dyDescent="0.25">
      <c r="A43" s="21" t="s">
        <v>3083</v>
      </c>
      <c r="B43" s="344">
        <v>560256948.31488049</v>
      </c>
      <c r="C43" s="344">
        <v>91200000</v>
      </c>
      <c r="D43" s="344">
        <v>0</v>
      </c>
      <c r="E43" s="344">
        <v>91200000</v>
      </c>
      <c r="F43" s="344">
        <v>0</v>
      </c>
      <c r="G43" s="344">
        <v>57582557.63063819</v>
      </c>
      <c r="H43" s="344">
        <v>1800872449.5921915</v>
      </c>
      <c r="I43" s="344">
        <v>0</v>
      </c>
      <c r="J43" s="344">
        <v>81000000</v>
      </c>
      <c r="K43" s="344">
        <v>0</v>
      </c>
      <c r="L43" s="344">
        <v>0</v>
      </c>
      <c r="M43" s="344">
        <v>0</v>
      </c>
      <c r="N43" s="312">
        <v>2682111955.5377102</v>
      </c>
      <c r="O43" s="303">
        <v>26</v>
      </c>
      <c r="P43" s="524">
        <v>9.4862348060688693E-3</v>
      </c>
    </row>
    <row r="44" spans="1:16" ht="15" customHeight="1" x14ac:dyDescent="0.25">
      <c r="A44" s="21" t="s">
        <v>3084</v>
      </c>
      <c r="B44" s="344">
        <v>0</v>
      </c>
      <c r="C44" s="344">
        <v>0</v>
      </c>
      <c r="D44" s="344">
        <v>0</v>
      </c>
      <c r="E44" s="344">
        <v>0</v>
      </c>
      <c r="F44" s="344">
        <v>0</v>
      </c>
      <c r="G44" s="344">
        <v>28791278.815319095</v>
      </c>
      <c r="H44" s="344">
        <v>94500000</v>
      </c>
      <c r="I44" s="344">
        <v>0</v>
      </c>
      <c r="J44" s="344">
        <v>0</v>
      </c>
      <c r="K44" s="344">
        <v>0</v>
      </c>
      <c r="L44" s="344">
        <v>0</v>
      </c>
      <c r="M44" s="344">
        <v>0</v>
      </c>
      <c r="N44" s="312">
        <v>123291278.81531909</v>
      </c>
      <c r="O44" s="303">
        <v>1</v>
      </c>
      <c r="P44" s="524">
        <v>1.1603956949319718E-4</v>
      </c>
    </row>
    <row r="45" spans="1:16" ht="15" customHeight="1" x14ac:dyDescent="0.25">
      <c r="A45" s="21" t="s">
        <v>3085</v>
      </c>
      <c r="B45" s="344">
        <v>20372979.938722931</v>
      </c>
      <c r="C45" s="344">
        <v>0</v>
      </c>
      <c r="D45" s="344">
        <v>0</v>
      </c>
      <c r="E45" s="344">
        <v>0</v>
      </c>
      <c r="F45" s="344">
        <v>0</v>
      </c>
      <c r="G45" s="344">
        <v>0</v>
      </c>
      <c r="H45" s="344">
        <v>0</v>
      </c>
      <c r="I45" s="344">
        <v>0</v>
      </c>
      <c r="J45" s="344">
        <v>67500000</v>
      </c>
      <c r="K45" s="344">
        <v>0</v>
      </c>
      <c r="L45" s="344">
        <v>0</v>
      </c>
      <c r="M45" s="344">
        <v>0</v>
      </c>
      <c r="N45" s="312">
        <v>87872979.938722938</v>
      </c>
      <c r="O45" s="303">
        <v>1</v>
      </c>
      <c r="P45" s="524">
        <v>3.4811870847959153E-4</v>
      </c>
    </row>
    <row r="46" spans="1:16" ht="15" customHeight="1" x14ac:dyDescent="0.25">
      <c r="A46" s="21" t="s">
        <v>3086</v>
      </c>
      <c r="B46" s="344">
        <v>266904728.00455365</v>
      </c>
      <c r="C46" s="344">
        <v>0</v>
      </c>
      <c r="D46" s="344">
        <v>0</v>
      </c>
      <c r="E46" s="344">
        <v>0</v>
      </c>
      <c r="F46" s="344">
        <v>0</v>
      </c>
      <c r="G46" s="344">
        <v>0</v>
      </c>
      <c r="H46" s="344">
        <v>81000000</v>
      </c>
      <c r="I46" s="344">
        <v>0</v>
      </c>
      <c r="J46" s="344">
        <v>94500000</v>
      </c>
      <c r="K46" s="344">
        <v>0</v>
      </c>
      <c r="L46" s="344">
        <v>0</v>
      </c>
      <c r="M46" s="344">
        <v>0</v>
      </c>
      <c r="N46" s="312">
        <v>442404728.00455368</v>
      </c>
      <c r="O46" s="303">
        <v>6</v>
      </c>
      <c r="P46" s="524">
        <v>5.2217806271938729E-4</v>
      </c>
    </row>
    <row r="47" spans="1:16" ht="15" customHeight="1" x14ac:dyDescent="0.25">
      <c r="A47" s="21" t="s">
        <v>3087</v>
      </c>
      <c r="B47" s="344">
        <v>244475759.26467514</v>
      </c>
      <c r="C47" s="344">
        <v>16000000</v>
      </c>
      <c r="D47" s="344">
        <v>0</v>
      </c>
      <c r="E47" s="344">
        <v>16000000</v>
      </c>
      <c r="F47" s="344">
        <v>0</v>
      </c>
      <c r="G47" s="344">
        <v>0</v>
      </c>
      <c r="H47" s="344">
        <v>369900000</v>
      </c>
      <c r="I47" s="344">
        <v>0</v>
      </c>
      <c r="J47" s="344">
        <v>54000000</v>
      </c>
      <c r="K47" s="344">
        <v>0</v>
      </c>
      <c r="L47" s="344">
        <v>0</v>
      </c>
      <c r="M47" s="344">
        <v>0</v>
      </c>
      <c r="N47" s="312">
        <v>700375759.26467514</v>
      </c>
      <c r="O47" s="303">
        <v>10</v>
      </c>
      <c r="P47" s="524">
        <v>0</v>
      </c>
    </row>
    <row r="48" spans="1:16" ht="15" customHeight="1" x14ac:dyDescent="0.25">
      <c r="A48" s="21" t="s">
        <v>3088</v>
      </c>
      <c r="B48" s="344">
        <v>224102779.32595223</v>
      </c>
      <c r="C48" s="344">
        <v>0</v>
      </c>
      <c r="D48" s="344">
        <v>0</v>
      </c>
      <c r="E48" s="344">
        <v>0</v>
      </c>
      <c r="F48" s="344">
        <v>81491919.754891723</v>
      </c>
      <c r="G48" s="344">
        <v>0</v>
      </c>
      <c r="H48" s="344">
        <v>671437113.49314749</v>
      </c>
      <c r="I48" s="344">
        <v>0</v>
      </c>
      <c r="J48" s="344">
        <v>0</v>
      </c>
      <c r="K48" s="344">
        <v>162205567.45182011</v>
      </c>
      <c r="L48" s="344">
        <v>0</v>
      </c>
      <c r="M48" s="344">
        <v>76190476.190476194</v>
      </c>
      <c r="N48" s="312">
        <v>1215427856.2162876</v>
      </c>
      <c r="O48" s="303">
        <v>24</v>
      </c>
      <c r="P48" s="524">
        <v>7.2234632009515248E-3</v>
      </c>
    </row>
    <row r="49" spans="1:16" ht="15" customHeight="1" x14ac:dyDescent="0.25">
      <c r="A49" s="21" t="s">
        <v>3089</v>
      </c>
      <c r="B49" s="344">
        <v>456354750.6273936</v>
      </c>
      <c r="C49" s="344">
        <v>172800000</v>
      </c>
      <c r="D49" s="344">
        <v>203729799.38722932</v>
      </c>
      <c r="E49" s="344">
        <v>172800000</v>
      </c>
      <c r="F49" s="344">
        <v>0</v>
      </c>
      <c r="G49" s="344">
        <v>143956394.07659546</v>
      </c>
      <c r="H49" s="344">
        <v>4428425287.6055517</v>
      </c>
      <c r="I49" s="344">
        <v>675000</v>
      </c>
      <c r="J49" s="344">
        <v>226125000</v>
      </c>
      <c r="K49" s="344">
        <v>30278372.591006421</v>
      </c>
      <c r="L49" s="344">
        <v>0</v>
      </c>
      <c r="M49" s="344">
        <v>19047619.047619049</v>
      </c>
      <c r="N49" s="312">
        <v>5854192223.3353949</v>
      </c>
      <c r="O49" s="303">
        <v>57</v>
      </c>
      <c r="P49" s="524">
        <v>2.8690783557193004E-2</v>
      </c>
    </row>
    <row r="50" spans="1:16" ht="15" customHeight="1" x14ac:dyDescent="0.25">
      <c r="A50" s="21" t="s">
        <v>3090</v>
      </c>
      <c r="B50" s="344">
        <v>855665157.42636311</v>
      </c>
      <c r="C50" s="344">
        <v>0</v>
      </c>
      <c r="D50" s="344">
        <v>81491919.754891723</v>
      </c>
      <c r="E50" s="344">
        <v>0</v>
      </c>
      <c r="F50" s="344">
        <v>61118939.816168793</v>
      </c>
      <c r="G50" s="344">
        <v>28791278.815319095</v>
      </c>
      <c r="H50" s="344">
        <v>3308657641.5826221</v>
      </c>
      <c r="I50" s="344">
        <v>81000000</v>
      </c>
      <c r="J50" s="344">
        <v>628425000</v>
      </c>
      <c r="K50" s="344">
        <v>0</v>
      </c>
      <c r="L50" s="344">
        <v>19760000</v>
      </c>
      <c r="M50" s="344">
        <v>0</v>
      </c>
      <c r="N50" s="312">
        <v>5064909937.3953648</v>
      </c>
      <c r="O50" s="303">
        <v>40</v>
      </c>
      <c r="P50" s="524">
        <v>1.4649995648516144E-2</v>
      </c>
    </row>
    <row r="51" spans="1:16" ht="15" customHeight="1" x14ac:dyDescent="0.25">
      <c r="A51" s="21" t="s">
        <v>3091</v>
      </c>
      <c r="B51" s="344">
        <v>411534194.76220322</v>
      </c>
      <c r="C51" s="344">
        <v>0</v>
      </c>
      <c r="D51" s="344">
        <v>81491919.754891723</v>
      </c>
      <c r="E51" s="344">
        <v>0</v>
      </c>
      <c r="F51" s="344">
        <v>0</v>
      </c>
      <c r="G51" s="344">
        <v>0</v>
      </c>
      <c r="H51" s="344">
        <v>661500000</v>
      </c>
      <c r="I51" s="344">
        <v>0</v>
      </c>
      <c r="J51" s="344">
        <v>94972421.784472764</v>
      </c>
      <c r="K51" s="344">
        <v>0</v>
      </c>
      <c r="L51" s="344">
        <v>0</v>
      </c>
      <c r="M51" s="344">
        <v>0</v>
      </c>
      <c r="N51" s="312">
        <v>1249498536.3015678</v>
      </c>
      <c r="O51" s="303">
        <v>10</v>
      </c>
      <c r="P51" s="524">
        <v>8.3258391111368981E-3</v>
      </c>
    </row>
    <row r="52" spans="1:16" ht="15" customHeight="1" x14ac:dyDescent="0.25">
      <c r="A52" s="21" t="s">
        <v>3092</v>
      </c>
      <c r="B52" s="344">
        <v>203729799.38722932</v>
      </c>
      <c r="C52" s="344">
        <v>0</v>
      </c>
      <c r="D52" s="344">
        <v>0</v>
      </c>
      <c r="E52" s="344">
        <v>0</v>
      </c>
      <c r="F52" s="344">
        <v>0</v>
      </c>
      <c r="G52" s="344">
        <v>28791278.815319095</v>
      </c>
      <c r="H52" s="344">
        <v>0</v>
      </c>
      <c r="I52" s="344">
        <v>0</v>
      </c>
      <c r="J52" s="344">
        <v>0</v>
      </c>
      <c r="K52" s="344">
        <v>0</v>
      </c>
      <c r="L52" s="344">
        <v>0</v>
      </c>
      <c r="M52" s="344">
        <v>0</v>
      </c>
      <c r="N52" s="312">
        <v>232521078.20254841</v>
      </c>
      <c r="O52" s="303">
        <v>2</v>
      </c>
      <c r="P52" s="524">
        <v>1.4504946186649648E-4</v>
      </c>
    </row>
    <row r="53" spans="1:16" ht="15" customHeight="1" x14ac:dyDescent="0.25">
      <c r="A53" s="21" t="s">
        <v>3093</v>
      </c>
      <c r="B53" s="344">
        <v>285221719.14212108</v>
      </c>
      <c r="C53" s="344">
        <v>88000000</v>
      </c>
      <c r="D53" s="344">
        <v>0</v>
      </c>
      <c r="E53" s="344">
        <v>88000000</v>
      </c>
      <c r="F53" s="344">
        <v>0</v>
      </c>
      <c r="G53" s="344">
        <v>57582557.63063819</v>
      </c>
      <c r="H53" s="344">
        <v>1115100000</v>
      </c>
      <c r="I53" s="344">
        <v>0</v>
      </c>
      <c r="J53" s="344">
        <v>0</v>
      </c>
      <c r="K53" s="344">
        <v>0</v>
      </c>
      <c r="L53" s="344">
        <v>91200000</v>
      </c>
      <c r="M53" s="344">
        <v>0</v>
      </c>
      <c r="N53" s="312">
        <v>1725104276.7727592</v>
      </c>
      <c r="O53" s="303">
        <v>16</v>
      </c>
      <c r="P53" s="524">
        <v>4.2934640712482958E-3</v>
      </c>
    </row>
    <row r="54" spans="1:16" ht="15" customHeight="1" x14ac:dyDescent="0.25">
      <c r="A54" s="21" t="s">
        <v>3094</v>
      </c>
      <c r="B54" s="344">
        <v>1831530896.4911914</v>
      </c>
      <c r="C54" s="344">
        <v>213015172.41379312</v>
      </c>
      <c r="D54" s="344">
        <v>183356819.44850639</v>
      </c>
      <c r="E54" s="344">
        <v>213015172.41379312</v>
      </c>
      <c r="F54" s="344">
        <v>81491919.754891723</v>
      </c>
      <c r="G54" s="344">
        <v>287912788.15319091</v>
      </c>
      <c r="H54" s="344">
        <v>8655800806.4516125</v>
      </c>
      <c r="I54" s="344">
        <v>31286210.892236385</v>
      </c>
      <c r="J54" s="344">
        <v>307053376.20578778</v>
      </c>
      <c r="K54" s="344">
        <v>64882226.980728053</v>
      </c>
      <c r="L54" s="344">
        <v>288800000</v>
      </c>
      <c r="M54" s="344">
        <v>37333333.333333336</v>
      </c>
      <c r="N54" s="312">
        <v>12195478722.539066</v>
      </c>
      <c r="O54" s="303">
        <v>96</v>
      </c>
      <c r="P54" s="524">
        <v>3.2491079458095214E-2</v>
      </c>
    </row>
    <row r="55" spans="1:16" ht="15" customHeight="1" x14ac:dyDescent="0.25">
      <c r="A55" s="21" t="s">
        <v>3095</v>
      </c>
      <c r="B55" s="344">
        <v>482710848.8236475</v>
      </c>
      <c r="C55" s="344">
        <v>0</v>
      </c>
      <c r="D55" s="344">
        <v>0</v>
      </c>
      <c r="E55" s="344">
        <v>0</v>
      </c>
      <c r="F55" s="344">
        <v>0</v>
      </c>
      <c r="G55" s="344">
        <v>0</v>
      </c>
      <c r="H55" s="344">
        <v>438750000</v>
      </c>
      <c r="I55" s="344">
        <v>0</v>
      </c>
      <c r="J55" s="344">
        <v>0</v>
      </c>
      <c r="K55" s="344">
        <v>0</v>
      </c>
      <c r="L55" s="344">
        <v>0</v>
      </c>
      <c r="M55" s="344">
        <v>0</v>
      </c>
      <c r="N55" s="312">
        <v>921460848.8236475</v>
      </c>
      <c r="O55" s="303">
        <v>9</v>
      </c>
      <c r="P55" s="524">
        <v>4.2064343941283977E-3</v>
      </c>
    </row>
    <row r="56" spans="1:16" ht="15" customHeight="1" x14ac:dyDescent="0.25">
      <c r="A56" s="21" t="s">
        <v>3096</v>
      </c>
      <c r="B56" s="344">
        <v>423757982.72543699</v>
      </c>
      <c r="C56" s="344">
        <v>32000000</v>
      </c>
      <c r="D56" s="344">
        <v>20372979.938722931</v>
      </c>
      <c r="E56" s="344">
        <v>0</v>
      </c>
      <c r="F56" s="344">
        <v>0</v>
      </c>
      <c r="G56" s="344">
        <v>57582557.63063819</v>
      </c>
      <c r="H56" s="344">
        <v>1762918548.3870969</v>
      </c>
      <c r="I56" s="344">
        <v>5400000</v>
      </c>
      <c r="J56" s="344">
        <v>67500000</v>
      </c>
      <c r="K56" s="344">
        <v>103811563.16916488</v>
      </c>
      <c r="L56" s="344">
        <v>0</v>
      </c>
      <c r="M56" s="344">
        <v>0</v>
      </c>
      <c r="N56" s="312">
        <v>2473343631.8510594</v>
      </c>
      <c r="O56" s="303">
        <v>24</v>
      </c>
      <c r="P56" s="524">
        <v>1.1168808563720229E-2</v>
      </c>
    </row>
    <row r="57" spans="1:16" ht="15" customHeight="1" x14ac:dyDescent="0.25">
      <c r="A57" s="21" t="s">
        <v>3097</v>
      </c>
      <c r="B57" s="344">
        <v>1192206209.9779036</v>
      </c>
      <c r="C57" s="344">
        <v>16000000</v>
      </c>
      <c r="D57" s="344">
        <v>224102779.32595226</v>
      </c>
      <c r="E57" s="344">
        <v>16000000</v>
      </c>
      <c r="F57" s="344">
        <v>86585164.739572451</v>
      </c>
      <c r="G57" s="344">
        <v>0</v>
      </c>
      <c r="H57" s="344">
        <v>3204217667.73844</v>
      </c>
      <c r="I57" s="344">
        <v>40500000</v>
      </c>
      <c r="J57" s="344">
        <v>232875000</v>
      </c>
      <c r="K57" s="344">
        <v>0</v>
      </c>
      <c r="L57" s="344">
        <v>0</v>
      </c>
      <c r="M57" s="344">
        <v>0</v>
      </c>
      <c r="N57" s="312">
        <v>5012486821.781868</v>
      </c>
      <c r="O57" s="303">
        <v>40</v>
      </c>
      <c r="P57" s="524">
        <v>1.4940094572249136E-2</v>
      </c>
    </row>
    <row r="58" spans="1:16" ht="15" customHeight="1" x14ac:dyDescent="0.25">
      <c r="A58" s="21" t="s">
        <v>3098</v>
      </c>
      <c r="B58" s="344">
        <v>81491919.754891723</v>
      </c>
      <c r="C58" s="344">
        <v>9600000</v>
      </c>
      <c r="D58" s="344">
        <v>0</v>
      </c>
      <c r="E58" s="344">
        <v>9600000</v>
      </c>
      <c r="F58" s="344">
        <v>0</v>
      </c>
      <c r="G58" s="344">
        <v>0</v>
      </c>
      <c r="H58" s="344">
        <v>567000000</v>
      </c>
      <c r="I58" s="344">
        <v>0</v>
      </c>
      <c r="J58" s="344">
        <v>81000000</v>
      </c>
      <c r="K58" s="344">
        <v>0</v>
      </c>
      <c r="L58" s="344">
        <v>304000000</v>
      </c>
      <c r="M58" s="344">
        <v>0</v>
      </c>
      <c r="N58" s="312">
        <v>1052691919.7548918</v>
      </c>
      <c r="O58" s="303">
        <v>4</v>
      </c>
      <c r="P58" s="524">
        <v>1.6825737576513591E-3</v>
      </c>
    </row>
    <row r="59" spans="1:16" ht="15" customHeight="1" x14ac:dyDescent="0.25">
      <c r="A59" s="21" t="s">
        <v>3099</v>
      </c>
      <c r="B59" s="344">
        <v>81491919.754891723</v>
      </c>
      <c r="C59" s="344">
        <v>0</v>
      </c>
      <c r="D59" s="344">
        <v>0</v>
      </c>
      <c r="E59" s="344">
        <v>0</v>
      </c>
      <c r="F59" s="344">
        <v>0</v>
      </c>
      <c r="G59" s="344">
        <v>0</v>
      </c>
      <c r="H59" s="344">
        <v>0</v>
      </c>
      <c r="I59" s="344">
        <v>0</v>
      </c>
      <c r="J59" s="344">
        <v>10800000</v>
      </c>
      <c r="K59" s="344">
        <v>0</v>
      </c>
      <c r="L59" s="344">
        <v>0</v>
      </c>
      <c r="M59" s="344">
        <v>0</v>
      </c>
      <c r="N59" s="312">
        <v>92291919.754891723</v>
      </c>
      <c r="O59" s="303">
        <v>1</v>
      </c>
      <c r="P59" s="524">
        <v>0</v>
      </c>
    </row>
    <row r="60" spans="1:16" ht="15" customHeight="1" x14ac:dyDescent="0.25">
      <c r="A60" s="21" t="s">
        <v>3100</v>
      </c>
      <c r="B60" s="344">
        <v>713054297.85530269</v>
      </c>
      <c r="C60" s="344">
        <v>64000000</v>
      </c>
      <c r="D60" s="344">
        <v>0</v>
      </c>
      <c r="E60" s="344">
        <v>64000000</v>
      </c>
      <c r="F60" s="344">
        <v>0</v>
      </c>
      <c r="G60" s="344">
        <v>115165115.26127638</v>
      </c>
      <c r="H60" s="344">
        <v>958500000</v>
      </c>
      <c r="I60" s="344">
        <v>0</v>
      </c>
      <c r="J60" s="344">
        <v>3375000</v>
      </c>
      <c r="K60" s="344">
        <v>0</v>
      </c>
      <c r="L60" s="344">
        <v>13680000</v>
      </c>
      <c r="M60" s="344">
        <v>0</v>
      </c>
      <c r="N60" s="312">
        <v>1931774413.1165791</v>
      </c>
      <c r="O60" s="303">
        <v>17</v>
      </c>
      <c r="P60" s="524">
        <v>8.9930666357227809E-3</v>
      </c>
    </row>
    <row r="61" spans="1:16" ht="15" customHeight="1" x14ac:dyDescent="0.25">
      <c r="A61" s="21" t="s">
        <v>3101</v>
      </c>
      <c r="B61" s="344">
        <v>2070530935.8641784</v>
      </c>
      <c r="C61" s="344">
        <v>473308089.50086057</v>
      </c>
      <c r="D61" s="344">
        <v>0</v>
      </c>
      <c r="E61" s="344">
        <v>425308089.50086057</v>
      </c>
      <c r="F61" s="344">
        <v>101864899.69361466</v>
      </c>
      <c r="G61" s="344">
        <v>403077903.41446733</v>
      </c>
      <c r="H61" s="344">
        <v>8344820835.8351536</v>
      </c>
      <c r="I61" s="344">
        <v>4050000</v>
      </c>
      <c r="J61" s="344">
        <v>445450005.47825134</v>
      </c>
      <c r="K61" s="344">
        <v>0</v>
      </c>
      <c r="L61" s="344">
        <v>0</v>
      </c>
      <c r="M61" s="344">
        <v>0</v>
      </c>
      <c r="N61" s="312">
        <v>12268410759.287386</v>
      </c>
      <c r="O61" s="303">
        <v>96</v>
      </c>
      <c r="P61" s="524">
        <v>2.4803457979170898E-2</v>
      </c>
    </row>
    <row r="62" spans="1:16" ht="15" customHeight="1" x14ac:dyDescent="0.25">
      <c r="A62" s="21" t="s">
        <v>3102</v>
      </c>
      <c r="B62" s="344">
        <v>753800257.73274839</v>
      </c>
      <c r="C62" s="344">
        <v>0</v>
      </c>
      <c r="D62" s="344">
        <v>20372979.938722931</v>
      </c>
      <c r="E62" s="344">
        <v>0</v>
      </c>
      <c r="F62" s="344">
        <v>0</v>
      </c>
      <c r="G62" s="344">
        <v>143956394.07659546</v>
      </c>
      <c r="H62" s="344">
        <v>1289584360.8046722</v>
      </c>
      <c r="I62" s="344">
        <v>1080000</v>
      </c>
      <c r="J62" s="344">
        <v>40500000</v>
      </c>
      <c r="K62" s="344">
        <v>0</v>
      </c>
      <c r="L62" s="344">
        <v>60800000</v>
      </c>
      <c r="M62" s="344">
        <v>0</v>
      </c>
      <c r="N62" s="312">
        <v>2310093992.5527391</v>
      </c>
      <c r="O62" s="303">
        <v>18</v>
      </c>
      <c r="P62" s="524">
        <v>4.4385135331147917E-3</v>
      </c>
    </row>
    <row r="63" spans="1:16" ht="15" customHeight="1" x14ac:dyDescent="0.25">
      <c r="A63" s="21" t="s">
        <v>3103</v>
      </c>
      <c r="B63" s="344">
        <v>855665157.42636323</v>
      </c>
      <c r="C63" s="344">
        <v>0</v>
      </c>
      <c r="D63" s="344">
        <v>0</v>
      </c>
      <c r="E63" s="344">
        <v>0</v>
      </c>
      <c r="F63" s="344">
        <v>40745959.877445862</v>
      </c>
      <c r="G63" s="344">
        <v>86373836.445957288</v>
      </c>
      <c r="H63" s="344">
        <v>2846682304.8387098</v>
      </c>
      <c r="I63" s="344">
        <v>40500000</v>
      </c>
      <c r="J63" s="344">
        <v>172125000</v>
      </c>
      <c r="K63" s="344">
        <v>0</v>
      </c>
      <c r="L63" s="344">
        <v>0</v>
      </c>
      <c r="M63" s="344">
        <v>0</v>
      </c>
      <c r="N63" s="312">
        <v>4042092258.5884762</v>
      </c>
      <c r="O63" s="303">
        <v>36</v>
      </c>
      <c r="P63" s="524">
        <v>4.6125728873545879E-3</v>
      </c>
    </row>
    <row r="64" spans="1:16" ht="15" customHeight="1" x14ac:dyDescent="0.25">
      <c r="A64" s="21" t="s">
        <v>3104</v>
      </c>
      <c r="B64" s="344">
        <v>183356819.44850639</v>
      </c>
      <c r="C64" s="344">
        <v>0</v>
      </c>
      <c r="D64" s="344">
        <v>0</v>
      </c>
      <c r="E64" s="344">
        <v>0</v>
      </c>
      <c r="F64" s="344">
        <v>0</v>
      </c>
      <c r="G64" s="344">
        <v>0</v>
      </c>
      <c r="H64" s="344">
        <v>0</v>
      </c>
      <c r="I64" s="344">
        <v>0</v>
      </c>
      <c r="J64" s="344">
        <v>0</v>
      </c>
      <c r="K64" s="344">
        <v>0</v>
      </c>
      <c r="L64" s="344">
        <v>0</v>
      </c>
      <c r="M64" s="344">
        <v>0</v>
      </c>
      <c r="N64" s="312">
        <v>183356819.44850639</v>
      </c>
      <c r="O64" s="303">
        <v>1</v>
      </c>
      <c r="P64" s="524">
        <v>0</v>
      </c>
    </row>
    <row r="65" spans="1:16" ht="15" customHeight="1" x14ac:dyDescent="0.25">
      <c r="A65" s="21" t="s">
        <v>3105</v>
      </c>
      <c r="B65" s="344">
        <v>1833568194.4850636</v>
      </c>
      <c r="C65" s="344">
        <v>68800000</v>
      </c>
      <c r="D65" s="344">
        <v>177244925.4668895</v>
      </c>
      <c r="E65" s="344">
        <v>68800000</v>
      </c>
      <c r="F65" s="344">
        <v>106958144.67829539</v>
      </c>
      <c r="G65" s="344">
        <v>143956394.07659546</v>
      </c>
      <c r="H65" s="344">
        <v>7513423014.7930517</v>
      </c>
      <c r="I65" s="344">
        <v>6885000</v>
      </c>
      <c r="J65" s="344">
        <v>160650000</v>
      </c>
      <c r="K65" s="344">
        <v>0</v>
      </c>
      <c r="L65" s="344">
        <v>273600000</v>
      </c>
      <c r="M65" s="344">
        <v>0</v>
      </c>
      <c r="N65" s="312">
        <v>10353885673.499895</v>
      </c>
      <c r="O65" s="303">
        <v>85</v>
      </c>
      <c r="P65" s="524">
        <v>3.0779495808070552E-2</v>
      </c>
    </row>
    <row r="66" spans="1:16" ht="15" customHeight="1" x14ac:dyDescent="0.25">
      <c r="A66" s="21" t="s">
        <v>3106</v>
      </c>
      <c r="B66" s="344">
        <v>4364013434.7355099</v>
      </c>
      <c r="C66" s="344">
        <v>150400000</v>
      </c>
      <c r="D66" s="344">
        <v>61118939.816168793</v>
      </c>
      <c r="E66" s="344">
        <v>102400000</v>
      </c>
      <c r="F66" s="344">
        <v>61118939.816168793</v>
      </c>
      <c r="G66" s="344">
        <v>575825576.30638182</v>
      </c>
      <c r="H66" s="344">
        <v>10947283802.97788</v>
      </c>
      <c r="I66" s="344">
        <v>162849193.54838708</v>
      </c>
      <c r="J66" s="344">
        <v>483933337.89854276</v>
      </c>
      <c r="K66" s="344">
        <v>108137044.96788007</v>
      </c>
      <c r="L66" s="344">
        <v>410400000</v>
      </c>
      <c r="M66" s="344">
        <v>0</v>
      </c>
      <c r="N66" s="312">
        <v>17427480270.066921</v>
      </c>
      <c r="O66" s="303">
        <v>123</v>
      </c>
      <c r="P66" s="524">
        <v>2.8777813234312902E-2</v>
      </c>
    </row>
    <row r="67" spans="1:16" ht="15" customHeight="1" x14ac:dyDescent="0.25">
      <c r="A67" s="21" t="s">
        <v>3107</v>
      </c>
      <c r="B67" s="344">
        <v>855665157.42636311</v>
      </c>
      <c r="C67" s="344">
        <v>60413793.103448279</v>
      </c>
      <c r="D67" s="344">
        <v>162983839.50978345</v>
      </c>
      <c r="E67" s="344">
        <v>60413793.103448279</v>
      </c>
      <c r="F67" s="344">
        <v>0</v>
      </c>
      <c r="G67" s="344">
        <v>28791278.815319095</v>
      </c>
      <c r="H67" s="344">
        <v>2947273744.3218689</v>
      </c>
      <c r="I67" s="344">
        <v>0</v>
      </c>
      <c r="J67" s="344">
        <v>0</v>
      </c>
      <c r="K67" s="344">
        <v>0</v>
      </c>
      <c r="L67" s="344">
        <v>0</v>
      </c>
      <c r="M67" s="344">
        <v>0</v>
      </c>
      <c r="N67" s="312">
        <v>4115541606.2802315</v>
      </c>
      <c r="O67" s="303">
        <v>32</v>
      </c>
      <c r="P67" s="524">
        <v>8.9930666357227809E-3</v>
      </c>
    </row>
    <row r="68" spans="1:16" ht="15" customHeight="1" x14ac:dyDescent="0.25">
      <c r="A68" s="21" t="s">
        <v>3108</v>
      </c>
      <c r="B68" s="344">
        <v>649898060.0452615</v>
      </c>
      <c r="C68" s="344">
        <v>76800000</v>
      </c>
      <c r="D68" s="344">
        <v>0</v>
      </c>
      <c r="E68" s="344">
        <v>76800000</v>
      </c>
      <c r="F68" s="344">
        <v>0</v>
      </c>
      <c r="G68" s="344">
        <v>86373836.445957288</v>
      </c>
      <c r="H68" s="344">
        <v>983161855.82191253</v>
      </c>
      <c r="I68" s="344">
        <v>0</v>
      </c>
      <c r="J68" s="344">
        <v>0</v>
      </c>
      <c r="K68" s="344">
        <v>0</v>
      </c>
      <c r="L68" s="344">
        <v>0</v>
      </c>
      <c r="M68" s="344">
        <v>0</v>
      </c>
      <c r="N68" s="312">
        <v>1873033752.3131313</v>
      </c>
      <c r="O68" s="303">
        <v>19</v>
      </c>
      <c r="P68" s="524">
        <v>3.4521771924226163E-3</v>
      </c>
    </row>
    <row r="69" spans="1:16" ht="15" customHeight="1" x14ac:dyDescent="0.25">
      <c r="A69" s="21" t="s">
        <v>3109</v>
      </c>
      <c r="B69" s="344">
        <v>101864899.69361466</v>
      </c>
      <c r="C69" s="344">
        <v>0</v>
      </c>
      <c r="D69" s="344">
        <v>0</v>
      </c>
      <c r="E69" s="344">
        <v>0</v>
      </c>
      <c r="F69" s="344">
        <v>81491919.754891723</v>
      </c>
      <c r="G69" s="344">
        <v>0</v>
      </c>
      <c r="H69" s="344">
        <v>1539000000</v>
      </c>
      <c r="I69" s="344">
        <v>0</v>
      </c>
      <c r="J69" s="344">
        <v>0</v>
      </c>
      <c r="K69" s="344">
        <v>0</v>
      </c>
      <c r="L69" s="344">
        <v>0</v>
      </c>
      <c r="M69" s="344">
        <v>0</v>
      </c>
      <c r="N69" s="312">
        <v>1722356819.4485064</v>
      </c>
      <c r="O69" s="303">
        <v>10</v>
      </c>
      <c r="P69" s="524">
        <v>2.2917814974906443E-3</v>
      </c>
    </row>
    <row r="70" spans="1:16" ht="15" customHeight="1" x14ac:dyDescent="0.25">
      <c r="A70" s="21" t="s">
        <v>3110</v>
      </c>
      <c r="B70" s="344">
        <v>20372979.938722931</v>
      </c>
      <c r="C70" s="344">
        <v>0</v>
      </c>
      <c r="D70" s="344">
        <v>0</v>
      </c>
      <c r="E70" s="344">
        <v>0</v>
      </c>
      <c r="F70" s="344">
        <v>0</v>
      </c>
      <c r="G70" s="344">
        <v>0</v>
      </c>
      <c r="H70" s="344">
        <v>67500000</v>
      </c>
      <c r="I70" s="344">
        <v>0</v>
      </c>
      <c r="J70" s="344">
        <v>0</v>
      </c>
      <c r="K70" s="344">
        <v>0</v>
      </c>
      <c r="L70" s="344">
        <v>0</v>
      </c>
      <c r="M70" s="344">
        <v>0</v>
      </c>
      <c r="N70" s="312">
        <v>87872979.938722938</v>
      </c>
      <c r="O70" s="303">
        <v>1</v>
      </c>
      <c r="P70" s="524">
        <v>5.9470279365263553E-3</v>
      </c>
    </row>
    <row r="71" spans="1:16" ht="15" customHeight="1" x14ac:dyDescent="0.25">
      <c r="A71" s="21" t="s">
        <v>3111</v>
      </c>
      <c r="B71" s="344">
        <v>0</v>
      </c>
      <c r="C71" s="344">
        <v>0</v>
      </c>
      <c r="D71" s="344">
        <v>0</v>
      </c>
      <c r="E71" s="344">
        <v>0</v>
      </c>
      <c r="F71" s="344">
        <v>0</v>
      </c>
      <c r="G71" s="344">
        <v>0</v>
      </c>
      <c r="H71" s="344">
        <v>270000000</v>
      </c>
      <c r="I71" s="344">
        <v>0</v>
      </c>
      <c r="J71" s="344">
        <v>0</v>
      </c>
      <c r="K71" s="344">
        <v>0</v>
      </c>
      <c r="L71" s="344">
        <v>0</v>
      </c>
      <c r="M71" s="344">
        <v>0</v>
      </c>
      <c r="N71" s="312">
        <v>270000000</v>
      </c>
      <c r="O71" s="303">
        <v>2</v>
      </c>
      <c r="P71" s="524">
        <v>1.363464941545067E-3</v>
      </c>
    </row>
    <row r="72" spans="1:16" ht="15" customHeight="1" x14ac:dyDescent="0.25">
      <c r="A72" s="21" t="s">
        <v>3112</v>
      </c>
      <c r="B72" s="344">
        <v>4493678421.1032104</v>
      </c>
      <c r="C72" s="344">
        <v>401600000</v>
      </c>
      <c r="D72" s="344">
        <v>138536263.58331594</v>
      </c>
      <c r="E72" s="344">
        <v>776000000</v>
      </c>
      <c r="F72" s="344">
        <v>137517614.5863798</v>
      </c>
      <c r="G72" s="344">
        <v>690990691.56765831</v>
      </c>
      <c r="H72" s="344">
        <v>12272407534.358475</v>
      </c>
      <c r="I72" s="344">
        <v>178605000</v>
      </c>
      <c r="J72" s="344">
        <v>218700000</v>
      </c>
      <c r="K72" s="344">
        <v>129764453.96145609</v>
      </c>
      <c r="L72" s="344">
        <v>42560000</v>
      </c>
      <c r="M72" s="344">
        <v>0</v>
      </c>
      <c r="N72" s="312">
        <v>19480359979.160496</v>
      </c>
      <c r="O72" s="303">
        <v>134</v>
      </c>
      <c r="P72" s="524">
        <v>4.2122363726030579E-2</v>
      </c>
    </row>
    <row r="73" spans="1:16" ht="15" customHeight="1" x14ac:dyDescent="0.25">
      <c r="A73" s="21" t="s">
        <v>3113</v>
      </c>
      <c r="B73" s="344">
        <v>2542547896.3526216</v>
      </c>
      <c r="C73" s="344">
        <v>235200000</v>
      </c>
      <c r="D73" s="344">
        <v>0</v>
      </c>
      <c r="E73" s="344">
        <v>235200000</v>
      </c>
      <c r="F73" s="344">
        <v>0</v>
      </c>
      <c r="G73" s="344">
        <v>230330230.52255276</v>
      </c>
      <c r="H73" s="344">
        <v>8755596761.0550804</v>
      </c>
      <c r="I73" s="344">
        <v>29700000</v>
      </c>
      <c r="J73" s="344">
        <v>104625000</v>
      </c>
      <c r="K73" s="344">
        <v>0</v>
      </c>
      <c r="L73" s="344">
        <v>106400000</v>
      </c>
      <c r="M73" s="344">
        <v>42857142.857142851</v>
      </c>
      <c r="N73" s="312">
        <v>12282457030.787399</v>
      </c>
      <c r="O73" s="303">
        <v>81</v>
      </c>
      <c r="P73" s="524">
        <v>2.5412665719010182E-2</v>
      </c>
    </row>
    <row r="74" spans="1:16" ht="15" customHeight="1" x14ac:dyDescent="0.25">
      <c r="A74" s="21" t="s">
        <v>3114</v>
      </c>
      <c r="B74" s="344">
        <v>244475759.26467517</v>
      </c>
      <c r="C74" s="344">
        <v>0</v>
      </c>
      <c r="D74" s="344">
        <v>0</v>
      </c>
      <c r="E74" s="344">
        <v>0</v>
      </c>
      <c r="F74" s="344">
        <v>20372979.938722931</v>
      </c>
      <c r="G74" s="344">
        <v>0</v>
      </c>
      <c r="H74" s="344">
        <v>81000000</v>
      </c>
      <c r="I74" s="344">
        <v>0</v>
      </c>
      <c r="J74" s="344">
        <v>280627813.50482315</v>
      </c>
      <c r="K74" s="344">
        <v>0</v>
      </c>
      <c r="L74" s="344">
        <v>0</v>
      </c>
      <c r="M74" s="344">
        <v>0</v>
      </c>
      <c r="N74" s="312">
        <v>626476552.7082212</v>
      </c>
      <c r="O74" s="303">
        <v>5</v>
      </c>
      <c r="P74" s="524">
        <v>1.4214847262916655E-3</v>
      </c>
    </row>
    <row r="75" spans="1:16" ht="15" customHeight="1" x14ac:dyDescent="0.25">
      <c r="A75" s="21" t="s">
        <v>3115</v>
      </c>
      <c r="B75" s="344">
        <v>122237879.63233759</v>
      </c>
      <c r="C75" s="344">
        <v>0</v>
      </c>
      <c r="D75" s="344">
        <v>0</v>
      </c>
      <c r="E75" s="344">
        <v>0</v>
      </c>
      <c r="F75" s="344">
        <v>0</v>
      </c>
      <c r="G75" s="344">
        <v>28791278.815319095</v>
      </c>
      <c r="H75" s="344">
        <v>189000000</v>
      </c>
      <c r="I75" s="344">
        <v>0</v>
      </c>
      <c r="J75" s="344">
        <v>0</v>
      </c>
      <c r="K75" s="344">
        <v>0</v>
      </c>
      <c r="L75" s="344">
        <v>0</v>
      </c>
      <c r="M75" s="344">
        <v>0</v>
      </c>
      <c r="N75" s="312">
        <v>340029158.44765669</v>
      </c>
      <c r="O75" s="303">
        <v>2</v>
      </c>
      <c r="P75" s="524">
        <v>5.2217806271938729E-4</v>
      </c>
    </row>
    <row r="76" spans="1:16" ht="15" customHeight="1" x14ac:dyDescent="0.25">
      <c r="A76" s="21" t="s">
        <v>3116</v>
      </c>
      <c r="B76" s="344">
        <v>407459598.77445865</v>
      </c>
      <c r="C76" s="344">
        <v>80000000</v>
      </c>
      <c r="D76" s="344">
        <v>0</v>
      </c>
      <c r="E76" s="344">
        <v>80000000</v>
      </c>
      <c r="F76" s="344">
        <v>0</v>
      </c>
      <c r="G76" s="344">
        <v>201538951.70723367</v>
      </c>
      <c r="H76" s="344">
        <v>1204606046.1973524</v>
      </c>
      <c r="I76" s="344">
        <v>2700000</v>
      </c>
      <c r="J76" s="344">
        <v>0</v>
      </c>
      <c r="K76" s="344">
        <v>0</v>
      </c>
      <c r="L76" s="344">
        <v>0</v>
      </c>
      <c r="M76" s="344">
        <v>0</v>
      </c>
      <c r="N76" s="312">
        <v>1976304596.6790447</v>
      </c>
      <c r="O76" s="303">
        <v>16</v>
      </c>
      <c r="P76" s="524">
        <v>7.0494038467117286E-3</v>
      </c>
    </row>
    <row r="77" spans="1:16" ht="15" customHeight="1" x14ac:dyDescent="0.25">
      <c r="A77" s="21" t="s">
        <v>3117</v>
      </c>
      <c r="B77" s="344">
        <v>40745959.877445862</v>
      </c>
      <c r="C77" s="344">
        <v>0</v>
      </c>
      <c r="D77" s="344">
        <v>0</v>
      </c>
      <c r="E77" s="344">
        <v>0</v>
      </c>
      <c r="F77" s="344">
        <v>0</v>
      </c>
      <c r="G77" s="344">
        <v>0</v>
      </c>
      <c r="H77" s="344">
        <v>162000000</v>
      </c>
      <c r="I77" s="344">
        <v>0</v>
      </c>
      <c r="J77" s="344">
        <v>33750000</v>
      </c>
      <c r="K77" s="344">
        <v>0</v>
      </c>
      <c r="L77" s="344">
        <v>0</v>
      </c>
      <c r="M77" s="344">
        <v>0</v>
      </c>
      <c r="N77" s="312">
        <v>236495959.87744588</v>
      </c>
      <c r="O77" s="303">
        <v>2</v>
      </c>
      <c r="P77" s="524">
        <v>1.5375242957848627E-3</v>
      </c>
    </row>
    <row r="78" spans="1:16" ht="15" customHeight="1" x14ac:dyDescent="0.25">
      <c r="A78" s="21" t="s">
        <v>3118</v>
      </c>
      <c r="B78" s="344">
        <v>101864899.69361466</v>
      </c>
      <c r="C78" s="344">
        <v>0</v>
      </c>
      <c r="D78" s="344">
        <v>0</v>
      </c>
      <c r="E78" s="344">
        <v>0</v>
      </c>
      <c r="F78" s="344">
        <v>0</v>
      </c>
      <c r="G78" s="344">
        <v>0</v>
      </c>
      <c r="H78" s="344">
        <v>0</v>
      </c>
      <c r="I78" s="344">
        <v>0</v>
      </c>
      <c r="J78" s="344">
        <v>6750000</v>
      </c>
      <c r="K78" s="344">
        <v>0</v>
      </c>
      <c r="L78" s="344">
        <v>0</v>
      </c>
      <c r="M78" s="344">
        <v>0</v>
      </c>
      <c r="N78" s="312">
        <v>108614899.69361466</v>
      </c>
      <c r="O78" s="303">
        <v>1</v>
      </c>
      <c r="P78" s="524">
        <v>4.6415827797278872E-4</v>
      </c>
    </row>
    <row r="79" spans="1:16" ht="15" customHeight="1" x14ac:dyDescent="0.25">
      <c r="A79" s="21" t="s">
        <v>3119</v>
      </c>
      <c r="B79" s="344">
        <v>101864899.69361466</v>
      </c>
      <c r="C79" s="344">
        <v>0</v>
      </c>
      <c r="D79" s="344">
        <v>0</v>
      </c>
      <c r="E79" s="344">
        <v>0</v>
      </c>
      <c r="F79" s="344">
        <v>0</v>
      </c>
      <c r="G79" s="344">
        <v>0</v>
      </c>
      <c r="H79" s="344">
        <v>0</v>
      </c>
      <c r="I79" s="344">
        <v>0</v>
      </c>
      <c r="J79" s="344">
        <v>81000000</v>
      </c>
      <c r="K79" s="344">
        <v>0</v>
      </c>
      <c r="L79" s="344">
        <v>0</v>
      </c>
      <c r="M79" s="344">
        <v>0</v>
      </c>
      <c r="N79" s="312">
        <v>182864899.69361466</v>
      </c>
      <c r="O79" s="303">
        <v>1</v>
      </c>
      <c r="P79" s="524">
        <v>5.801978474659859E-5</v>
      </c>
    </row>
    <row r="80" spans="1:16" ht="15" customHeight="1" x14ac:dyDescent="0.25">
      <c r="A80" s="21" t="s">
        <v>3120</v>
      </c>
      <c r="B80" s="344">
        <v>101864899.69361466</v>
      </c>
      <c r="C80" s="344">
        <v>0</v>
      </c>
      <c r="D80" s="344">
        <v>0</v>
      </c>
      <c r="E80" s="344">
        <v>0</v>
      </c>
      <c r="F80" s="344">
        <v>0</v>
      </c>
      <c r="G80" s="344">
        <v>0</v>
      </c>
      <c r="H80" s="344">
        <v>81000000</v>
      </c>
      <c r="I80" s="344">
        <v>0</v>
      </c>
      <c r="J80" s="344">
        <v>0</v>
      </c>
      <c r="K80" s="344">
        <v>0</v>
      </c>
      <c r="L80" s="344">
        <v>0</v>
      </c>
      <c r="M80" s="344">
        <v>0</v>
      </c>
      <c r="N80" s="312">
        <v>182864899.69361466</v>
      </c>
      <c r="O80" s="303">
        <v>1</v>
      </c>
      <c r="P80" s="524">
        <v>6.6722752458588379E-4</v>
      </c>
    </row>
    <row r="81" spans="1:16" ht="15" customHeight="1" x14ac:dyDescent="0.25">
      <c r="A81" s="21" t="s">
        <v>3121</v>
      </c>
      <c r="B81" s="344">
        <v>0</v>
      </c>
      <c r="C81" s="344">
        <v>0</v>
      </c>
      <c r="D81" s="344">
        <v>0</v>
      </c>
      <c r="E81" s="344">
        <v>0</v>
      </c>
      <c r="F81" s="344">
        <v>0</v>
      </c>
      <c r="G81" s="344">
        <v>0</v>
      </c>
      <c r="H81" s="344">
        <v>303750000</v>
      </c>
      <c r="I81" s="344">
        <v>15882352.941176472</v>
      </c>
      <c r="J81" s="344">
        <v>0</v>
      </c>
      <c r="K81" s="344">
        <v>0</v>
      </c>
      <c r="L81" s="344">
        <v>0</v>
      </c>
      <c r="M81" s="344">
        <v>0</v>
      </c>
      <c r="N81" s="312">
        <v>319632352.94117647</v>
      </c>
      <c r="O81" s="303">
        <v>2</v>
      </c>
      <c r="P81" s="524">
        <v>3.5682167619158133E-3</v>
      </c>
    </row>
    <row r="82" spans="1:16" ht="15" customHeight="1" x14ac:dyDescent="0.25">
      <c r="A82" s="21" t="s">
        <v>3122</v>
      </c>
      <c r="B82" s="344">
        <v>142610859.57106051</v>
      </c>
      <c r="C82" s="344">
        <v>0</v>
      </c>
      <c r="D82" s="344">
        <v>0</v>
      </c>
      <c r="E82" s="344">
        <v>0</v>
      </c>
      <c r="F82" s="344">
        <v>0</v>
      </c>
      <c r="G82" s="344">
        <v>0</v>
      </c>
      <c r="H82" s="344">
        <v>29700000</v>
      </c>
      <c r="I82" s="344">
        <v>0</v>
      </c>
      <c r="J82" s="344">
        <v>0</v>
      </c>
      <c r="K82" s="344">
        <v>0</v>
      </c>
      <c r="L82" s="344">
        <v>0</v>
      </c>
      <c r="M82" s="344">
        <v>0</v>
      </c>
      <c r="N82" s="312">
        <v>172310859.57106051</v>
      </c>
      <c r="O82" s="303">
        <v>1</v>
      </c>
      <c r="P82" s="524">
        <v>6.9623741695918305E-4</v>
      </c>
    </row>
    <row r="83" spans="1:16" ht="15" customHeight="1" x14ac:dyDescent="0.25">
      <c r="A83" s="21" t="s">
        <v>3123</v>
      </c>
      <c r="B83" s="344">
        <v>285221719.14212102</v>
      </c>
      <c r="C83" s="344">
        <v>0</v>
      </c>
      <c r="D83" s="344">
        <v>0</v>
      </c>
      <c r="E83" s="344">
        <v>0</v>
      </c>
      <c r="F83" s="344">
        <v>0</v>
      </c>
      <c r="G83" s="344">
        <v>0</v>
      </c>
      <c r="H83" s="344">
        <v>632814507.37005424</v>
      </c>
      <c r="I83" s="344">
        <v>0</v>
      </c>
      <c r="J83" s="344">
        <v>0</v>
      </c>
      <c r="K83" s="344">
        <v>0</v>
      </c>
      <c r="L83" s="344">
        <v>0</v>
      </c>
      <c r="M83" s="344">
        <v>0</v>
      </c>
      <c r="N83" s="312">
        <v>918036226.51217532</v>
      </c>
      <c r="O83" s="303">
        <v>8</v>
      </c>
      <c r="P83" s="524">
        <v>4.5255432102346898E-3</v>
      </c>
    </row>
    <row r="84" spans="1:16" ht="15" customHeight="1" x14ac:dyDescent="0.25">
      <c r="A84" s="21" t="s">
        <v>3124</v>
      </c>
      <c r="B84" s="344">
        <v>0</v>
      </c>
      <c r="C84" s="344">
        <v>0</v>
      </c>
      <c r="D84" s="344">
        <v>0</v>
      </c>
      <c r="E84" s="344">
        <v>0</v>
      </c>
      <c r="F84" s="344">
        <v>0</v>
      </c>
      <c r="G84" s="344">
        <v>28791278.815319095</v>
      </c>
      <c r="H84" s="344">
        <v>148500000</v>
      </c>
      <c r="I84" s="344">
        <v>0</v>
      </c>
      <c r="J84" s="344">
        <v>0</v>
      </c>
      <c r="K84" s="344">
        <v>0</v>
      </c>
      <c r="L84" s="344">
        <v>627000000</v>
      </c>
      <c r="M84" s="344">
        <v>0</v>
      </c>
      <c r="N84" s="312">
        <v>804291278.81531906</v>
      </c>
      <c r="O84" s="303">
        <v>4</v>
      </c>
      <c r="P84" s="524">
        <v>2.8429694525833309E-3</v>
      </c>
    </row>
    <row r="85" spans="1:16" ht="15" customHeight="1" x14ac:dyDescent="0.25">
      <c r="A85" s="21" t="s">
        <v>3125</v>
      </c>
      <c r="B85" s="344">
        <v>0</v>
      </c>
      <c r="C85" s="344">
        <v>0</v>
      </c>
      <c r="D85" s="344">
        <v>0</v>
      </c>
      <c r="E85" s="344">
        <v>0</v>
      </c>
      <c r="F85" s="344">
        <v>0</v>
      </c>
      <c r="G85" s="344">
        <v>0</v>
      </c>
      <c r="H85" s="344">
        <v>614032258.06451619</v>
      </c>
      <c r="I85" s="344">
        <v>0</v>
      </c>
      <c r="J85" s="344">
        <v>0</v>
      </c>
      <c r="K85" s="344">
        <v>0</v>
      </c>
      <c r="L85" s="344">
        <v>0</v>
      </c>
      <c r="M85" s="344">
        <v>0</v>
      </c>
      <c r="N85" s="312">
        <v>614032258.06451619</v>
      </c>
      <c r="O85" s="303">
        <v>2</v>
      </c>
      <c r="P85" s="524">
        <v>6.0920773983928517E-4</v>
      </c>
    </row>
    <row r="86" spans="1:16" ht="15" customHeight="1" x14ac:dyDescent="0.25">
      <c r="A86" s="21" t="s">
        <v>3126</v>
      </c>
      <c r="B86" s="344">
        <v>61118939.816168793</v>
      </c>
      <c r="C86" s="344">
        <v>0</v>
      </c>
      <c r="D86" s="344">
        <v>0</v>
      </c>
      <c r="E86" s="344">
        <v>0</v>
      </c>
      <c r="F86" s="344">
        <v>0</v>
      </c>
      <c r="G86" s="344">
        <v>0</v>
      </c>
      <c r="H86" s="344">
        <v>140168721.60934457</v>
      </c>
      <c r="I86" s="344">
        <v>0</v>
      </c>
      <c r="J86" s="344">
        <v>0</v>
      </c>
      <c r="K86" s="344">
        <v>0</v>
      </c>
      <c r="L86" s="344">
        <v>0</v>
      </c>
      <c r="M86" s="344">
        <v>0</v>
      </c>
      <c r="N86" s="312">
        <v>201287661.42551336</v>
      </c>
      <c r="O86" s="303">
        <v>1</v>
      </c>
      <c r="P86" s="524">
        <v>0</v>
      </c>
    </row>
    <row r="87" spans="1:16" ht="15" customHeight="1" x14ac:dyDescent="0.25">
      <c r="A87" s="21" t="s">
        <v>3127</v>
      </c>
      <c r="B87" s="344">
        <v>631562378.10041082</v>
      </c>
      <c r="C87" s="344">
        <v>0</v>
      </c>
      <c r="D87" s="344">
        <v>0</v>
      </c>
      <c r="E87" s="344">
        <v>0</v>
      </c>
      <c r="F87" s="344">
        <v>0</v>
      </c>
      <c r="G87" s="344">
        <v>0</v>
      </c>
      <c r="H87" s="344">
        <v>438750000</v>
      </c>
      <c r="I87" s="344">
        <v>10125000</v>
      </c>
      <c r="J87" s="344">
        <v>89501232.965606764</v>
      </c>
      <c r="K87" s="344">
        <v>0</v>
      </c>
      <c r="L87" s="344">
        <v>0</v>
      </c>
      <c r="M87" s="344">
        <v>0</v>
      </c>
      <c r="N87" s="312">
        <v>1169938611.0660176</v>
      </c>
      <c r="O87" s="303">
        <v>6</v>
      </c>
      <c r="P87" s="524">
        <v>1.1313858025586725E-3</v>
      </c>
    </row>
    <row r="88" spans="1:16" ht="15" customHeight="1" x14ac:dyDescent="0.25">
      <c r="A88" s="21" t="s">
        <v>3128</v>
      </c>
      <c r="B88" s="344">
        <v>142610859.57106051</v>
      </c>
      <c r="C88" s="344">
        <v>0</v>
      </c>
      <c r="D88" s="344">
        <v>0</v>
      </c>
      <c r="E88" s="344">
        <v>0</v>
      </c>
      <c r="F88" s="344">
        <v>0</v>
      </c>
      <c r="G88" s="344">
        <v>0</v>
      </c>
      <c r="H88" s="344">
        <v>135000000</v>
      </c>
      <c r="I88" s="344">
        <v>0</v>
      </c>
      <c r="J88" s="344">
        <v>108000000</v>
      </c>
      <c r="K88" s="344">
        <v>0</v>
      </c>
      <c r="L88" s="344">
        <v>0</v>
      </c>
      <c r="M88" s="344">
        <v>0</v>
      </c>
      <c r="N88" s="312">
        <v>385610859.57106054</v>
      </c>
      <c r="O88" s="303">
        <v>3</v>
      </c>
      <c r="P88" s="524">
        <v>5.9470279365263553E-3</v>
      </c>
    </row>
    <row r="89" spans="1:16" ht="15" customHeight="1" x14ac:dyDescent="0.25">
      <c r="A89" s="21" t="s">
        <v>3129</v>
      </c>
      <c r="B89" s="344">
        <v>301520103.09309936</v>
      </c>
      <c r="C89" s="344">
        <v>0</v>
      </c>
      <c r="D89" s="344">
        <v>0</v>
      </c>
      <c r="E89" s="344">
        <v>0</v>
      </c>
      <c r="F89" s="344">
        <v>0</v>
      </c>
      <c r="G89" s="344">
        <v>0</v>
      </c>
      <c r="H89" s="344">
        <v>560790000</v>
      </c>
      <c r="I89" s="344">
        <v>5400000</v>
      </c>
      <c r="J89" s="344">
        <v>310500000</v>
      </c>
      <c r="K89" s="344">
        <v>1730192.7194860813</v>
      </c>
      <c r="L89" s="344">
        <v>0</v>
      </c>
      <c r="M89" s="344">
        <v>0</v>
      </c>
      <c r="N89" s="312">
        <v>1179940295.8125854</v>
      </c>
      <c r="O89" s="303">
        <v>11</v>
      </c>
      <c r="P89" s="524">
        <v>2.2627716051173449E-3</v>
      </c>
    </row>
    <row r="90" spans="1:16" ht="15" customHeight="1" x14ac:dyDescent="0.25">
      <c r="A90" s="525" t="s">
        <v>3130</v>
      </c>
      <c r="B90" s="526">
        <v>244475759.2646752</v>
      </c>
      <c r="C90" s="526">
        <v>0</v>
      </c>
      <c r="D90" s="526">
        <v>0</v>
      </c>
      <c r="E90" s="526">
        <v>0</v>
      </c>
      <c r="F90" s="526">
        <v>0</v>
      </c>
      <c r="G90" s="526">
        <v>28791278.815319095</v>
      </c>
      <c r="H90" s="526">
        <v>391500000</v>
      </c>
      <c r="I90" s="526">
        <v>0</v>
      </c>
      <c r="J90" s="526">
        <v>0</v>
      </c>
      <c r="K90" s="526">
        <v>0</v>
      </c>
      <c r="L90" s="526">
        <v>0</v>
      </c>
      <c r="M90" s="526">
        <v>0</v>
      </c>
      <c r="N90" s="527">
        <v>664767038.07999432</v>
      </c>
      <c r="O90" s="528">
        <v>4</v>
      </c>
      <c r="P90" s="529">
        <v>7.5425720170578167E-4</v>
      </c>
    </row>
    <row r="91" spans="1:16" ht="15" customHeight="1" x14ac:dyDescent="0.25">
      <c r="A91" s="298" t="s">
        <v>3131</v>
      </c>
      <c r="B91" s="244">
        <v>64685576772.70192</v>
      </c>
      <c r="C91" s="244">
        <v>4135115451.3620987</v>
      </c>
      <c r="D91" s="244">
        <v>3187389050.9715199</v>
      </c>
      <c r="E91" s="244">
        <v>4451923451.3620987</v>
      </c>
      <c r="F91" s="244">
        <v>2531762201.0909452</v>
      </c>
      <c r="G91" s="244">
        <v>5009682513.8655205</v>
      </c>
      <c r="H91" s="244">
        <v>272621772423.42722</v>
      </c>
      <c r="I91" s="244">
        <v>1981086331.0507462</v>
      </c>
      <c r="J91" s="244">
        <v>11807396038.974899</v>
      </c>
      <c r="K91" s="244">
        <v>5141700214.132762</v>
      </c>
      <c r="L91" s="244">
        <v>3052692000</v>
      </c>
      <c r="M91" s="244">
        <v>3886810476.1904769</v>
      </c>
      <c r="N91" s="312">
        <v>382492906925.13007</v>
      </c>
      <c r="O91" s="312">
        <v>3306</v>
      </c>
      <c r="P91" s="524">
        <v>1.0000000000000002</v>
      </c>
    </row>
    <row r="92" spans="1:16" ht="15" customHeight="1" x14ac:dyDescent="0.25">
      <c r="A92" s="530" t="s">
        <v>3132</v>
      </c>
      <c r="B92" s="531">
        <v>19846175971.981598</v>
      </c>
      <c r="C92" s="531">
        <v>725693793.10344827</v>
      </c>
      <c r="D92" s="531">
        <v>896411117.30380893</v>
      </c>
      <c r="E92" s="531">
        <v>720893793.10344827</v>
      </c>
      <c r="F92" s="531">
        <v>453298803.63658518</v>
      </c>
      <c r="G92" s="531">
        <v>1122859873.7974446</v>
      </c>
      <c r="H92" s="531">
        <v>46774840687.461113</v>
      </c>
      <c r="I92" s="531">
        <v>279634298.27879703</v>
      </c>
      <c r="J92" s="531">
        <v>4534454287.237978</v>
      </c>
      <c r="K92" s="531">
        <v>267747323.34047106</v>
      </c>
      <c r="L92" s="531">
        <v>1116440000</v>
      </c>
      <c r="M92" s="531">
        <v>76190476.190476194</v>
      </c>
      <c r="N92" s="532">
        <v>76814640425.435165</v>
      </c>
      <c r="O92" s="532">
        <v>656</v>
      </c>
      <c r="P92" s="533"/>
    </row>
    <row r="94" spans="1:16" ht="15" customHeight="1" x14ac:dyDescent="0.25">
      <c r="A94" s="915" t="s">
        <v>3133</v>
      </c>
      <c r="B94" s="915"/>
      <c r="C94" s="915"/>
      <c r="D94" s="915"/>
      <c r="E94" s="915"/>
      <c r="F94" s="915"/>
      <c r="G94" s="915"/>
      <c r="H94" s="915"/>
      <c r="I94" s="915"/>
      <c r="J94" s="915"/>
      <c r="K94" s="915"/>
      <c r="L94" s="915"/>
      <c r="M94" s="915"/>
      <c r="N94" s="915"/>
    </row>
    <row r="95" spans="1:16" ht="15" customHeight="1" x14ac:dyDescent="0.25">
      <c r="O95" s="296" t="s">
        <v>2977</v>
      </c>
    </row>
    <row r="96" spans="1:16" ht="15" customHeight="1" x14ac:dyDescent="0.25">
      <c r="A96" s="302" t="s">
        <v>3036</v>
      </c>
      <c r="B96" s="302" t="s">
        <v>3037</v>
      </c>
      <c r="C96" s="302" t="s">
        <v>3038</v>
      </c>
      <c r="D96" s="302" t="s">
        <v>3039</v>
      </c>
      <c r="E96" s="302" t="s">
        <v>3040</v>
      </c>
      <c r="F96" s="302" t="s">
        <v>2152</v>
      </c>
      <c r="G96" s="302" t="s">
        <v>2186</v>
      </c>
      <c r="H96" s="302" t="s">
        <v>3042</v>
      </c>
      <c r="I96" s="302" t="s">
        <v>2210</v>
      </c>
      <c r="J96" s="302" t="s">
        <v>3043</v>
      </c>
      <c r="K96" s="302" t="s">
        <v>3044</v>
      </c>
      <c r="L96" s="302" t="s">
        <v>2223</v>
      </c>
      <c r="M96" s="302" t="s">
        <v>3045</v>
      </c>
      <c r="N96" s="302" t="s">
        <v>2462</v>
      </c>
      <c r="O96" s="302" t="s">
        <v>2972</v>
      </c>
    </row>
    <row r="97" spans="1:15" ht="15" customHeight="1" x14ac:dyDescent="0.25">
      <c r="A97" s="21" t="s">
        <v>3047</v>
      </c>
      <c r="B97" s="534">
        <v>0</v>
      </c>
      <c r="C97" s="534">
        <v>0</v>
      </c>
      <c r="D97" s="534">
        <v>0</v>
      </c>
      <c r="E97" s="534">
        <v>0</v>
      </c>
      <c r="F97" s="534">
        <v>0</v>
      </c>
      <c r="G97" s="534">
        <v>0</v>
      </c>
      <c r="H97" s="534">
        <v>0</v>
      </c>
      <c r="I97" s="534">
        <v>0</v>
      </c>
      <c r="J97" s="534">
        <v>0</v>
      </c>
      <c r="K97" s="534">
        <v>0</v>
      </c>
      <c r="L97" s="534">
        <v>0</v>
      </c>
      <c r="M97" s="534">
        <v>0</v>
      </c>
      <c r="N97" s="534">
        <v>0</v>
      </c>
      <c r="O97" s="303">
        <v>1</v>
      </c>
    </row>
    <row r="98" spans="1:15" ht="15" customHeight="1" x14ac:dyDescent="0.25">
      <c r="A98" s="21" t="s">
        <v>3048</v>
      </c>
      <c r="B98" s="534">
        <v>1</v>
      </c>
      <c r="C98" s="534">
        <v>0</v>
      </c>
      <c r="D98" s="534">
        <v>0</v>
      </c>
      <c r="E98" s="534">
        <v>0</v>
      </c>
      <c r="F98" s="534">
        <v>0</v>
      </c>
      <c r="G98" s="534">
        <v>0</v>
      </c>
      <c r="H98" s="534">
        <v>0</v>
      </c>
      <c r="I98" s="534">
        <v>0</v>
      </c>
      <c r="J98" s="534">
        <v>0</v>
      </c>
      <c r="K98" s="534">
        <v>0</v>
      </c>
      <c r="L98" s="534">
        <v>0</v>
      </c>
      <c r="M98" s="534">
        <v>0</v>
      </c>
      <c r="N98" s="534">
        <v>1</v>
      </c>
      <c r="O98" s="117">
        <v>3</v>
      </c>
    </row>
    <row r="99" spans="1:15" ht="15" customHeight="1" x14ac:dyDescent="0.25">
      <c r="A99" s="21" t="s">
        <v>3049</v>
      </c>
      <c r="B99" s="534">
        <v>0.13227233979519284</v>
      </c>
      <c r="C99" s="534">
        <v>0</v>
      </c>
      <c r="D99" s="534">
        <v>0</v>
      </c>
      <c r="E99" s="534">
        <v>0</v>
      </c>
      <c r="F99" s="534">
        <v>0</v>
      </c>
      <c r="G99" s="534">
        <v>0</v>
      </c>
      <c r="H99" s="534">
        <v>0.86772766020480707</v>
      </c>
      <c r="I99" s="534">
        <v>0</v>
      </c>
      <c r="J99" s="534">
        <v>0</v>
      </c>
      <c r="K99" s="534">
        <v>0</v>
      </c>
      <c r="L99" s="534">
        <v>0</v>
      </c>
      <c r="M99" s="534">
        <v>0</v>
      </c>
      <c r="N99" s="534">
        <v>1</v>
      </c>
      <c r="O99" s="117">
        <v>1</v>
      </c>
    </row>
    <row r="100" spans="1:15" ht="15" customHeight="1" x14ac:dyDescent="0.25">
      <c r="A100" s="21" t="s">
        <v>3050</v>
      </c>
      <c r="B100" s="534">
        <v>0.8578826490207363</v>
      </c>
      <c r="C100" s="534">
        <v>0</v>
      </c>
      <c r="D100" s="534">
        <v>0</v>
      </c>
      <c r="E100" s="534">
        <v>0</v>
      </c>
      <c r="F100" s="534">
        <v>0</v>
      </c>
      <c r="G100" s="534">
        <v>0</v>
      </c>
      <c r="H100" s="534">
        <v>0</v>
      </c>
      <c r="I100" s="534">
        <v>0</v>
      </c>
      <c r="J100" s="534">
        <v>0.1421173509792637</v>
      </c>
      <c r="K100" s="534">
        <v>0</v>
      </c>
      <c r="L100" s="534">
        <v>0</v>
      </c>
      <c r="M100" s="534">
        <v>0</v>
      </c>
      <c r="N100" s="534">
        <v>1</v>
      </c>
      <c r="O100" s="117">
        <v>1</v>
      </c>
    </row>
    <row r="101" spans="1:15" ht="15" customHeight="1" x14ac:dyDescent="0.25">
      <c r="A101" s="21" t="s">
        <v>3051</v>
      </c>
      <c r="B101" s="534">
        <v>0.29703735445282692</v>
      </c>
      <c r="C101" s="534">
        <v>0</v>
      </c>
      <c r="D101" s="534">
        <v>0</v>
      </c>
      <c r="E101" s="534">
        <v>0</v>
      </c>
      <c r="F101" s="534">
        <v>0</v>
      </c>
      <c r="G101" s="534">
        <v>0</v>
      </c>
      <c r="H101" s="534">
        <v>0.44989609315019075</v>
      </c>
      <c r="I101" s="534">
        <v>0</v>
      </c>
      <c r="J101" s="534">
        <v>0.25306655239698228</v>
      </c>
      <c r="K101" s="534">
        <v>0</v>
      </c>
      <c r="L101" s="534">
        <v>0</v>
      </c>
      <c r="M101" s="534">
        <v>0</v>
      </c>
      <c r="N101" s="534">
        <v>1</v>
      </c>
      <c r="O101" s="117">
        <v>3</v>
      </c>
    </row>
    <row r="102" spans="1:15" ht="15" customHeight="1" x14ac:dyDescent="0.25">
      <c r="A102" s="21" t="s">
        <v>3052</v>
      </c>
      <c r="B102" s="534">
        <v>0</v>
      </c>
      <c r="C102" s="534">
        <v>0</v>
      </c>
      <c r="D102" s="534">
        <v>0</v>
      </c>
      <c r="E102" s="534">
        <v>0</v>
      </c>
      <c r="F102" s="534">
        <v>0.4300548533167099</v>
      </c>
      <c r="G102" s="534">
        <v>0</v>
      </c>
      <c r="H102" s="534">
        <v>0.5699451466832901</v>
      </c>
      <c r="I102" s="534">
        <v>0</v>
      </c>
      <c r="J102" s="534">
        <v>0</v>
      </c>
      <c r="K102" s="534">
        <v>0</v>
      </c>
      <c r="L102" s="534">
        <v>0</v>
      </c>
      <c r="M102" s="534">
        <v>0</v>
      </c>
      <c r="N102" s="534">
        <v>1</v>
      </c>
      <c r="O102" s="117">
        <v>1</v>
      </c>
    </row>
    <row r="103" spans="1:15" ht="15" customHeight="1" x14ac:dyDescent="0.25">
      <c r="A103" s="21" t="s">
        <v>3053</v>
      </c>
      <c r="B103" s="534">
        <v>0.64707929401117315</v>
      </c>
      <c r="C103" s="534">
        <v>0</v>
      </c>
      <c r="D103" s="534">
        <v>0</v>
      </c>
      <c r="E103" s="534">
        <v>0</v>
      </c>
      <c r="F103" s="534">
        <v>0</v>
      </c>
      <c r="G103" s="534">
        <v>0</v>
      </c>
      <c r="H103" s="534">
        <v>0.2968491919532189</v>
      </c>
      <c r="I103" s="534">
        <v>0</v>
      </c>
      <c r="J103" s="534">
        <v>5.6071514035608012E-2</v>
      </c>
      <c r="K103" s="534">
        <v>0</v>
      </c>
      <c r="L103" s="534">
        <v>0</v>
      </c>
      <c r="M103" s="534">
        <v>0</v>
      </c>
      <c r="N103" s="534">
        <v>1</v>
      </c>
      <c r="O103" s="117">
        <v>5</v>
      </c>
    </row>
    <row r="104" spans="1:15" ht="15" customHeight="1" x14ac:dyDescent="0.25">
      <c r="A104" s="21" t="s">
        <v>3054</v>
      </c>
      <c r="B104" s="534">
        <v>0.38604945110886124</v>
      </c>
      <c r="C104" s="534">
        <v>0</v>
      </c>
      <c r="D104" s="534">
        <v>0</v>
      </c>
      <c r="E104" s="534">
        <v>0</v>
      </c>
      <c r="F104" s="534">
        <v>0</v>
      </c>
      <c r="G104" s="534">
        <v>0</v>
      </c>
      <c r="H104" s="534">
        <v>0.30697527444556938</v>
      </c>
      <c r="I104" s="534">
        <v>2.5581272870464116E-2</v>
      </c>
      <c r="J104" s="534">
        <v>0.2813940015751053</v>
      </c>
      <c r="K104" s="534">
        <v>0</v>
      </c>
      <c r="L104" s="534">
        <v>0</v>
      </c>
      <c r="M104" s="534">
        <v>0</v>
      </c>
      <c r="N104" s="534">
        <v>1</v>
      </c>
      <c r="O104" s="117">
        <v>4</v>
      </c>
    </row>
    <row r="105" spans="1:15" ht="15" customHeight="1" x14ac:dyDescent="0.25">
      <c r="A105" s="21" t="s">
        <v>3055</v>
      </c>
      <c r="B105" s="534">
        <v>0.35536810734242985</v>
      </c>
      <c r="C105" s="534">
        <v>0</v>
      </c>
      <c r="D105" s="534">
        <v>0</v>
      </c>
      <c r="E105" s="534">
        <v>0</v>
      </c>
      <c r="F105" s="534">
        <v>0</v>
      </c>
      <c r="G105" s="534">
        <v>0</v>
      </c>
      <c r="H105" s="534">
        <v>0.53964618106798112</v>
      </c>
      <c r="I105" s="534">
        <v>0</v>
      </c>
      <c r="J105" s="534">
        <v>0.10498571158958907</v>
      </c>
      <c r="K105" s="534">
        <v>0</v>
      </c>
      <c r="L105" s="534">
        <v>0</v>
      </c>
      <c r="M105" s="534">
        <v>0</v>
      </c>
      <c r="N105" s="534">
        <v>1</v>
      </c>
      <c r="O105" s="117">
        <v>15</v>
      </c>
    </row>
    <row r="106" spans="1:15" ht="15" customHeight="1" x14ac:dyDescent="0.25">
      <c r="A106" s="21" t="s">
        <v>3056</v>
      </c>
      <c r="B106" s="534">
        <v>0</v>
      </c>
      <c r="C106" s="534">
        <v>0</v>
      </c>
      <c r="D106" s="534">
        <v>0</v>
      </c>
      <c r="E106" s="534">
        <v>0</v>
      </c>
      <c r="F106" s="534">
        <v>0</v>
      </c>
      <c r="G106" s="534">
        <v>0</v>
      </c>
      <c r="H106" s="534">
        <v>0</v>
      </c>
      <c r="I106" s="534">
        <v>0</v>
      </c>
      <c r="J106" s="534">
        <v>0</v>
      </c>
      <c r="K106" s="534">
        <v>0</v>
      </c>
      <c r="L106" s="534">
        <v>0</v>
      </c>
      <c r="M106" s="534">
        <v>0</v>
      </c>
      <c r="N106" s="534">
        <v>0</v>
      </c>
      <c r="O106" s="117">
        <v>1</v>
      </c>
    </row>
    <row r="107" spans="1:15" ht="15" customHeight="1" x14ac:dyDescent="0.25">
      <c r="A107" s="21" t="s">
        <v>3057</v>
      </c>
      <c r="B107" s="534">
        <v>0.12566373962792465</v>
      </c>
      <c r="C107" s="534">
        <v>0</v>
      </c>
      <c r="D107" s="534">
        <v>0</v>
      </c>
      <c r="E107" s="534">
        <v>0</v>
      </c>
      <c r="F107" s="534">
        <v>0</v>
      </c>
      <c r="G107" s="534">
        <v>0</v>
      </c>
      <c r="H107" s="534">
        <v>0.62452590026576804</v>
      </c>
      <c r="I107" s="534">
        <v>0</v>
      </c>
      <c r="J107" s="534">
        <v>0.24981036010630722</v>
      </c>
      <c r="K107" s="534">
        <v>0</v>
      </c>
      <c r="L107" s="534">
        <v>0</v>
      </c>
      <c r="M107" s="534">
        <v>0</v>
      </c>
      <c r="N107" s="534">
        <v>1</v>
      </c>
      <c r="O107" s="117">
        <v>3</v>
      </c>
    </row>
    <row r="108" spans="1:15" ht="15" customHeight="1" x14ac:dyDescent="0.25">
      <c r="A108" s="21" t="s">
        <v>3058</v>
      </c>
      <c r="B108" s="534">
        <v>0.36686441119205526</v>
      </c>
      <c r="C108" s="534">
        <v>1.5254449218556071E-2</v>
      </c>
      <c r="D108" s="534">
        <v>0</v>
      </c>
      <c r="E108" s="534">
        <v>1.5254449218556071E-2</v>
      </c>
      <c r="F108" s="534">
        <v>7.2838731540447775E-3</v>
      </c>
      <c r="G108" s="534">
        <v>6.8624234472745987E-3</v>
      </c>
      <c r="H108" s="534">
        <v>0.49318147581197469</v>
      </c>
      <c r="I108" s="534">
        <v>3.2177353820391711E-4</v>
      </c>
      <c r="J108" s="534">
        <v>7.6018998400675414E-2</v>
      </c>
      <c r="K108" s="534">
        <v>1.933091087235048E-3</v>
      </c>
      <c r="L108" s="534">
        <v>0</v>
      </c>
      <c r="M108" s="534">
        <v>1.7025054931424186E-2</v>
      </c>
      <c r="N108" s="534">
        <v>1</v>
      </c>
      <c r="O108" s="117">
        <v>67</v>
      </c>
    </row>
    <row r="109" spans="1:15" ht="15" customHeight="1" x14ac:dyDescent="0.25">
      <c r="A109" s="21" t="s">
        <v>3059</v>
      </c>
      <c r="B109" s="534">
        <v>0.3572263541338706</v>
      </c>
      <c r="C109" s="534">
        <v>0</v>
      </c>
      <c r="D109" s="534">
        <v>2.5980098482463316E-2</v>
      </c>
      <c r="E109" s="534">
        <v>0</v>
      </c>
      <c r="F109" s="534">
        <v>0</v>
      </c>
      <c r="G109" s="534">
        <v>0</v>
      </c>
      <c r="H109" s="534">
        <v>0.49889126106032544</v>
      </c>
      <c r="I109" s="534">
        <v>4.6129459808028691E-4</v>
      </c>
      <c r="J109" s="534">
        <v>0.11744099172526024</v>
      </c>
      <c r="K109" s="534">
        <v>0</v>
      </c>
      <c r="L109" s="534">
        <v>0</v>
      </c>
      <c r="M109" s="534">
        <v>0</v>
      </c>
      <c r="N109" s="534">
        <v>1</v>
      </c>
      <c r="O109" s="117">
        <v>28</v>
      </c>
    </row>
    <row r="110" spans="1:15" ht="15" customHeight="1" x14ac:dyDescent="0.25">
      <c r="A110" s="21" t="s">
        <v>3060</v>
      </c>
      <c r="B110" s="534">
        <v>0.21284419311610089</v>
      </c>
      <c r="C110" s="534">
        <v>0</v>
      </c>
      <c r="D110" s="534">
        <v>0</v>
      </c>
      <c r="E110" s="534">
        <v>0</v>
      </c>
      <c r="F110" s="534">
        <v>0</v>
      </c>
      <c r="G110" s="534">
        <v>0</v>
      </c>
      <c r="H110" s="534">
        <v>0.70481346831169689</v>
      </c>
      <c r="I110" s="534">
        <v>0</v>
      </c>
      <c r="J110" s="534">
        <v>8.2342338572202162E-2</v>
      </c>
      <c r="K110" s="534">
        <v>0</v>
      </c>
      <c r="L110" s="534">
        <v>0</v>
      </c>
      <c r="M110" s="534">
        <v>0</v>
      </c>
      <c r="N110" s="534">
        <v>1</v>
      </c>
      <c r="O110" s="117">
        <v>12</v>
      </c>
    </row>
    <row r="111" spans="1:15" ht="15" customHeight="1" x14ac:dyDescent="0.25">
      <c r="A111" s="21" t="s">
        <v>3061</v>
      </c>
      <c r="B111" s="534">
        <v>0.64424605075803865</v>
      </c>
      <c r="C111" s="534">
        <v>0</v>
      </c>
      <c r="D111" s="534">
        <v>0</v>
      </c>
      <c r="E111" s="534">
        <v>0</v>
      </c>
      <c r="F111" s="534">
        <v>0</v>
      </c>
      <c r="G111" s="534">
        <v>0</v>
      </c>
      <c r="H111" s="534">
        <v>0</v>
      </c>
      <c r="I111" s="534">
        <v>0</v>
      </c>
      <c r="J111" s="534">
        <v>0.35575394924196141</v>
      </c>
      <c r="K111" s="534">
        <v>0</v>
      </c>
      <c r="L111" s="534">
        <v>0</v>
      </c>
      <c r="M111" s="534">
        <v>0</v>
      </c>
      <c r="N111" s="534">
        <v>1</v>
      </c>
      <c r="O111" s="117">
        <v>1</v>
      </c>
    </row>
    <row r="112" spans="1:15" ht="15" customHeight="1" x14ac:dyDescent="0.25">
      <c r="A112" s="21" t="s">
        <v>3062</v>
      </c>
      <c r="B112" s="534">
        <v>0.33922662629683176</v>
      </c>
      <c r="C112" s="534">
        <v>0</v>
      </c>
      <c r="D112" s="534">
        <v>0</v>
      </c>
      <c r="E112" s="534">
        <v>0</v>
      </c>
      <c r="F112" s="534">
        <v>0</v>
      </c>
      <c r="G112" s="534">
        <v>1.1984953120098596E-2</v>
      </c>
      <c r="H112" s="534">
        <v>0.6336153696036475</v>
      </c>
      <c r="I112" s="534">
        <v>0</v>
      </c>
      <c r="J112" s="534">
        <v>1.5173050979422157E-2</v>
      </c>
      <c r="K112" s="534">
        <v>0</v>
      </c>
      <c r="L112" s="534">
        <v>0</v>
      </c>
      <c r="M112" s="534">
        <v>0</v>
      </c>
      <c r="N112" s="534">
        <v>1</v>
      </c>
      <c r="O112" s="117">
        <v>15</v>
      </c>
    </row>
    <row r="113" spans="1:21" ht="15" customHeight="1" x14ac:dyDescent="0.25">
      <c r="A113" s="21" t="s">
        <v>3063</v>
      </c>
      <c r="B113" s="534">
        <v>0</v>
      </c>
      <c r="C113" s="534">
        <v>0</v>
      </c>
      <c r="D113" s="534">
        <v>0</v>
      </c>
      <c r="E113" s="534">
        <v>0</v>
      </c>
      <c r="F113" s="534">
        <v>0</v>
      </c>
      <c r="G113" s="534">
        <v>0</v>
      </c>
      <c r="H113" s="534">
        <v>0.88</v>
      </c>
      <c r="I113" s="534">
        <v>0</v>
      </c>
      <c r="J113" s="534">
        <v>0.12</v>
      </c>
      <c r="K113" s="534">
        <v>0</v>
      </c>
      <c r="L113" s="534">
        <v>0</v>
      </c>
      <c r="M113" s="534">
        <v>0</v>
      </c>
      <c r="N113" s="534">
        <v>1</v>
      </c>
      <c r="O113" s="117">
        <v>2</v>
      </c>
    </row>
    <row r="114" spans="1:21" ht="15" customHeight="1" x14ac:dyDescent="0.25">
      <c r="A114" s="21" t="s">
        <v>3064</v>
      </c>
      <c r="B114" s="534">
        <v>9.2700500637835498E-2</v>
      </c>
      <c r="C114" s="534">
        <v>2.4591135277030725E-2</v>
      </c>
      <c r="D114" s="534">
        <v>5.1500278132130838E-2</v>
      </c>
      <c r="E114" s="534">
        <v>2.4591135277030725E-2</v>
      </c>
      <c r="F114" s="534">
        <v>0</v>
      </c>
      <c r="G114" s="534">
        <v>1.4556131417479868E-2</v>
      </c>
      <c r="H114" s="534">
        <v>0.74547846468227075</v>
      </c>
      <c r="I114" s="534">
        <v>1.7233764879847551E-2</v>
      </c>
      <c r="J114" s="534">
        <v>2.9348589696374047E-2</v>
      </c>
      <c r="K114" s="534">
        <v>0</v>
      </c>
      <c r="L114" s="534">
        <v>0</v>
      </c>
      <c r="M114" s="534">
        <v>0</v>
      </c>
      <c r="N114" s="534">
        <v>1</v>
      </c>
      <c r="O114" s="117">
        <v>29</v>
      </c>
    </row>
    <row r="115" spans="1:21" ht="15" customHeight="1" x14ac:dyDescent="0.25">
      <c r="A115" s="21" t="s">
        <v>3065</v>
      </c>
      <c r="B115" s="534">
        <v>0.12483450633621372</v>
      </c>
      <c r="C115" s="534">
        <v>2.0639846527239599E-2</v>
      </c>
      <c r="D115" s="534">
        <v>1.3140474351180391E-2</v>
      </c>
      <c r="E115" s="534">
        <v>2.0639846527239599E-2</v>
      </c>
      <c r="F115" s="534">
        <v>4.3801581170601301E-3</v>
      </c>
      <c r="G115" s="534">
        <v>2.1665276210927373E-2</v>
      </c>
      <c r="H115" s="534">
        <v>0.7516692496006574</v>
      </c>
      <c r="I115" s="534">
        <v>4.337363929576849E-3</v>
      </c>
      <c r="J115" s="534">
        <v>3.6135856302768707E-2</v>
      </c>
      <c r="K115" s="534">
        <v>2.5574220971363304E-3</v>
      </c>
      <c r="L115" s="534">
        <v>0</v>
      </c>
      <c r="M115" s="534">
        <v>0</v>
      </c>
      <c r="N115" s="534">
        <v>1</v>
      </c>
      <c r="O115" s="117">
        <v>74</v>
      </c>
      <c r="Q115" s="303" t="s">
        <v>3105</v>
      </c>
      <c r="R115" s="303" t="s">
        <v>3106</v>
      </c>
      <c r="S115" s="303" t="s">
        <v>3112</v>
      </c>
      <c r="T115" s="303" t="s">
        <v>3113</v>
      </c>
    </row>
    <row r="116" spans="1:21" ht="15" customHeight="1" x14ac:dyDescent="0.25">
      <c r="A116" s="21" t="s">
        <v>3066</v>
      </c>
      <c r="B116" s="534">
        <v>0.14013634690119389</v>
      </c>
      <c r="C116" s="534">
        <v>2.597336508897961E-2</v>
      </c>
      <c r="D116" s="534">
        <v>0</v>
      </c>
      <c r="E116" s="534">
        <v>2.597336508897961E-2</v>
      </c>
      <c r="F116" s="534">
        <v>0</v>
      </c>
      <c r="G116" s="534">
        <v>0</v>
      </c>
      <c r="H116" s="534">
        <v>0.76614355113140875</v>
      </c>
      <c r="I116" s="534">
        <v>1.8572056604937751E-4</v>
      </c>
      <c r="J116" s="534">
        <v>4.1587651223388665E-2</v>
      </c>
      <c r="K116" s="534">
        <v>0</v>
      </c>
      <c r="L116" s="534">
        <v>0</v>
      </c>
      <c r="M116" s="534">
        <v>0</v>
      </c>
      <c r="N116" s="534">
        <v>1</v>
      </c>
      <c r="O116" s="117">
        <v>35</v>
      </c>
      <c r="Q116" s="524">
        <v>0.17708986290798667</v>
      </c>
      <c r="R116" s="524">
        <v>0.2504098909944571</v>
      </c>
      <c r="S116" s="524">
        <v>0.23067738100889371</v>
      </c>
      <c r="T116" s="524">
        <v>0.2070064556284977</v>
      </c>
      <c r="U116" s="524">
        <v>0.25836449747163115</v>
      </c>
    </row>
    <row r="117" spans="1:21" ht="15" customHeight="1" x14ac:dyDescent="0.25">
      <c r="A117" s="21" t="s">
        <v>3067</v>
      </c>
      <c r="B117" s="534">
        <v>0.55377057643128613</v>
      </c>
      <c r="C117" s="534">
        <v>0</v>
      </c>
      <c r="D117" s="534">
        <v>2.1716493193383767E-2</v>
      </c>
      <c r="E117" s="534">
        <v>0</v>
      </c>
      <c r="F117" s="534">
        <v>0</v>
      </c>
      <c r="G117" s="534">
        <v>0</v>
      </c>
      <c r="H117" s="534">
        <v>0.32378104859135348</v>
      </c>
      <c r="I117" s="534">
        <v>0</v>
      </c>
      <c r="J117" s="534">
        <v>0.10073188178397664</v>
      </c>
      <c r="K117" s="534">
        <v>0</v>
      </c>
      <c r="L117" s="534">
        <v>0</v>
      </c>
      <c r="M117" s="534">
        <v>0</v>
      </c>
      <c r="N117" s="534">
        <v>1</v>
      </c>
      <c r="O117" s="117">
        <v>11</v>
      </c>
      <c r="Q117" s="524">
        <v>6.644848337092342E-3</v>
      </c>
      <c r="R117" s="524">
        <v>8.6300485020960795E-3</v>
      </c>
      <c r="S117" s="524">
        <v>2.0615635462056123E-2</v>
      </c>
      <c r="T117" s="524">
        <v>1.9149263002544523E-2</v>
      </c>
      <c r="U117" s="524">
        <v>9.4473369800889377E-3</v>
      </c>
    </row>
    <row r="118" spans="1:21" ht="15" customHeight="1" x14ac:dyDescent="0.25">
      <c r="A118" s="21" t="s">
        <v>3068</v>
      </c>
      <c r="B118" s="534">
        <v>0.27078083306920003</v>
      </c>
      <c r="C118" s="534">
        <v>0</v>
      </c>
      <c r="D118" s="534">
        <v>0</v>
      </c>
      <c r="E118" s="534">
        <v>0</v>
      </c>
      <c r="F118" s="534">
        <v>0</v>
      </c>
      <c r="G118" s="534">
        <v>0</v>
      </c>
      <c r="H118" s="534">
        <v>0.67432548954694416</v>
      </c>
      <c r="I118" s="534">
        <v>0</v>
      </c>
      <c r="J118" s="534">
        <v>5.4893677383855775E-2</v>
      </c>
      <c r="K118" s="534">
        <v>0</v>
      </c>
      <c r="L118" s="534">
        <v>0</v>
      </c>
      <c r="M118" s="534">
        <v>0</v>
      </c>
      <c r="N118" s="534">
        <v>1</v>
      </c>
      <c r="O118" s="117">
        <v>35</v>
      </c>
      <c r="Q118" s="524">
        <v>1.7118686747772047E-2</v>
      </c>
      <c r="R118" s="524">
        <v>3.5070439827807704E-3</v>
      </c>
      <c r="S118" s="524">
        <v>7.1115864250721177E-3</v>
      </c>
      <c r="T118" s="524">
        <v>0</v>
      </c>
      <c r="U118" s="524">
        <v>1.1669795137216912E-2</v>
      </c>
    </row>
    <row r="119" spans="1:21" ht="15" customHeight="1" x14ac:dyDescent="0.25">
      <c r="A119" s="21" t="s">
        <v>3069</v>
      </c>
      <c r="B119" s="534">
        <v>0.22025966072871001</v>
      </c>
      <c r="C119" s="534">
        <v>1.0307075853157181E-2</v>
      </c>
      <c r="D119" s="534">
        <v>1.229127571030748E-2</v>
      </c>
      <c r="E119" s="534">
        <v>1.0307075853157181E-2</v>
      </c>
      <c r="F119" s="534">
        <v>1.4749530852368978E-2</v>
      </c>
      <c r="G119" s="534">
        <v>2.0844169897726101E-2</v>
      </c>
      <c r="H119" s="534">
        <v>0.66300033476972919</v>
      </c>
      <c r="I119" s="534">
        <v>0</v>
      </c>
      <c r="J119" s="534">
        <v>1.8895750960571625E-2</v>
      </c>
      <c r="K119" s="534">
        <v>0</v>
      </c>
      <c r="L119" s="534">
        <v>2.9345125374272151E-2</v>
      </c>
      <c r="M119" s="534">
        <v>0</v>
      </c>
      <c r="N119" s="534">
        <v>1</v>
      </c>
      <c r="O119" s="117">
        <v>59</v>
      </c>
      <c r="Q119" s="524">
        <v>6.644848337092342E-3</v>
      </c>
      <c r="R119" s="524">
        <v>5.8757777035547774E-3</v>
      </c>
      <c r="S119" s="524">
        <v>3.9834992825088525E-2</v>
      </c>
      <c r="T119" s="524">
        <v>1.9149263002544523E-2</v>
      </c>
      <c r="U119" s="524">
        <v>9.3848488922268405E-3</v>
      </c>
    </row>
    <row r="120" spans="1:21" ht="15" customHeight="1" x14ac:dyDescent="0.25">
      <c r="A120" s="21" t="s">
        <v>3070</v>
      </c>
      <c r="B120" s="534">
        <v>8.2096700709392442E-2</v>
      </c>
      <c r="C120" s="534">
        <v>2.4287960476718443E-3</v>
      </c>
      <c r="D120" s="534">
        <v>0</v>
      </c>
      <c r="E120" s="534">
        <v>2.4287960476718443E-3</v>
      </c>
      <c r="F120" s="534">
        <v>1.3583242826716713E-2</v>
      </c>
      <c r="G120" s="534">
        <v>5.8273453495054257E-3</v>
      </c>
      <c r="H120" s="534">
        <v>0.84634677248611645</v>
      </c>
      <c r="I120" s="534">
        <v>1.724824693229458E-2</v>
      </c>
      <c r="J120" s="534">
        <v>1.2193315158077554E-2</v>
      </c>
      <c r="K120" s="534">
        <v>9.8491060284337361E-3</v>
      </c>
      <c r="L120" s="534">
        <v>7.6911874842941735E-4</v>
      </c>
      <c r="M120" s="534">
        <v>7.2285596656900125E-3</v>
      </c>
      <c r="N120" s="534">
        <v>1</v>
      </c>
      <c r="O120" s="117">
        <v>171</v>
      </c>
      <c r="Q120" s="524">
        <v>1.033024200296589E-2</v>
      </c>
      <c r="R120" s="524">
        <v>3.5070439827807704E-3</v>
      </c>
      <c r="S120" s="524">
        <v>7.0592953484171755E-3</v>
      </c>
      <c r="T120" s="524">
        <v>0</v>
      </c>
      <c r="U120" s="524">
        <v>5.9012032227971885E-3</v>
      </c>
    </row>
    <row r="121" spans="1:21" ht="15" customHeight="1" x14ac:dyDescent="0.25">
      <c r="A121" s="21" t="s">
        <v>3071</v>
      </c>
      <c r="B121" s="534">
        <v>0.18423405320566827</v>
      </c>
      <c r="C121" s="534">
        <v>2.3607317744464881E-2</v>
      </c>
      <c r="D121" s="534">
        <v>2.5351294582148076E-2</v>
      </c>
      <c r="E121" s="534">
        <v>1.4004341034852048E-2</v>
      </c>
      <c r="F121" s="534">
        <v>1.2100207634382649E-2</v>
      </c>
      <c r="G121" s="534">
        <v>0</v>
      </c>
      <c r="H121" s="534">
        <v>0.70635151266634377</v>
      </c>
      <c r="I121" s="534">
        <v>5.9080813740782076E-3</v>
      </c>
      <c r="J121" s="534">
        <v>2.8443191758062231E-2</v>
      </c>
      <c r="K121" s="534">
        <v>0</v>
      </c>
      <c r="L121" s="534">
        <v>0</v>
      </c>
      <c r="M121" s="534">
        <v>0</v>
      </c>
      <c r="N121" s="534">
        <v>1</v>
      </c>
      <c r="O121" s="117">
        <v>70</v>
      </c>
      <c r="Q121" s="524">
        <v>1.3903610549326675E-2</v>
      </c>
      <c r="R121" s="524">
        <v>3.3041241039039243E-2</v>
      </c>
      <c r="S121" s="524">
        <v>3.5471145928866785E-2</v>
      </c>
      <c r="T121" s="524">
        <v>1.8752781299800472E-2</v>
      </c>
      <c r="U121" s="524">
        <v>1.4617784677224615E-2</v>
      </c>
    </row>
    <row r="122" spans="1:21" ht="15" customHeight="1" x14ac:dyDescent="0.25">
      <c r="A122" s="21" t="s">
        <v>3072</v>
      </c>
      <c r="B122" s="534">
        <v>0.24260106878932672</v>
      </c>
      <c r="C122" s="534">
        <v>6.4952626518692781E-3</v>
      </c>
      <c r="D122" s="534">
        <v>8.270490981454319E-3</v>
      </c>
      <c r="E122" s="534">
        <v>6.4952626518692781E-3</v>
      </c>
      <c r="F122" s="534">
        <v>5.5136606543028793E-3</v>
      </c>
      <c r="G122" s="534">
        <v>3.8959774580978597E-3</v>
      </c>
      <c r="H122" s="534">
        <v>0.63292247573303628</v>
      </c>
      <c r="I122" s="534">
        <v>5.0236797073051447E-3</v>
      </c>
      <c r="J122" s="534">
        <v>8.8782121372738193E-2</v>
      </c>
      <c r="K122" s="534">
        <v>0</v>
      </c>
      <c r="L122" s="534">
        <v>0</v>
      </c>
      <c r="M122" s="534">
        <v>0</v>
      </c>
      <c r="N122" s="534">
        <v>1</v>
      </c>
      <c r="O122" s="117">
        <v>68</v>
      </c>
      <c r="Q122" s="524">
        <v>0.72566215735056594</v>
      </c>
      <c r="R122" s="524">
        <v>0.62816216878929465</v>
      </c>
      <c r="S122" s="524">
        <v>0.62998874494553114</v>
      </c>
      <c r="T122" s="524">
        <v>0.71285384830642307</v>
      </c>
      <c r="U122" s="524">
        <v>0.60893132387784821</v>
      </c>
    </row>
    <row r="123" spans="1:21" ht="15" customHeight="1" x14ac:dyDescent="0.25">
      <c r="A123" s="21" t="s">
        <v>3073</v>
      </c>
      <c r="B123" s="534">
        <v>0.33415085428179603</v>
      </c>
      <c r="C123" s="534">
        <v>0</v>
      </c>
      <c r="D123" s="534">
        <v>0</v>
      </c>
      <c r="E123" s="534">
        <v>0</v>
      </c>
      <c r="F123" s="534">
        <v>0</v>
      </c>
      <c r="G123" s="534">
        <v>0</v>
      </c>
      <c r="H123" s="534">
        <v>0.66584914571820386</v>
      </c>
      <c r="I123" s="534">
        <v>0</v>
      </c>
      <c r="J123" s="534">
        <v>0</v>
      </c>
      <c r="K123" s="534">
        <v>0</v>
      </c>
      <c r="L123" s="534">
        <v>0</v>
      </c>
      <c r="M123" s="534">
        <v>0</v>
      </c>
      <c r="N123" s="534">
        <v>1</v>
      </c>
      <c r="O123" s="117">
        <v>5</v>
      </c>
      <c r="Q123" s="524">
        <v>6.6496774419884841E-4</v>
      </c>
      <c r="R123" s="524">
        <v>9.3443912157567307E-3</v>
      </c>
      <c r="S123" s="524">
        <v>9.1684650689754336E-3</v>
      </c>
      <c r="T123" s="524">
        <v>2.4180829556784537E-3</v>
      </c>
      <c r="U123" s="524">
        <v>3.6403776250211206E-3</v>
      </c>
    </row>
    <row r="124" spans="1:21" ht="15" customHeight="1" x14ac:dyDescent="0.25">
      <c r="A124" s="21" t="s">
        <v>3074</v>
      </c>
      <c r="B124" s="534">
        <v>0.53996590599369221</v>
      </c>
      <c r="C124" s="534">
        <v>0</v>
      </c>
      <c r="D124" s="534">
        <v>0</v>
      </c>
      <c r="E124" s="534">
        <v>0</v>
      </c>
      <c r="F124" s="534">
        <v>0</v>
      </c>
      <c r="G124" s="534">
        <v>0</v>
      </c>
      <c r="H124" s="534">
        <v>0.46003409400630779</v>
      </c>
      <c r="I124" s="534">
        <v>0</v>
      </c>
      <c r="J124" s="534">
        <v>0</v>
      </c>
      <c r="K124" s="534">
        <v>0</v>
      </c>
      <c r="L124" s="534">
        <v>0</v>
      </c>
      <c r="M124" s="534">
        <v>0</v>
      </c>
      <c r="N124" s="534">
        <v>1</v>
      </c>
      <c r="O124" s="117">
        <v>1</v>
      </c>
      <c r="Q124" s="524">
        <v>1.5515914031306465E-2</v>
      </c>
      <c r="R124" s="524">
        <v>2.7768405437803689E-2</v>
      </c>
      <c r="S124" s="524">
        <v>1.1226691921194408E-2</v>
      </c>
      <c r="T124" s="524">
        <v>8.5182467756854622E-3</v>
      </c>
      <c r="U124" s="524">
        <v>5.9031120397414656E-2</v>
      </c>
    </row>
    <row r="125" spans="1:21" ht="15" customHeight="1" x14ac:dyDescent="0.25">
      <c r="A125" s="21" t="s">
        <v>3075</v>
      </c>
      <c r="B125" s="534">
        <v>0.14499156675729064</v>
      </c>
      <c r="C125" s="534">
        <v>1.147616275086411E-2</v>
      </c>
      <c r="D125" s="534">
        <v>1.8928402970925669E-3</v>
      </c>
      <c r="E125" s="534">
        <v>2.0395460225628961E-2</v>
      </c>
      <c r="F125" s="534">
        <v>0</v>
      </c>
      <c r="G125" s="534">
        <v>1.06999158513636E-2</v>
      </c>
      <c r="H125" s="534">
        <v>0.69758574529309691</v>
      </c>
      <c r="I125" s="534">
        <v>1.2542762073888074E-5</v>
      </c>
      <c r="J125" s="534">
        <v>2.1698978387826369E-2</v>
      </c>
      <c r="K125" s="534">
        <v>8.2585866674465505E-2</v>
      </c>
      <c r="L125" s="534">
        <v>4.2366663005133053E-3</v>
      </c>
      <c r="M125" s="534">
        <v>4.4242546997841532E-3</v>
      </c>
      <c r="N125" s="534">
        <v>1</v>
      </c>
      <c r="O125" s="117">
        <v>108</v>
      </c>
      <c r="Q125" s="524">
        <v>0</v>
      </c>
      <c r="R125" s="524">
        <v>6.2049730249079107E-3</v>
      </c>
      <c r="S125" s="524">
        <v>6.6612965109615124E-3</v>
      </c>
      <c r="T125" s="524">
        <v>0</v>
      </c>
      <c r="U125" s="524">
        <v>3.4856288053626496E-3</v>
      </c>
    </row>
    <row r="126" spans="1:21" ht="15" customHeight="1" x14ac:dyDescent="0.25">
      <c r="A126" s="21" t="s">
        <v>3076</v>
      </c>
      <c r="B126" s="534">
        <v>9.8060785603371239E-2</v>
      </c>
      <c r="C126" s="534">
        <v>5.5462493386580665E-3</v>
      </c>
      <c r="D126" s="534">
        <v>4.3127338363219891E-3</v>
      </c>
      <c r="E126" s="534">
        <v>5.3345604326024152E-3</v>
      </c>
      <c r="F126" s="534">
        <v>2.6954586477012433E-3</v>
      </c>
      <c r="G126" s="534">
        <v>5.3329450268133809E-3</v>
      </c>
      <c r="H126" s="534">
        <v>0.80923905716062206</v>
      </c>
      <c r="I126" s="534">
        <v>3.6850886939729238E-3</v>
      </c>
      <c r="J126" s="534">
        <v>1.1927743717271962E-2</v>
      </c>
      <c r="K126" s="534">
        <v>3.74846883835964E-2</v>
      </c>
      <c r="L126" s="534">
        <v>0</v>
      </c>
      <c r="M126" s="534">
        <v>1.6380689159068262E-2</v>
      </c>
      <c r="N126" s="534">
        <v>1</v>
      </c>
      <c r="O126" s="117">
        <v>326</v>
      </c>
      <c r="Q126" s="524">
        <v>2.6424861991692802E-2</v>
      </c>
      <c r="R126" s="524">
        <v>2.3549015327528129E-2</v>
      </c>
      <c r="S126" s="524">
        <v>2.1847645549429996E-3</v>
      </c>
      <c r="T126" s="524">
        <v>8.6627618344844275E-3</v>
      </c>
      <c r="U126" s="524">
        <v>1.4534208502658304E-2</v>
      </c>
    </row>
    <row r="127" spans="1:21" ht="15" customHeight="1" x14ac:dyDescent="0.25">
      <c r="A127" s="21" t="s">
        <v>3077</v>
      </c>
      <c r="B127" s="534">
        <v>0.20976916081890143</v>
      </c>
      <c r="C127" s="534">
        <v>7.0336517918182977E-3</v>
      </c>
      <c r="D127" s="534">
        <v>1.8315343435088092E-2</v>
      </c>
      <c r="E127" s="534">
        <v>8.2323207144256796E-3</v>
      </c>
      <c r="F127" s="534">
        <v>1.2820740404561666E-2</v>
      </c>
      <c r="G127" s="534">
        <v>6.9022422316094463E-3</v>
      </c>
      <c r="H127" s="534">
        <v>0.67350440340628193</v>
      </c>
      <c r="I127" s="534">
        <v>5.2591598979398815E-4</v>
      </c>
      <c r="J127" s="534">
        <v>1.5420278282003099E-2</v>
      </c>
      <c r="K127" s="534">
        <v>4.6663385466814075E-3</v>
      </c>
      <c r="L127" s="534">
        <v>0</v>
      </c>
      <c r="M127" s="534">
        <v>4.280960437883502E-2</v>
      </c>
      <c r="N127" s="534">
        <v>1</v>
      </c>
      <c r="O127" s="117">
        <v>120</v>
      </c>
      <c r="Q127" s="524">
        <v>0</v>
      </c>
      <c r="R127" s="524">
        <v>0</v>
      </c>
      <c r="S127" s="524">
        <v>0</v>
      </c>
      <c r="T127" s="524">
        <v>3.4892971943412026E-3</v>
      </c>
      <c r="U127" s="524">
        <v>9.9187441050948015E-4</v>
      </c>
    </row>
    <row r="128" spans="1:21" ht="15" customHeight="1" x14ac:dyDescent="0.25">
      <c r="A128" s="21" t="s">
        <v>3078</v>
      </c>
      <c r="B128" s="534">
        <v>0.41072007289056078</v>
      </c>
      <c r="C128" s="534">
        <v>0</v>
      </c>
      <c r="D128" s="534">
        <v>0</v>
      </c>
      <c r="E128" s="534">
        <v>4.2181004962397489E-2</v>
      </c>
      <c r="F128" s="534">
        <v>0</v>
      </c>
      <c r="G128" s="534">
        <v>4.4648715977306783E-2</v>
      </c>
      <c r="H128" s="534">
        <v>0.34543451674169268</v>
      </c>
      <c r="I128" s="534">
        <v>0</v>
      </c>
      <c r="J128" s="534">
        <v>0.15701568942804212</v>
      </c>
      <c r="K128" s="534">
        <v>0</v>
      </c>
      <c r="L128" s="534">
        <v>0</v>
      </c>
      <c r="M128" s="534">
        <v>0</v>
      </c>
      <c r="N128" s="534">
        <v>1</v>
      </c>
      <c r="O128" s="117">
        <v>8</v>
      </c>
      <c r="Q128" s="524">
        <v>1</v>
      </c>
      <c r="R128" s="524">
        <v>1</v>
      </c>
      <c r="S128" s="524">
        <v>1</v>
      </c>
      <c r="T128" s="524">
        <v>1</v>
      </c>
      <c r="U128" s="524">
        <v>1</v>
      </c>
    </row>
    <row r="129" spans="1:20" ht="15" customHeight="1" x14ac:dyDescent="0.25">
      <c r="A129" s="21" t="s">
        <v>3079</v>
      </c>
      <c r="B129" s="534">
        <v>0.33222423240163246</v>
      </c>
      <c r="C129" s="534">
        <v>0</v>
      </c>
      <c r="D129" s="534">
        <v>0</v>
      </c>
      <c r="E129" s="534">
        <v>0</v>
      </c>
      <c r="F129" s="534">
        <v>0</v>
      </c>
      <c r="G129" s="534">
        <v>0</v>
      </c>
      <c r="H129" s="534">
        <v>0.50633547213502594</v>
      </c>
      <c r="I129" s="534">
        <v>0</v>
      </c>
      <c r="J129" s="534">
        <v>0.16144029546334163</v>
      </c>
      <c r="K129" s="534">
        <v>0</v>
      </c>
      <c r="L129" s="534">
        <v>0</v>
      </c>
      <c r="M129" s="534">
        <v>0</v>
      </c>
      <c r="N129" s="534">
        <v>1</v>
      </c>
      <c r="O129" s="117">
        <v>16</v>
      </c>
      <c r="Q129" s="117">
        <v>85</v>
      </c>
      <c r="R129" s="117">
        <v>123</v>
      </c>
      <c r="S129" s="117">
        <v>134</v>
      </c>
      <c r="T129" s="117">
        <v>81</v>
      </c>
    </row>
    <row r="130" spans="1:20" ht="15" customHeight="1" x14ac:dyDescent="0.25">
      <c r="A130" s="21" t="s">
        <v>3080</v>
      </c>
      <c r="B130" s="534">
        <v>8.4774227789087747E-2</v>
      </c>
      <c r="C130" s="534">
        <v>1.0667890485105849E-2</v>
      </c>
      <c r="D130" s="534">
        <v>8.3591045708290273E-3</v>
      </c>
      <c r="E130" s="534">
        <v>1.1283345705400419E-2</v>
      </c>
      <c r="F130" s="534">
        <v>2.0897761427072568E-3</v>
      </c>
      <c r="G130" s="534">
        <v>4.4299357114611377E-3</v>
      </c>
      <c r="H130" s="534">
        <v>0.73751569184763821</v>
      </c>
      <c r="I130" s="534">
        <v>2.5038098322013244E-2</v>
      </c>
      <c r="J130" s="534">
        <v>2.3714258956975084E-2</v>
      </c>
      <c r="K130" s="534">
        <v>7.0835117900947958E-2</v>
      </c>
      <c r="L130" s="534">
        <v>1.6566003012928796E-3</v>
      </c>
      <c r="M130" s="534">
        <v>1.9635952266540989E-2</v>
      </c>
      <c r="N130" s="534">
        <v>1</v>
      </c>
      <c r="O130" s="117">
        <v>221</v>
      </c>
    </row>
    <row r="131" spans="1:20" ht="15" customHeight="1" x14ac:dyDescent="0.25">
      <c r="A131" s="21" t="s">
        <v>3081</v>
      </c>
      <c r="B131" s="534">
        <v>7.4921495578375907E-2</v>
      </c>
      <c r="C131" s="534">
        <v>5.5897065252499935E-3</v>
      </c>
      <c r="D131" s="534">
        <v>5.2721749491790168E-3</v>
      </c>
      <c r="E131" s="534">
        <v>5.5898359166047448E-3</v>
      </c>
      <c r="F131" s="534">
        <v>5.3690899298624549E-3</v>
      </c>
      <c r="G131" s="534">
        <v>2.3283391068327692E-3</v>
      </c>
      <c r="H131" s="534">
        <v>0.84160745750190535</v>
      </c>
      <c r="I131" s="534">
        <v>2.6870951750734427E-3</v>
      </c>
      <c r="J131" s="534">
        <v>1.8275720162633766E-2</v>
      </c>
      <c r="K131" s="534">
        <v>7.3108193454019766E-3</v>
      </c>
      <c r="L131" s="534">
        <v>4.1695070155012915E-3</v>
      </c>
      <c r="M131" s="534">
        <v>2.6878758793379358E-2</v>
      </c>
      <c r="N131" s="534">
        <v>1</v>
      </c>
      <c r="O131" s="117">
        <v>621</v>
      </c>
    </row>
    <row r="132" spans="1:20" ht="15" customHeight="1" x14ac:dyDescent="0.25">
      <c r="A132" s="21" t="s">
        <v>3082</v>
      </c>
      <c r="B132" s="534">
        <v>0.15294900594388192</v>
      </c>
      <c r="C132" s="534">
        <v>0</v>
      </c>
      <c r="D132" s="534">
        <v>7.5276297683131484E-3</v>
      </c>
      <c r="E132" s="534">
        <v>0</v>
      </c>
      <c r="F132" s="534">
        <v>3.3372491972854954E-2</v>
      </c>
      <c r="G132" s="534">
        <v>2.1276228429014526E-2</v>
      </c>
      <c r="H132" s="534">
        <v>0.67845404222815187</v>
      </c>
      <c r="I132" s="534">
        <v>2.0451318802125638E-3</v>
      </c>
      <c r="J132" s="534">
        <v>6.6175812058910613E-2</v>
      </c>
      <c r="K132" s="534">
        <v>1.105439626735963E-2</v>
      </c>
      <c r="L132" s="534">
        <v>2.7145261451300758E-2</v>
      </c>
      <c r="M132" s="534">
        <v>0</v>
      </c>
      <c r="N132" s="534">
        <v>1</v>
      </c>
      <c r="O132" s="117">
        <v>73</v>
      </c>
    </row>
    <row r="133" spans="1:20" ht="15" customHeight="1" x14ac:dyDescent="0.25">
      <c r="A133" s="21" t="s">
        <v>3083</v>
      </c>
      <c r="B133" s="534">
        <v>0.20888648855918474</v>
      </c>
      <c r="C133" s="534">
        <v>3.4003054873120019E-2</v>
      </c>
      <c r="D133" s="534">
        <v>0</v>
      </c>
      <c r="E133" s="534">
        <v>3.4003054873120019E-2</v>
      </c>
      <c r="F133" s="534">
        <v>0</v>
      </c>
      <c r="G133" s="534">
        <v>2.1469110382118271E-2</v>
      </c>
      <c r="H133" s="534">
        <v>0.6714382096817253</v>
      </c>
      <c r="I133" s="534">
        <v>0</v>
      </c>
      <c r="J133" s="534">
        <v>3.0200081630731596E-2</v>
      </c>
      <c r="K133" s="534">
        <v>0</v>
      </c>
      <c r="L133" s="534">
        <v>0</v>
      </c>
      <c r="M133" s="534">
        <v>0</v>
      </c>
      <c r="N133" s="534">
        <v>1</v>
      </c>
      <c r="O133" s="117">
        <v>26</v>
      </c>
    </row>
    <row r="134" spans="1:20" ht="15" customHeight="1" x14ac:dyDescent="0.25">
      <c r="A134" s="21" t="s">
        <v>3084</v>
      </c>
      <c r="B134" s="534">
        <v>0</v>
      </c>
      <c r="C134" s="534">
        <v>0</v>
      </c>
      <c r="D134" s="534">
        <v>0</v>
      </c>
      <c r="E134" s="534">
        <v>0</v>
      </c>
      <c r="F134" s="534">
        <v>0</v>
      </c>
      <c r="G134" s="534">
        <v>0.23352242828502273</v>
      </c>
      <c r="H134" s="534">
        <v>0.76647757171497732</v>
      </c>
      <c r="I134" s="534">
        <v>0</v>
      </c>
      <c r="J134" s="534">
        <v>0</v>
      </c>
      <c r="K134" s="534">
        <v>0</v>
      </c>
      <c r="L134" s="534">
        <v>0</v>
      </c>
      <c r="M134" s="534">
        <v>0</v>
      </c>
      <c r="N134" s="534">
        <v>1</v>
      </c>
      <c r="O134" s="117">
        <v>1</v>
      </c>
    </row>
    <row r="135" spans="1:20" ht="15" customHeight="1" x14ac:dyDescent="0.25">
      <c r="A135" s="21" t="s">
        <v>3085</v>
      </c>
      <c r="B135" s="534">
        <v>0.23184578414126572</v>
      </c>
      <c r="C135" s="534">
        <v>0</v>
      </c>
      <c r="D135" s="534">
        <v>0</v>
      </c>
      <c r="E135" s="534">
        <v>0</v>
      </c>
      <c r="F135" s="534">
        <v>0</v>
      </c>
      <c r="G135" s="534">
        <v>0</v>
      </c>
      <c r="H135" s="534">
        <v>0</v>
      </c>
      <c r="I135" s="534">
        <v>0</v>
      </c>
      <c r="J135" s="534">
        <v>0.76815421585873422</v>
      </c>
      <c r="K135" s="534">
        <v>0</v>
      </c>
      <c r="L135" s="534">
        <v>0</v>
      </c>
      <c r="M135" s="534">
        <v>0</v>
      </c>
      <c r="N135" s="534">
        <v>1</v>
      </c>
      <c r="O135" s="117">
        <v>1</v>
      </c>
    </row>
    <row r="136" spans="1:20" ht="15" customHeight="1" x14ac:dyDescent="0.25">
      <c r="A136" s="21" t="s">
        <v>3086</v>
      </c>
      <c r="B136" s="534">
        <v>0.60330442038541321</v>
      </c>
      <c r="C136" s="534">
        <v>0</v>
      </c>
      <c r="D136" s="534">
        <v>0</v>
      </c>
      <c r="E136" s="534">
        <v>0</v>
      </c>
      <c r="F136" s="534">
        <v>0</v>
      </c>
      <c r="G136" s="534">
        <v>0</v>
      </c>
      <c r="H136" s="534">
        <v>0.18309026751442464</v>
      </c>
      <c r="I136" s="534">
        <v>0</v>
      </c>
      <c r="J136" s="534">
        <v>0.21360531210016206</v>
      </c>
      <c r="K136" s="534">
        <v>0</v>
      </c>
      <c r="L136" s="534">
        <v>0</v>
      </c>
      <c r="M136" s="534">
        <v>0</v>
      </c>
      <c r="N136" s="534">
        <v>1</v>
      </c>
      <c r="O136" s="117">
        <v>6</v>
      </c>
    </row>
    <row r="137" spans="1:20" ht="15" customHeight="1" x14ac:dyDescent="0.25">
      <c r="A137" s="21" t="s">
        <v>3087</v>
      </c>
      <c r="B137" s="534">
        <v>0.34906370763224354</v>
      </c>
      <c r="C137" s="534">
        <v>2.284487974969095E-2</v>
      </c>
      <c r="D137" s="534">
        <v>0</v>
      </c>
      <c r="E137" s="534">
        <v>2.284487974969095E-2</v>
      </c>
      <c r="F137" s="534">
        <v>0</v>
      </c>
      <c r="G137" s="534">
        <v>0</v>
      </c>
      <c r="H137" s="534">
        <v>0.52814506371316761</v>
      </c>
      <c r="I137" s="534">
        <v>0</v>
      </c>
      <c r="J137" s="534">
        <v>7.710146915520695E-2</v>
      </c>
      <c r="K137" s="534">
        <v>0</v>
      </c>
      <c r="L137" s="534">
        <v>0</v>
      </c>
      <c r="M137" s="534">
        <v>0</v>
      </c>
      <c r="N137" s="534">
        <v>1</v>
      </c>
      <c r="O137" s="117">
        <v>10</v>
      </c>
    </row>
    <row r="138" spans="1:20" ht="15" customHeight="1" x14ac:dyDescent="0.25">
      <c r="A138" s="21" t="s">
        <v>3088</v>
      </c>
      <c r="B138" s="534">
        <v>0.18438180281929686</v>
      </c>
      <c r="C138" s="534">
        <v>0</v>
      </c>
      <c r="D138" s="534">
        <v>0</v>
      </c>
      <c r="E138" s="534">
        <v>0</v>
      </c>
      <c r="F138" s="534">
        <v>6.7047928297926135E-2</v>
      </c>
      <c r="G138" s="534">
        <v>0</v>
      </c>
      <c r="H138" s="534">
        <v>0.55242860368806956</v>
      </c>
      <c r="I138" s="534">
        <v>0</v>
      </c>
      <c r="J138" s="534">
        <v>0</v>
      </c>
      <c r="K138" s="534">
        <v>0.13345552894992668</v>
      </c>
      <c r="L138" s="534">
        <v>0</v>
      </c>
      <c r="M138" s="534">
        <v>6.2686136244780921E-2</v>
      </c>
      <c r="N138" s="534">
        <v>1</v>
      </c>
      <c r="O138" s="117">
        <v>24</v>
      </c>
    </row>
    <row r="139" spans="1:20" ht="15" customHeight="1" x14ac:dyDescent="0.25">
      <c r="A139" s="21" t="s">
        <v>3089</v>
      </c>
      <c r="B139" s="534">
        <v>7.7953496096065653E-2</v>
      </c>
      <c r="C139" s="534">
        <v>2.9517308863074559E-2</v>
      </c>
      <c r="D139" s="534">
        <v>3.4800667900029315E-2</v>
      </c>
      <c r="E139" s="534">
        <v>2.9517308863074559E-2</v>
      </c>
      <c r="F139" s="534">
        <v>0</v>
      </c>
      <c r="G139" s="534">
        <v>2.4590308719753151E-2</v>
      </c>
      <c r="H139" s="534">
        <v>0.75645368629226184</v>
      </c>
      <c r="I139" s="534">
        <v>1.15301987746385E-4</v>
      </c>
      <c r="J139" s="534">
        <v>3.8626165895038971E-2</v>
      </c>
      <c r="K139" s="534">
        <v>5.1720837710647425E-3</v>
      </c>
      <c r="L139" s="534">
        <v>0</v>
      </c>
      <c r="M139" s="534">
        <v>3.2536716118909347E-3</v>
      </c>
      <c r="N139" s="534">
        <v>1</v>
      </c>
      <c r="O139" s="117">
        <v>57</v>
      </c>
    </row>
    <row r="140" spans="1:20" ht="15" customHeight="1" x14ac:dyDescent="0.25">
      <c r="A140" s="21" t="s">
        <v>3090</v>
      </c>
      <c r="B140" s="534">
        <v>0.16893985638496661</v>
      </c>
      <c r="C140" s="534">
        <v>0</v>
      </c>
      <c r="D140" s="534">
        <v>1.6089510131901581E-2</v>
      </c>
      <c r="E140" s="534">
        <v>0</v>
      </c>
      <c r="F140" s="534">
        <v>1.2067132598926186E-2</v>
      </c>
      <c r="G140" s="534">
        <v>5.6844601722819653E-3</v>
      </c>
      <c r="H140" s="534">
        <v>0.65325103160355558</v>
      </c>
      <c r="I140" s="534">
        <v>1.5992387031792777E-2</v>
      </c>
      <c r="J140" s="534">
        <v>0.12407426938832564</v>
      </c>
      <c r="K140" s="534">
        <v>0</v>
      </c>
      <c r="L140" s="534">
        <v>3.9013526882496949E-3</v>
      </c>
      <c r="M140" s="534">
        <v>0</v>
      </c>
      <c r="N140" s="534">
        <v>1</v>
      </c>
      <c r="O140" s="117">
        <v>40</v>
      </c>
    </row>
    <row r="141" spans="1:20" ht="15" customHeight="1" x14ac:dyDescent="0.25">
      <c r="A141" s="21" t="s">
        <v>3091</v>
      </c>
      <c r="B141" s="534">
        <v>0.32935948527024045</v>
      </c>
      <c r="C141" s="534">
        <v>0</v>
      </c>
      <c r="D141" s="534">
        <v>6.5219700053512963E-2</v>
      </c>
      <c r="E141" s="534">
        <v>0</v>
      </c>
      <c r="F141" s="534">
        <v>0</v>
      </c>
      <c r="G141" s="534">
        <v>0</v>
      </c>
      <c r="H141" s="534">
        <v>0.52941238487401177</v>
      </c>
      <c r="I141" s="534">
        <v>0</v>
      </c>
      <c r="J141" s="534">
        <v>7.6008429802234739E-2</v>
      </c>
      <c r="K141" s="534">
        <v>0</v>
      </c>
      <c r="L141" s="534">
        <v>0</v>
      </c>
      <c r="M141" s="534">
        <v>0</v>
      </c>
      <c r="N141" s="534">
        <v>1</v>
      </c>
      <c r="O141" s="117">
        <v>10</v>
      </c>
    </row>
    <row r="142" spans="1:20" ht="15" customHeight="1" x14ac:dyDescent="0.25">
      <c r="A142" s="21" t="s">
        <v>3092</v>
      </c>
      <c r="B142" s="534">
        <v>0.87617776832154937</v>
      </c>
      <c r="C142" s="534">
        <v>0</v>
      </c>
      <c r="D142" s="534">
        <v>0</v>
      </c>
      <c r="E142" s="534">
        <v>0</v>
      </c>
      <c r="F142" s="534">
        <v>0</v>
      </c>
      <c r="G142" s="534">
        <v>0.12382223167845066</v>
      </c>
      <c r="H142" s="534">
        <v>0</v>
      </c>
      <c r="I142" s="534">
        <v>0</v>
      </c>
      <c r="J142" s="534">
        <v>0</v>
      </c>
      <c r="K142" s="534">
        <v>0</v>
      </c>
      <c r="L142" s="534">
        <v>0</v>
      </c>
      <c r="M142" s="534">
        <v>0</v>
      </c>
      <c r="N142" s="534">
        <v>1</v>
      </c>
      <c r="O142" s="117">
        <v>2</v>
      </c>
    </row>
    <row r="143" spans="1:20" ht="15" customHeight="1" x14ac:dyDescent="0.25">
      <c r="A143" s="21" t="s">
        <v>3093</v>
      </c>
      <c r="B143" s="534">
        <v>0.16533592953331488</v>
      </c>
      <c r="C143" s="534">
        <v>5.1011409098484235E-2</v>
      </c>
      <c r="D143" s="534">
        <v>0</v>
      </c>
      <c r="E143" s="534">
        <v>5.1011409098484235E-2</v>
      </c>
      <c r="F143" s="534">
        <v>0</v>
      </c>
      <c r="G143" s="534">
        <v>3.3379175048108292E-2</v>
      </c>
      <c r="H143" s="534">
        <v>0.64639570779227018</v>
      </c>
      <c r="I143" s="534">
        <v>0</v>
      </c>
      <c r="J143" s="534">
        <v>0</v>
      </c>
      <c r="K143" s="534">
        <v>0</v>
      </c>
      <c r="L143" s="534">
        <v>5.2866369429338207E-2</v>
      </c>
      <c r="M143" s="534">
        <v>0</v>
      </c>
      <c r="N143" s="534">
        <v>1</v>
      </c>
      <c r="O143" s="117">
        <v>16</v>
      </c>
    </row>
    <row r="144" spans="1:20" ht="15" customHeight="1" x14ac:dyDescent="0.25">
      <c r="A144" s="21" t="s">
        <v>3094</v>
      </c>
      <c r="B144" s="534">
        <v>0.15018113992575369</v>
      </c>
      <c r="C144" s="534">
        <v>1.7466733144317594E-2</v>
      </c>
      <c r="D144" s="534">
        <v>1.5034819347405821E-2</v>
      </c>
      <c r="E144" s="534">
        <v>1.7466733144317594E-2</v>
      </c>
      <c r="F144" s="534">
        <v>6.682141932180365E-3</v>
      </c>
      <c r="G144" s="534">
        <v>2.3608157966040731E-2</v>
      </c>
      <c r="H144" s="534">
        <v>0.70975490207320846</v>
      </c>
      <c r="I144" s="534">
        <v>2.5653942419180966E-3</v>
      </c>
      <c r="J144" s="534">
        <v>2.5177640270759302E-2</v>
      </c>
      <c r="K144" s="534">
        <v>5.3201869690294324E-3</v>
      </c>
      <c r="L144" s="534">
        <v>2.3680907209181912E-2</v>
      </c>
      <c r="M144" s="534">
        <v>3.0612437758868586E-3</v>
      </c>
      <c r="N144" s="534">
        <v>1</v>
      </c>
      <c r="O144" s="117">
        <v>96</v>
      </c>
    </row>
    <row r="145" spans="1:31" ht="15" customHeight="1" x14ac:dyDescent="0.25">
      <c r="A145" s="21" t="s">
        <v>3095</v>
      </c>
      <c r="B145" s="534">
        <v>0.52385388857256854</v>
      </c>
      <c r="C145" s="534">
        <v>0</v>
      </c>
      <c r="D145" s="534">
        <v>0</v>
      </c>
      <c r="E145" s="534">
        <v>0</v>
      </c>
      <c r="F145" s="534">
        <v>0</v>
      </c>
      <c r="G145" s="534">
        <v>0</v>
      </c>
      <c r="H145" s="534">
        <v>0.47614611142743141</v>
      </c>
      <c r="I145" s="534">
        <v>0</v>
      </c>
      <c r="J145" s="534">
        <v>0</v>
      </c>
      <c r="K145" s="534">
        <v>0</v>
      </c>
      <c r="L145" s="534">
        <v>0</v>
      </c>
      <c r="M145" s="534">
        <v>0</v>
      </c>
      <c r="N145" s="534">
        <v>1</v>
      </c>
      <c r="O145" s="117">
        <v>9</v>
      </c>
    </row>
    <row r="146" spans="1:31" ht="15" customHeight="1" x14ac:dyDescent="0.25">
      <c r="A146" s="21" t="s">
        <v>3096</v>
      </c>
      <c r="B146" s="534">
        <v>0.17133000739096449</v>
      </c>
      <c r="C146" s="534">
        <v>1.2937951519518978E-2</v>
      </c>
      <c r="D146" s="534">
        <v>8.2370195861040611E-3</v>
      </c>
      <c r="E146" s="534">
        <v>0</v>
      </c>
      <c r="F146" s="534">
        <v>0</v>
      </c>
      <c r="G146" s="534">
        <v>2.3281260593597013E-2</v>
      </c>
      <c r="H146" s="534">
        <v>0.71276733474665721</v>
      </c>
      <c r="I146" s="534">
        <v>2.1832793189188273E-3</v>
      </c>
      <c r="J146" s="534">
        <v>2.7290991486485342E-2</v>
      </c>
      <c r="K146" s="534">
        <v>4.1972155357754282E-2</v>
      </c>
      <c r="L146" s="534">
        <v>0</v>
      </c>
      <c r="M146" s="534">
        <v>0</v>
      </c>
      <c r="N146" s="534">
        <v>1</v>
      </c>
      <c r="O146" s="117">
        <v>24</v>
      </c>
    </row>
    <row r="147" spans="1:31" ht="15" customHeight="1" x14ac:dyDescent="0.25">
      <c r="A147" s="21" t="s">
        <v>3097</v>
      </c>
      <c r="B147" s="534">
        <v>0.23784725074929797</v>
      </c>
      <c r="C147" s="534">
        <v>3.1920283421936714E-3</v>
      </c>
      <c r="D147" s="534">
        <v>4.4708901448300843E-2</v>
      </c>
      <c r="E147" s="534">
        <v>3.1920283421936714E-3</v>
      </c>
      <c r="F147" s="534">
        <v>1.7273893741388959E-2</v>
      </c>
      <c r="G147" s="534">
        <v>0</v>
      </c>
      <c r="H147" s="534">
        <v>0.63924710062367529</v>
      </c>
      <c r="I147" s="534">
        <v>8.0798217411777295E-3</v>
      </c>
      <c r="J147" s="534">
        <v>4.6458975011771951E-2</v>
      </c>
      <c r="K147" s="534">
        <v>0</v>
      </c>
      <c r="L147" s="534">
        <v>0</v>
      </c>
      <c r="M147" s="534">
        <v>0</v>
      </c>
      <c r="N147" s="534">
        <v>1</v>
      </c>
      <c r="O147" s="117">
        <v>40</v>
      </c>
    </row>
    <row r="148" spans="1:31" ht="15" customHeight="1" x14ac:dyDescent="0.25">
      <c r="A148" s="21" t="s">
        <v>3098</v>
      </c>
      <c r="B148" s="534">
        <v>7.7412886168886197E-2</v>
      </c>
      <c r="C148" s="534">
        <v>9.1194772372103494E-3</v>
      </c>
      <c r="D148" s="534">
        <v>0</v>
      </c>
      <c r="E148" s="534">
        <v>9.1194772372103494E-3</v>
      </c>
      <c r="F148" s="534">
        <v>0</v>
      </c>
      <c r="G148" s="534">
        <v>0</v>
      </c>
      <c r="H148" s="534">
        <v>0.53861912432273629</v>
      </c>
      <c r="I148" s="534">
        <v>0</v>
      </c>
      <c r="J148" s="534">
        <v>7.6945589188962327E-2</v>
      </c>
      <c r="K148" s="534">
        <v>0</v>
      </c>
      <c r="L148" s="534">
        <v>0.28878344584499444</v>
      </c>
      <c r="M148" s="534">
        <v>0</v>
      </c>
      <c r="N148" s="534">
        <v>1</v>
      </c>
      <c r="O148" s="117">
        <v>4</v>
      </c>
    </row>
    <row r="149" spans="1:31" ht="15" customHeight="1" x14ac:dyDescent="0.25">
      <c r="A149" s="21" t="s">
        <v>3099</v>
      </c>
      <c r="B149" s="534">
        <v>0.8829800048727714</v>
      </c>
      <c r="C149" s="534">
        <v>0</v>
      </c>
      <c r="D149" s="534">
        <v>0</v>
      </c>
      <c r="E149" s="534">
        <v>0</v>
      </c>
      <c r="F149" s="534">
        <v>0</v>
      </c>
      <c r="G149" s="534">
        <v>0</v>
      </c>
      <c r="H149" s="534">
        <v>0</v>
      </c>
      <c r="I149" s="534">
        <v>0</v>
      </c>
      <c r="J149" s="534">
        <v>0.11701999512722858</v>
      </c>
      <c r="K149" s="534">
        <v>0</v>
      </c>
      <c r="L149" s="534">
        <v>0</v>
      </c>
      <c r="M149" s="534">
        <v>0</v>
      </c>
      <c r="N149" s="534">
        <v>1</v>
      </c>
      <c r="O149" s="117">
        <v>1</v>
      </c>
    </row>
    <row r="150" spans="1:31" ht="15" customHeight="1" x14ac:dyDescent="0.25">
      <c r="A150" s="21" t="s">
        <v>3100</v>
      </c>
      <c r="B150" s="534">
        <v>0.36911882309535032</v>
      </c>
      <c r="C150" s="534">
        <v>3.3130162386169733E-2</v>
      </c>
      <c r="D150" s="534">
        <v>0</v>
      </c>
      <c r="E150" s="534">
        <v>3.3130162386169733E-2</v>
      </c>
      <c r="F150" s="534">
        <v>0</v>
      </c>
      <c r="G150" s="534">
        <v>5.9616233903563139E-2</v>
      </c>
      <c r="H150" s="534">
        <v>0.49617594761162015</v>
      </c>
      <c r="I150" s="534">
        <v>0</v>
      </c>
      <c r="J150" s="534">
        <v>1.7470984070831696E-3</v>
      </c>
      <c r="K150" s="534">
        <v>0</v>
      </c>
      <c r="L150" s="534">
        <v>7.0815722100437805E-3</v>
      </c>
      <c r="M150" s="534">
        <v>0</v>
      </c>
      <c r="N150" s="534">
        <v>1</v>
      </c>
      <c r="O150" s="117">
        <v>17</v>
      </c>
    </row>
    <row r="151" spans="1:31" ht="15" customHeight="1" x14ac:dyDescent="0.25">
      <c r="A151" s="21" t="s">
        <v>3101</v>
      </c>
      <c r="B151" s="534">
        <v>0.16876928695077745</v>
      </c>
      <c r="C151" s="534">
        <v>3.8579413323160755E-2</v>
      </c>
      <c r="D151" s="534">
        <v>0</v>
      </c>
      <c r="E151" s="534">
        <v>3.4666926128055782E-2</v>
      </c>
      <c r="F151" s="534">
        <v>8.303023243373335E-3</v>
      </c>
      <c r="G151" s="534">
        <v>3.2854940327892983E-2</v>
      </c>
      <c r="H151" s="534">
        <v>0.68018759720104649</v>
      </c>
      <c r="I151" s="534">
        <v>3.3011610708698228E-4</v>
      </c>
      <c r="J151" s="534">
        <v>3.6308696718606238E-2</v>
      </c>
      <c r="K151" s="534">
        <v>0</v>
      </c>
      <c r="L151" s="534">
        <v>0</v>
      </c>
      <c r="M151" s="534">
        <v>0</v>
      </c>
      <c r="N151" s="534">
        <v>1</v>
      </c>
      <c r="O151" s="117">
        <v>96</v>
      </c>
    </row>
    <row r="152" spans="1:31" ht="15" customHeight="1" x14ac:dyDescent="0.25">
      <c r="A152" s="21" t="s">
        <v>3102</v>
      </c>
      <c r="B152" s="534">
        <v>0.32630718064409636</v>
      </c>
      <c r="C152" s="534">
        <v>0</v>
      </c>
      <c r="D152" s="534">
        <v>8.8191129903809826E-3</v>
      </c>
      <c r="E152" s="534">
        <v>0</v>
      </c>
      <c r="F152" s="534">
        <v>0</v>
      </c>
      <c r="G152" s="534">
        <v>6.231624970268778E-2</v>
      </c>
      <c r="H152" s="534">
        <v>0.55823891363815625</v>
      </c>
      <c r="I152" s="534">
        <v>4.6751344468307115E-4</v>
      </c>
      <c r="J152" s="534">
        <v>1.7531754175615168E-2</v>
      </c>
      <c r="K152" s="534">
        <v>0</v>
      </c>
      <c r="L152" s="534">
        <v>2.6319275404380303E-2</v>
      </c>
      <c r="M152" s="534">
        <v>0</v>
      </c>
      <c r="N152" s="534">
        <v>1</v>
      </c>
      <c r="O152" s="117">
        <v>18</v>
      </c>
    </row>
    <row r="153" spans="1:31" ht="15" customHeight="1" x14ac:dyDescent="0.25">
      <c r="A153" s="21" t="s">
        <v>3103</v>
      </c>
      <c r="B153" s="534">
        <v>0.21168867573674996</v>
      </c>
      <c r="C153" s="534">
        <v>0</v>
      </c>
      <c r="D153" s="534">
        <v>0</v>
      </c>
      <c r="E153" s="534">
        <v>0</v>
      </c>
      <c r="F153" s="534">
        <v>1.0080413130321425E-2</v>
      </c>
      <c r="G153" s="534">
        <v>2.1368595994421851E-2</v>
      </c>
      <c r="H153" s="534">
        <v>0.70425960683856059</v>
      </c>
      <c r="I153" s="534">
        <v>1.0019563485704023E-2</v>
      </c>
      <c r="J153" s="534">
        <v>4.2583144814242101E-2</v>
      </c>
      <c r="K153" s="534">
        <v>0</v>
      </c>
      <c r="L153" s="534">
        <v>0</v>
      </c>
      <c r="M153" s="534">
        <v>0</v>
      </c>
      <c r="N153" s="534">
        <v>1</v>
      </c>
      <c r="O153" s="117">
        <v>36</v>
      </c>
    </row>
    <row r="154" spans="1:31" ht="15" customHeight="1" x14ac:dyDescent="0.25">
      <c r="A154" s="21" t="s">
        <v>3104</v>
      </c>
      <c r="B154" s="534">
        <v>1</v>
      </c>
      <c r="C154" s="534">
        <v>0</v>
      </c>
      <c r="D154" s="534">
        <v>0</v>
      </c>
      <c r="E154" s="534">
        <v>0</v>
      </c>
      <c r="F154" s="534">
        <v>0</v>
      </c>
      <c r="G154" s="534">
        <v>0</v>
      </c>
      <c r="H154" s="534">
        <v>0</v>
      </c>
      <c r="I154" s="534">
        <v>0</v>
      </c>
      <c r="J154" s="534">
        <v>0</v>
      </c>
      <c r="K154" s="534">
        <v>0</v>
      </c>
      <c r="L154" s="534">
        <v>0</v>
      </c>
      <c r="M154" s="534">
        <v>0</v>
      </c>
      <c r="N154" s="534">
        <v>1</v>
      </c>
      <c r="O154" s="117">
        <v>1</v>
      </c>
    </row>
    <row r="155" spans="1:31" ht="15" customHeight="1" x14ac:dyDescent="0.25">
      <c r="A155" s="21" t="s">
        <v>3105</v>
      </c>
      <c r="B155" s="534">
        <v>0.17708986290798667</v>
      </c>
      <c r="C155" s="534">
        <v>6.644848337092342E-3</v>
      </c>
      <c r="D155" s="534">
        <v>1.7118686747772047E-2</v>
      </c>
      <c r="E155" s="534">
        <v>6.644848337092342E-3</v>
      </c>
      <c r="F155" s="534">
        <v>1.033024200296589E-2</v>
      </c>
      <c r="G155" s="534">
        <v>1.3903610549326675E-2</v>
      </c>
      <c r="H155" s="534">
        <v>0.72566215735056594</v>
      </c>
      <c r="I155" s="534">
        <v>6.6496774419884841E-4</v>
      </c>
      <c r="J155" s="534">
        <v>1.5515914031306465E-2</v>
      </c>
      <c r="K155" s="534">
        <v>0</v>
      </c>
      <c r="L155" s="534">
        <v>2.6424861991692802E-2</v>
      </c>
      <c r="M155" s="534">
        <v>0</v>
      </c>
      <c r="N155" s="534">
        <v>1</v>
      </c>
      <c r="O155" s="117">
        <v>85</v>
      </c>
      <c r="Q155" s="303" t="s">
        <v>3105</v>
      </c>
      <c r="R155" s="524">
        <v>0.17708986290798667</v>
      </c>
      <c r="S155" s="524">
        <v>6.644848337092342E-3</v>
      </c>
      <c r="T155" s="524">
        <v>1.7118686747772047E-2</v>
      </c>
      <c r="U155" s="524">
        <v>6.644848337092342E-3</v>
      </c>
      <c r="V155" s="524">
        <v>1.033024200296589E-2</v>
      </c>
      <c r="W155" s="524">
        <v>1.3903610549326675E-2</v>
      </c>
      <c r="X155" s="524">
        <v>0.72566215735056594</v>
      </c>
      <c r="Y155" s="524">
        <v>6.6496774419884841E-4</v>
      </c>
      <c r="Z155" s="524">
        <v>1.5515914031306465E-2</v>
      </c>
      <c r="AA155" s="524">
        <v>0</v>
      </c>
      <c r="AB155" s="524">
        <v>2.6424861991692802E-2</v>
      </c>
      <c r="AC155" s="524">
        <v>0</v>
      </c>
      <c r="AD155" s="524">
        <v>1</v>
      </c>
      <c r="AE155" s="117">
        <v>85</v>
      </c>
    </row>
    <row r="156" spans="1:31" ht="15" customHeight="1" x14ac:dyDescent="0.25">
      <c r="A156" s="21" t="s">
        <v>3106</v>
      </c>
      <c r="B156" s="534">
        <v>0.2504098909944571</v>
      </c>
      <c r="C156" s="534">
        <v>8.6300485020960795E-3</v>
      </c>
      <c r="D156" s="534">
        <v>3.5070439827807704E-3</v>
      </c>
      <c r="E156" s="534">
        <v>5.8757777035547774E-3</v>
      </c>
      <c r="F156" s="534">
        <v>3.5070439827807704E-3</v>
      </c>
      <c r="G156" s="534">
        <v>3.3041241039039243E-2</v>
      </c>
      <c r="H156" s="534">
        <v>0.62816216878929465</v>
      </c>
      <c r="I156" s="534">
        <v>9.3443912157567307E-3</v>
      </c>
      <c r="J156" s="534">
        <v>2.7768405437803689E-2</v>
      </c>
      <c r="K156" s="534">
        <v>6.2049730249079107E-3</v>
      </c>
      <c r="L156" s="534">
        <v>2.3549015327528129E-2</v>
      </c>
      <c r="M156" s="534">
        <v>0</v>
      </c>
      <c r="N156" s="534">
        <v>1</v>
      </c>
      <c r="O156" s="117">
        <v>123</v>
      </c>
      <c r="Q156" s="303" t="s">
        <v>3106</v>
      </c>
      <c r="R156" s="524">
        <v>0.2504098909944571</v>
      </c>
      <c r="S156" s="524">
        <v>8.6300485020960795E-3</v>
      </c>
      <c r="T156" s="524">
        <v>3.5070439827807704E-3</v>
      </c>
      <c r="U156" s="524">
        <v>5.8757777035547774E-3</v>
      </c>
      <c r="V156" s="524">
        <v>3.5070439827807704E-3</v>
      </c>
      <c r="W156" s="524">
        <v>3.3041241039039243E-2</v>
      </c>
      <c r="X156" s="524">
        <v>0.62816216878929465</v>
      </c>
      <c r="Y156" s="524">
        <v>9.3443912157567307E-3</v>
      </c>
      <c r="Z156" s="524">
        <v>2.7768405437803689E-2</v>
      </c>
      <c r="AA156" s="524">
        <v>6.2049730249079107E-3</v>
      </c>
      <c r="AB156" s="524">
        <v>2.3549015327528129E-2</v>
      </c>
      <c r="AC156" s="524">
        <v>0</v>
      </c>
      <c r="AD156" s="524">
        <v>1</v>
      </c>
      <c r="AE156" s="117">
        <v>123</v>
      </c>
    </row>
    <row r="157" spans="1:31" ht="15" customHeight="1" x14ac:dyDescent="0.25">
      <c r="A157" s="21" t="s">
        <v>3107</v>
      </c>
      <c r="B157" s="534">
        <v>0.20791070514768598</v>
      </c>
      <c r="C157" s="534">
        <v>1.4679427128438716E-2</v>
      </c>
      <c r="D157" s="534">
        <v>3.9602039075749711E-2</v>
      </c>
      <c r="E157" s="534">
        <v>1.4679427128438716E-2</v>
      </c>
      <c r="F157" s="534">
        <v>0</v>
      </c>
      <c r="G157" s="534">
        <v>6.9957448058316791E-3</v>
      </c>
      <c r="H157" s="534">
        <v>0.71613265671385518</v>
      </c>
      <c r="I157" s="534">
        <v>0</v>
      </c>
      <c r="J157" s="534">
        <v>0</v>
      </c>
      <c r="K157" s="534">
        <v>0</v>
      </c>
      <c r="L157" s="534">
        <v>0</v>
      </c>
      <c r="M157" s="534">
        <v>0</v>
      </c>
      <c r="N157" s="534">
        <v>1</v>
      </c>
      <c r="O157" s="117">
        <v>32</v>
      </c>
      <c r="Q157" s="303" t="s">
        <v>3112</v>
      </c>
      <c r="R157" s="524">
        <v>0.23067738100889371</v>
      </c>
      <c r="S157" s="524">
        <v>2.0615635462056123E-2</v>
      </c>
      <c r="T157" s="524">
        <v>7.1115864250721177E-3</v>
      </c>
      <c r="U157" s="524">
        <v>3.9834992825088525E-2</v>
      </c>
      <c r="V157" s="524">
        <v>7.0592953484171755E-3</v>
      </c>
      <c r="W157" s="524">
        <v>3.5471145928866785E-2</v>
      </c>
      <c r="X157" s="524">
        <v>0.62998874494553114</v>
      </c>
      <c r="Y157" s="524">
        <v>9.1684650689754336E-3</v>
      </c>
      <c r="Z157" s="524">
        <v>1.1226691921194408E-2</v>
      </c>
      <c r="AA157" s="524">
        <v>6.6612965109615124E-3</v>
      </c>
      <c r="AB157" s="524">
        <v>2.1847645549429996E-3</v>
      </c>
      <c r="AC157" s="524">
        <v>0</v>
      </c>
      <c r="AD157" s="524">
        <v>1</v>
      </c>
      <c r="AE157" s="117">
        <v>134</v>
      </c>
    </row>
    <row r="158" spans="1:31" ht="15" customHeight="1" x14ac:dyDescent="0.25">
      <c r="A158" s="21" t="s">
        <v>3108</v>
      </c>
      <c r="B158" s="534">
        <v>0.34697616059649755</v>
      </c>
      <c r="C158" s="534">
        <v>4.1002998427099716E-2</v>
      </c>
      <c r="D158" s="534">
        <v>0</v>
      </c>
      <c r="E158" s="534">
        <v>4.1002998427099716E-2</v>
      </c>
      <c r="F158" s="534">
        <v>0</v>
      </c>
      <c r="G158" s="534">
        <v>4.6114404686668678E-2</v>
      </c>
      <c r="H158" s="534">
        <v>0.52490343786263427</v>
      </c>
      <c r="I158" s="534">
        <v>0</v>
      </c>
      <c r="J158" s="534">
        <v>0</v>
      </c>
      <c r="K158" s="534">
        <v>0</v>
      </c>
      <c r="L158" s="534">
        <v>0</v>
      </c>
      <c r="M158" s="534">
        <v>0</v>
      </c>
      <c r="N158" s="534">
        <v>1</v>
      </c>
      <c r="O158" s="117">
        <v>19</v>
      </c>
      <c r="Q158" s="303" t="s">
        <v>3113</v>
      </c>
      <c r="R158" s="524">
        <v>0.2070064556284977</v>
      </c>
      <c r="S158" s="524">
        <v>1.9149263002544523E-2</v>
      </c>
      <c r="T158" s="524">
        <v>0</v>
      </c>
      <c r="U158" s="524">
        <v>1.9149263002544523E-2</v>
      </c>
      <c r="V158" s="524">
        <v>0</v>
      </c>
      <c r="W158" s="524">
        <v>1.8752781299800472E-2</v>
      </c>
      <c r="X158" s="524">
        <v>0.71285384830642307</v>
      </c>
      <c r="Y158" s="524">
        <v>2.4180829556784537E-3</v>
      </c>
      <c r="Z158" s="524">
        <v>8.5182467756854622E-3</v>
      </c>
      <c r="AA158" s="524">
        <v>0</v>
      </c>
      <c r="AB158" s="524">
        <v>8.6627618344844275E-3</v>
      </c>
      <c r="AC158" s="524">
        <v>3.4892971943412026E-3</v>
      </c>
      <c r="AD158" s="524">
        <v>1</v>
      </c>
      <c r="AE158" s="117">
        <v>81</v>
      </c>
    </row>
    <row r="159" spans="1:31" ht="15" customHeight="1" x14ac:dyDescent="0.25">
      <c r="A159" s="21" t="s">
        <v>3109</v>
      </c>
      <c r="B159" s="534">
        <v>5.9142738916452574E-2</v>
      </c>
      <c r="C159" s="534">
        <v>0</v>
      </c>
      <c r="D159" s="534">
        <v>0</v>
      </c>
      <c r="E159" s="534">
        <v>0</v>
      </c>
      <c r="F159" s="534">
        <v>4.7314191133162056E-2</v>
      </c>
      <c r="G159" s="534">
        <v>0</v>
      </c>
      <c r="H159" s="534">
        <v>0.89354306995038535</v>
      </c>
      <c r="I159" s="534">
        <v>0</v>
      </c>
      <c r="J159" s="534">
        <v>0</v>
      </c>
      <c r="K159" s="534">
        <v>0</v>
      </c>
      <c r="L159" s="534">
        <v>0</v>
      </c>
      <c r="M159" s="534">
        <v>0</v>
      </c>
      <c r="N159" s="534">
        <v>1</v>
      </c>
      <c r="O159" s="117">
        <v>10</v>
      </c>
    </row>
    <row r="160" spans="1:31" ht="15" customHeight="1" x14ac:dyDescent="0.25">
      <c r="A160" s="21" t="s">
        <v>3110</v>
      </c>
      <c r="B160" s="534">
        <v>0.23184578414126572</v>
      </c>
      <c r="C160" s="534">
        <v>0</v>
      </c>
      <c r="D160" s="534">
        <v>0</v>
      </c>
      <c r="E160" s="534">
        <v>0</v>
      </c>
      <c r="F160" s="534">
        <v>0</v>
      </c>
      <c r="G160" s="534">
        <v>0</v>
      </c>
      <c r="H160" s="534">
        <v>0.76815421585873422</v>
      </c>
      <c r="I160" s="534">
        <v>0</v>
      </c>
      <c r="J160" s="534">
        <v>0</v>
      </c>
      <c r="K160" s="534">
        <v>0</v>
      </c>
      <c r="L160" s="534">
        <v>0</v>
      </c>
      <c r="M160" s="534">
        <v>0</v>
      </c>
      <c r="N160" s="534">
        <v>1</v>
      </c>
      <c r="O160" s="117">
        <v>1</v>
      </c>
    </row>
    <row r="161" spans="1:15" ht="15" customHeight="1" x14ac:dyDescent="0.25">
      <c r="A161" s="21" t="s">
        <v>3111</v>
      </c>
      <c r="B161" s="534">
        <v>0</v>
      </c>
      <c r="C161" s="534">
        <v>0</v>
      </c>
      <c r="D161" s="534">
        <v>0</v>
      </c>
      <c r="E161" s="534">
        <v>0</v>
      </c>
      <c r="F161" s="534">
        <v>0</v>
      </c>
      <c r="G161" s="534">
        <v>0</v>
      </c>
      <c r="H161" s="534">
        <v>1</v>
      </c>
      <c r="I161" s="534">
        <v>0</v>
      </c>
      <c r="J161" s="534">
        <v>0</v>
      </c>
      <c r="K161" s="534">
        <v>0</v>
      </c>
      <c r="L161" s="534">
        <v>0</v>
      </c>
      <c r="M161" s="534">
        <v>0</v>
      </c>
      <c r="N161" s="534">
        <v>1</v>
      </c>
      <c r="O161" s="117">
        <v>2</v>
      </c>
    </row>
    <row r="162" spans="1:15" ht="15" customHeight="1" x14ac:dyDescent="0.25">
      <c r="A162" s="21" t="s">
        <v>3112</v>
      </c>
      <c r="B162" s="534">
        <v>0.23067738100889371</v>
      </c>
      <c r="C162" s="534">
        <v>2.0615635462056123E-2</v>
      </c>
      <c r="D162" s="534">
        <v>7.1115864250721177E-3</v>
      </c>
      <c r="E162" s="534">
        <v>3.9834992825088525E-2</v>
      </c>
      <c r="F162" s="534">
        <v>7.0592953484171755E-3</v>
      </c>
      <c r="G162" s="534">
        <v>3.5471145928866785E-2</v>
      </c>
      <c r="H162" s="534">
        <v>0.62998874494553114</v>
      </c>
      <c r="I162" s="534">
        <v>9.1684650689754336E-3</v>
      </c>
      <c r="J162" s="534">
        <v>1.1226691921194408E-2</v>
      </c>
      <c r="K162" s="534">
        <v>6.6612965109615124E-3</v>
      </c>
      <c r="L162" s="534">
        <v>2.1847645549429996E-3</v>
      </c>
      <c r="M162" s="534">
        <v>0</v>
      </c>
      <c r="N162" s="534">
        <v>1</v>
      </c>
      <c r="O162" s="117">
        <v>134</v>
      </c>
    </row>
    <row r="163" spans="1:15" ht="15" customHeight="1" x14ac:dyDescent="0.25">
      <c r="A163" s="21" t="s">
        <v>3113</v>
      </c>
      <c r="B163" s="534">
        <v>0.2070064556284977</v>
      </c>
      <c r="C163" s="534">
        <v>1.9149263002544523E-2</v>
      </c>
      <c r="D163" s="534">
        <v>0</v>
      </c>
      <c r="E163" s="534">
        <v>1.9149263002544523E-2</v>
      </c>
      <c r="F163" s="534">
        <v>0</v>
      </c>
      <c r="G163" s="534">
        <v>1.8752781299800472E-2</v>
      </c>
      <c r="H163" s="534">
        <v>0.71285384830642307</v>
      </c>
      <c r="I163" s="534">
        <v>2.4180829556784537E-3</v>
      </c>
      <c r="J163" s="534">
        <v>8.5182467756854622E-3</v>
      </c>
      <c r="K163" s="534">
        <v>0</v>
      </c>
      <c r="L163" s="534">
        <v>8.6627618344844275E-3</v>
      </c>
      <c r="M163" s="534">
        <v>3.4892971943412026E-3</v>
      </c>
      <c r="N163" s="534">
        <v>1</v>
      </c>
      <c r="O163" s="117">
        <v>81</v>
      </c>
    </row>
    <row r="164" spans="1:15" ht="15" customHeight="1" x14ac:dyDescent="0.25">
      <c r="A164" s="21" t="s">
        <v>3114</v>
      </c>
      <c r="B164" s="534">
        <v>0.39023928063679458</v>
      </c>
      <c r="C164" s="534">
        <v>0</v>
      </c>
      <c r="D164" s="534">
        <v>0</v>
      </c>
      <c r="E164" s="534">
        <v>0</v>
      </c>
      <c r="F164" s="534">
        <v>3.2519940053066215E-2</v>
      </c>
      <c r="G164" s="534">
        <v>0</v>
      </c>
      <c r="H164" s="534">
        <v>0.12929454366622625</v>
      </c>
      <c r="I164" s="534">
        <v>0</v>
      </c>
      <c r="J164" s="534">
        <v>0.447946235643913</v>
      </c>
      <c r="K164" s="534">
        <v>0</v>
      </c>
      <c r="L164" s="534">
        <v>0</v>
      </c>
      <c r="M164" s="534">
        <v>0</v>
      </c>
      <c r="N164" s="534">
        <v>1</v>
      </c>
      <c r="O164" s="117">
        <v>5</v>
      </c>
    </row>
    <row r="165" spans="1:15" ht="15" customHeight="1" x14ac:dyDescent="0.25">
      <c r="A165" s="21" t="s">
        <v>3115</v>
      </c>
      <c r="B165" s="534">
        <v>0.35949234527530849</v>
      </c>
      <c r="C165" s="534">
        <v>0</v>
      </c>
      <c r="D165" s="534">
        <v>0</v>
      </c>
      <c r="E165" s="534">
        <v>0</v>
      </c>
      <c r="F165" s="534">
        <v>0</v>
      </c>
      <c r="G165" s="534">
        <v>8.4672970243965584E-2</v>
      </c>
      <c r="H165" s="534">
        <v>0.55583468448072582</v>
      </c>
      <c r="I165" s="534">
        <v>0</v>
      </c>
      <c r="J165" s="534">
        <v>0</v>
      </c>
      <c r="K165" s="534">
        <v>0</v>
      </c>
      <c r="L165" s="534">
        <v>0</v>
      </c>
      <c r="M165" s="534">
        <v>0</v>
      </c>
      <c r="N165" s="534">
        <v>1</v>
      </c>
      <c r="O165" s="117">
        <v>2</v>
      </c>
    </row>
    <row r="166" spans="1:15" ht="15" customHeight="1" x14ac:dyDescent="0.25">
      <c r="A166" s="21" t="s">
        <v>3116</v>
      </c>
      <c r="B166" s="534">
        <v>0.20617246929402896</v>
      </c>
      <c r="C166" s="534">
        <v>4.047959010692527E-2</v>
      </c>
      <c r="D166" s="534">
        <v>0</v>
      </c>
      <c r="E166" s="534">
        <v>4.047959010692527E-2</v>
      </c>
      <c r="F166" s="534">
        <v>0</v>
      </c>
      <c r="G166" s="534">
        <v>0.10197767694610282</v>
      </c>
      <c r="H166" s="534">
        <v>0.60952448737990894</v>
      </c>
      <c r="I166" s="534">
        <v>1.366186166108728E-3</v>
      </c>
      <c r="J166" s="534">
        <v>0</v>
      </c>
      <c r="K166" s="534">
        <v>0</v>
      </c>
      <c r="L166" s="534">
        <v>0</v>
      </c>
      <c r="M166" s="534">
        <v>0</v>
      </c>
      <c r="N166" s="534">
        <v>1</v>
      </c>
      <c r="O166" s="117">
        <v>16</v>
      </c>
    </row>
    <row r="167" spans="1:15" ht="15" customHeight="1" x14ac:dyDescent="0.25">
      <c r="A167" s="21" t="s">
        <v>3117</v>
      </c>
      <c r="B167" s="534">
        <v>0.17229030000580453</v>
      </c>
      <c r="C167" s="534">
        <v>0</v>
      </c>
      <c r="D167" s="534">
        <v>0</v>
      </c>
      <c r="E167" s="534">
        <v>0</v>
      </c>
      <c r="F167" s="534">
        <v>0</v>
      </c>
      <c r="G167" s="534">
        <v>0</v>
      </c>
      <c r="H167" s="534">
        <v>0.68500113102967897</v>
      </c>
      <c r="I167" s="534">
        <v>0</v>
      </c>
      <c r="J167" s="534">
        <v>0.14270856896451645</v>
      </c>
      <c r="K167" s="534">
        <v>0</v>
      </c>
      <c r="L167" s="534">
        <v>0</v>
      </c>
      <c r="M167" s="534">
        <v>0</v>
      </c>
      <c r="N167" s="534">
        <v>1</v>
      </c>
      <c r="O167" s="117">
        <v>2</v>
      </c>
    </row>
    <row r="168" spans="1:15" ht="15" customHeight="1" x14ac:dyDescent="0.25">
      <c r="A168" s="21" t="s">
        <v>3118</v>
      </c>
      <c r="B168" s="534">
        <v>0.93785383019235224</v>
      </c>
      <c r="C168" s="534">
        <v>0</v>
      </c>
      <c r="D168" s="534">
        <v>0</v>
      </c>
      <c r="E168" s="534">
        <v>0</v>
      </c>
      <c r="F168" s="534">
        <v>0</v>
      </c>
      <c r="G168" s="534">
        <v>0</v>
      </c>
      <c r="H168" s="534">
        <v>0</v>
      </c>
      <c r="I168" s="534">
        <v>0</v>
      </c>
      <c r="J168" s="534">
        <v>6.2146169807647707E-2</v>
      </c>
      <c r="K168" s="534">
        <v>0</v>
      </c>
      <c r="L168" s="534">
        <v>0</v>
      </c>
      <c r="M168" s="534">
        <v>0</v>
      </c>
      <c r="N168" s="534">
        <v>1</v>
      </c>
      <c r="O168" s="117">
        <v>1</v>
      </c>
    </row>
    <row r="169" spans="1:15" ht="15" customHeight="1" x14ac:dyDescent="0.25">
      <c r="A169" s="21" t="s">
        <v>3119</v>
      </c>
      <c r="B169" s="534">
        <v>0.55705004002565073</v>
      </c>
      <c r="C169" s="534">
        <v>0</v>
      </c>
      <c r="D169" s="534">
        <v>0</v>
      </c>
      <c r="E169" s="534">
        <v>0</v>
      </c>
      <c r="F169" s="534">
        <v>0</v>
      </c>
      <c r="G169" s="534">
        <v>0</v>
      </c>
      <c r="H169" s="534">
        <v>0</v>
      </c>
      <c r="I169" s="534">
        <v>0</v>
      </c>
      <c r="J169" s="534">
        <v>0.44294995997434922</v>
      </c>
      <c r="K169" s="534">
        <v>0</v>
      </c>
      <c r="L169" s="534">
        <v>0</v>
      </c>
      <c r="M169" s="534">
        <v>0</v>
      </c>
      <c r="N169" s="534">
        <v>1</v>
      </c>
      <c r="O169" s="117">
        <v>1</v>
      </c>
    </row>
    <row r="170" spans="1:15" ht="15" customHeight="1" x14ac:dyDescent="0.25">
      <c r="A170" s="21" t="s">
        <v>3120</v>
      </c>
      <c r="B170" s="534">
        <v>0.55705004002565073</v>
      </c>
      <c r="C170" s="534">
        <v>0</v>
      </c>
      <c r="D170" s="534">
        <v>0</v>
      </c>
      <c r="E170" s="534">
        <v>0</v>
      </c>
      <c r="F170" s="534">
        <v>0</v>
      </c>
      <c r="G170" s="534">
        <v>0</v>
      </c>
      <c r="H170" s="534">
        <v>0.44294995997434922</v>
      </c>
      <c r="I170" s="534">
        <v>0</v>
      </c>
      <c r="J170" s="534">
        <v>0</v>
      </c>
      <c r="K170" s="534">
        <v>0</v>
      </c>
      <c r="L170" s="534">
        <v>0</v>
      </c>
      <c r="M170" s="534">
        <v>0</v>
      </c>
      <c r="N170" s="534">
        <v>1</v>
      </c>
      <c r="O170" s="117">
        <v>1</v>
      </c>
    </row>
    <row r="171" spans="1:15" ht="15" customHeight="1" x14ac:dyDescent="0.25">
      <c r="A171" s="21" t="s">
        <v>3121</v>
      </c>
      <c r="B171" s="534">
        <v>0</v>
      </c>
      <c r="C171" s="534">
        <v>0</v>
      </c>
      <c r="D171" s="534">
        <v>0</v>
      </c>
      <c r="E171" s="534">
        <v>0</v>
      </c>
      <c r="F171" s="534">
        <v>0</v>
      </c>
      <c r="G171" s="534">
        <v>0</v>
      </c>
      <c r="H171" s="534">
        <v>0.9503105590062112</v>
      </c>
      <c r="I171" s="534">
        <v>4.9689440993788823E-2</v>
      </c>
      <c r="J171" s="534">
        <v>0</v>
      </c>
      <c r="K171" s="534">
        <v>0</v>
      </c>
      <c r="L171" s="534">
        <v>0</v>
      </c>
      <c r="M171" s="534">
        <v>0</v>
      </c>
      <c r="N171" s="534">
        <v>1</v>
      </c>
      <c r="O171" s="117">
        <v>2</v>
      </c>
    </row>
    <row r="172" spans="1:15" ht="15" customHeight="1" x14ac:dyDescent="0.25">
      <c r="A172" s="21" t="s">
        <v>3122</v>
      </c>
      <c r="B172" s="534">
        <v>0.82763709684965148</v>
      </c>
      <c r="C172" s="534">
        <v>0</v>
      </c>
      <c r="D172" s="534">
        <v>0</v>
      </c>
      <c r="E172" s="534">
        <v>0</v>
      </c>
      <c r="F172" s="534">
        <v>0</v>
      </c>
      <c r="G172" s="534">
        <v>0</v>
      </c>
      <c r="H172" s="534">
        <v>0.17236290315034847</v>
      </c>
      <c r="I172" s="534">
        <v>0</v>
      </c>
      <c r="J172" s="534">
        <v>0</v>
      </c>
      <c r="K172" s="534">
        <v>0</v>
      </c>
      <c r="L172" s="534">
        <v>0</v>
      </c>
      <c r="M172" s="534">
        <v>0</v>
      </c>
      <c r="N172" s="534">
        <v>1</v>
      </c>
      <c r="O172" s="117">
        <v>1</v>
      </c>
    </row>
    <row r="173" spans="1:15" ht="15" customHeight="1" x14ac:dyDescent="0.25">
      <c r="A173" s="21" t="s">
        <v>3123</v>
      </c>
      <c r="B173" s="534">
        <v>0.31068678000403321</v>
      </c>
      <c r="C173" s="534">
        <v>0</v>
      </c>
      <c r="D173" s="534">
        <v>0</v>
      </c>
      <c r="E173" s="534">
        <v>0</v>
      </c>
      <c r="F173" s="534">
        <v>0</v>
      </c>
      <c r="G173" s="534">
        <v>0</v>
      </c>
      <c r="H173" s="534">
        <v>0.68931321999596673</v>
      </c>
      <c r="I173" s="534">
        <v>0</v>
      </c>
      <c r="J173" s="534">
        <v>0</v>
      </c>
      <c r="K173" s="534">
        <v>0</v>
      </c>
      <c r="L173" s="534">
        <v>0</v>
      </c>
      <c r="M173" s="534">
        <v>0</v>
      </c>
      <c r="N173" s="534">
        <v>1</v>
      </c>
      <c r="O173" s="117">
        <v>8</v>
      </c>
    </row>
    <row r="174" spans="1:15" ht="15" customHeight="1" x14ac:dyDescent="0.25">
      <c r="A174" s="21" t="s">
        <v>3124</v>
      </c>
      <c r="B174" s="534">
        <v>0</v>
      </c>
      <c r="C174" s="534">
        <v>0</v>
      </c>
      <c r="D174" s="534">
        <v>0</v>
      </c>
      <c r="E174" s="534">
        <v>0</v>
      </c>
      <c r="F174" s="534">
        <v>0</v>
      </c>
      <c r="G174" s="534">
        <v>3.5797079458237083E-2</v>
      </c>
      <c r="H174" s="534">
        <v>0.18463460180586949</v>
      </c>
      <c r="I174" s="534">
        <v>0</v>
      </c>
      <c r="J174" s="534">
        <v>0</v>
      </c>
      <c r="K174" s="534">
        <v>0</v>
      </c>
      <c r="L174" s="534">
        <v>0.7795683187358935</v>
      </c>
      <c r="M174" s="534">
        <v>0</v>
      </c>
      <c r="N174" s="534">
        <v>1</v>
      </c>
      <c r="O174" s="117">
        <v>4</v>
      </c>
    </row>
    <row r="175" spans="1:15" ht="15" customHeight="1" x14ac:dyDescent="0.25">
      <c r="A175" s="21" t="s">
        <v>3125</v>
      </c>
      <c r="B175" s="534">
        <v>0</v>
      </c>
      <c r="C175" s="534">
        <v>0</v>
      </c>
      <c r="D175" s="534">
        <v>0</v>
      </c>
      <c r="E175" s="534">
        <v>0</v>
      </c>
      <c r="F175" s="534">
        <v>0</v>
      </c>
      <c r="G175" s="534">
        <v>0</v>
      </c>
      <c r="H175" s="534">
        <v>1</v>
      </c>
      <c r="I175" s="534">
        <v>0</v>
      </c>
      <c r="J175" s="534">
        <v>0</v>
      </c>
      <c r="K175" s="534">
        <v>0</v>
      </c>
      <c r="L175" s="534">
        <v>0</v>
      </c>
      <c r="M175" s="534">
        <v>0</v>
      </c>
      <c r="N175" s="534">
        <v>1</v>
      </c>
      <c r="O175" s="117">
        <v>2</v>
      </c>
    </row>
    <row r="176" spans="1:15" ht="15" customHeight="1" x14ac:dyDescent="0.25">
      <c r="A176" s="21" t="s">
        <v>3126</v>
      </c>
      <c r="B176" s="534">
        <v>0.30363977296634198</v>
      </c>
      <c r="C176" s="534">
        <v>0</v>
      </c>
      <c r="D176" s="534">
        <v>0</v>
      </c>
      <c r="E176" s="534">
        <v>0</v>
      </c>
      <c r="F176" s="534">
        <v>0</v>
      </c>
      <c r="G176" s="534">
        <v>0</v>
      </c>
      <c r="H176" s="534">
        <v>0.69636022703365807</v>
      </c>
      <c r="I176" s="534">
        <v>0</v>
      </c>
      <c r="J176" s="534">
        <v>0</v>
      </c>
      <c r="K176" s="534">
        <v>0</v>
      </c>
      <c r="L176" s="534">
        <v>0</v>
      </c>
      <c r="M176" s="534">
        <v>0</v>
      </c>
      <c r="N176" s="534">
        <v>1</v>
      </c>
      <c r="O176" s="117">
        <v>1</v>
      </c>
    </row>
    <row r="177" spans="1:15" ht="15" customHeight="1" x14ac:dyDescent="0.25">
      <c r="A177" s="21" t="s">
        <v>3127</v>
      </c>
      <c r="B177" s="534">
        <v>0.53982522854335713</v>
      </c>
      <c r="C177" s="534">
        <v>0</v>
      </c>
      <c r="D177" s="534">
        <v>0</v>
      </c>
      <c r="E177" s="534">
        <v>0</v>
      </c>
      <c r="F177" s="534">
        <v>0</v>
      </c>
      <c r="G177" s="534">
        <v>0</v>
      </c>
      <c r="H177" s="534">
        <v>0.37501967697281346</v>
      </c>
      <c r="I177" s="534">
        <v>8.6543002378341571E-3</v>
      </c>
      <c r="J177" s="534">
        <v>7.6500794245995152E-2</v>
      </c>
      <c r="K177" s="534">
        <v>0</v>
      </c>
      <c r="L177" s="534">
        <v>0</v>
      </c>
      <c r="M177" s="534">
        <v>0</v>
      </c>
      <c r="N177" s="534">
        <v>1</v>
      </c>
      <c r="O177" s="117">
        <v>6</v>
      </c>
    </row>
    <row r="178" spans="1:15" ht="15" customHeight="1" x14ac:dyDescent="0.25">
      <c r="A178" s="21" t="s">
        <v>3128</v>
      </c>
      <c r="B178" s="534">
        <v>0.36983102532354933</v>
      </c>
      <c r="C178" s="534">
        <v>0</v>
      </c>
      <c r="D178" s="534">
        <v>0</v>
      </c>
      <c r="E178" s="534">
        <v>0</v>
      </c>
      <c r="F178" s="534">
        <v>0</v>
      </c>
      <c r="G178" s="534">
        <v>0</v>
      </c>
      <c r="H178" s="534">
        <v>0.35009387482025034</v>
      </c>
      <c r="I178" s="534">
        <v>0</v>
      </c>
      <c r="J178" s="534">
        <v>0.28007509985620027</v>
      </c>
      <c r="K178" s="534">
        <v>0</v>
      </c>
      <c r="L178" s="534">
        <v>0</v>
      </c>
      <c r="M178" s="534">
        <v>0</v>
      </c>
      <c r="N178" s="534">
        <v>1</v>
      </c>
      <c r="O178" s="117">
        <v>3</v>
      </c>
    </row>
    <row r="179" spans="1:15" ht="15" customHeight="1" x14ac:dyDescent="0.25">
      <c r="A179" s="21" t="s">
        <v>3129</v>
      </c>
      <c r="B179" s="534">
        <v>0.25553844051529112</v>
      </c>
      <c r="C179" s="534">
        <v>0</v>
      </c>
      <c r="D179" s="534">
        <v>0</v>
      </c>
      <c r="E179" s="534">
        <v>0</v>
      </c>
      <c r="F179" s="534">
        <v>0</v>
      </c>
      <c r="G179" s="534">
        <v>0</v>
      </c>
      <c r="H179" s="534">
        <v>0.47526980982864281</v>
      </c>
      <c r="I179" s="534">
        <v>4.5765027426927568E-3</v>
      </c>
      <c r="J179" s="534">
        <v>0.26314890770483351</v>
      </c>
      <c r="K179" s="534">
        <v>1.4663392085398318E-3</v>
      </c>
      <c r="L179" s="534">
        <v>0</v>
      </c>
      <c r="M179" s="534">
        <v>0</v>
      </c>
      <c r="N179" s="534">
        <v>1</v>
      </c>
      <c r="O179" s="117">
        <v>11</v>
      </c>
    </row>
    <row r="180" spans="1:15" ht="15" customHeight="1" x14ac:dyDescent="0.25">
      <c r="A180" s="525" t="s">
        <v>3130</v>
      </c>
      <c r="B180" s="535">
        <v>0.36776155443985231</v>
      </c>
      <c r="C180" s="535">
        <v>0</v>
      </c>
      <c r="D180" s="535">
        <v>0</v>
      </c>
      <c r="E180" s="535">
        <v>0</v>
      </c>
      <c r="F180" s="535">
        <v>0</v>
      </c>
      <c r="G180" s="535">
        <v>4.3310328530239965E-2</v>
      </c>
      <c r="H180" s="535">
        <v>0.58892811702990766</v>
      </c>
      <c r="I180" s="535">
        <v>0</v>
      </c>
      <c r="J180" s="535">
        <v>0</v>
      </c>
      <c r="K180" s="535">
        <v>0</v>
      </c>
      <c r="L180" s="535">
        <v>0</v>
      </c>
      <c r="M180" s="535">
        <v>0</v>
      </c>
      <c r="N180" s="535">
        <v>1</v>
      </c>
      <c r="O180" s="536">
        <v>4</v>
      </c>
    </row>
    <row r="181" spans="1:15" ht="15" customHeight="1" x14ac:dyDescent="0.25">
      <c r="A181" s="298" t="s">
        <v>3131</v>
      </c>
      <c r="B181" s="537">
        <v>0.16911575509389409</v>
      </c>
      <c r="C181" s="537">
        <v>1.081095982826033E-2</v>
      </c>
      <c r="D181" s="537">
        <v>8.3331978012220389E-3</v>
      </c>
      <c r="E181" s="537">
        <v>1.1639231396867516E-2</v>
      </c>
      <c r="F181" s="537">
        <v>6.6191088913094996E-3</v>
      </c>
      <c r="G181" s="537">
        <v>1.3097452065551966E-2</v>
      </c>
      <c r="H181" s="537">
        <v>0.71274987715469129</v>
      </c>
      <c r="I181" s="537">
        <v>5.1794067162623959E-3</v>
      </c>
      <c r="J181" s="537">
        <v>3.0869581697330933E-2</v>
      </c>
      <c r="K181" s="537">
        <v>1.3442602780446355E-2</v>
      </c>
      <c r="L181" s="537">
        <v>7.981042117985053E-3</v>
      </c>
      <c r="M181" s="537">
        <v>1.0161784456178919E-2</v>
      </c>
      <c r="N181" s="537">
        <v>1</v>
      </c>
      <c r="O181" s="312">
        <v>3306</v>
      </c>
    </row>
    <row r="182" spans="1:15" ht="15" customHeight="1" x14ac:dyDescent="0.25">
      <c r="A182" s="530" t="s">
        <v>3132</v>
      </c>
      <c r="B182" s="538">
        <v>0.25836449747163115</v>
      </c>
      <c r="C182" s="538">
        <v>9.4473369800889377E-3</v>
      </c>
      <c r="D182" s="538">
        <v>1.1669795137216912E-2</v>
      </c>
      <c r="E182" s="538">
        <v>9.3848488922268405E-3</v>
      </c>
      <c r="F182" s="538">
        <v>5.9012032227971885E-3</v>
      </c>
      <c r="G182" s="538">
        <v>1.4617784677224615E-2</v>
      </c>
      <c r="H182" s="538">
        <v>0.60893132387784821</v>
      </c>
      <c r="I182" s="538">
        <v>3.6403776250211206E-3</v>
      </c>
      <c r="J182" s="538">
        <v>5.9031120397414656E-2</v>
      </c>
      <c r="K182" s="538">
        <v>3.4856288053626496E-3</v>
      </c>
      <c r="L182" s="538">
        <v>1.4534208502658304E-2</v>
      </c>
      <c r="M182" s="538">
        <v>9.9187441050948015E-4</v>
      </c>
      <c r="N182" s="538">
        <v>1</v>
      </c>
      <c r="O182" s="532">
        <v>656</v>
      </c>
    </row>
    <row r="183" spans="1:15" ht="15" customHeight="1" x14ac:dyDescent="0.25">
      <c r="A183" s="539"/>
      <c r="B183" s="540"/>
      <c r="C183" s="540"/>
      <c r="D183" s="540"/>
      <c r="E183" s="540">
        <v>0.28886647848116381</v>
      </c>
      <c r="F183" s="540"/>
      <c r="G183" s="540"/>
      <c r="H183" s="540"/>
      <c r="I183" s="540"/>
      <c r="J183" s="540"/>
      <c r="K183" s="540"/>
      <c r="L183" s="540"/>
      <c r="M183" s="540"/>
      <c r="N183" s="541"/>
    </row>
    <row r="184" spans="1:15" ht="15" customHeight="1" x14ac:dyDescent="0.25">
      <c r="A184" s="539"/>
      <c r="B184" s="540"/>
      <c r="C184" s="540"/>
      <c r="D184" s="540"/>
      <c r="E184" s="540"/>
      <c r="F184" s="540"/>
      <c r="G184" s="540"/>
      <c r="H184" s="540"/>
      <c r="I184" s="540"/>
      <c r="J184" s="540"/>
      <c r="K184" s="540"/>
      <c r="L184" s="540"/>
      <c r="M184" s="540"/>
      <c r="N184" s="538"/>
    </row>
    <row r="185" spans="1:15" ht="15" customHeight="1" x14ac:dyDescent="0.25">
      <c r="A185" s="539"/>
      <c r="B185" s="540"/>
      <c r="C185" s="540"/>
      <c r="D185" s="540"/>
      <c r="E185" s="540"/>
      <c r="F185" s="540"/>
      <c r="G185" s="540"/>
      <c r="M185" s="540"/>
      <c r="N185" s="538"/>
    </row>
    <row r="186" spans="1:15" ht="15" customHeight="1" x14ac:dyDescent="0.25">
      <c r="A186" s="915" t="s">
        <v>3134</v>
      </c>
      <c r="B186" s="915"/>
      <c r="C186" s="915"/>
      <c r="D186" s="915"/>
      <c r="E186" s="915"/>
      <c r="I186" s="915" t="s">
        <v>3135</v>
      </c>
      <c r="J186" s="915"/>
      <c r="K186" s="915"/>
      <c r="L186" s="915"/>
      <c r="M186" s="915"/>
    </row>
    <row r="187" spans="1:15" ht="15" customHeight="1" x14ac:dyDescent="0.25">
      <c r="A187" s="296"/>
      <c r="B187" s="312"/>
      <c r="C187" s="312"/>
      <c r="D187" s="312"/>
      <c r="F187" s="296" t="s">
        <v>2977</v>
      </c>
      <c r="G187" s="296" t="s">
        <v>3035</v>
      </c>
    </row>
    <row r="188" spans="1:15" ht="15" customHeight="1" x14ac:dyDescent="0.25">
      <c r="A188" s="302" t="s">
        <v>3036</v>
      </c>
      <c r="B188" s="542" t="s">
        <v>3136</v>
      </c>
      <c r="C188" s="542" t="s">
        <v>3137</v>
      </c>
      <c r="D188" s="542" t="s">
        <v>3138</v>
      </c>
      <c r="E188" s="542" t="s">
        <v>2462</v>
      </c>
      <c r="F188" s="302" t="s">
        <v>2972</v>
      </c>
      <c r="G188" s="302" t="s">
        <v>3046</v>
      </c>
      <c r="I188" s="302" t="s">
        <v>3036</v>
      </c>
      <c r="J188" s="542" t="s">
        <v>3136</v>
      </c>
      <c r="K188" s="542" t="s">
        <v>3137</v>
      </c>
      <c r="L188" s="542" t="s">
        <v>3138</v>
      </c>
      <c r="M188" s="302" t="s">
        <v>2462</v>
      </c>
    </row>
    <row r="189" spans="1:15" ht="15" customHeight="1" x14ac:dyDescent="0.25">
      <c r="A189" s="21" t="s">
        <v>3047</v>
      </c>
      <c r="B189" s="534">
        <v>0</v>
      </c>
      <c r="C189" s="534">
        <v>0</v>
      </c>
      <c r="D189" s="534">
        <v>0</v>
      </c>
      <c r="E189" s="534">
        <v>0</v>
      </c>
      <c r="F189" s="303">
        <v>1</v>
      </c>
      <c r="G189" s="543">
        <v>9.5732644831887669E-4</v>
      </c>
      <c r="I189" s="21" t="s">
        <v>3047</v>
      </c>
      <c r="J189" s="534">
        <v>0</v>
      </c>
      <c r="K189" s="534">
        <v>0</v>
      </c>
      <c r="L189" s="534">
        <v>0</v>
      </c>
      <c r="M189" s="534">
        <v>0</v>
      </c>
    </row>
    <row r="190" spans="1:15" ht="15" customHeight="1" x14ac:dyDescent="0.25">
      <c r="A190" s="21" t="s">
        <v>3048</v>
      </c>
      <c r="B190" s="544">
        <v>0</v>
      </c>
      <c r="C190" s="544">
        <v>0.33333333333333331</v>
      </c>
      <c r="D190" s="544">
        <v>0.66666666666666663</v>
      </c>
      <c r="E190" s="524">
        <v>1</v>
      </c>
      <c r="F190" s="303">
        <v>3</v>
      </c>
      <c r="G190" s="543">
        <v>2.9009892373299295E-5</v>
      </c>
      <c r="I190" s="21" t="s">
        <v>3048</v>
      </c>
      <c r="J190" s="534">
        <v>0</v>
      </c>
      <c r="K190" s="534">
        <v>0.33333333333333331</v>
      </c>
      <c r="L190" s="534">
        <v>0.66666666666666663</v>
      </c>
      <c r="M190" s="534">
        <v>1</v>
      </c>
    </row>
    <row r="191" spans="1:15" ht="15" customHeight="1" x14ac:dyDescent="0.25">
      <c r="A191" s="21" t="s">
        <v>3049</v>
      </c>
      <c r="B191" s="544">
        <v>1</v>
      </c>
      <c r="C191" s="544">
        <v>0</v>
      </c>
      <c r="D191" s="544">
        <v>0</v>
      </c>
      <c r="E191" s="524">
        <v>1</v>
      </c>
      <c r="F191" s="303">
        <v>1</v>
      </c>
      <c r="G191" s="543">
        <v>2.9009892373299295E-5</v>
      </c>
      <c r="I191" s="21" t="s">
        <v>3049</v>
      </c>
      <c r="J191" s="534">
        <v>1</v>
      </c>
      <c r="K191" s="534">
        <v>0</v>
      </c>
      <c r="L191" s="534">
        <v>0</v>
      </c>
      <c r="M191" s="534">
        <v>1</v>
      </c>
    </row>
    <row r="192" spans="1:15" ht="15" customHeight="1" x14ac:dyDescent="0.25">
      <c r="A192" s="21" t="s">
        <v>3050</v>
      </c>
      <c r="B192" s="544">
        <v>0</v>
      </c>
      <c r="C192" s="544">
        <v>1</v>
      </c>
      <c r="D192" s="544">
        <v>0</v>
      </c>
      <c r="E192" s="524">
        <v>1</v>
      </c>
      <c r="F192" s="303">
        <v>1</v>
      </c>
      <c r="G192" s="543">
        <v>0</v>
      </c>
      <c r="I192" s="21" t="s">
        <v>3050</v>
      </c>
      <c r="J192" s="534">
        <v>0</v>
      </c>
      <c r="K192" s="534">
        <v>1</v>
      </c>
      <c r="L192" s="534">
        <v>0</v>
      </c>
      <c r="M192" s="534">
        <v>1</v>
      </c>
    </row>
    <row r="193" spans="1:13" ht="15" customHeight="1" x14ac:dyDescent="0.25">
      <c r="A193" s="21" t="s">
        <v>3051</v>
      </c>
      <c r="B193" s="544">
        <v>0</v>
      </c>
      <c r="C193" s="544">
        <v>1</v>
      </c>
      <c r="D193" s="544">
        <v>0</v>
      </c>
      <c r="E193" s="524">
        <v>1</v>
      </c>
      <c r="F193" s="303">
        <v>3</v>
      </c>
      <c r="G193" s="543">
        <v>5.8019784746598591E-4</v>
      </c>
      <c r="I193" s="21" t="s">
        <v>3051</v>
      </c>
      <c r="J193" s="534">
        <v>0</v>
      </c>
      <c r="K193" s="534">
        <v>1</v>
      </c>
      <c r="L193" s="534">
        <v>0</v>
      </c>
      <c r="M193" s="534">
        <v>1</v>
      </c>
    </row>
    <row r="194" spans="1:13" ht="15" customHeight="1" x14ac:dyDescent="0.25">
      <c r="A194" s="21" t="s">
        <v>3052</v>
      </c>
      <c r="B194" s="544">
        <v>0</v>
      </c>
      <c r="C194" s="544">
        <v>0</v>
      </c>
      <c r="D194" s="544">
        <v>0</v>
      </c>
      <c r="E194" s="524">
        <v>0</v>
      </c>
      <c r="F194" s="303">
        <v>1</v>
      </c>
      <c r="G194" s="543">
        <v>9.2831655594557744E-4</v>
      </c>
      <c r="I194" s="21" t="s">
        <v>3052</v>
      </c>
      <c r="J194" s="534">
        <v>0</v>
      </c>
      <c r="K194" s="534">
        <v>0</v>
      </c>
      <c r="L194" s="534">
        <v>0</v>
      </c>
      <c r="M194" s="534">
        <v>0</v>
      </c>
    </row>
    <row r="195" spans="1:13" ht="15" customHeight="1" x14ac:dyDescent="0.25">
      <c r="A195" s="21" t="s">
        <v>3053</v>
      </c>
      <c r="B195" s="544">
        <v>0</v>
      </c>
      <c r="C195" s="544">
        <v>0.4</v>
      </c>
      <c r="D195" s="544">
        <v>0.6</v>
      </c>
      <c r="E195" s="524">
        <v>1</v>
      </c>
      <c r="F195" s="303">
        <v>5</v>
      </c>
      <c r="G195" s="543">
        <v>2.3788111746105424E-3</v>
      </c>
      <c r="I195" s="21" t="s">
        <v>3053</v>
      </c>
      <c r="J195" s="534">
        <v>0</v>
      </c>
      <c r="K195" s="534">
        <v>0.4</v>
      </c>
      <c r="L195" s="534">
        <v>0.6</v>
      </c>
      <c r="M195" s="534">
        <v>1</v>
      </c>
    </row>
    <row r="196" spans="1:13" ht="15" customHeight="1" x14ac:dyDescent="0.25">
      <c r="A196" s="21" t="s">
        <v>3054</v>
      </c>
      <c r="B196" s="544">
        <v>0.33333333333333331</v>
      </c>
      <c r="C196" s="544">
        <v>0.66666666666666674</v>
      </c>
      <c r="D196" s="544">
        <v>0</v>
      </c>
      <c r="E196" s="524">
        <v>1</v>
      </c>
      <c r="F196" s="303">
        <v>4</v>
      </c>
      <c r="G196" s="543">
        <v>3.3651475153027182E-3</v>
      </c>
      <c r="I196" s="21" t="s">
        <v>3054</v>
      </c>
      <c r="J196" s="534">
        <v>0.33333333333333331</v>
      </c>
      <c r="K196" s="534">
        <v>0.66666666666666674</v>
      </c>
      <c r="L196" s="534">
        <v>0</v>
      </c>
      <c r="M196" s="534">
        <v>1</v>
      </c>
    </row>
    <row r="197" spans="1:13" ht="15" customHeight="1" x14ac:dyDescent="0.25">
      <c r="A197" s="21" t="s">
        <v>3055</v>
      </c>
      <c r="B197" s="544">
        <v>0.1111111111111111</v>
      </c>
      <c r="C197" s="544">
        <v>0.49382716049382719</v>
      </c>
      <c r="D197" s="544">
        <v>0.39506172839506171</v>
      </c>
      <c r="E197" s="524">
        <v>1</v>
      </c>
      <c r="F197" s="303">
        <v>15</v>
      </c>
      <c r="G197" s="543">
        <v>4.1194047170084996E-3</v>
      </c>
      <c r="I197" s="21" t="s">
        <v>3055</v>
      </c>
      <c r="J197" s="534">
        <v>0.1111111111111111</v>
      </c>
      <c r="K197" s="534">
        <v>0.49382716049382719</v>
      </c>
      <c r="L197" s="534">
        <v>0.39506172839506171</v>
      </c>
      <c r="M197" s="534">
        <v>1</v>
      </c>
    </row>
    <row r="198" spans="1:13" ht="15" customHeight="1" x14ac:dyDescent="0.25">
      <c r="A198" s="21" t="s">
        <v>3056</v>
      </c>
      <c r="B198" s="544">
        <v>0</v>
      </c>
      <c r="C198" s="544">
        <v>1</v>
      </c>
      <c r="D198" s="544">
        <v>0</v>
      </c>
      <c r="E198" s="524">
        <v>1</v>
      </c>
      <c r="F198" s="303">
        <v>1</v>
      </c>
      <c r="G198" s="543">
        <v>0</v>
      </c>
      <c r="I198" s="21" t="s">
        <v>3056</v>
      </c>
      <c r="J198" s="534">
        <v>0</v>
      </c>
      <c r="K198" s="534">
        <v>1</v>
      </c>
      <c r="L198" s="534">
        <v>0</v>
      </c>
      <c r="M198" s="534">
        <v>1</v>
      </c>
    </row>
    <row r="199" spans="1:13" ht="15" customHeight="1" x14ac:dyDescent="0.25">
      <c r="A199" s="21" t="s">
        <v>3057</v>
      </c>
      <c r="B199" s="544">
        <v>0</v>
      </c>
      <c r="C199" s="544">
        <v>1</v>
      </c>
      <c r="D199" s="544">
        <v>0</v>
      </c>
      <c r="E199" s="524">
        <v>1</v>
      </c>
      <c r="F199" s="303">
        <v>3</v>
      </c>
      <c r="G199" s="543">
        <v>3.7132662237823097E-3</v>
      </c>
      <c r="I199" s="21" t="s">
        <v>3057</v>
      </c>
      <c r="J199" s="534">
        <v>0</v>
      </c>
      <c r="K199" s="534">
        <v>1</v>
      </c>
      <c r="L199" s="534">
        <v>0</v>
      </c>
      <c r="M199" s="534">
        <v>1</v>
      </c>
    </row>
    <row r="200" spans="1:13" ht="15" customHeight="1" x14ac:dyDescent="0.25">
      <c r="A200" s="21" t="s">
        <v>3058</v>
      </c>
      <c r="B200" s="544">
        <v>0.11627906976744186</v>
      </c>
      <c r="C200" s="544">
        <v>0.40787119856887299</v>
      </c>
      <c r="D200" s="544">
        <v>0.47584973166368516</v>
      </c>
      <c r="E200" s="524">
        <v>1</v>
      </c>
      <c r="F200" s="303">
        <v>67</v>
      </c>
      <c r="G200" s="543">
        <v>1.3083461460357982E-2</v>
      </c>
      <c r="I200" s="21" t="s">
        <v>3058</v>
      </c>
      <c r="J200" s="534">
        <v>0.11627906976744186</v>
      </c>
      <c r="K200" s="534">
        <v>0.40787119856887299</v>
      </c>
      <c r="L200" s="534">
        <v>0.47584973166368516</v>
      </c>
      <c r="M200" s="534">
        <v>1</v>
      </c>
    </row>
    <row r="201" spans="1:13" ht="15" customHeight="1" x14ac:dyDescent="0.25">
      <c r="A201" s="21" t="s">
        <v>3059</v>
      </c>
      <c r="B201" s="544">
        <v>0.125</v>
      </c>
      <c r="C201" s="544">
        <v>0.58333333333333337</v>
      </c>
      <c r="D201" s="544">
        <v>0.29166666666666669</v>
      </c>
      <c r="E201" s="524">
        <v>1</v>
      </c>
      <c r="F201" s="303">
        <v>28</v>
      </c>
      <c r="G201" s="543">
        <v>1.9436627890110528E-3</v>
      </c>
      <c r="I201" s="21" t="s">
        <v>3059</v>
      </c>
      <c r="J201" s="534">
        <v>0.125</v>
      </c>
      <c r="K201" s="534">
        <v>0.58333333333333337</v>
      </c>
      <c r="L201" s="534">
        <v>0.29166666666666669</v>
      </c>
      <c r="M201" s="534">
        <v>1</v>
      </c>
    </row>
    <row r="202" spans="1:13" ht="15" customHeight="1" x14ac:dyDescent="0.25">
      <c r="A202" s="21" t="s">
        <v>3060</v>
      </c>
      <c r="B202" s="544">
        <v>0.5714285714285714</v>
      </c>
      <c r="C202" s="544">
        <v>0.4285714285714286</v>
      </c>
      <c r="D202" s="544">
        <v>0</v>
      </c>
      <c r="E202" s="524">
        <v>1</v>
      </c>
      <c r="F202" s="303">
        <v>12</v>
      </c>
      <c r="G202" s="543">
        <v>5.1927707348205735E-3</v>
      </c>
      <c r="I202" s="21" t="s">
        <v>3060</v>
      </c>
      <c r="J202" s="534">
        <v>0.5714285714285714</v>
      </c>
      <c r="K202" s="534">
        <v>0.4285714285714286</v>
      </c>
      <c r="L202" s="534">
        <v>0</v>
      </c>
      <c r="M202" s="534">
        <v>1</v>
      </c>
    </row>
    <row r="203" spans="1:13" ht="15" customHeight="1" x14ac:dyDescent="0.25">
      <c r="A203" s="21" t="s">
        <v>3061</v>
      </c>
      <c r="B203" s="544">
        <v>0</v>
      </c>
      <c r="C203" s="544">
        <v>0</v>
      </c>
      <c r="D203" s="544">
        <v>1</v>
      </c>
      <c r="E203" s="524">
        <v>1</v>
      </c>
      <c r="F203" s="303">
        <v>1</v>
      </c>
      <c r="G203" s="543">
        <v>0</v>
      </c>
      <c r="I203" s="21" t="s">
        <v>3061</v>
      </c>
      <c r="J203" s="534">
        <v>0</v>
      </c>
      <c r="K203" s="534">
        <v>0</v>
      </c>
      <c r="L203" s="534">
        <v>1</v>
      </c>
      <c r="M203" s="534">
        <v>1</v>
      </c>
    </row>
    <row r="204" spans="1:13" ht="15" customHeight="1" x14ac:dyDescent="0.25">
      <c r="A204" s="21" t="s">
        <v>3062</v>
      </c>
      <c r="B204" s="544">
        <v>0.63636363636363635</v>
      </c>
      <c r="C204" s="544">
        <v>0.23140495867768596</v>
      </c>
      <c r="D204" s="544">
        <v>0.13223140495867769</v>
      </c>
      <c r="E204" s="524">
        <v>1</v>
      </c>
      <c r="F204" s="303">
        <v>15</v>
      </c>
      <c r="G204" s="543">
        <v>4.6415827797278872E-4</v>
      </c>
      <c r="I204" s="21" t="s">
        <v>3062</v>
      </c>
      <c r="J204" s="534">
        <v>0.63636363636363635</v>
      </c>
      <c r="K204" s="534">
        <v>0.23140495867768596</v>
      </c>
      <c r="L204" s="534">
        <v>0.13223140495867769</v>
      </c>
      <c r="M204" s="534">
        <v>1</v>
      </c>
    </row>
    <row r="205" spans="1:13" ht="15" customHeight="1" x14ac:dyDescent="0.25">
      <c r="A205" s="21" t="s">
        <v>3063</v>
      </c>
      <c r="B205" s="544">
        <v>0</v>
      </c>
      <c r="C205" s="544">
        <v>0</v>
      </c>
      <c r="D205" s="544">
        <v>0</v>
      </c>
      <c r="E205" s="524">
        <v>0</v>
      </c>
      <c r="F205" s="303">
        <v>2</v>
      </c>
      <c r="G205" s="543">
        <v>0</v>
      </c>
      <c r="I205" s="21" t="s">
        <v>3063</v>
      </c>
      <c r="J205" s="534">
        <v>0</v>
      </c>
      <c r="K205" s="534">
        <v>0</v>
      </c>
      <c r="L205" s="534">
        <v>0</v>
      </c>
      <c r="M205" s="534">
        <v>0</v>
      </c>
    </row>
    <row r="206" spans="1:13" ht="15" customHeight="1" x14ac:dyDescent="0.25">
      <c r="A206" s="21" t="s">
        <v>3064</v>
      </c>
      <c r="B206" s="544">
        <v>0.30769230769230771</v>
      </c>
      <c r="C206" s="544">
        <v>0.44505494505494508</v>
      </c>
      <c r="D206" s="544">
        <v>0.24725274725274726</v>
      </c>
      <c r="E206" s="524">
        <v>1</v>
      </c>
      <c r="F206" s="303">
        <v>29</v>
      </c>
      <c r="G206" s="543">
        <v>3.5682167619158133E-3</v>
      </c>
      <c r="I206" s="21" t="s">
        <v>3064</v>
      </c>
      <c r="J206" s="534">
        <v>0.30769230769230771</v>
      </c>
      <c r="K206" s="534">
        <v>0.44505494505494508</v>
      </c>
      <c r="L206" s="534">
        <v>0.24725274725274726</v>
      </c>
      <c r="M206" s="534">
        <v>1</v>
      </c>
    </row>
    <row r="207" spans="1:13" ht="15" customHeight="1" x14ac:dyDescent="0.25">
      <c r="A207" s="21" t="s">
        <v>3065</v>
      </c>
      <c r="B207" s="544">
        <v>0.28000000000000003</v>
      </c>
      <c r="C207" s="544">
        <v>0.42545454545454542</v>
      </c>
      <c r="D207" s="544">
        <v>0.2945454545454545</v>
      </c>
      <c r="E207" s="524">
        <v>1</v>
      </c>
      <c r="F207" s="303">
        <v>74</v>
      </c>
      <c r="G207" s="543">
        <v>3.3825534507266976E-2</v>
      </c>
      <c r="I207" s="21" t="s">
        <v>3065</v>
      </c>
      <c r="J207" s="534">
        <v>0.28000000000000003</v>
      </c>
      <c r="K207" s="534">
        <v>0.42545454545454542</v>
      </c>
      <c r="L207" s="534">
        <v>0.2945454545454545</v>
      </c>
      <c r="M207" s="534">
        <v>1</v>
      </c>
    </row>
    <row r="208" spans="1:13" ht="15" customHeight="1" x14ac:dyDescent="0.25">
      <c r="A208" s="21" t="s">
        <v>3066</v>
      </c>
      <c r="B208" s="544">
        <v>0.2</v>
      </c>
      <c r="C208" s="544">
        <v>0.46666666666666673</v>
      </c>
      <c r="D208" s="544">
        <v>0.33333333333333331</v>
      </c>
      <c r="E208" s="524">
        <v>1</v>
      </c>
      <c r="F208" s="303">
        <v>35</v>
      </c>
      <c r="G208" s="543">
        <v>7.6005918018044157E-3</v>
      </c>
      <c r="I208" s="21" t="s">
        <v>3066</v>
      </c>
      <c r="J208" s="534">
        <v>0.2</v>
      </c>
      <c r="K208" s="534">
        <v>0.46666666666666673</v>
      </c>
      <c r="L208" s="534">
        <v>0.33333333333333331</v>
      </c>
      <c r="M208" s="534">
        <v>1</v>
      </c>
    </row>
    <row r="209" spans="1:13" ht="15" customHeight="1" x14ac:dyDescent="0.25">
      <c r="A209" s="21" t="s">
        <v>3067</v>
      </c>
      <c r="B209" s="544">
        <v>0.4</v>
      </c>
      <c r="C209" s="544">
        <v>0.6</v>
      </c>
      <c r="D209" s="544">
        <v>0</v>
      </c>
      <c r="E209" s="524">
        <v>1</v>
      </c>
      <c r="F209" s="303">
        <v>11</v>
      </c>
      <c r="G209" s="543">
        <v>4.4965333178613905E-3</v>
      </c>
      <c r="I209" s="21" t="s">
        <v>3067</v>
      </c>
      <c r="J209" s="534">
        <v>0.4</v>
      </c>
      <c r="K209" s="534">
        <v>0.6</v>
      </c>
      <c r="L209" s="534">
        <v>0</v>
      </c>
      <c r="M209" s="534">
        <v>1</v>
      </c>
    </row>
    <row r="210" spans="1:13" ht="15" customHeight="1" x14ac:dyDescent="0.25">
      <c r="A210" s="21" t="s">
        <v>3068</v>
      </c>
      <c r="B210" s="544">
        <v>0.26315789473684209</v>
      </c>
      <c r="C210" s="544">
        <v>0.3274853801169591</v>
      </c>
      <c r="D210" s="544">
        <v>0.40935672514619886</v>
      </c>
      <c r="E210" s="524">
        <v>1</v>
      </c>
      <c r="F210" s="303">
        <v>35</v>
      </c>
      <c r="G210" s="543">
        <v>3.8873255780221055E-3</v>
      </c>
      <c r="I210" s="21" t="s">
        <v>3068</v>
      </c>
      <c r="J210" s="534">
        <v>0.26315789473684209</v>
      </c>
      <c r="K210" s="534">
        <v>0.3274853801169591</v>
      </c>
      <c r="L210" s="534">
        <v>0.40935672514619886</v>
      </c>
      <c r="M210" s="534">
        <v>1</v>
      </c>
    </row>
    <row r="211" spans="1:13" ht="15" customHeight="1" x14ac:dyDescent="0.25">
      <c r="A211" s="21" t="s">
        <v>3069</v>
      </c>
      <c r="B211" s="544">
        <v>0.10344827586206896</v>
      </c>
      <c r="C211" s="544">
        <v>0.51231527093596063</v>
      </c>
      <c r="D211" s="544">
        <v>0.38423645320197047</v>
      </c>
      <c r="E211" s="524">
        <v>1</v>
      </c>
      <c r="F211" s="303">
        <v>59</v>
      </c>
      <c r="G211" s="543">
        <v>1.9378608105363928E-2</v>
      </c>
      <c r="I211" s="21" t="s">
        <v>3069</v>
      </c>
      <c r="J211" s="534">
        <v>0.10344827586206896</v>
      </c>
      <c r="K211" s="534">
        <v>0.51231527093596063</v>
      </c>
      <c r="L211" s="534">
        <v>0.38423645320197047</v>
      </c>
      <c r="M211" s="534">
        <v>1</v>
      </c>
    </row>
    <row r="212" spans="1:13" ht="15" customHeight="1" x14ac:dyDescent="0.25">
      <c r="A212" s="21" t="s">
        <v>3070</v>
      </c>
      <c r="B212" s="544">
        <v>0.29729729729729731</v>
      </c>
      <c r="C212" s="544">
        <v>0.42588042588042585</v>
      </c>
      <c r="D212" s="544">
        <v>0.27682227682227678</v>
      </c>
      <c r="E212" s="524">
        <v>1</v>
      </c>
      <c r="F212" s="303">
        <v>171</v>
      </c>
      <c r="G212" s="543">
        <v>5.5321864755881758E-2</v>
      </c>
      <c r="I212" s="21" t="s">
        <v>3070</v>
      </c>
      <c r="J212" s="534">
        <v>0.29729729729729731</v>
      </c>
      <c r="K212" s="534">
        <v>0.42588042588042585</v>
      </c>
      <c r="L212" s="534">
        <v>0.27682227682227678</v>
      </c>
      <c r="M212" s="534">
        <v>1</v>
      </c>
    </row>
    <row r="213" spans="1:13" ht="15" customHeight="1" x14ac:dyDescent="0.25">
      <c r="A213" s="21" t="s">
        <v>3071</v>
      </c>
      <c r="B213" s="544">
        <v>0.13157894736842105</v>
      </c>
      <c r="C213" s="544">
        <v>0.55482456140350878</v>
      </c>
      <c r="D213" s="544">
        <v>0.31359649122807021</v>
      </c>
      <c r="E213" s="524">
        <v>1</v>
      </c>
      <c r="F213" s="303">
        <v>70</v>
      </c>
      <c r="G213" s="543">
        <v>1.4359896724783151E-2</v>
      </c>
      <c r="I213" s="21" t="s">
        <v>3071</v>
      </c>
      <c r="J213" s="534">
        <v>0.13157894736842105</v>
      </c>
      <c r="K213" s="534">
        <v>0.55482456140350878</v>
      </c>
      <c r="L213" s="534">
        <v>0.31359649122807021</v>
      </c>
      <c r="M213" s="534">
        <v>1</v>
      </c>
    </row>
    <row r="214" spans="1:13" ht="15" customHeight="1" x14ac:dyDescent="0.25">
      <c r="A214" s="21" t="s">
        <v>3072</v>
      </c>
      <c r="B214" s="544">
        <v>0.12121212121212122</v>
      </c>
      <c r="C214" s="544">
        <v>0.50596877869605139</v>
      </c>
      <c r="D214" s="544">
        <v>0.37281910009182734</v>
      </c>
      <c r="E214" s="524">
        <v>1</v>
      </c>
      <c r="F214" s="303">
        <v>68</v>
      </c>
      <c r="G214" s="543">
        <v>4.699602564474486E-3</v>
      </c>
      <c r="I214" s="21" t="s">
        <v>3072</v>
      </c>
      <c r="J214" s="534">
        <v>0.12121212121212122</v>
      </c>
      <c r="K214" s="534">
        <v>0.50596877869605139</v>
      </c>
      <c r="L214" s="534">
        <v>0.37281910009182734</v>
      </c>
      <c r="M214" s="534">
        <v>1</v>
      </c>
    </row>
    <row r="215" spans="1:13" ht="15" customHeight="1" x14ac:dyDescent="0.25">
      <c r="A215" s="21" t="s">
        <v>3073</v>
      </c>
      <c r="B215" s="544">
        <v>0.5</v>
      </c>
      <c r="C215" s="544">
        <v>0.5</v>
      </c>
      <c r="D215" s="544">
        <v>0</v>
      </c>
      <c r="E215" s="524">
        <v>1</v>
      </c>
      <c r="F215" s="303">
        <v>5</v>
      </c>
      <c r="G215" s="543">
        <v>4.0613849322619015E-4</v>
      </c>
      <c r="I215" s="21" t="s">
        <v>3073</v>
      </c>
      <c r="J215" s="534">
        <v>0.5</v>
      </c>
      <c r="K215" s="534">
        <v>0.5</v>
      </c>
      <c r="L215" s="534">
        <v>0</v>
      </c>
      <c r="M215" s="534">
        <v>1</v>
      </c>
    </row>
    <row r="216" spans="1:13" ht="15" customHeight="1" x14ac:dyDescent="0.25">
      <c r="A216" s="21" t="s">
        <v>3074</v>
      </c>
      <c r="B216" s="544">
        <v>0</v>
      </c>
      <c r="C216" s="544">
        <v>1</v>
      </c>
      <c r="D216" s="544">
        <v>0</v>
      </c>
      <c r="E216" s="524">
        <v>1</v>
      </c>
      <c r="F216" s="303">
        <v>1</v>
      </c>
      <c r="G216" s="543">
        <v>8.7029677119897881E-5</v>
      </c>
      <c r="I216" s="21" t="s">
        <v>3074</v>
      </c>
      <c r="J216" s="534">
        <v>0</v>
      </c>
      <c r="K216" s="534">
        <v>1</v>
      </c>
      <c r="L216" s="534">
        <v>0</v>
      </c>
      <c r="M216" s="534">
        <v>1</v>
      </c>
    </row>
    <row r="217" spans="1:13" ht="15" customHeight="1" x14ac:dyDescent="0.25">
      <c r="A217" s="21" t="s">
        <v>3075</v>
      </c>
      <c r="B217" s="544">
        <v>0.18181818181818182</v>
      </c>
      <c r="C217" s="544">
        <v>0.40909090909090906</v>
      </c>
      <c r="D217" s="544">
        <v>0.40909090909090906</v>
      </c>
      <c r="E217" s="524">
        <v>0.99999999999999989</v>
      </c>
      <c r="F217" s="303">
        <v>108</v>
      </c>
      <c r="G217" s="543">
        <v>4.911374778799571E-2</v>
      </c>
      <c r="I217" s="21" t="s">
        <v>3075</v>
      </c>
      <c r="J217" s="534">
        <v>0.18181818181818182</v>
      </c>
      <c r="K217" s="534">
        <v>0.40909090909090906</v>
      </c>
      <c r="L217" s="534">
        <v>0.40909090909090906</v>
      </c>
      <c r="M217" s="534">
        <v>0.99999999999999989</v>
      </c>
    </row>
    <row r="218" spans="1:13" ht="15" customHeight="1" x14ac:dyDescent="0.25">
      <c r="A218" s="21" t="s">
        <v>3076</v>
      </c>
      <c r="B218" s="544">
        <v>0.18518518518518517</v>
      </c>
      <c r="C218" s="544">
        <v>0.58201058201058209</v>
      </c>
      <c r="D218" s="544">
        <v>0.23280423280423282</v>
      </c>
      <c r="E218" s="524">
        <v>1</v>
      </c>
      <c r="F218" s="303">
        <v>326</v>
      </c>
      <c r="G218" s="543">
        <v>9.8836703315830693E-2</v>
      </c>
      <c r="I218" s="21" t="s">
        <v>3076</v>
      </c>
      <c r="J218" s="534">
        <v>0.18518518518518517</v>
      </c>
      <c r="K218" s="534">
        <v>0.58201058201058209</v>
      </c>
      <c r="L218" s="534">
        <v>0.23280423280423282</v>
      </c>
      <c r="M218" s="534">
        <v>1</v>
      </c>
    </row>
    <row r="219" spans="1:13" ht="15" customHeight="1" x14ac:dyDescent="0.25">
      <c r="A219" s="21" t="s">
        <v>3077</v>
      </c>
      <c r="B219" s="544">
        <v>0.23214285714285715</v>
      </c>
      <c r="C219" s="544">
        <v>0.45168067226890757</v>
      </c>
      <c r="D219" s="544">
        <v>0.31617647058823528</v>
      </c>
      <c r="E219" s="524">
        <v>1</v>
      </c>
      <c r="F219" s="303">
        <v>120</v>
      </c>
      <c r="G219" s="543">
        <v>2.7153259261408141E-2</v>
      </c>
      <c r="I219" s="21" t="s">
        <v>3077</v>
      </c>
      <c r="J219" s="534">
        <v>0.23214285714285715</v>
      </c>
      <c r="K219" s="534">
        <v>0.45168067226890757</v>
      </c>
      <c r="L219" s="534">
        <v>0.31617647058823528</v>
      </c>
      <c r="M219" s="534">
        <v>1</v>
      </c>
    </row>
    <row r="220" spans="1:13" ht="15" customHeight="1" x14ac:dyDescent="0.25">
      <c r="A220" s="21" t="s">
        <v>3078</v>
      </c>
      <c r="B220" s="544">
        <v>0</v>
      </c>
      <c r="C220" s="544">
        <v>0.4</v>
      </c>
      <c r="D220" s="544">
        <v>0.6</v>
      </c>
      <c r="E220" s="524">
        <v>1</v>
      </c>
      <c r="F220" s="303">
        <v>8</v>
      </c>
      <c r="G220" s="543">
        <v>4.1194047170084996E-3</v>
      </c>
      <c r="I220" s="21" t="s">
        <v>3078</v>
      </c>
      <c r="J220" s="534">
        <v>0</v>
      </c>
      <c r="K220" s="534">
        <v>0.4</v>
      </c>
      <c r="L220" s="534">
        <v>0.6</v>
      </c>
      <c r="M220" s="534">
        <v>1</v>
      </c>
    </row>
    <row r="221" spans="1:13" ht="15" customHeight="1" x14ac:dyDescent="0.25">
      <c r="A221" s="21" t="s">
        <v>3079</v>
      </c>
      <c r="B221" s="544">
        <v>0.1111111111111111</v>
      </c>
      <c r="C221" s="544">
        <v>0.33333333333333331</v>
      </c>
      <c r="D221" s="544">
        <v>0.55555555555555558</v>
      </c>
      <c r="E221" s="524">
        <v>1</v>
      </c>
      <c r="F221" s="303">
        <v>16</v>
      </c>
      <c r="G221" s="543">
        <v>9.6602941603086655E-3</v>
      </c>
      <c r="I221" s="21" t="s">
        <v>3079</v>
      </c>
      <c r="J221" s="534">
        <v>0.1111111111111111</v>
      </c>
      <c r="K221" s="534">
        <v>0.33333333333333331</v>
      </c>
      <c r="L221" s="534">
        <v>0.55555555555555558</v>
      </c>
      <c r="M221" s="534">
        <v>1</v>
      </c>
    </row>
    <row r="222" spans="1:13" ht="15" customHeight="1" x14ac:dyDescent="0.25">
      <c r="A222" s="21" t="s">
        <v>3080</v>
      </c>
      <c r="B222" s="544">
        <v>0.125</v>
      </c>
      <c r="C222" s="544">
        <v>0.546875</v>
      </c>
      <c r="D222" s="544">
        <v>0.328125</v>
      </c>
      <c r="E222" s="524">
        <v>1</v>
      </c>
      <c r="F222" s="303">
        <v>221</v>
      </c>
      <c r="G222" s="543">
        <v>9.4746308491195502E-2</v>
      </c>
      <c r="I222" s="21" t="s">
        <v>3080</v>
      </c>
      <c r="J222" s="534">
        <v>0.125</v>
      </c>
      <c r="K222" s="534">
        <v>0.546875</v>
      </c>
      <c r="L222" s="534">
        <v>0.328125</v>
      </c>
      <c r="M222" s="534">
        <v>1</v>
      </c>
    </row>
    <row r="223" spans="1:13" ht="15" customHeight="1" x14ac:dyDescent="0.25">
      <c r="A223" s="21" t="s">
        <v>3081</v>
      </c>
      <c r="B223" s="544">
        <v>0.20652173913043478</v>
      </c>
      <c r="C223" s="544">
        <v>0.43280632411067188</v>
      </c>
      <c r="D223" s="544">
        <v>0.36067193675889325</v>
      </c>
      <c r="E223" s="524">
        <v>1</v>
      </c>
      <c r="F223" s="303">
        <v>621</v>
      </c>
      <c r="G223" s="543">
        <v>0.14467233326564358</v>
      </c>
      <c r="I223" s="21" t="s">
        <v>3081</v>
      </c>
      <c r="J223" s="534">
        <v>0.20652173913043478</v>
      </c>
      <c r="K223" s="534">
        <v>0.43280632411067188</v>
      </c>
      <c r="L223" s="534">
        <v>0.36067193675889325</v>
      </c>
      <c r="M223" s="534">
        <v>1</v>
      </c>
    </row>
    <row r="224" spans="1:13" ht="15" customHeight="1" x14ac:dyDescent="0.25">
      <c r="A224" s="21" t="s">
        <v>3082</v>
      </c>
      <c r="B224" s="544">
        <v>0.19047619047619047</v>
      </c>
      <c r="C224" s="544">
        <v>0.6071428571428571</v>
      </c>
      <c r="D224" s="544">
        <v>0.20238095238095238</v>
      </c>
      <c r="E224" s="524">
        <v>1</v>
      </c>
      <c r="F224" s="303">
        <v>73</v>
      </c>
      <c r="G224" s="543">
        <v>2.2946824867279742E-2</v>
      </c>
      <c r="I224" s="21" t="s">
        <v>3082</v>
      </c>
      <c r="J224" s="534">
        <v>0.19047619047619047</v>
      </c>
      <c r="K224" s="534">
        <v>0.6071428571428571</v>
      </c>
      <c r="L224" s="534">
        <v>0.20238095238095238</v>
      </c>
      <c r="M224" s="534">
        <v>1</v>
      </c>
    </row>
    <row r="225" spans="1:13" ht="15" customHeight="1" x14ac:dyDescent="0.25">
      <c r="A225" s="21" t="s">
        <v>3083</v>
      </c>
      <c r="B225" s="544">
        <v>9.0909090909090912E-2</v>
      </c>
      <c r="C225" s="544">
        <v>0.54545454545454541</v>
      </c>
      <c r="D225" s="544">
        <v>0.36363636363636365</v>
      </c>
      <c r="E225" s="524">
        <v>1</v>
      </c>
      <c r="F225" s="303">
        <v>26</v>
      </c>
      <c r="G225" s="543">
        <v>9.4862348060688693E-3</v>
      </c>
      <c r="I225" s="21" t="s">
        <v>3083</v>
      </c>
      <c r="J225" s="534">
        <v>9.0909090909090912E-2</v>
      </c>
      <c r="K225" s="534">
        <v>0.54545454545454541</v>
      </c>
      <c r="L225" s="534">
        <v>0.36363636363636365</v>
      </c>
      <c r="M225" s="534">
        <v>1</v>
      </c>
    </row>
    <row r="226" spans="1:13" ht="15" customHeight="1" x14ac:dyDescent="0.25">
      <c r="A226" s="21" t="s">
        <v>3084</v>
      </c>
      <c r="B226" s="544">
        <v>0</v>
      </c>
      <c r="C226" s="544">
        <v>0</v>
      </c>
      <c r="D226" s="544">
        <v>0</v>
      </c>
      <c r="E226" s="524">
        <v>0</v>
      </c>
      <c r="F226" s="303">
        <v>1</v>
      </c>
      <c r="G226" s="543">
        <v>1.1603956949319718E-4</v>
      </c>
      <c r="I226" s="21" t="s">
        <v>3084</v>
      </c>
      <c r="J226" s="534">
        <v>0</v>
      </c>
      <c r="K226" s="534">
        <v>0</v>
      </c>
      <c r="L226" s="534">
        <v>0</v>
      </c>
      <c r="M226" s="534">
        <v>0</v>
      </c>
    </row>
    <row r="227" spans="1:13" ht="15" customHeight="1" x14ac:dyDescent="0.25">
      <c r="A227" s="21" t="s">
        <v>3085</v>
      </c>
      <c r="B227" s="544">
        <v>0</v>
      </c>
      <c r="C227" s="544">
        <v>1</v>
      </c>
      <c r="D227" s="544">
        <v>0</v>
      </c>
      <c r="E227" s="524">
        <v>1</v>
      </c>
      <c r="F227" s="303">
        <v>1</v>
      </c>
      <c r="G227" s="543">
        <v>3.4811870847959153E-4</v>
      </c>
      <c r="I227" s="21" t="s">
        <v>3085</v>
      </c>
      <c r="J227" s="534">
        <v>0</v>
      </c>
      <c r="K227" s="534">
        <v>1</v>
      </c>
      <c r="L227" s="534">
        <v>0</v>
      </c>
      <c r="M227" s="534">
        <v>1</v>
      </c>
    </row>
    <row r="228" spans="1:13" ht="15" customHeight="1" x14ac:dyDescent="0.25">
      <c r="A228" s="21" t="s">
        <v>3086</v>
      </c>
      <c r="B228" s="544">
        <v>0</v>
      </c>
      <c r="C228" s="544">
        <v>1</v>
      </c>
      <c r="D228" s="544">
        <v>0</v>
      </c>
      <c r="E228" s="524">
        <v>1</v>
      </c>
      <c r="F228" s="303">
        <v>6</v>
      </c>
      <c r="G228" s="543">
        <v>5.2217806271938729E-4</v>
      </c>
      <c r="I228" s="21" t="s">
        <v>3086</v>
      </c>
      <c r="J228" s="534">
        <v>0</v>
      </c>
      <c r="K228" s="534">
        <v>1</v>
      </c>
      <c r="L228" s="534">
        <v>0</v>
      </c>
      <c r="M228" s="534">
        <v>1</v>
      </c>
    </row>
    <row r="229" spans="1:13" ht="15" customHeight="1" x14ac:dyDescent="0.25">
      <c r="A229" s="21" t="s">
        <v>3087</v>
      </c>
      <c r="B229" s="544">
        <v>0</v>
      </c>
      <c r="C229" s="544">
        <v>0.33333333333333331</v>
      </c>
      <c r="D229" s="544">
        <v>0.66666666666666663</v>
      </c>
      <c r="E229" s="524">
        <v>1</v>
      </c>
      <c r="F229" s="303">
        <v>10</v>
      </c>
      <c r="G229" s="543">
        <v>0</v>
      </c>
      <c r="I229" s="21" t="s">
        <v>3087</v>
      </c>
      <c r="J229" s="534">
        <v>0</v>
      </c>
      <c r="K229" s="534">
        <v>0.33333333333333331</v>
      </c>
      <c r="L229" s="534">
        <v>0.66666666666666663</v>
      </c>
      <c r="M229" s="534">
        <v>1</v>
      </c>
    </row>
    <row r="230" spans="1:13" ht="15" customHeight="1" x14ac:dyDescent="0.25">
      <c r="A230" s="21" t="s">
        <v>3088</v>
      </c>
      <c r="B230" s="544">
        <v>0</v>
      </c>
      <c r="C230" s="544">
        <v>0.66666666666666663</v>
      </c>
      <c r="D230" s="544">
        <v>0.33333333333333331</v>
      </c>
      <c r="E230" s="524">
        <v>1</v>
      </c>
      <c r="F230" s="303">
        <v>24</v>
      </c>
      <c r="G230" s="543">
        <v>7.2234632009515248E-3</v>
      </c>
      <c r="I230" s="21" t="s">
        <v>3088</v>
      </c>
      <c r="J230" s="534">
        <v>0</v>
      </c>
      <c r="K230" s="534">
        <v>0.66666666666666663</v>
      </c>
      <c r="L230" s="534">
        <v>0.33333333333333331</v>
      </c>
      <c r="M230" s="534">
        <v>1</v>
      </c>
    </row>
    <row r="231" spans="1:13" ht="15" customHeight="1" x14ac:dyDescent="0.25">
      <c r="A231" s="21" t="s">
        <v>3089</v>
      </c>
      <c r="B231" s="544">
        <v>0.125</v>
      </c>
      <c r="C231" s="544">
        <v>0.40833333333333333</v>
      </c>
      <c r="D231" s="544">
        <v>0.46666666666666667</v>
      </c>
      <c r="E231" s="524">
        <v>1</v>
      </c>
      <c r="F231" s="303">
        <v>57</v>
      </c>
      <c r="G231" s="543">
        <v>2.8690783557193004E-2</v>
      </c>
      <c r="I231" s="21" t="s">
        <v>3089</v>
      </c>
      <c r="J231" s="534">
        <v>0.125</v>
      </c>
      <c r="K231" s="534">
        <v>0.40833333333333333</v>
      </c>
      <c r="L231" s="534">
        <v>0.46666666666666667</v>
      </c>
      <c r="M231" s="534">
        <v>1</v>
      </c>
    </row>
    <row r="232" spans="1:13" ht="15" customHeight="1" x14ac:dyDescent="0.25">
      <c r="A232" s="21" t="s">
        <v>3090</v>
      </c>
      <c r="B232" s="544">
        <v>0</v>
      </c>
      <c r="C232" s="544">
        <v>0.27272727272727271</v>
      </c>
      <c r="D232" s="544">
        <v>0.72727272727272729</v>
      </c>
      <c r="E232" s="524">
        <v>1</v>
      </c>
      <c r="F232" s="303">
        <v>40</v>
      </c>
      <c r="G232" s="543">
        <v>1.4649995648516144E-2</v>
      </c>
      <c r="I232" s="21" t="s">
        <v>3090</v>
      </c>
      <c r="J232" s="534">
        <v>0</v>
      </c>
      <c r="K232" s="534">
        <v>0.27272727272727271</v>
      </c>
      <c r="L232" s="534">
        <v>0.72727272727272729</v>
      </c>
      <c r="M232" s="534">
        <v>1</v>
      </c>
    </row>
    <row r="233" spans="1:13" ht="15" customHeight="1" x14ac:dyDescent="0.25">
      <c r="A233" s="21" t="s">
        <v>3091</v>
      </c>
      <c r="B233" s="544">
        <v>0</v>
      </c>
      <c r="C233" s="544">
        <v>0</v>
      </c>
      <c r="D233" s="544">
        <v>1</v>
      </c>
      <c r="E233" s="524">
        <v>1</v>
      </c>
      <c r="F233" s="303">
        <v>10</v>
      </c>
      <c r="G233" s="543">
        <v>8.3258391111368981E-3</v>
      </c>
      <c r="I233" s="21" t="s">
        <v>3091</v>
      </c>
      <c r="J233" s="534">
        <v>0</v>
      </c>
      <c r="K233" s="534">
        <v>0</v>
      </c>
      <c r="L233" s="534">
        <v>1</v>
      </c>
      <c r="M233" s="534">
        <v>1</v>
      </c>
    </row>
    <row r="234" spans="1:13" ht="15" customHeight="1" x14ac:dyDescent="0.25">
      <c r="A234" s="21" t="s">
        <v>3092</v>
      </c>
      <c r="B234" s="544">
        <v>0</v>
      </c>
      <c r="C234" s="544">
        <v>0.5</v>
      </c>
      <c r="D234" s="544">
        <v>0.5</v>
      </c>
      <c r="E234" s="524">
        <v>1</v>
      </c>
      <c r="F234" s="303">
        <v>2</v>
      </c>
      <c r="G234" s="543">
        <v>1.4504946186649648E-4</v>
      </c>
      <c r="I234" s="21" t="s">
        <v>3092</v>
      </c>
      <c r="J234" s="534">
        <v>0</v>
      </c>
      <c r="K234" s="534">
        <v>0.5</v>
      </c>
      <c r="L234" s="534">
        <v>0.5</v>
      </c>
      <c r="M234" s="534">
        <v>1</v>
      </c>
    </row>
    <row r="235" spans="1:13" ht="15" customHeight="1" x14ac:dyDescent="0.25">
      <c r="A235" s="21" t="s">
        <v>3093</v>
      </c>
      <c r="B235" s="544">
        <v>0</v>
      </c>
      <c r="C235" s="544">
        <v>0.4</v>
      </c>
      <c r="D235" s="544">
        <v>0.6</v>
      </c>
      <c r="E235" s="524">
        <v>1</v>
      </c>
      <c r="F235" s="303">
        <v>16</v>
      </c>
      <c r="G235" s="543">
        <v>4.2934640712482958E-3</v>
      </c>
      <c r="I235" s="21" t="s">
        <v>3093</v>
      </c>
      <c r="J235" s="534">
        <v>0</v>
      </c>
      <c r="K235" s="534">
        <v>0.4</v>
      </c>
      <c r="L235" s="534">
        <v>0.6</v>
      </c>
      <c r="M235" s="534">
        <v>1</v>
      </c>
    </row>
    <row r="236" spans="1:13" ht="15" customHeight="1" x14ac:dyDescent="0.25">
      <c r="A236" s="21" t="s">
        <v>3094</v>
      </c>
      <c r="B236" s="544">
        <v>0.15625</v>
      </c>
      <c r="C236" s="544">
        <v>0.46875</v>
      </c>
      <c r="D236" s="544">
        <v>0.375</v>
      </c>
      <c r="E236" s="524">
        <v>1</v>
      </c>
      <c r="F236" s="303">
        <v>96</v>
      </c>
      <c r="G236" s="543">
        <v>3.2491079458095214E-2</v>
      </c>
      <c r="I236" s="21" t="s">
        <v>3094</v>
      </c>
      <c r="J236" s="534">
        <v>0.15625</v>
      </c>
      <c r="K236" s="534">
        <v>0.46875</v>
      </c>
      <c r="L236" s="534">
        <v>0.375</v>
      </c>
      <c r="M236" s="534">
        <v>1</v>
      </c>
    </row>
    <row r="237" spans="1:13" ht="15" customHeight="1" x14ac:dyDescent="0.25">
      <c r="A237" s="21" t="s">
        <v>3095</v>
      </c>
      <c r="B237" s="544">
        <v>0.2</v>
      </c>
      <c r="C237" s="544">
        <v>0.13333333333333333</v>
      </c>
      <c r="D237" s="544">
        <v>0.66666666666666663</v>
      </c>
      <c r="E237" s="524">
        <v>1</v>
      </c>
      <c r="F237" s="303">
        <v>9</v>
      </c>
      <c r="G237" s="543">
        <v>4.2064343941283977E-3</v>
      </c>
      <c r="I237" s="21" t="s">
        <v>3095</v>
      </c>
      <c r="J237" s="534">
        <v>0.2</v>
      </c>
      <c r="K237" s="534">
        <v>0.13333333333333333</v>
      </c>
      <c r="L237" s="534">
        <v>0.66666666666666663</v>
      </c>
      <c r="M237" s="534">
        <v>1</v>
      </c>
    </row>
    <row r="238" spans="1:13" ht="15" customHeight="1" x14ac:dyDescent="0.25">
      <c r="A238" s="21" t="s">
        <v>3096</v>
      </c>
      <c r="B238" s="544">
        <v>0.22222222222222221</v>
      </c>
      <c r="C238" s="544">
        <v>0.5185185185185186</v>
      </c>
      <c r="D238" s="544">
        <v>0.2592592592592593</v>
      </c>
      <c r="E238" s="524">
        <v>1</v>
      </c>
      <c r="F238" s="303">
        <v>24</v>
      </c>
      <c r="G238" s="543">
        <v>1.1168808563720229E-2</v>
      </c>
      <c r="I238" s="21" t="s">
        <v>3096</v>
      </c>
      <c r="J238" s="534">
        <v>0.22222222222222221</v>
      </c>
      <c r="K238" s="534">
        <v>0.5185185185185186</v>
      </c>
      <c r="L238" s="534">
        <v>0.2592592592592593</v>
      </c>
      <c r="M238" s="534">
        <v>1</v>
      </c>
    </row>
    <row r="239" spans="1:13" ht="15" customHeight="1" x14ac:dyDescent="0.25">
      <c r="A239" s="21" t="s">
        <v>3097</v>
      </c>
      <c r="B239" s="544">
        <v>0.16666666666666666</v>
      </c>
      <c r="C239" s="544">
        <v>0.55555555555555558</v>
      </c>
      <c r="D239" s="544">
        <v>0.27777777777777779</v>
      </c>
      <c r="E239" s="524">
        <v>1</v>
      </c>
      <c r="F239" s="303">
        <v>40</v>
      </c>
      <c r="G239" s="543">
        <v>1.4940094572249136E-2</v>
      </c>
      <c r="I239" s="21" t="s">
        <v>3097</v>
      </c>
      <c r="J239" s="534">
        <v>0.16666666666666666</v>
      </c>
      <c r="K239" s="534">
        <v>0.55555555555555558</v>
      </c>
      <c r="L239" s="534">
        <v>0.27777777777777779</v>
      </c>
      <c r="M239" s="534">
        <v>1</v>
      </c>
    </row>
    <row r="240" spans="1:13" ht="15" customHeight="1" x14ac:dyDescent="0.25">
      <c r="A240" s="21" t="s">
        <v>3098</v>
      </c>
      <c r="B240" s="544">
        <v>0</v>
      </c>
      <c r="C240" s="544">
        <v>0</v>
      </c>
      <c r="D240" s="544">
        <v>1</v>
      </c>
      <c r="E240" s="524">
        <v>1</v>
      </c>
      <c r="F240" s="303">
        <v>4</v>
      </c>
      <c r="G240" s="543">
        <v>1.6825737576513591E-3</v>
      </c>
      <c r="I240" s="21" t="s">
        <v>3098</v>
      </c>
      <c r="J240" s="534">
        <v>0</v>
      </c>
      <c r="K240" s="534">
        <v>0</v>
      </c>
      <c r="L240" s="534">
        <v>1</v>
      </c>
      <c r="M240" s="534">
        <v>1</v>
      </c>
    </row>
    <row r="241" spans="1:13" ht="15" customHeight="1" x14ac:dyDescent="0.25">
      <c r="A241" s="21" t="s">
        <v>3099</v>
      </c>
      <c r="B241" s="544">
        <v>0</v>
      </c>
      <c r="C241" s="544">
        <v>0</v>
      </c>
      <c r="D241" s="544">
        <v>1</v>
      </c>
      <c r="E241" s="524">
        <v>1</v>
      </c>
      <c r="F241" s="303">
        <v>1</v>
      </c>
      <c r="G241" s="543">
        <v>0</v>
      </c>
      <c r="I241" s="21" t="s">
        <v>3099</v>
      </c>
      <c r="J241" s="534">
        <v>0</v>
      </c>
      <c r="K241" s="534">
        <v>0</v>
      </c>
      <c r="L241" s="534">
        <v>1</v>
      </c>
      <c r="M241" s="534">
        <v>1</v>
      </c>
    </row>
    <row r="242" spans="1:13" ht="15" customHeight="1" x14ac:dyDescent="0.25">
      <c r="A242" s="21" t="s">
        <v>3100</v>
      </c>
      <c r="B242" s="544">
        <v>0.18181818181818182</v>
      </c>
      <c r="C242" s="544">
        <v>0.32727272727272727</v>
      </c>
      <c r="D242" s="544">
        <v>0.49090909090909085</v>
      </c>
      <c r="E242" s="524">
        <v>0.99999999999999989</v>
      </c>
      <c r="F242" s="303">
        <v>17</v>
      </c>
      <c r="G242" s="543">
        <v>8.9930666357227809E-3</v>
      </c>
      <c r="I242" s="21" t="s">
        <v>3100</v>
      </c>
      <c r="J242" s="534">
        <v>0.18181818181818182</v>
      </c>
      <c r="K242" s="534">
        <v>0.32727272727272727</v>
      </c>
      <c r="L242" s="534">
        <v>0.49090909090909085</v>
      </c>
      <c r="M242" s="534">
        <v>0.99999999999999989</v>
      </c>
    </row>
    <row r="243" spans="1:13" ht="15" customHeight="1" x14ac:dyDescent="0.25">
      <c r="A243" s="21" t="s">
        <v>3101</v>
      </c>
      <c r="B243" s="544">
        <v>0.19444444444444445</v>
      </c>
      <c r="C243" s="544">
        <v>0.29292929292929298</v>
      </c>
      <c r="D243" s="544">
        <v>0.51262626262626265</v>
      </c>
      <c r="E243" s="524">
        <v>1</v>
      </c>
      <c r="F243" s="303">
        <v>96</v>
      </c>
      <c r="G243" s="543">
        <v>2.4803457979170898E-2</v>
      </c>
      <c r="I243" s="21" t="s">
        <v>3101</v>
      </c>
      <c r="J243" s="534">
        <v>0.19444444444444445</v>
      </c>
      <c r="K243" s="534">
        <v>0.29292929292929298</v>
      </c>
      <c r="L243" s="534">
        <v>0.51262626262626265</v>
      </c>
      <c r="M243" s="534">
        <v>1</v>
      </c>
    </row>
    <row r="244" spans="1:13" ht="15" customHeight="1" x14ac:dyDescent="0.25">
      <c r="A244" s="21" t="s">
        <v>3102</v>
      </c>
      <c r="B244" s="544">
        <v>0.125</v>
      </c>
      <c r="C244" s="544">
        <v>0.68055555555555558</v>
      </c>
      <c r="D244" s="544">
        <v>0.19444444444444445</v>
      </c>
      <c r="E244" s="524">
        <v>1</v>
      </c>
      <c r="F244" s="303">
        <v>18</v>
      </c>
      <c r="G244" s="543">
        <v>4.4385135331147917E-3</v>
      </c>
      <c r="I244" s="21" t="s">
        <v>3102</v>
      </c>
      <c r="J244" s="534">
        <v>0.125</v>
      </c>
      <c r="K244" s="534">
        <v>0.68055555555555558</v>
      </c>
      <c r="L244" s="534">
        <v>0.19444444444444445</v>
      </c>
      <c r="M244" s="534">
        <v>1</v>
      </c>
    </row>
    <row r="245" spans="1:13" ht="15" customHeight="1" x14ac:dyDescent="0.25">
      <c r="A245" s="21" t="s">
        <v>3103</v>
      </c>
      <c r="B245" s="544">
        <v>0.18181818181818182</v>
      </c>
      <c r="C245" s="544">
        <v>0.32727272727272727</v>
      </c>
      <c r="D245" s="544">
        <v>0.49090909090909085</v>
      </c>
      <c r="E245" s="524">
        <v>0.99999999999999989</v>
      </c>
      <c r="F245" s="303">
        <v>36</v>
      </c>
      <c r="G245" s="543">
        <v>4.6125728873545879E-3</v>
      </c>
      <c r="I245" s="21" t="s">
        <v>3103</v>
      </c>
      <c r="J245" s="534">
        <v>0.18181818181818182</v>
      </c>
      <c r="K245" s="534">
        <v>0.32727272727272727</v>
      </c>
      <c r="L245" s="534">
        <v>0.49090909090909085</v>
      </c>
      <c r="M245" s="534">
        <v>0.99999999999999989</v>
      </c>
    </row>
    <row r="246" spans="1:13" ht="15" customHeight="1" x14ac:dyDescent="0.25">
      <c r="A246" s="21" t="s">
        <v>3104</v>
      </c>
      <c r="B246" s="544">
        <v>1</v>
      </c>
      <c r="C246" s="544">
        <v>0</v>
      </c>
      <c r="D246" s="544">
        <v>0</v>
      </c>
      <c r="E246" s="524">
        <v>1</v>
      </c>
      <c r="F246" s="303">
        <v>1</v>
      </c>
      <c r="G246" s="543">
        <v>0</v>
      </c>
      <c r="I246" s="21" t="s">
        <v>3104</v>
      </c>
      <c r="J246" s="534">
        <v>1</v>
      </c>
      <c r="K246" s="534">
        <v>0</v>
      </c>
      <c r="L246" s="534">
        <v>0</v>
      </c>
      <c r="M246" s="534">
        <v>1</v>
      </c>
    </row>
    <row r="247" spans="1:13" ht="15" customHeight="1" x14ac:dyDescent="0.25">
      <c r="A247" s="21" t="s">
        <v>3105</v>
      </c>
      <c r="B247" s="544">
        <v>0.22580645161290322</v>
      </c>
      <c r="C247" s="544">
        <v>0.47642679900744417</v>
      </c>
      <c r="D247" s="544">
        <v>0.29776674937965264</v>
      </c>
      <c r="E247" s="524">
        <v>1</v>
      </c>
      <c r="F247" s="303">
        <v>85</v>
      </c>
      <c r="G247" s="543">
        <v>3.0779495808070552E-2</v>
      </c>
      <c r="I247" s="21" t="s">
        <v>3105</v>
      </c>
      <c r="J247" s="534">
        <v>0.22580645161290322</v>
      </c>
      <c r="K247" s="534">
        <v>0.47642679900744417</v>
      </c>
      <c r="L247" s="534">
        <v>0.29776674937965264</v>
      </c>
      <c r="M247" s="534">
        <v>1</v>
      </c>
    </row>
    <row r="248" spans="1:13" ht="15" customHeight="1" x14ac:dyDescent="0.25">
      <c r="A248" s="21" t="s">
        <v>3106</v>
      </c>
      <c r="B248" s="544">
        <v>0.17391304347826086</v>
      </c>
      <c r="C248" s="544">
        <v>0.46107178968655205</v>
      </c>
      <c r="D248" s="544">
        <v>0.36501516683518703</v>
      </c>
      <c r="E248" s="524">
        <v>1</v>
      </c>
      <c r="F248" s="303">
        <v>123</v>
      </c>
      <c r="G248" s="543">
        <v>2.8777813234312902E-2</v>
      </c>
      <c r="I248" s="21" t="s">
        <v>3106</v>
      </c>
      <c r="J248" s="534">
        <v>0.17391304347826086</v>
      </c>
      <c r="K248" s="534">
        <v>0.46107178968655205</v>
      </c>
      <c r="L248" s="534">
        <v>0.36501516683518703</v>
      </c>
      <c r="M248" s="534">
        <v>1</v>
      </c>
    </row>
    <row r="249" spans="1:13" ht="15" customHeight="1" x14ac:dyDescent="0.25">
      <c r="A249" s="21" t="s">
        <v>3107</v>
      </c>
      <c r="B249" s="544">
        <v>5.5555555555555552E-2</v>
      </c>
      <c r="C249" s="544">
        <v>0.26984126984126983</v>
      </c>
      <c r="D249" s="544">
        <v>0.67460317460317465</v>
      </c>
      <c r="E249" s="524">
        <v>1</v>
      </c>
      <c r="F249" s="303">
        <v>32</v>
      </c>
      <c r="G249" s="543">
        <v>8.9930666357227809E-3</v>
      </c>
      <c r="I249" s="21" t="s">
        <v>3107</v>
      </c>
      <c r="J249" s="534">
        <v>5.5555555555555552E-2</v>
      </c>
      <c r="K249" s="534">
        <v>0.26984126984126983</v>
      </c>
      <c r="L249" s="534">
        <v>0.67460317460317465</v>
      </c>
      <c r="M249" s="534">
        <v>1</v>
      </c>
    </row>
    <row r="250" spans="1:13" ht="15" customHeight="1" x14ac:dyDescent="0.25">
      <c r="A250" s="21" t="s">
        <v>3108</v>
      </c>
      <c r="B250" s="544">
        <v>0</v>
      </c>
      <c r="C250" s="544">
        <v>0.5</v>
      </c>
      <c r="D250" s="544">
        <v>0.5</v>
      </c>
      <c r="E250" s="524">
        <v>1</v>
      </c>
      <c r="F250" s="303">
        <v>19</v>
      </c>
      <c r="G250" s="543">
        <v>3.4521771924226163E-3</v>
      </c>
      <c r="I250" s="21" t="s">
        <v>3108</v>
      </c>
      <c r="J250" s="534">
        <v>0</v>
      </c>
      <c r="K250" s="534">
        <v>0.5</v>
      </c>
      <c r="L250" s="534">
        <v>0.5</v>
      </c>
      <c r="M250" s="534">
        <v>1</v>
      </c>
    </row>
    <row r="251" spans="1:13" ht="15" customHeight="1" x14ac:dyDescent="0.25">
      <c r="A251" s="21" t="s">
        <v>3109</v>
      </c>
      <c r="B251" s="544">
        <v>0</v>
      </c>
      <c r="C251" s="544">
        <v>0.66666666666666663</v>
      </c>
      <c r="D251" s="544">
        <v>0.33333333333333331</v>
      </c>
      <c r="E251" s="524">
        <v>1</v>
      </c>
      <c r="F251" s="303">
        <v>10</v>
      </c>
      <c r="G251" s="543">
        <v>2.2917814974906443E-3</v>
      </c>
      <c r="I251" s="21" t="s">
        <v>3109</v>
      </c>
      <c r="J251" s="534">
        <v>0</v>
      </c>
      <c r="K251" s="534">
        <v>0.66666666666666663</v>
      </c>
      <c r="L251" s="534">
        <v>0.33333333333333331</v>
      </c>
      <c r="M251" s="534">
        <v>1</v>
      </c>
    </row>
    <row r="252" spans="1:13" ht="15" customHeight="1" x14ac:dyDescent="0.25">
      <c r="A252" s="21" t="s">
        <v>3110</v>
      </c>
      <c r="B252" s="544">
        <v>0</v>
      </c>
      <c r="C252" s="544">
        <v>1</v>
      </c>
      <c r="D252" s="544">
        <v>0</v>
      </c>
      <c r="E252" s="524">
        <v>1</v>
      </c>
      <c r="F252" s="303">
        <v>1</v>
      </c>
      <c r="G252" s="543">
        <v>5.9470279365263553E-3</v>
      </c>
      <c r="I252" s="21" t="s">
        <v>3110</v>
      </c>
      <c r="J252" s="534">
        <v>0</v>
      </c>
      <c r="K252" s="534">
        <v>1</v>
      </c>
      <c r="L252" s="534">
        <v>0</v>
      </c>
      <c r="M252" s="534">
        <v>1</v>
      </c>
    </row>
    <row r="253" spans="1:13" ht="15" customHeight="1" x14ac:dyDescent="0.25">
      <c r="A253" s="21" t="s">
        <v>3111</v>
      </c>
      <c r="B253" s="544">
        <v>0</v>
      </c>
      <c r="C253" s="544">
        <v>0</v>
      </c>
      <c r="D253" s="544">
        <v>1</v>
      </c>
      <c r="E253" s="524">
        <v>1</v>
      </c>
      <c r="F253" s="303">
        <v>2</v>
      </c>
      <c r="G253" s="543">
        <v>1.363464941545067E-3</v>
      </c>
      <c r="I253" s="21" t="s">
        <v>3111</v>
      </c>
      <c r="J253" s="534">
        <v>0</v>
      </c>
      <c r="K253" s="534">
        <v>0</v>
      </c>
      <c r="L253" s="534">
        <v>1</v>
      </c>
      <c r="M253" s="534">
        <v>1</v>
      </c>
    </row>
    <row r="254" spans="1:13" ht="15" customHeight="1" x14ac:dyDescent="0.25">
      <c r="A254" s="21" t="s">
        <v>3112</v>
      </c>
      <c r="B254" s="544">
        <v>0.13333333333333333</v>
      </c>
      <c r="C254" s="544">
        <v>0.4632183908045977</v>
      </c>
      <c r="D254" s="544">
        <v>0.40344827586206899</v>
      </c>
      <c r="E254" s="524">
        <v>1</v>
      </c>
      <c r="F254" s="303">
        <v>134</v>
      </c>
      <c r="G254" s="543">
        <v>4.2122363726030579E-2</v>
      </c>
      <c r="I254" s="21" t="s">
        <v>3112</v>
      </c>
      <c r="J254" s="534">
        <v>0.13333333333333333</v>
      </c>
      <c r="K254" s="534">
        <v>0.4632183908045977</v>
      </c>
      <c r="L254" s="534">
        <v>0.40344827586206899</v>
      </c>
      <c r="M254" s="534">
        <v>1</v>
      </c>
    </row>
    <row r="255" spans="1:13" ht="15" customHeight="1" x14ac:dyDescent="0.25">
      <c r="A255" s="21" t="s">
        <v>3113</v>
      </c>
      <c r="B255" s="544">
        <v>0.15625</v>
      </c>
      <c r="C255" s="544">
        <v>0.33750000000000002</v>
      </c>
      <c r="D255" s="544">
        <v>0.50624999999999998</v>
      </c>
      <c r="E255" s="524">
        <v>1</v>
      </c>
      <c r="F255" s="303">
        <v>81</v>
      </c>
      <c r="G255" s="543">
        <v>2.5412665719010182E-2</v>
      </c>
      <c r="I255" s="21" t="s">
        <v>3113</v>
      </c>
      <c r="J255" s="534">
        <v>0.15625</v>
      </c>
      <c r="K255" s="534">
        <v>0.33750000000000002</v>
      </c>
      <c r="L255" s="534">
        <v>0.50624999999999998</v>
      </c>
      <c r="M255" s="534">
        <v>1</v>
      </c>
    </row>
    <row r="256" spans="1:13" ht="15" customHeight="1" x14ac:dyDescent="0.25">
      <c r="A256" s="21" t="s">
        <v>3114</v>
      </c>
      <c r="B256" s="544">
        <v>0</v>
      </c>
      <c r="C256" s="544">
        <v>0.66666666666666663</v>
      </c>
      <c r="D256" s="544">
        <v>0.33333333333333331</v>
      </c>
      <c r="E256" s="524">
        <v>1</v>
      </c>
      <c r="F256" s="303">
        <v>5</v>
      </c>
      <c r="G256" s="543">
        <v>1.4214847262916655E-3</v>
      </c>
      <c r="I256" s="21" t="s">
        <v>3114</v>
      </c>
      <c r="J256" s="534">
        <v>0</v>
      </c>
      <c r="K256" s="534">
        <v>0.66666666666666663</v>
      </c>
      <c r="L256" s="534">
        <v>0.33333333333333331</v>
      </c>
      <c r="M256" s="534">
        <v>1</v>
      </c>
    </row>
    <row r="257" spans="1:13" ht="15" customHeight="1" x14ac:dyDescent="0.25">
      <c r="A257" s="21" t="s">
        <v>3115</v>
      </c>
      <c r="B257" s="544">
        <v>0</v>
      </c>
      <c r="C257" s="544">
        <v>0</v>
      </c>
      <c r="D257" s="544">
        <v>1</v>
      </c>
      <c r="E257" s="524">
        <v>1</v>
      </c>
      <c r="F257" s="303">
        <v>2</v>
      </c>
      <c r="G257" s="543">
        <v>5.2217806271938729E-4</v>
      </c>
      <c r="I257" s="21" t="s">
        <v>3115</v>
      </c>
      <c r="J257" s="534">
        <v>0</v>
      </c>
      <c r="K257" s="534">
        <v>0</v>
      </c>
      <c r="L257" s="534">
        <v>1</v>
      </c>
      <c r="M257" s="534">
        <v>1</v>
      </c>
    </row>
    <row r="258" spans="1:13" ht="15" customHeight="1" x14ac:dyDescent="0.25">
      <c r="A258" s="21" t="s">
        <v>3116</v>
      </c>
      <c r="B258" s="544">
        <v>0.16666666666666666</v>
      </c>
      <c r="C258" s="544">
        <v>0.41666666666666669</v>
      </c>
      <c r="D258" s="544">
        <v>0.41666666666666669</v>
      </c>
      <c r="E258" s="524">
        <v>1</v>
      </c>
      <c r="F258" s="303">
        <v>16</v>
      </c>
      <c r="G258" s="543">
        <v>7.0494038467117286E-3</v>
      </c>
      <c r="I258" s="21" t="s">
        <v>3116</v>
      </c>
      <c r="J258" s="534">
        <v>0.16666666666666666</v>
      </c>
      <c r="K258" s="534">
        <v>0.41666666666666669</v>
      </c>
      <c r="L258" s="534">
        <v>0.41666666666666669</v>
      </c>
      <c r="M258" s="534">
        <v>1</v>
      </c>
    </row>
    <row r="259" spans="1:13" ht="15" customHeight="1" x14ac:dyDescent="0.25">
      <c r="A259" s="21" t="s">
        <v>3117</v>
      </c>
      <c r="B259" s="544">
        <v>0</v>
      </c>
      <c r="C259" s="544">
        <v>0</v>
      </c>
      <c r="D259" s="544">
        <v>1</v>
      </c>
      <c r="E259" s="524">
        <v>1</v>
      </c>
      <c r="F259" s="303">
        <v>2</v>
      </c>
      <c r="G259" s="543">
        <v>1.5375242957848627E-3</v>
      </c>
      <c r="I259" s="21" t="s">
        <v>3117</v>
      </c>
      <c r="J259" s="534">
        <v>0</v>
      </c>
      <c r="K259" s="534">
        <v>0</v>
      </c>
      <c r="L259" s="534">
        <v>1</v>
      </c>
      <c r="M259" s="534">
        <v>1</v>
      </c>
    </row>
    <row r="260" spans="1:13" ht="15" customHeight="1" x14ac:dyDescent="0.25">
      <c r="A260" s="21" t="s">
        <v>3118</v>
      </c>
      <c r="B260" s="544">
        <v>1</v>
      </c>
      <c r="C260" s="544">
        <v>0</v>
      </c>
      <c r="D260" s="544">
        <v>0</v>
      </c>
      <c r="E260" s="524">
        <v>1</v>
      </c>
      <c r="F260" s="303">
        <v>1</v>
      </c>
      <c r="G260" s="543">
        <v>4.6415827797278872E-4</v>
      </c>
      <c r="I260" s="21" t="s">
        <v>3118</v>
      </c>
      <c r="J260" s="534">
        <v>1</v>
      </c>
      <c r="K260" s="534">
        <v>0</v>
      </c>
      <c r="L260" s="534">
        <v>0</v>
      </c>
      <c r="M260" s="534">
        <v>1</v>
      </c>
    </row>
    <row r="261" spans="1:13" ht="15" customHeight="1" x14ac:dyDescent="0.25">
      <c r="A261" s="21" t="s">
        <v>3119</v>
      </c>
      <c r="B261" s="544">
        <v>0</v>
      </c>
      <c r="C261" s="544">
        <v>0</v>
      </c>
      <c r="D261" s="544">
        <v>0</v>
      </c>
      <c r="E261" s="524">
        <v>0</v>
      </c>
      <c r="F261" s="303">
        <v>1</v>
      </c>
      <c r="G261" s="543">
        <v>5.801978474659859E-5</v>
      </c>
      <c r="I261" s="21" t="s">
        <v>3119</v>
      </c>
      <c r="J261" s="534">
        <v>0</v>
      </c>
      <c r="K261" s="534">
        <v>0</v>
      </c>
      <c r="L261" s="534">
        <v>0</v>
      </c>
      <c r="M261" s="534">
        <v>0</v>
      </c>
    </row>
    <row r="262" spans="1:13" ht="15" customHeight="1" x14ac:dyDescent="0.25">
      <c r="A262" s="21" t="s">
        <v>3120</v>
      </c>
      <c r="B262" s="544">
        <v>0</v>
      </c>
      <c r="C262" s="544">
        <v>0</v>
      </c>
      <c r="D262" s="544">
        <v>1</v>
      </c>
      <c r="E262" s="524">
        <v>1</v>
      </c>
      <c r="F262" s="303">
        <v>1</v>
      </c>
      <c r="G262" s="543">
        <v>6.6722752458588379E-4</v>
      </c>
      <c r="I262" s="21" t="s">
        <v>3120</v>
      </c>
      <c r="J262" s="534">
        <v>0</v>
      </c>
      <c r="K262" s="534">
        <v>0</v>
      </c>
      <c r="L262" s="534">
        <v>1</v>
      </c>
      <c r="M262" s="534">
        <v>1</v>
      </c>
    </row>
    <row r="263" spans="1:13" ht="15" customHeight="1" x14ac:dyDescent="0.25">
      <c r="A263" s="21" t="s">
        <v>3121</v>
      </c>
      <c r="B263" s="544">
        <v>0</v>
      </c>
      <c r="C263" s="544">
        <v>0</v>
      </c>
      <c r="D263" s="544">
        <v>0</v>
      </c>
      <c r="E263" s="524">
        <v>0</v>
      </c>
      <c r="F263" s="303">
        <v>2</v>
      </c>
      <c r="G263" s="543">
        <v>3.5682167619158133E-3</v>
      </c>
      <c r="I263" s="21" t="s">
        <v>3121</v>
      </c>
      <c r="J263" s="534">
        <v>0</v>
      </c>
      <c r="K263" s="534">
        <v>0</v>
      </c>
      <c r="L263" s="534">
        <v>0</v>
      </c>
      <c r="M263" s="534">
        <v>0</v>
      </c>
    </row>
    <row r="264" spans="1:13" ht="15" customHeight="1" x14ac:dyDescent="0.25">
      <c r="A264" s="21" t="s">
        <v>3122</v>
      </c>
      <c r="B264" s="544">
        <v>0</v>
      </c>
      <c r="C264" s="544">
        <v>0</v>
      </c>
      <c r="D264" s="544">
        <v>1</v>
      </c>
      <c r="E264" s="524">
        <v>1</v>
      </c>
      <c r="F264" s="303">
        <v>1</v>
      </c>
      <c r="G264" s="543">
        <v>6.9623741695918305E-4</v>
      </c>
      <c r="I264" s="21" t="s">
        <v>3122</v>
      </c>
      <c r="J264" s="534">
        <v>0</v>
      </c>
      <c r="K264" s="534">
        <v>0</v>
      </c>
      <c r="L264" s="534">
        <v>1</v>
      </c>
      <c r="M264" s="534">
        <v>1</v>
      </c>
    </row>
    <row r="265" spans="1:13" ht="15" customHeight="1" x14ac:dyDescent="0.25">
      <c r="A265" s="21" t="s">
        <v>3123</v>
      </c>
      <c r="B265" s="544">
        <v>0.33333333333333331</v>
      </c>
      <c r="C265" s="544">
        <v>0.16666666666666669</v>
      </c>
      <c r="D265" s="544">
        <v>0.5</v>
      </c>
      <c r="E265" s="524">
        <v>1</v>
      </c>
      <c r="F265" s="303">
        <v>8</v>
      </c>
      <c r="G265" s="543">
        <v>4.5255432102346898E-3</v>
      </c>
      <c r="I265" s="21" t="s">
        <v>3123</v>
      </c>
      <c r="J265" s="534">
        <v>0.33333333333333331</v>
      </c>
      <c r="K265" s="534">
        <v>0.16666666666666669</v>
      </c>
      <c r="L265" s="534">
        <v>0.5</v>
      </c>
      <c r="M265" s="534">
        <v>1</v>
      </c>
    </row>
    <row r="266" spans="1:13" ht="15" customHeight="1" x14ac:dyDescent="0.25">
      <c r="A266" s="21" t="s">
        <v>3124</v>
      </c>
      <c r="B266" s="544">
        <v>0</v>
      </c>
      <c r="C266" s="544">
        <v>0</v>
      </c>
      <c r="D266" s="544">
        <v>0</v>
      </c>
      <c r="E266" s="524">
        <v>0</v>
      </c>
      <c r="F266" s="303">
        <v>4</v>
      </c>
      <c r="G266" s="543">
        <v>2.8429694525833309E-3</v>
      </c>
      <c r="I266" s="21" t="s">
        <v>3124</v>
      </c>
      <c r="J266" s="534">
        <v>0</v>
      </c>
      <c r="K266" s="534">
        <v>0</v>
      </c>
      <c r="L266" s="534">
        <v>0</v>
      </c>
      <c r="M266" s="534">
        <v>0</v>
      </c>
    </row>
    <row r="267" spans="1:13" ht="15" customHeight="1" x14ac:dyDescent="0.25">
      <c r="A267" s="21" t="s">
        <v>3125</v>
      </c>
      <c r="B267" s="544">
        <v>0</v>
      </c>
      <c r="C267" s="544">
        <v>0</v>
      </c>
      <c r="D267" s="544">
        <v>0</v>
      </c>
      <c r="E267" s="524">
        <v>0</v>
      </c>
      <c r="F267" s="303">
        <v>2</v>
      </c>
      <c r="G267" s="543">
        <v>6.0920773983928517E-4</v>
      </c>
      <c r="I267" s="21" t="s">
        <v>3125</v>
      </c>
      <c r="J267" s="534">
        <v>0</v>
      </c>
      <c r="K267" s="534">
        <v>0</v>
      </c>
      <c r="L267" s="534">
        <v>0</v>
      </c>
      <c r="M267" s="534">
        <v>0</v>
      </c>
    </row>
    <row r="268" spans="1:13" ht="15" customHeight="1" x14ac:dyDescent="0.25">
      <c r="A268" s="21" t="s">
        <v>3126</v>
      </c>
      <c r="B268" s="544">
        <v>1</v>
      </c>
      <c r="C268" s="544">
        <v>0</v>
      </c>
      <c r="D268" s="544">
        <v>0</v>
      </c>
      <c r="E268" s="524">
        <v>1</v>
      </c>
      <c r="F268" s="303">
        <v>1</v>
      </c>
      <c r="G268" s="543">
        <v>0</v>
      </c>
      <c r="I268" s="21" t="s">
        <v>3126</v>
      </c>
      <c r="J268" s="534">
        <v>1</v>
      </c>
      <c r="K268" s="534">
        <v>0</v>
      </c>
      <c r="L268" s="534">
        <v>0</v>
      </c>
      <c r="M268" s="534">
        <v>1</v>
      </c>
    </row>
    <row r="269" spans="1:13" ht="15" customHeight="1" x14ac:dyDescent="0.25">
      <c r="A269" s="21" t="s">
        <v>3127</v>
      </c>
      <c r="B269" s="544">
        <v>0.2</v>
      </c>
      <c r="C269" s="544">
        <v>0.32</v>
      </c>
      <c r="D269" s="544">
        <v>0.48000000000000009</v>
      </c>
      <c r="E269" s="524">
        <v>1</v>
      </c>
      <c r="F269" s="303">
        <v>6</v>
      </c>
      <c r="G269" s="543">
        <v>1.1313858025586725E-3</v>
      </c>
      <c r="I269" s="21" t="s">
        <v>3127</v>
      </c>
      <c r="J269" s="534">
        <v>0.2</v>
      </c>
      <c r="K269" s="534">
        <v>0.32</v>
      </c>
      <c r="L269" s="534">
        <v>0.48000000000000009</v>
      </c>
      <c r="M269" s="534">
        <v>1</v>
      </c>
    </row>
    <row r="270" spans="1:13" ht="15" customHeight="1" x14ac:dyDescent="0.25">
      <c r="A270" s="21" t="s">
        <v>3128</v>
      </c>
      <c r="B270" s="544">
        <v>0</v>
      </c>
      <c r="C270" s="544">
        <v>0</v>
      </c>
      <c r="D270" s="544">
        <v>1</v>
      </c>
      <c r="E270" s="524">
        <v>1</v>
      </c>
      <c r="F270" s="303">
        <v>3</v>
      </c>
      <c r="G270" s="543">
        <v>5.9470279365263553E-3</v>
      </c>
      <c r="I270" s="21" t="s">
        <v>3128</v>
      </c>
      <c r="J270" s="534">
        <v>0</v>
      </c>
      <c r="K270" s="534">
        <v>0</v>
      </c>
      <c r="L270" s="534">
        <v>1</v>
      </c>
      <c r="M270" s="534">
        <v>1</v>
      </c>
    </row>
    <row r="271" spans="1:13" ht="15" customHeight="1" x14ac:dyDescent="0.25">
      <c r="A271" s="21" t="s">
        <v>3129</v>
      </c>
      <c r="B271" s="544">
        <v>0.66666666666666663</v>
      </c>
      <c r="C271" s="544">
        <v>0.33333333333333337</v>
      </c>
      <c r="D271" s="544">
        <v>0</v>
      </c>
      <c r="E271" s="524">
        <v>1</v>
      </c>
      <c r="F271" s="303">
        <v>11</v>
      </c>
      <c r="G271" s="543">
        <v>2.2627716051173449E-3</v>
      </c>
      <c r="I271" s="21" t="s">
        <v>3129</v>
      </c>
      <c r="J271" s="534">
        <v>0.66666666666666663</v>
      </c>
      <c r="K271" s="534">
        <v>0.33333333333333337</v>
      </c>
      <c r="L271" s="534">
        <v>0</v>
      </c>
      <c r="M271" s="534">
        <v>1</v>
      </c>
    </row>
    <row r="272" spans="1:13" ht="15" customHeight="1" x14ac:dyDescent="0.25">
      <c r="A272" s="525" t="s">
        <v>3130</v>
      </c>
      <c r="B272" s="545">
        <v>0</v>
      </c>
      <c r="C272" s="545">
        <v>0.5</v>
      </c>
      <c r="D272" s="545">
        <v>0.5</v>
      </c>
      <c r="E272" s="529">
        <v>1</v>
      </c>
      <c r="F272" s="528">
        <v>4</v>
      </c>
      <c r="G272" s="546">
        <v>7.5425720170578167E-4</v>
      </c>
      <c r="I272" s="525" t="s">
        <v>3130</v>
      </c>
      <c r="J272" s="535">
        <v>0</v>
      </c>
      <c r="K272" s="535">
        <v>0.5</v>
      </c>
      <c r="L272" s="535">
        <v>0.5</v>
      </c>
      <c r="M272" s="535">
        <v>1</v>
      </c>
    </row>
    <row r="273" spans="1:33" ht="15" customHeight="1" x14ac:dyDescent="0.25">
      <c r="A273" s="298" t="s">
        <v>3131</v>
      </c>
      <c r="B273" s="537">
        <v>0.17837837837837839</v>
      </c>
      <c r="C273" s="537">
        <v>0.46175782081293898</v>
      </c>
      <c r="D273" s="537">
        <v>0.35986380080868269</v>
      </c>
      <c r="E273" s="543">
        <v>1</v>
      </c>
      <c r="F273" s="312">
        <v>3292</v>
      </c>
      <c r="G273" s="543">
        <v>1.0000000000000002</v>
      </c>
      <c r="I273" s="298" t="s">
        <v>3131</v>
      </c>
      <c r="J273" s="547">
        <v>0.17837837837837839</v>
      </c>
      <c r="K273" s="547">
        <v>0.46175782081293898</v>
      </c>
      <c r="L273" s="547">
        <v>0.35986380080868269</v>
      </c>
      <c r="M273" s="547">
        <v>1</v>
      </c>
    </row>
    <row r="274" spans="1:33" ht="15" customHeight="1" x14ac:dyDescent="0.25">
      <c r="A274" s="530" t="s">
        <v>3132</v>
      </c>
      <c r="B274" s="548">
        <v>0.20214077902047825</v>
      </c>
      <c r="C274" s="548">
        <v>0.40443155302542416</v>
      </c>
      <c r="D274" s="548">
        <v>0.39342766795409756</v>
      </c>
      <c r="E274" s="548">
        <v>1</v>
      </c>
      <c r="F274" s="532">
        <v>642</v>
      </c>
      <c r="M274" s="540"/>
    </row>
    <row r="275" spans="1:33" ht="15" customHeight="1" x14ac:dyDescent="0.25">
      <c r="A275" s="530"/>
      <c r="B275" s="548"/>
      <c r="C275" s="548"/>
      <c r="D275" s="548"/>
      <c r="E275" s="548"/>
      <c r="F275" s="532"/>
      <c r="M275" s="540"/>
      <c r="N275" s="71"/>
      <c r="O275" s="71"/>
      <c r="P275" s="71"/>
      <c r="Q275" s="71"/>
      <c r="R275" s="71"/>
      <c r="S275" s="71"/>
      <c r="T275" s="71"/>
      <c r="U275" s="71"/>
      <c r="V275" s="71"/>
      <c r="W275" s="71"/>
      <c r="X275" s="71"/>
      <c r="Y275" s="71"/>
    </row>
    <row r="276" spans="1:33" ht="15" customHeight="1" x14ac:dyDescent="0.25">
      <c r="A276" s="530"/>
      <c r="B276" s="548"/>
      <c r="C276" s="548"/>
      <c r="D276" s="548"/>
      <c r="E276" s="548"/>
      <c r="F276" s="532"/>
      <c r="M276" s="540"/>
      <c r="N276" s="923" t="s">
        <v>3139</v>
      </c>
      <c r="O276" s="923"/>
      <c r="P276" s="923"/>
      <c r="Q276" s="923"/>
      <c r="R276" s="923"/>
      <c r="S276" s="923"/>
      <c r="T276" s="923"/>
      <c r="U276" s="923"/>
      <c r="V276" s="923"/>
      <c r="W276" s="923"/>
      <c r="X276" s="923"/>
      <c r="Y276" s="923"/>
    </row>
    <row r="277" spans="1:33" ht="15" customHeight="1" x14ac:dyDescent="0.25">
      <c r="A277" s="1" t="s">
        <v>3140</v>
      </c>
      <c r="B277" s="549">
        <v>0.12682847387497848</v>
      </c>
      <c r="C277" s="550" t="s">
        <v>3141</v>
      </c>
      <c r="D277" s="540"/>
      <c r="E277" s="540"/>
      <c r="F277" s="551" t="s">
        <v>3142</v>
      </c>
      <c r="G277" s="551" t="s">
        <v>3143</v>
      </c>
      <c r="M277" s="540"/>
      <c r="W277" s="552" t="s">
        <v>3144</v>
      </c>
      <c r="X277" s="552" t="s">
        <v>3144</v>
      </c>
      <c r="Y277" s="552" t="s">
        <v>3144</v>
      </c>
      <c r="Z277" s="552" t="s">
        <v>3144</v>
      </c>
      <c r="AA277" s="552" t="s">
        <v>3144</v>
      </c>
      <c r="AB277" s="552" t="s">
        <v>3144</v>
      </c>
      <c r="AC277" s="552" t="s">
        <v>3144</v>
      </c>
      <c r="AD277" s="552" t="s">
        <v>3144</v>
      </c>
      <c r="AE277" s="552" t="s">
        <v>3144</v>
      </c>
      <c r="AF277" s="552" t="s">
        <v>3144</v>
      </c>
      <c r="AG277" s="552" t="s">
        <v>3144</v>
      </c>
    </row>
    <row r="278" spans="1:33" ht="15" customHeight="1" x14ac:dyDescent="0.25">
      <c r="A278" s="539"/>
      <c r="B278" s="542" t="s">
        <v>3136</v>
      </c>
      <c r="C278" s="542" t="s">
        <v>3137</v>
      </c>
      <c r="D278" s="542" t="s">
        <v>3138</v>
      </c>
      <c r="E278" s="302" t="s">
        <v>2462</v>
      </c>
      <c r="F278" s="553" t="s">
        <v>2739</v>
      </c>
      <c r="G278" s="553" t="s">
        <v>2775</v>
      </c>
      <c r="H278" s="299" t="s">
        <v>3145</v>
      </c>
      <c r="I278" s="299"/>
      <c r="J278" s="299"/>
      <c r="K278" s="299"/>
      <c r="L278" s="299"/>
      <c r="M278" s="540"/>
      <c r="N278" s="44" t="s">
        <v>3146</v>
      </c>
      <c r="O278" s="44">
        <v>2008</v>
      </c>
      <c r="P278" s="44">
        <v>2009</v>
      </c>
      <c r="Q278" s="44">
        <v>2010</v>
      </c>
      <c r="R278" s="44">
        <v>2011</v>
      </c>
      <c r="S278" s="44">
        <v>2012</v>
      </c>
      <c r="T278" s="44">
        <v>2013</v>
      </c>
      <c r="U278" s="44">
        <v>2014</v>
      </c>
      <c r="V278" s="44">
        <v>2015</v>
      </c>
      <c r="W278" s="554">
        <v>2016</v>
      </c>
      <c r="X278" s="554">
        <v>2017</v>
      </c>
      <c r="Y278" s="554">
        <v>2018</v>
      </c>
      <c r="Z278" s="554">
        <v>2019</v>
      </c>
      <c r="AA278" s="554">
        <v>2020</v>
      </c>
      <c r="AB278" s="554">
        <v>2021</v>
      </c>
      <c r="AC278" s="554">
        <v>2022</v>
      </c>
      <c r="AD278" s="554">
        <v>2023</v>
      </c>
      <c r="AE278" s="554">
        <v>2024</v>
      </c>
      <c r="AF278" s="554">
        <v>2025</v>
      </c>
      <c r="AG278" s="554">
        <v>2026</v>
      </c>
    </row>
    <row r="279" spans="1:33" ht="15" customHeight="1" x14ac:dyDescent="0.25">
      <c r="A279" s="555" t="s">
        <v>3147</v>
      </c>
      <c r="B279" s="556">
        <v>0.17347609245645115</v>
      </c>
      <c r="C279" s="556">
        <v>0.45583030996880425</v>
      </c>
      <c r="D279" s="556">
        <v>0.36161350126190206</v>
      </c>
      <c r="E279" s="556">
        <v>1</v>
      </c>
      <c r="F279" s="557"/>
      <c r="M279" s="540"/>
      <c r="N279" s="2" t="s">
        <v>2152</v>
      </c>
      <c r="O279" s="254">
        <v>1</v>
      </c>
      <c r="P279" s="254">
        <v>1</v>
      </c>
      <c r="Q279" s="254">
        <v>1</v>
      </c>
      <c r="R279" s="254">
        <v>1</v>
      </c>
      <c r="S279" s="254">
        <v>1</v>
      </c>
      <c r="T279" s="254">
        <v>1</v>
      </c>
      <c r="U279" s="254">
        <v>1</v>
      </c>
      <c r="V279" s="254">
        <v>1</v>
      </c>
      <c r="W279" s="558">
        <v>1</v>
      </c>
      <c r="X279" s="558">
        <v>1</v>
      </c>
      <c r="Y279" s="558">
        <v>1</v>
      </c>
      <c r="Z279" s="558">
        <v>1</v>
      </c>
      <c r="AA279" s="558">
        <v>1</v>
      </c>
      <c r="AB279" s="558">
        <v>1</v>
      </c>
      <c r="AC279" s="558">
        <v>1</v>
      </c>
      <c r="AD279" s="558">
        <v>1</v>
      </c>
      <c r="AE279" s="558">
        <v>1</v>
      </c>
      <c r="AF279" s="558">
        <v>1</v>
      </c>
      <c r="AG279" s="558">
        <v>1</v>
      </c>
    </row>
    <row r="280" spans="1:33" ht="15" customHeight="1" x14ac:dyDescent="0.25">
      <c r="A280" s="555">
        <v>2006</v>
      </c>
      <c r="B280" s="559">
        <v>0.64688757408333508</v>
      </c>
      <c r="C280" s="559">
        <v>0.26329710753919444</v>
      </c>
      <c r="D280" s="559">
        <v>8.9815318377470449E-2</v>
      </c>
      <c r="E280" s="559">
        <v>1</v>
      </c>
      <c r="F280" s="557">
        <v>0.52005910020835655</v>
      </c>
      <c r="G280" s="560">
        <v>0.5729769927473557</v>
      </c>
      <c r="M280" s="540"/>
      <c r="N280" s="2" t="s">
        <v>2156</v>
      </c>
      <c r="O280" s="254">
        <v>2.3235093538296465E-2</v>
      </c>
      <c r="P280" s="254">
        <v>2.1700747427414329E-2</v>
      </c>
      <c r="Q280" s="254">
        <v>2.0166401316532186E-2</v>
      </c>
      <c r="R280" s="254">
        <v>1.5994722734532774E-2</v>
      </c>
      <c r="S280" s="254">
        <v>1.4739567580100721E-2</v>
      </c>
      <c r="T280" s="254">
        <v>1.3681479098346577E-2</v>
      </c>
      <c r="U280" s="254">
        <v>1.1297202057529317E-2</v>
      </c>
      <c r="V280" s="254">
        <v>1.1069692013153257E-2</v>
      </c>
      <c r="W280" s="558">
        <v>1.025466544804096E-2</v>
      </c>
      <c r="X280" s="558">
        <v>9.5327497467239813E-3</v>
      </c>
      <c r="Y280" s="558">
        <v>8.9157470621560268E-3</v>
      </c>
      <c r="Z280" s="558">
        <v>8.3884108204458491E-3</v>
      </c>
      <c r="AA280" s="558">
        <v>7.9377101690933545E-3</v>
      </c>
      <c r="AB280" s="558">
        <v>7.5525079753833253E-3</v>
      </c>
      <c r="AC280" s="558">
        <v>7.2232856199380907E-3</v>
      </c>
      <c r="AD280" s="558">
        <v>6.9419077848819951E-3</v>
      </c>
      <c r="AE280" s="558">
        <v>6.7014214243681378E-3</v>
      </c>
      <c r="AF280" s="558">
        <v>6.4958839498841505E-3</v>
      </c>
      <c r="AG280" s="558">
        <v>6.3202163846759335E-3</v>
      </c>
    </row>
    <row r="281" spans="1:33" ht="15" customHeight="1" x14ac:dyDescent="0.25">
      <c r="A281" s="555">
        <v>2007</v>
      </c>
      <c r="B281" s="559">
        <v>0.5941764379435146</v>
      </c>
      <c r="C281" s="559">
        <v>0.30997772282812036</v>
      </c>
      <c r="D281" s="559">
        <v>9.5845839228365065E-2</v>
      </c>
      <c r="E281" s="559">
        <v>1</v>
      </c>
      <c r="F281" s="557">
        <v>0.46734796406853613</v>
      </c>
      <c r="G281" s="560">
        <v>0.489708621208648</v>
      </c>
      <c r="M281" s="540"/>
      <c r="N281" s="2" t="s">
        <v>2159</v>
      </c>
      <c r="O281" s="254">
        <v>1.2959738635122326E-2</v>
      </c>
      <c r="P281" s="254">
        <v>1.2808793910578931E-2</v>
      </c>
      <c r="Q281" s="254">
        <v>1.2469210538803954E-2</v>
      </c>
      <c r="R281" s="254">
        <v>1.5601924502648232E-2</v>
      </c>
      <c r="S281" s="254">
        <v>1.6820356912491473E-2</v>
      </c>
      <c r="T281" s="254">
        <v>1.5237032374445732E-2</v>
      </c>
      <c r="U281" s="254">
        <v>1.6806014996370858E-2</v>
      </c>
      <c r="V281" s="254">
        <v>1.7625836649700105E-2</v>
      </c>
      <c r="W281" s="558">
        <v>1.9619793343768645E-2</v>
      </c>
      <c r="X281" s="558">
        <v>2.0070406769674018E-2</v>
      </c>
      <c r="Y281" s="558">
        <v>2.0455534414049629E-2</v>
      </c>
      <c r="Z281" s="558">
        <v>2.0784693054106348E-2</v>
      </c>
      <c r="AA281" s="558">
        <v>2.1066016433267144E-2</v>
      </c>
      <c r="AB281" s="558">
        <v>2.1306456251735269E-2</v>
      </c>
      <c r="AC281" s="558">
        <v>2.1511953947936053E-2</v>
      </c>
      <c r="AD281" s="558">
        <v>2.1687587515674168E-2</v>
      </c>
      <c r="AE281" s="558">
        <v>2.1837696984961196E-2</v>
      </c>
      <c r="AF281" s="558">
        <v>2.1965991667235327E-2</v>
      </c>
      <c r="AG281" s="558">
        <v>2.2075641815077415E-2</v>
      </c>
    </row>
    <row r="282" spans="1:33" ht="15" customHeight="1" x14ac:dyDescent="0.25">
      <c r="A282" s="555">
        <v>2008</v>
      </c>
      <c r="B282" s="559">
        <v>0.5573701024087232</v>
      </c>
      <c r="C282" s="559">
        <v>0.3108819354801709</v>
      </c>
      <c r="D282" s="559">
        <v>0.13174796211110595</v>
      </c>
      <c r="E282" s="559">
        <v>1</v>
      </c>
      <c r="F282" s="557">
        <v>0.43054162853374467</v>
      </c>
      <c r="G282" s="560">
        <v>0.41854129698328663</v>
      </c>
      <c r="M282" s="540"/>
      <c r="N282" s="2" t="s">
        <v>2162</v>
      </c>
      <c r="O282" s="254">
        <v>5.4921787334884795E-3</v>
      </c>
      <c r="P282" s="254">
        <v>7.1774695689140102E-3</v>
      </c>
      <c r="Q282" s="254">
        <v>9.0513990515711275E-3</v>
      </c>
      <c r="R282" s="254">
        <v>1.0090363669726264E-2</v>
      </c>
      <c r="S282" s="254">
        <v>1.0127086414315074E-2</v>
      </c>
      <c r="T282" s="254">
        <v>1.276849943411496E-2</v>
      </c>
      <c r="U282" s="254">
        <v>1.3583793853007092E-2</v>
      </c>
      <c r="V282" s="254">
        <v>1.2991482244053906E-2</v>
      </c>
      <c r="W282" s="558">
        <v>1.1812552115097665E-2</v>
      </c>
      <c r="X282" s="558">
        <v>1.2083854390509271E-2</v>
      </c>
      <c r="Y282" s="558">
        <v>1.2315729430701607E-2</v>
      </c>
      <c r="Z282" s="558">
        <v>1.2513907032355069E-2</v>
      </c>
      <c r="AA282" s="558">
        <v>1.2683284304546766E-2</v>
      </c>
      <c r="AB282" s="558">
        <v>1.2828046679788672E-2</v>
      </c>
      <c r="AC282" s="558">
        <v>1.2951771339033122E-2</v>
      </c>
      <c r="AD282" s="558">
        <v>1.3057515606351103E-2</v>
      </c>
      <c r="AE282" s="558">
        <v>1.3147892497577933E-2</v>
      </c>
      <c r="AF282" s="558">
        <v>1.3225135289787792E-2</v>
      </c>
      <c r="AG282" s="558">
        <v>1.3291152707153923E-2</v>
      </c>
    </row>
    <row r="283" spans="1:33" ht="15" customHeight="1" x14ac:dyDescent="0.25">
      <c r="A283" s="555">
        <v>2009</v>
      </c>
      <c r="B283" s="559">
        <v>0.5205637668739318</v>
      </c>
      <c r="C283" s="559">
        <v>0.30726103004081295</v>
      </c>
      <c r="D283" s="559">
        <v>0.17217520308525527</v>
      </c>
      <c r="E283" s="559">
        <v>1</v>
      </c>
      <c r="F283" s="557">
        <v>0.39373529299895327</v>
      </c>
      <c r="G283" s="560">
        <v>0.35771642502045092</v>
      </c>
      <c r="M283" s="540"/>
      <c r="N283" s="2" t="s">
        <v>2165</v>
      </c>
      <c r="O283" s="254">
        <v>0.47153811563551612</v>
      </c>
      <c r="P283" s="254">
        <v>0.44039975707175322</v>
      </c>
      <c r="Q283" s="254">
        <v>0.4092613985079902</v>
      </c>
      <c r="R283" s="254">
        <v>0.3246004327859961</v>
      </c>
      <c r="S283" s="254">
        <v>0.29912803710247571</v>
      </c>
      <c r="T283" s="254">
        <v>0.27765495596167244</v>
      </c>
      <c r="U283" s="254">
        <v>0.22926791154857626</v>
      </c>
      <c r="V283" s="254">
        <v>0.22465077250257157</v>
      </c>
      <c r="W283" s="558">
        <v>0.20811044353542091</v>
      </c>
      <c r="X283" s="558">
        <v>0.19345972698523231</v>
      </c>
      <c r="Y283" s="558">
        <v>0.18093813834847061</v>
      </c>
      <c r="Z283" s="558">
        <v>0.17023626029007211</v>
      </c>
      <c r="AA283" s="558">
        <v>0.16108964181383606</v>
      </c>
      <c r="AB283" s="558">
        <v>0.15327226349076986</v>
      </c>
      <c r="AC283" s="558">
        <v>0.14659095235871603</v>
      </c>
      <c r="AD283" s="558">
        <v>0.140880608481457</v>
      </c>
      <c r="AE283" s="558">
        <v>0.13600012521222279</v>
      </c>
      <c r="AF283" s="558">
        <v>0.13182890234837163</v>
      </c>
      <c r="AG283" s="558">
        <v>0.12826386601486028</v>
      </c>
    </row>
    <row r="284" spans="1:33" ht="15" customHeight="1" x14ac:dyDescent="0.25">
      <c r="A284" s="555">
        <v>2010</v>
      </c>
      <c r="B284" s="559">
        <v>0.48375743133914029</v>
      </c>
      <c r="C284" s="559">
        <v>0.29911500651004669</v>
      </c>
      <c r="D284" s="559">
        <v>0.21712756215081302</v>
      </c>
      <c r="E284" s="559">
        <v>1</v>
      </c>
      <c r="F284" s="557">
        <v>0.35692895746416181</v>
      </c>
      <c r="G284" s="560">
        <v>0.30573097959918077</v>
      </c>
      <c r="M284" s="540"/>
      <c r="N284" s="2" t="s">
        <v>2169</v>
      </c>
      <c r="O284" s="254">
        <v>0.26300779573200805</v>
      </c>
      <c r="P284" s="254">
        <v>0.25994449018262428</v>
      </c>
      <c r="Q284" s="254">
        <v>0.25305291029877297</v>
      </c>
      <c r="R284" s="254">
        <v>0.31662889878797201</v>
      </c>
      <c r="S284" s="254">
        <v>0.34135603498907058</v>
      </c>
      <c r="T284" s="254">
        <v>0.30922369741620881</v>
      </c>
      <c r="U284" s="254">
        <v>0.34106497697843807</v>
      </c>
      <c r="V284" s="254">
        <v>0.35770261852401236</v>
      </c>
      <c r="W284" s="558">
        <v>0.39816841568683448</v>
      </c>
      <c r="X284" s="558">
        <v>0.40731326399059831</v>
      </c>
      <c r="Y284" s="558">
        <v>0.41512912939302077</v>
      </c>
      <c r="Z284" s="558">
        <v>0.42180914747091969</v>
      </c>
      <c r="AA284" s="558">
        <v>0.42751838620822258</v>
      </c>
      <c r="AB284" s="558">
        <v>0.43239792494291007</v>
      </c>
      <c r="AC284" s="558">
        <v>0.43656834053750387</v>
      </c>
      <c r="AD284" s="558">
        <v>0.44013268691885465</v>
      </c>
      <c r="AE284" s="558">
        <v>0.44317904161374705</v>
      </c>
      <c r="AF284" s="558">
        <v>0.4457826822070543</v>
      </c>
      <c r="AG284" s="558">
        <v>0.44800794650424314</v>
      </c>
    </row>
    <row r="285" spans="1:33" ht="15" customHeight="1" x14ac:dyDescent="0.25">
      <c r="A285" s="555">
        <v>2011</v>
      </c>
      <c r="B285" s="559">
        <v>0.38368600642178813</v>
      </c>
      <c r="C285" s="559">
        <v>0.3742634495308248</v>
      </c>
      <c r="D285" s="559">
        <v>0.2420505440473871</v>
      </c>
      <c r="E285" s="559">
        <v>1</v>
      </c>
      <c r="F285" s="557">
        <v>0.25685753254680965</v>
      </c>
      <c r="G285" s="560">
        <v>0.26130036349695396</v>
      </c>
      <c r="M285" s="540"/>
      <c r="N285" s="2" t="s">
        <v>2172</v>
      </c>
      <c r="O285" s="254">
        <v>0.11145948719569855</v>
      </c>
      <c r="P285" s="254">
        <v>0.14566115130884519</v>
      </c>
      <c r="Q285" s="254">
        <v>0.18369108975645948</v>
      </c>
      <c r="R285" s="254">
        <v>0.2047760669892546</v>
      </c>
      <c r="S285" s="254">
        <v>0.20552132647167634</v>
      </c>
      <c r="T285" s="254">
        <v>0.25912674518534146</v>
      </c>
      <c r="U285" s="254">
        <v>0.2756725100362083</v>
      </c>
      <c r="V285" s="254">
        <v>0.2636520075366387</v>
      </c>
      <c r="W285" s="558">
        <v>0.2397265393409673</v>
      </c>
      <c r="X285" s="558">
        <v>0.24523240758739209</v>
      </c>
      <c r="Y285" s="558">
        <v>0.24993813082173119</v>
      </c>
      <c r="Z285" s="558">
        <v>0.25395999080223081</v>
      </c>
      <c r="AA285" s="558">
        <v>0.25739737054116396</v>
      </c>
      <c r="AB285" s="558">
        <v>0.26033521012954264</v>
      </c>
      <c r="AC285" s="558">
        <v>0.26284610566700267</v>
      </c>
      <c r="AD285" s="558">
        <v>0.26499210316291094</v>
      </c>
      <c r="AE285" s="558">
        <v>0.26682623173725278</v>
      </c>
      <c r="AF285" s="558">
        <v>0.26839381400779672</v>
      </c>
      <c r="AG285" s="558">
        <v>0.26973358604411929</v>
      </c>
    </row>
    <row r="286" spans="1:33" ht="15" customHeight="1" x14ac:dyDescent="0.25">
      <c r="A286" s="555">
        <v>2012</v>
      </c>
      <c r="B286" s="559">
        <v>0.35357698379996993</v>
      </c>
      <c r="C286" s="559">
        <v>0.4034915563999924</v>
      </c>
      <c r="D286" s="559">
        <v>0.24293145980003764</v>
      </c>
      <c r="E286" s="559">
        <v>1</v>
      </c>
      <c r="F286" s="557">
        <v>0.22674850992499146</v>
      </c>
      <c r="G286" s="560">
        <v>0.22332666468132836</v>
      </c>
      <c r="M286" s="540"/>
      <c r="N286" s="2" t="s">
        <v>2175</v>
      </c>
      <c r="O286" s="254">
        <v>6.2596893234910647E-2</v>
      </c>
      <c r="P286" s="254">
        <v>5.8463262374764284E-2</v>
      </c>
      <c r="Q286" s="254">
        <v>5.4329631514617914E-2</v>
      </c>
      <c r="R286" s="254">
        <v>4.3090850901259289E-2</v>
      </c>
      <c r="S286" s="254">
        <v>3.9709379117393535E-2</v>
      </c>
      <c r="T286" s="254">
        <v>3.6858818106468988E-2</v>
      </c>
      <c r="U286" s="254">
        <v>3.0435416577204936E-2</v>
      </c>
      <c r="V286" s="254">
        <v>2.9822489328420462E-2</v>
      </c>
      <c r="W286" s="558">
        <v>2.7626753348452854E-2</v>
      </c>
      <c r="X286" s="558">
        <v>2.5681864251903181E-2</v>
      </c>
      <c r="Y286" s="558">
        <v>2.4019617826774944E-2</v>
      </c>
      <c r="Z286" s="558">
        <v>2.2598938785099297E-2</v>
      </c>
      <c r="AA286" s="558">
        <v>2.1384721140263199E-2</v>
      </c>
      <c r="AB286" s="558">
        <v>2.0346960713184328E-2</v>
      </c>
      <c r="AC286" s="558">
        <v>1.9460013707768394E-2</v>
      </c>
      <c r="AD286" s="558">
        <v>1.8701963034520788E-2</v>
      </c>
      <c r="AE286" s="558">
        <v>1.8054076723724301E-2</v>
      </c>
      <c r="AF286" s="558">
        <v>1.7500345045182043E-2</v>
      </c>
      <c r="AG286" s="558">
        <v>1.7027084896431132E-2</v>
      </c>
    </row>
    <row r="287" spans="1:33" ht="15" customHeight="1" x14ac:dyDescent="0.25">
      <c r="A287" s="555">
        <v>2013</v>
      </c>
      <c r="B287" s="559">
        <v>0.32819525316648801</v>
      </c>
      <c r="C287" s="559">
        <v>0.36551031227621683</v>
      </c>
      <c r="D287" s="559">
        <v>0.30629443455729521</v>
      </c>
      <c r="E287" s="559">
        <v>1</v>
      </c>
      <c r="F287" s="561">
        <v>0.20136677929150953</v>
      </c>
      <c r="G287" s="562">
        <v>0.19087152612502151</v>
      </c>
      <c r="M287" s="540"/>
      <c r="N287" s="2" t="s">
        <v>2179</v>
      </c>
      <c r="O287" s="254">
        <v>4.9710697294959444E-2</v>
      </c>
      <c r="P287" s="254">
        <v>5.3844328155105807E-2</v>
      </c>
      <c r="Q287" s="254">
        <v>5.7977959015252177E-2</v>
      </c>
      <c r="R287" s="254">
        <v>6.9216739628610802E-2</v>
      </c>
      <c r="S287" s="254">
        <v>7.2598211412476563E-2</v>
      </c>
      <c r="T287" s="254">
        <v>7.5448772423401103E-2</v>
      </c>
      <c r="U287" s="254">
        <v>8.1872173952665162E-2</v>
      </c>
      <c r="V287" s="254">
        <v>8.2485101201449626E-2</v>
      </c>
      <c r="W287" s="558">
        <v>8.4680837181417237E-2</v>
      </c>
      <c r="X287" s="558">
        <v>8.6625726277966913E-2</v>
      </c>
      <c r="Y287" s="558">
        <v>8.8287972703095144E-2</v>
      </c>
      <c r="Z287" s="558">
        <v>8.9708651744770787E-2</v>
      </c>
      <c r="AA287" s="558">
        <v>9.0922869389606892E-2</v>
      </c>
      <c r="AB287" s="558">
        <v>9.1960629816685763E-2</v>
      </c>
      <c r="AC287" s="558">
        <v>9.2847576822101693E-2</v>
      </c>
      <c r="AD287" s="558">
        <v>9.36056274953493E-2</v>
      </c>
      <c r="AE287" s="558">
        <v>9.4253513806145786E-2</v>
      </c>
      <c r="AF287" s="558">
        <v>9.4807245484688052E-2</v>
      </c>
      <c r="AG287" s="558">
        <v>9.5280505633438956E-2</v>
      </c>
    </row>
    <row r="288" spans="1:33" ht="15" customHeight="1" x14ac:dyDescent="0.25">
      <c r="A288" s="555">
        <v>2014</v>
      </c>
      <c r="B288" s="559">
        <v>0.2710005301833105</v>
      </c>
      <c r="C288" s="559">
        <v>0.40314751839370211</v>
      </c>
      <c r="D288" s="559">
        <v>0.3258519514229874</v>
      </c>
      <c r="E288" s="559">
        <v>1</v>
      </c>
      <c r="F288" s="557">
        <v>0.14417205630833199</v>
      </c>
      <c r="G288" s="560">
        <v>0.16313295833831851</v>
      </c>
      <c r="M288" s="540"/>
      <c r="N288" s="2" t="s">
        <v>2186</v>
      </c>
      <c r="O288" s="254">
        <v>1</v>
      </c>
      <c r="P288" s="254">
        <v>1</v>
      </c>
      <c r="Q288" s="254">
        <v>1</v>
      </c>
      <c r="R288" s="254">
        <v>1</v>
      </c>
      <c r="S288" s="254">
        <v>1</v>
      </c>
      <c r="T288" s="254">
        <v>1</v>
      </c>
      <c r="U288" s="254">
        <v>1</v>
      </c>
      <c r="V288" s="254">
        <v>1</v>
      </c>
      <c r="W288" s="558">
        <v>1</v>
      </c>
      <c r="X288" s="558">
        <v>1</v>
      </c>
      <c r="Y288" s="558">
        <v>1</v>
      </c>
      <c r="Z288" s="558">
        <v>1</v>
      </c>
      <c r="AA288" s="558">
        <v>1</v>
      </c>
      <c r="AB288" s="558">
        <v>1</v>
      </c>
      <c r="AC288" s="558">
        <v>1</v>
      </c>
      <c r="AD288" s="558">
        <v>1</v>
      </c>
      <c r="AE288" s="558">
        <v>1</v>
      </c>
      <c r="AF288" s="558">
        <v>1</v>
      </c>
      <c r="AG288" s="558">
        <v>1</v>
      </c>
    </row>
    <row r="289" spans="1:33" ht="15" customHeight="1" x14ac:dyDescent="0.25">
      <c r="A289" s="555">
        <v>2015</v>
      </c>
      <c r="B289" s="559">
        <v>0.26554295384414528</v>
      </c>
      <c r="C289" s="559">
        <v>0.4228136358603638</v>
      </c>
      <c r="D289" s="559">
        <v>0.31164341029549092</v>
      </c>
      <c r="E289" s="559">
        <v>1</v>
      </c>
      <c r="F289" s="557">
        <v>0.1387144799691668</v>
      </c>
      <c r="G289" s="560">
        <v>0.13942552164004748</v>
      </c>
      <c r="M289" s="540"/>
      <c r="N289" s="2" t="s">
        <v>3148</v>
      </c>
      <c r="O289" s="254">
        <v>1</v>
      </c>
      <c r="P289" s="254">
        <v>1</v>
      </c>
      <c r="Q289" s="254">
        <v>1</v>
      </c>
      <c r="R289" s="254">
        <v>1</v>
      </c>
      <c r="S289" s="254">
        <v>1</v>
      </c>
      <c r="T289" s="254">
        <v>1</v>
      </c>
      <c r="U289" s="254">
        <v>1</v>
      </c>
      <c r="V289" s="254">
        <v>1</v>
      </c>
      <c r="W289" s="558">
        <v>1</v>
      </c>
      <c r="X289" s="558">
        <v>1</v>
      </c>
      <c r="Y289" s="558">
        <v>1</v>
      </c>
      <c r="Z289" s="558">
        <v>1</v>
      </c>
      <c r="AA289" s="558">
        <v>1</v>
      </c>
      <c r="AB289" s="558">
        <v>1</v>
      </c>
      <c r="AC289" s="558">
        <v>1</v>
      </c>
      <c r="AD289" s="558">
        <v>1</v>
      </c>
      <c r="AE289" s="558">
        <v>1</v>
      </c>
      <c r="AF289" s="558">
        <v>1</v>
      </c>
      <c r="AG289" s="558">
        <v>1</v>
      </c>
    </row>
    <row r="290" spans="1:33" ht="15" customHeight="1" x14ac:dyDescent="0.25">
      <c r="A290" s="555">
        <v>2016</v>
      </c>
      <c r="B290" s="563">
        <v>0.24599186233191472</v>
      </c>
      <c r="C290" s="540">
        <v>0.47064524217345055</v>
      </c>
      <c r="D290" s="540">
        <v>0.28336289549463478</v>
      </c>
      <c r="E290" s="540">
        <v>1</v>
      </c>
      <c r="F290" s="540"/>
      <c r="G290" s="560">
        <v>0.11916338845693625</v>
      </c>
      <c r="M290" s="540"/>
      <c r="N290" s="2" t="s">
        <v>2210</v>
      </c>
      <c r="O290" s="254">
        <v>1</v>
      </c>
      <c r="P290" s="254">
        <v>1</v>
      </c>
      <c r="Q290" s="254">
        <v>1</v>
      </c>
      <c r="R290" s="254">
        <v>1</v>
      </c>
      <c r="S290" s="254">
        <v>1</v>
      </c>
      <c r="T290" s="254">
        <v>1</v>
      </c>
      <c r="U290" s="254">
        <v>1</v>
      </c>
      <c r="V290" s="254">
        <v>1</v>
      </c>
      <c r="W290" s="558">
        <v>1</v>
      </c>
      <c r="X290" s="558">
        <v>1</v>
      </c>
      <c r="Y290" s="558">
        <v>1</v>
      </c>
      <c r="Z290" s="558">
        <v>1</v>
      </c>
      <c r="AA290" s="558">
        <v>1</v>
      </c>
      <c r="AB290" s="558">
        <v>1</v>
      </c>
      <c r="AC290" s="558">
        <v>1</v>
      </c>
      <c r="AD290" s="558">
        <v>1</v>
      </c>
      <c r="AE290" s="558">
        <v>1</v>
      </c>
      <c r="AF290" s="558">
        <v>1</v>
      </c>
      <c r="AG290" s="558">
        <v>1</v>
      </c>
    </row>
    <row r="291" spans="1:33" ht="15" customHeight="1" x14ac:dyDescent="0.25">
      <c r="A291" s="555">
        <v>2017</v>
      </c>
      <c r="B291" s="563">
        <v>0.22867434098385947</v>
      </c>
      <c r="C291" s="540">
        <v>0.48145468655677787</v>
      </c>
      <c r="D291" s="540">
        <v>0.28987097245936272</v>
      </c>
      <c r="E291" s="540">
        <v>1</v>
      </c>
      <c r="F291" s="540"/>
      <c r="G291" s="560">
        <v>0.10184586710888099</v>
      </c>
      <c r="M291" s="540"/>
      <c r="N291" s="2" t="s">
        <v>2214</v>
      </c>
      <c r="O291" s="254">
        <v>1</v>
      </c>
      <c r="P291" s="254">
        <v>1</v>
      </c>
      <c r="Q291" s="254">
        <v>1</v>
      </c>
      <c r="R291" s="254">
        <v>1</v>
      </c>
      <c r="S291" s="254">
        <v>1</v>
      </c>
      <c r="T291" s="254">
        <v>1</v>
      </c>
      <c r="U291" s="254">
        <v>1</v>
      </c>
      <c r="V291" s="254">
        <v>1</v>
      </c>
      <c r="W291" s="558">
        <v>1</v>
      </c>
      <c r="X291" s="558">
        <v>1</v>
      </c>
      <c r="Y291" s="558">
        <v>1</v>
      </c>
      <c r="Z291" s="558">
        <v>1</v>
      </c>
      <c r="AA291" s="558">
        <v>1</v>
      </c>
      <c r="AB291" s="558">
        <v>1</v>
      </c>
      <c r="AC291" s="558">
        <v>1</v>
      </c>
      <c r="AD291" s="558">
        <v>1</v>
      </c>
      <c r="AE291" s="558">
        <v>1</v>
      </c>
      <c r="AF291" s="558">
        <v>1</v>
      </c>
      <c r="AG291" s="558">
        <v>1</v>
      </c>
    </row>
    <row r="292" spans="1:33" ht="15" customHeight="1" x14ac:dyDescent="0.25">
      <c r="A292" s="555">
        <v>2018</v>
      </c>
      <c r="B292" s="819">
        <v>0.21387350323740159</v>
      </c>
      <c r="C292" s="540">
        <v>0.49069323918977076</v>
      </c>
      <c r="D292" s="540">
        <v>0.29543325757282757</v>
      </c>
      <c r="E292" s="540">
        <v>0.99999999999999989</v>
      </c>
      <c r="F292" s="540"/>
      <c r="G292" s="560">
        <v>8.7045029362423115E-2</v>
      </c>
      <c r="H292" s="540"/>
      <c r="I292" s="540"/>
      <c r="J292" s="540"/>
      <c r="K292" s="540"/>
      <c r="L292" s="540"/>
      <c r="M292" s="540"/>
      <c r="N292" s="2" t="s">
        <v>3044</v>
      </c>
      <c r="O292" s="254">
        <v>1</v>
      </c>
      <c r="P292" s="254">
        <v>1</v>
      </c>
      <c r="Q292" s="254">
        <v>1</v>
      </c>
      <c r="R292" s="254">
        <v>1</v>
      </c>
      <c r="S292" s="254">
        <v>1</v>
      </c>
      <c r="T292" s="254">
        <v>1</v>
      </c>
      <c r="U292" s="254">
        <v>1</v>
      </c>
      <c r="V292" s="254">
        <v>1</v>
      </c>
      <c r="W292" s="558">
        <v>1</v>
      </c>
      <c r="X292" s="558">
        <v>1</v>
      </c>
      <c r="Y292" s="558">
        <v>1</v>
      </c>
      <c r="Z292" s="558">
        <v>1</v>
      </c>
      <c r="AA292" s="558">
        <v>1</v>
      </c>
      <c r="AB292" s="558">
        <v>1</v>
      </c>
      <c r="AC292" s="558">
        <v>1</v>
      </c>
      <c r="AD292" s="558">
        <v>1</v>
      </c>
      <c r="AE292" s="558">
        <v>1</v>
      </c>
      <c r="AF292" s="558">
        <v>1</v>
      </c>
      <c r="AG292" s="558">
        <v>1</v>
      </c>
    </row>
    <row r="293" spans="1:33" ht="15" customHeight="1" x14ac:dyDescent="0.25">
      <c r="A293" s="555">
        <v>2019</v>
      </c>
      <c r="B293" s="819">
        <v>0.20122360989561724</v>
      </c>
      <c r="C293" s="540">
        <v>0.49858919125963186</v>
      </c>
      <c r="D293" s="540">
        <v>0.30018719884475087</v>
      </c>
      <c r="E293" s="540">
        <v>1</v>
      </c>
      <c r="F293" s="540"/>
      <c r="G293" s="560">
        <v>7.4395136020638769E-2</v>
      </c>
      <c r="H293" s="540"/>
      <c r="I293" s="540"/>
      <c r="J293" s="540"/>
      <c r="K293" s="540"/>
      <c r="L293" s="540"/>
      <c r="M293" s="540"/>
      <c r="N293" s="2" t="s">
        <v>2223</v>
      </c>
      <c r="O293" s="254">
        <v>1</v>
      </c>
      <c r="P293" s="254">
        <v>1</v>
      </c>
      <c r="Q293" s="254">
        <v>1</v>
      </c>
      <c r="R293" s="254">
        <v>1</v>
      </c>
      <c r="S293" s="254">
        <v>1</v>
      </c>
      <c r="T293" s="254">
        <v>1</v>
      </c>
      <c r="U293" s="254">
        <v>1</v>
      </c>
      <c r="V293" s="254">
        <v>1</v>
      </c>
      <c r="W293" s="558">
        <v>1</v>
      </c>
      <c r="X293" s="558">
        <v>1</v>
      </c>
      <c r="Y293" s="558">
        <v>1</v>
      </c>
      <c r="Z293" s="558">
        <v>1</v>
      </c>
      <c r="AA293" s="558">
        <v>1</v>
      </c>
      <c r="AB293" s="558">
        <v>1</v>
      </c>
      <c r="AC293" s="558">
        <v>1</v>
      </c>
      <c r="AD293" s="558">
        <v>1</v>
      </c>
      <c r="AE293" s="558">
        <v>1</v>
      </c>
      <c r="AF293" s="558">
        <v>1</v>
      </c>
      <c r="AG293" s="558">
        <v>1</v>
      </c>
    </row>
    <row r="294" spans="1:33" ht="15" customHeight="1" x14ac:dyDescent="0.25">
      <c r="A294" s="555">
        <v>2020</v>
      </c>
      <c r="B294" s="819">
        <v>0.19041207312319261</v>
      </c>
      <c r="C294" s="540">
        <v>0.50533765734152558</v>
      </c>
      <c r="D294" s="540">
        <v>0.30425026953528173</v>
      </c>
      <c r="E294" s="540">
        <v>1</v>
      </c>
      <c r="F294" s="540"/>
      <c r="G294" s="560">
        <v>6.3583599248214134E-2</v>
      </c>
      <c r="H294" s="540"/>
      <c r="I294" s="540"/>
      <c r="J294" s="540"/>
      <c r="K294" s="540"/>
      <c r="L294" s="540"/>
      <c r="M294" s="540"/>
      <c r="N294" s="2" t="s">
        <v>2228</v>
      </c>
      <c r="O294" s="254">
        <v>1</v>
      </c>
      <c r="P294" s="254">
        <v>1</v>
      </c>
      <c r="Q294" s="254">
        <v>1</v>
      </c>
      <c r="R294" s="254">
        <v>1</v>
      </c>
      <c r="S294" s="254">
        <v>1</v>
      </c>
      <c r="T294" s="254">
        <v>1</v>
      </c>
      <c r="U294" s="254">
        <v>1</v>
      </c>
      <c r="V294" s="254">
        <v>1</v>
      </c>
      <c r="W294" s="558">
        <v>1</v>
      </c>
      <c r="X294" s="558">
        <v>1</v>
      </c>
      <c r="Y294" s="558">
        <v>1</v>
      </c>
      <c r="Z294" s="558">
        <v>1</v>
      </c>
      <c r="AA294" s="558">
        <v>1</v>
      </c>
      <c r="AB294" s="558">
        <v>1</v>
      </c>
      <c r="AC294" s="558">
        <v>1</v>
      </c>
      <c r="AD294" s="558">
        <v>1</v>
      </c>
      <c r="AE294" s="558">
        <v>1</v>
      </c>
      <c r="AF294" s="558">
        <v>1</v>
      </c>
      <c r="AG294" s="558">
        <v>1</v>
      </c>
    </row>
    <row r="295" spans="1:33" ht="15" customHeight="1" x14ac:dyDescent="0.25">
      <c r="A295" s="555">
        <v>2021</v>
      </c>
      <c r="B295" s="819">
        <v>0.18117173217933752</v>
      </c>
      <c r="C295" s="540">
        <v>0.51110539681809919</v>
      </c>
      <c r="D295" s="540">
        <v>0.30772287100256324</v>
      </c>
      <c r="E295" s="540">
        <v>1</v>
      </c>
      <c r="F295" s="540"/>
      <c r="G295" s="560">
        <v>5.4343258304359036E-2</v>
      </c>
      <c r="H295" s="540"/>
      <c r="I295" s="540"/>
      <c r="J295" s="540"/>
      <c r="K295" s="540"/>
      <c r="L295" s="540"/>
      <c r="M295" s="540"/>
      <c r="N295" s="2"/>
      <c r="O295" s="254"/>
      <c r="Q295" s="254"/>
      <c r="R295" s="254"/>
      <c r="S295" s="254"/>
      <c r="T295" s="254"/>
      <c r="U295" s="254"/>
      <c r="V295" s="254"/>
      <c r="W295" s="254"/>
      <c r="X295" s="254"/>
      <c r="Y295" s="254"/>
      <c r="Z295" s="254"/>
    </row>
    <row r="296" spans="1:33" ht="15" customHeight="1" x14ac:dyDescent="0.25">
      <c r="A296" s="555">
        <v>2022</v>
      </c>
      <c r="B296" s="819">
        <v>0.17327425168642252</v>
      </c>
      <c r="C296" s="540">
        <v>0.51603493462208538</v>
      </c>
      <c r="D296" s="540">
        <v>0.31069081369149204</v>
      </c>
      <c r="E296" s="540">
        <v>1</v>
      </c>
      <c r="F296" s="540"/>
      <c r="G296" s="560">
        <v>4.6445777811444051E-2</v>
      </c>
      <c r="H296" s="540"/>
      <c r="I296" s="540"/>
      <c r="J296" s="540"/>
      <c r="K296" s="540"/>
      <c r="L296" s="540"/>
      <c r="M296" s="540"/>
      <c r="N296" s="254" t="s">
        <v>3027</v>
      </c>
      <c r="O296" s="254">
        <f t="shared" ref="O296:V296" si="0">SUM(O280,O283,O286)</f>
        <v>0.5573701024087232</v>
      </c>
      <c r="P296" s="254">
        <f t="shared" si="0"/>
        <v>0.5205637668739318</v>
      </c>
      <c r="Q296" s="254">
        <f t="shared" si="0"/>
        <v>0.48375743133914029</v>
      </c>
      <c r="R296" s="254">
        <f t="shared" si="0"/>
        <v>0.38368600642178818</v>
      </c>
      <c r="S296" s="254">
        <f t="shared" si="0"/>
        <v>0.35357698379996993</v>
      </c>
      <c r="T296" s="254">
        <f t="shared" si="0"/>
        <v>0.32819525316648801</v>
      </c>
      <c r="U296" s="254">
        <f t="shared" si="0"/>
        <v>0.2710005301833105</v>
      </c>
      <c r="V296" s="254">
        <f t="shared" si="0"/>
        <v>0.26554295384414528</v>
      </c>
      <c r="W296" s="254">
        <f>SUM(W280,W283,W286)</f>
        <v>0.24599186233191472</v>
      </c>
      <c r="X296" s="254">
        <f>SUM(X280,X283,X286)</f>
        <v>0.2286743409838595</v>
      </c>
      <c r="Y296" s="254">
        <f>SUM(Y280,Y283,Y286)</f>
        <v>0.21387350323740159</v>
      </c>
      <c r="Z296" s="254">
        <f>SUM(Z280,Z283,Z286)</f>
        <v>0.20122360989561724</v>
      </c>
      <c r="AA296" s="254">
        <f>SUM(AA280,AA283,AA286)</f>
        <v>0.19041207312319264</v>
      </c>
      <c r="AB296" s="254">
        <f t="shared" ref="AB296:AG296" si="1">SUM(AB280,AB283,AB286)</f>
        <v>0.18117173217933752</v>
      </c>
      <c r="AC296" s="254">
        <f t="shared" si="1"/>
        <v>0.17327425168642252</v>
      </c>
      <c r="AD296" s="254">
        <f t="shared" si="1"/>
        <v>0.16652447930085978</v>
      </c>
      <c r="AE296" s="254">
        <f t="shared" si="1"/>
        <v>0.16075562336031524</v>
      </c>
      <c r="AF296" s="254">
        <f t="shared" si="1"/>
        <v>0.15582513134343784</v>
      </c>
      <c r="AG296" s="254">
        <f t="shared" si="1"/>
        <v>0.15161116729596735</v>
      </c>
    </row>
    <row r="297" spans="1:33" ht="15" customHeight="1" x14ac:dyDescent="0.25">
      <c r="A297" s="555">
        <v>2023</v>
      </c>
      <c r="B297" s="819">
        <v>0.16652447930085978</v>
      </c>
      <c r="C297" s="540">
        <v>0.52024808312847093</v>
      </c>
      <c r="D297" s="540">
        <v>0.31322743757066923</v>
      </c>
      <c r="E297" s="540">
        <v>1</v>
      </c>
      <c r="F297" s="540"/>
      <c r="G297" s="560">
        <v>3.9696005425881316E-2</v>
      </c>
      <c r="H297" s="540"/>
      <c r="I297" s="540"/>
      <c r="J297" s="540"/>
      <c r="K297" s="540"/>
      <c r="L297" s="540"/>
      <c r="M297" s="540"/>
      <c r="N297" s="117" t="s">
        <v>3028</v>
      </c>
      <c r="O297" s="582">
        <f t="shared" ref="O297:V297" si="2">SUM(O281:O282,O284:O285,O287)</f>
        <v>0.4426298975912768</v>
      </c>
      <c r="P297" s="582">
        <f t="shared" si="2"/>
        <v>0.47943623312606826</v>
      </c>
      <c r="Q297" s="582">
        <f t="shared" si="2"/>
        <v>0.51624256866085971</v>
      </c>
      <c r="R297" s="582">
        <f t="shared" si="2"/>
        <v>0.61631399357821182</v>
      </c>
      <c r="S297" s="582">
        <f t="shared" si="2"/>
        <v>0.64642301620003007</v>
      </c>
      <c r="T297" s="582">
        <f t="shared" si="2"/>
        <v>0.6718047468335121</v>
      </c>
      <c r="U297" s="582">
        <f t="shared" si="2"/>
        <v>0.7289994698166895</v>
      </c>
      <c r="V297" s="582">
        <f t="shared" si="2"/>
        <v>0.73445704615585461</v>
      </c>
      <c r="W297" s="582">
        <f>SUM(W281:W282,W284:W285,W287)</f>
        <v>0.75400813766808539</v>
      </c>
      <c r="X297" s="582">
        <f>SUM(X281:X282,X284:X285,X287)</f>
        <v>0.77132565901614059</v>
      </c>
      <c r="Y297" s="582">
        <f>SUM(Y281:Y282,Y284:Y285,Y287)</f>
        <v>0.78612649676259838</v>
      </c>
      <c r="Z297" s="582">
        <f>SUM(Z281:Z282,Z284:Z285,Z287)</f>
        <v>0.79877639010438273</v>
      </c>
      <c r="AA297" s="582">
        <f>SUM(AA281:AA282,AA284:AA285,AA287)</f>
        <v>0.80958792687680736</v>
      </c>
      <c r="AB297" s="582">
        <f t="shared" ref="AB297:AG297" si="3">SUM(AB281:AB282,AB284:AB285,AB287)</f>
        <v>0.81882826782066243</v>
      </c>
      <c r="AC297" s="582">
        <f t="shared" si="3"/>
        <v>0.82672574831357737</v>
      </c>
      <c r="AD297" s="582">
        <f t="shared" si="3"/>
        <v>0.8334755206991401</v>
      </c>
      <c r="AE297" s="582">
        <f t="shared" si="3"/>
        <v>0.83924437663968465</v>
      </c>
      <c r="AF297" s="582">
        <f t="shared" si="3"/>
        <v>0.84417486865656222</v>
      </c>
      <c r="AG297" s="582">
        <f t="shared" si="3"/>
        <v>0.84838883270403276</v>
      </c>
    </row>
    <row r="298" spans="1:33" ht="15" customHeight="1" x14ac:dyDescent="0.25">
      <c r="A298" s="555">
        <v>2024</v>
      </c>
      <c r="B298" s="819">
        <v>0.16075562336031524</v>
      </c>
      <c r="C298" s="540">
        <v>0.52384895222465644</v>
      </c>
      <c r="D298" s="540">
        <v>0.31539542441502832</v>
      </c>
      <c r="E298" s="540">
        <v>1</v>
      </c>
      <c r="F298" s="540"/>
      <c r="G298" s="560">
        <v>3.3927149485336754E-2</v>
      </c>
      <c r="H298" s="540"/>
      <c r="I298" s="540"/>
      <c r="J298" s="540"/>
      <c r="K298" s="540"/>
      <c r="L298" s="540"/>
      <c r="M298" s="540"/>
      <c r="N298" s="254" t="s">
        <v>3203</v>
      </c>
      <c r="O298" s="254">
        <f t="shared" ref="O298:V298" si="4">SUM(O280:O285)</f>
        <v>0.88769240947012995</v>
      </c>
      <c r="P298" s="254">
        <f t="shared" si="4"/>
        <v>0.88769240947012995</v>
      </c>
      <c r="Q298" s="254">
        <f t="shared" si="4"/>
        <v>0.88769240947012995</v>
      </c>
      <c r="R298" s="254">
        <f t="shared" si="4"/>
        <v>0.88769240947012995</v>
      </c>
      <c r="S298" s="254">
        <f t="shared" si="4"/>
        <v>0.88769240947012984</v>
      </c>
      <c r="T298" s="254">
        <f t="shared" si="4"/>
        <v>0.88769240947012995</v>
      </c>
      <c r="U298" s="254">
        <f t="shared" si="4"/>
        <v>0.88769240947012995</v>
      </c>
      <c r="V298" s="254">
        <f t="shared" si="4"/>
        <v>0.88769240947012995</v>
      </c>
      <c r="W298" s="254">
        <f>SUM(W280:W285)</f>
        <v>0.88769240947012995</v>
      </c>
      <c r="X298" s="254">
        <f>SUM(X280:X285)</f>
        <v>0.88769240947012995</v>
      </c>
      <c r="Y298" s="254">
        <f>SUM(Y280:Y285)</f>
        <v>0.88769240947012984</v>
      </c>
      <c r="Z298" s="254">
        <f>SUM(Z280:Z285)</f>
        <v>0.88769240947012995</v>
      </c>
      <c r="AA298" s="254">
        <f>SUM(AA280:AA285)</f>
        <v>0.88769240947012984</v>
      </c>
      <c r="AB298" s="254">
        <f t="shared" ref="AB298:AG298" si="5">SUM(AB280:AB285)</f>
        <v>0.88769240947012984</v>
      </c>
      <c r="AC298" s="254">
        <f t="shared" si="5"/>
        <v>0.88769240947012973</v>
      </c>
      <c r="AD298" s="254">
        <f t="shared" si="5"/>
        <v>0.88769240947012995</v>
      </c>
      <c r="AE298" s="254">
        <f t="shared" si="5"/>
        <v>0.88769240947012995</v>
      </c>
      <c r="AF298" s="254">
        <f t="shared" si="5"/>
        <v>0.88769240947012995</v>
      </c>
      <c r="AG298" s="254">
        <f t="shared" si="5"/>
        <v>0.88769240947012995</v>
      </c>
    </row>
    <row r="299" spans="1:33" ht="15" customHeight="1" x14ac:dyDescent="0.25">
      <c r="A299" s="555">
        <v>2025</v>
      </c>
      <c r="B299" s="819">
        <v>0.15582513134343784</v>
      </c>
      <c r="C299" s="540">
        <v>0.5269265219396122</v>
      </c>
      <c r="D299" s="540">
        <v>0.31724834671694996</v>
      </c>
      <c r="E299" s="540">
        <v>1</v>
      </c>
      <c r="F299" s="540"/>
      <c r="G299" s="560">
        <v>2.8996657468459378E-2</v>
      </c>
      <c r="H299" s="540"/>
      <c r="I299" s="540"/>
      <c r="J299" s="540"/>
      <c r="K299" s="540"/>
      <c r="L299" s="540"/>
      <c r="M299" s="540"/>
      <c r="N299" s="117" t="s">
        <v>15</v>
      </c>
      <c r="O299" s="582">
        <f t="shared" ref="O299:V299" si="6">SUM(O286:O287)</f>
        <v>0.11230759052987009</v>
      </c>
      <c r="P299" s="582">
        <f t="shared" si="6"/>
        <v>0.11230759052987009</v>
      </c>
      <c r="Q299" s="582">
        <f t="shared" si="6"/>
        <v>0.11230759052987009</v>
      </c>
      <c r="R299" s="582">
        <f t="shared" si="6"/>
        <v>0.11230759052987009</v>
      </c>
      <c r="S299" s="582">
        <f t="shared" si="6"/>
        <v>0.1123075905298701</v>
      </c>
      <c r="T299" s="582">
        <f t="shared" si="6"/>
        <v>0.11230759052987009</v>
      </c>
      <c r="U299" s="582">
        <f t="shared" si="6"/>
        <v>0.1123075905298701</v>
      </c>
      <c r="V299" s="582">
        <f t="shared" si="6"/>
        <v>0.11230759052987009</v>
      </c>
      <c r="W299" s="582">
        <f>SUM(W286:W287)</f>
        <v>0.11230759052987009</v>
      </c>
      <c r="X299" s="582">
        <f>SUM(X286:X287)</f>
        <v>0.11230759052987009</v>
      </c>
      <c r="Y299" s="582">
        <f>SUM(Y286:Y287)</f>
        <v>0.11230759052987009</v>
      </c>
      <c r="Z299" s="582">
        <f>SUM(Z286:Z287)</f>
        <v>0.11230759052987008</v>
      </c>
      <c r="AA299" s="582">
        <f>SUM(AA286:AA287)</f>
        <v>0.11230759052987009</v>
      </c>
      <c r="AB299" s="582">
        <f t="shared" ref="AB299:AG299" si="7">SUM(AB286:AB287)</f>
        <v>0.11230759052987009</v>
      </c>
      <c r="AC299" s="582">
        <f t="shared" si="7"/>
        <v>0.11230759052987009</v>
      </c>
      <c r="AD299" s="582">
        <f t="shared" si="7"/>
        <v>0.11230759052987009</v>
      </c>
      <c r="AE299" s="582">
        <f t="shared" si="7"/>
        <v>0.11230759052987009</v>
      </c>
      <c r="AF299" s="582">
        <f t="shared" si="7"/>
        <v>0.11230759052987009</v>
      </c>
      <c r="AG299" s="582">
        <f t="shared" si="7"/>
        <v>0.11230759052987009</v>
      </c>
    </row>
    <row r="300" spans="1:33" ht="15" customHeight="1" x14ac:dyDescent="0.25">
      <c r="A300" s="555">
        <v>2026</v>
      </c>
      <c r="B300" s="819">
        <v>0.15161116729596735</v>
      </c>
      <c r="C300" s="540">
        <v>0.529556841203494</v>
      </c>
      <c r="D300" s="540">
        <v>0.3188319915005387</v>
      </c>
      <c r="E300" s="540">
        <v>1</v>
      </c>
      <c r="F300" s="540"/>
      <c r="G300" s="560">
        <v>2.478269342098887E-2</v>
      </c>
      <c r="H300" s="540"/>
      <c r="I300" s="540"/>
      <c r="J300" s="540"/>
      <c r="K300" s="540"/>
      <c r="L300" s="540"/>
      <c r="M300" s="540"/>
      <c r="N300" s="538"/>
    </row>
    <row r="302" spans="1:33" ht="15" customHeight="1" x14ac:dyDescent="0.25">
      <c r="A302" s="948" t="s">
        <v>3149</v>
      </c>
      <c r="B302" s="948"/>
      <c r="C302" s="948"/>
      <c r="D302" s="948"/>
      <c r="E302" s="948"/>
      <c r="F302" s="948"/>
      <c r="G302" s="948"/>
      <c r="H302" s="948"/>
      <c r="I302" s="948"/>
      <c r="J302" s="948"/>
      <c r="K302" s="948"/>
      <c r="L302" s="948"/>
      <c r="M302" s="948"/>
      <c r="N302" s="948"/>
      <c r="O302" s="948"/>
      <c r="P302" s="948"/>
      <c r="Q302" s="948"/>
      <c r="R302" s="948"/>
    </row>
    <row r="303" spans="1:33" ht="15" customHeight="1" x14ac:dyDescent="0.25">
      <c r="A303" s="564"/>
      <c r="B303" s="949" t="s">
        <v>3150</v>
      </c>
      <c r="C303" s="949"/>
      <c r="D303" s="949"/>
      <c r="E303" s="949"/>
      <c r="F303" s="949"/>
      <c r="G303" s="949"/>
      <c r="H303"/>
      <c r="I303"/>
      <c r="J303"/>
      <c r="K303"/>
      <c r="L303"/>
      <c r="M303" s="949" t="s">
        <v>3151</v>
      </c>
      <c r="N303" s="949"/>
      <c r="O303" s="949"/>
      <c r="P303" s="949"/>
      <c r="Q303" s="949"/>
      <c r="R303" s="949"/>
      <c r="S303" s="296" t="s">
        <v>2977</v>
      </c>
    </row>
    <row r="304" spans="1:33" ht="15" customHeight="1" x14ac:dyDescent="0.25">
      <c r="A304" s="302" t="s">
        <v>3036</v>
      </c>
      <c r="B304" s="44" t="s">
        <v>3152</v>
      </c>
      <c r="C304" s="44" t="s">
        <v>3153</v>
      </c>
      <c r="D304" s="44" t="s">
        <v>3154</v>
      </c>
      <c r="E304" s="44" t="s">
        <v>3155</v>
      </c>
      <c r="F304" s="44" t="s">
        <v>3156</v>
      </c>
      <c r="G304" s="565" t="s">
        <v>3157</v>
      </c>
      <c r="H304" s="44" t="s">
        <v>2210</v>
      </c>
      <c r="I304" s="44" t="s">
        <v>3044</v>
      </c>
      <c r="J304" s="44" t="s">
        <v>2223</v>
      </c>
      <c r="K304" s="44" t="s">
        <v>3045</v>
      </c>
      <c r="L304" s="44" t="s">
        <v>2462</v>
      </c>
      <c r="M304" s="44" t="s">
        <v>3152</v>
      </c>
      <c r="N304" s="44" t="s">
        <v>3153</v>
      </c>
      <c r="O304" s="44" t="s">
        <v>3154</v>
      </c>
      <c r="P304" s="44" t="s">
        <v>3155</v>
      </c>
      <c r="Q304" s="44" t="s">
        <v>3156</v>
      </c>
      <c r="R304" s="565" t="s">
        <v>3157</v>
      </c>
      <c r="S304" s="302" t="s">
        <v>2972</v>
      </c>
    </row>
    <row r="305" spans="1:19" ht="15" customHeight="1" x14ac:dyDescent="0.25">
      <c r="A305" s="21" t="s">
        <v>3047</v>
      </c>
      <c r="B305" s="524">
        <v>0.28886647848116381</v>
      </c>
      <c r="C305" s="524">
        <v>5.9012032227971885E-3</v>
      </c>
      <c r="D305" s="524">
        <v>1.4617784677224615E-2</v>
      </c>
      <c r="E305" s="524">
        <v>0.60893132387784821</v>
      </c>
      <c r="F305" s="524">
        <v>5.9031120397414656E-2</v>
      </c>
      <c r="G305" s="524">
        <v>0.97734791065644855</v>
      </c>
      <c r="H305" s="524">
        <v>3.6403776250211206E-3</v>
      </c>
      <c r="I305" s="524">
        <v>3.4856288053626496E-3</v>
      </c>
      <c r="J305" s="524">
        <v>1.4534208502658304E-2</v>
      </c>
      <c r="K305" s="524">
        <v>9.9187441050948015E-4</v>
      </c>
      <c r="L305" s="524">
        <v>1</v>
      </c>
      <c r="M305" s="566">
        <v>0.29556156546868029</v>
      </c>
      <c r="N305" s="566">
        <v>6.0379759944783305E-3</v>
      </c>
      <c r="O305" s="566">
        <v>1.4956582520759048E-2</v>
      </c>
      <c r="P305" s="566">
        <v>0.62304458549346209</v>
      </c>
      <c r="Q305" s="566">
        <v>6.0399290522620171E-2</v>
      </c>
      <c r="R305" s="567">
        <v>0.99999999999999989</v>
      </c>
      <c r="S305" s="303">
        <v>1</v>
      </c>
    </row>
    <row r="306" spans="1:19" ht="15" customHeight="1" x14ac:dyDescent="0.25">
      <c r="A306" s="21" t="s">
        <v>3048</v>
      </c>
      <c r="B306" s="524">
        <v>0.28886647848116381</v>
      </c>
      <c r="C306" s="524">
        <v>5.9012032227971885E-3</v>
      </c>
      <c r="D306" s="524">
        <v>1.4617784677224615E-2</v>
      </c>
      <c r="E306" s="524">
        <v>0.60893132387784821</v>
      </c>
      <c r="F306" s="524">
        <v>5.9031120397414656E-2</v>
      </c>
      <c r="G306" s="524">
        <v>0.97734791065644855</v>
      </c>
      <c r="H306" s="524">
        <v>3.6403776250211206E-3</v>
      </c>
      <c r="I306" s="524">
        <v>3.4856288053626496E-3</v>
      </c>
      <c r="J306" s="524">
        <v>1.4534208502658304E-2</v>
      </c>
      <c r="K306" s="524">
        <v>9.9187441050948015E-4</v>
      </c>
      <c r="L306" s="524">
        <v>1</v>
      </c>
      <c r="M306" s="566">
        <v>0.29556156546868029</v>
      </c>
      <c r="N306" s="566">
        <v>6.0379759944783305E-3</v>
      </c>
      <c r="O306" s="566">
        <v>1.4956582520759048E-2</v>
      </c>
      <c r="P306" s="566">
        <v>0.62304458549346209</v>
      </c>
      <c r="Q306" s="566">
        <v>6.0399290522620171E-2</v>
      </c>
      <c r="R306" s="567">
        <v>0.99999999999999989</v>
      </c>
      <c r="S306" s="303">
        <v>3</v>
      </c>
    </row>
    <row r="307" spans="1:19" ht="15" customHeight="1" x14ac:dyDescent="0.25">
      <c r="A307" s="21" t="s">
        <v>3049</v>
      </c>
      <c r="B307" s="524">
        <v>0.28886647848116381</v>
      </c>
      <c r="C307" s="524">
        <v>5.9012032227971885E-3</v>
      </c>
      <c r="D307" s="524">
        <v>1.4617784677224615E-2</v>
      </c>
      <c r="E307" s="524">
        <v>0.60893132387784821</v>
      </c>
      <c r="F307" s="524">
        <v>5.9031120397414656E-2</v>
      </c>
      <c r="G307" s="524">
        <v>0.97734791065644855</v>
      </c>
      <c r="H307" s="524">
        <v>3.6403776250211206E-3</v>
      </c>
      <c r="I307" s="524">
        <v>3.4856288053626496E-3</v>
      </c>
      <c r="J307" s="524">
        <v>1.4534208502658304E-2</v>
      </c>
      <c r="K307" s="524">
        <v>9.9187441050948015E-4</v>
      </c>
      <c r="L307" s="524">
        <v>1</v>
      </c>
      <c r="M307" s="566">
        <v>0.29556156546868029</v>
      </c>
      <c r="N307" s="566">
        <v>6.0379759944783305E-3</v>
      </c>
      <c r="O307" s="566">
        <v>1.4956582520759048E-2</v>
      </c>
      <c r="P307" s="566">
        <v>0.62304458549346209</v>
      </c>
      <c r="Q307" s="566">
        <v>6.0399290522620171E-2</v>
      </c>
      <c r="R307" s="567">
        <v>0.99999999999999989</v>
      </c>
      <c r="S307" s="303">
        <v>1</v>
      </c>
    </row>
    <row r="308" spans="1:19" ht="15" customHeight="1" x14ac:dyDescent="0.25">
      <c r="A308" s="21" t="s">
        <v>3050</v>
      </c>
      <c r="B308" s="524">
        <v>0.28886647848116381</v>
      </c>
      <c r="C308" s="524">
        <v>5.9012032227971885E-3</v>
      </c>
      <c r="D308" s="524">
        <v>1.4617784677224615E-2</v>
      </c>
      <c r="E308" s="524">
        <v>0.60893132387784821</v>
      </c>
      <c r="F308" s="524">
        <v>5.9031120397414656E-2</v>
      </c>
      <c r="G308" s="524">
        <v>0.97734791065644855</v>
      </c>
      <c r="H308" s="524">
        <v>3.6403776250211206E-3</v>
      </c>
      <c r="I308" s="524">
        <v>3.4856288053626496E-3</v>
      </c>
      <c r="J308" s="524">
        <v>1.4534208502658304E-2</v>
      </c>
      <c r="K308" s="524">
        <v>9.9187441050948015E-4</v>
      </c>
      <c r="L308" s="524">
        <v>1</v>
      </c>
      <c r="M308" s="566">
        <v>0.29556156546868029</v>
      </c>
      <c r="N308" s="566">
        <v>6.0379759944783305E-3</v>
      </c>
      <c r="O308" s="566">
        <v>1.4956582520759048E-2</v>
      </c>
      <c r="P308" s="566">
        <v>0.62304458549346209</v>
      </c>
      <c r="Q308" s="566">
        <v>6.0399290522620171E-2</v>
      </c>
      <c r="R308" s="567">
        <v>0.99999999999999989</v>
      </c>
      <c r="S308" s="303">
        <v>1</v>
      </c>
    </row>
    <row r="309" spans="1:19" ht="15" customHeight="1" x14ac:dyDescent="0.25">
      <c r="A309" s="21" t="s">
        <v>3051</v>
      </c>
      <c r="B309" s="524">
        <v>0.28886647848116381</v>
      </c>
      <c r="C309" s="524">
        <v>5.9012032227971885E-3</v>
      </c>
      <c r="D309" s="524">
        <v>1.4617784677224615E-2</v>
      </c>
      <c r="E309" s="524">
        <v>0.60893132387784821</v>
      </c>
      <c r="F309" s="524">
        <v>5.9031120397414656E-2</v>
      </c>
      <c r="G309" s="524">
        <v>0.97734791065644855</v>
      </c>
      <c r="H309" s="524">
        <v>3.6403776250211206E-3</v>
      </c>
      <c r="I309" s="524">
        <v>3.4856288053626496E-3</v>
      </c>
      <c r="J309" s="524">
        <v>1.4534208502658304E-2</v>
      </c>
      <c r="K309" s="524">
        <v>9.9187441050948015E-4</v>
      </c>
      <c r="L309" s="524">
        <v>1</v>
      </c>
      <c r="M309" s="566">
        <v>0.29556156546868029</v>
      </c>
      <c r="N309" s="566">
        <v>6.0379759944783305E-3</v>
      </c>
      <c r="O309" s="566">
        <v>1.4956582520759048E-2</v>
      </c>
      <c r="P309" s="566">
        <v>0.62304458549346209</v>
      </c>
      <c r="Q309" s="566">
        <v>6.0399290522620171E-2</v>
      </c>
      <c r="R309" s="567">
        <v>0.99999999999999989</v>
      </c>
      <c r="S309" s="303">
        <v>3</v>
      </c>
    </row>
    <row r="310" spans="1:19" ht="15" customHeight="1" x14ac:dyDescent="0.25">
      <c r="A310" s="21" t="s">
        <v>3052</v>
      </c>
      <c r="B310" s="524">
        <v>0.28886647848116381</v>
      </c>
      <c r="C310" s="524">
        <v>5.9012032227971885E-3</v>
      </c>
      <c r="D310" s="524">
        <v>1.4617784677224615E-2</v>
      </c>
      <c r="E310" s="524">
        <v>0.60893132387784821</v>
      </c>
      <c r="F310" s="524">
        <v>5.9031120397414656E-2</v>
      </c>
      <c r="G310" s="524">
        <v>0.97734791065644855</v>
      </c>
      <c r="H310" s="524">
        <v>3.6403776250211206E-3</v>
      </c>
      <c r="I310" s="524">
        <v>3.4856288053626496E-3</v>
      </c>
      <c r="J310" s="524">
        <v>1.4534208502658304E-2</v>
      </c>
      <c r="K310" s="524">
        <v>9.9187441050948015E-4</v>
      </c>
      <c r="L310" s="524">
        <v>1</v>
      </c>
      <c r="M310" s="566">
        <v>0.29556156546868029</v>
      </c>
      <c r="N310" s="566">
        <v>6.0379759944783305E-3</v>
      </c>
      <c r="O310" s="566">
        <v>1.4956582520759048E-2</v>
      </c>
      <c r="P310" s="566">
        <v>0.62304458549346209</v>
      </c>
      <c r="Q310" s="566">
        <v>6.0399290522620171E-2</v>
      </c>
      <c r="R310" s="567">
        <v>0.99999999999999989</v>
      </c>
      <c r="S310" s="303">
        <v>1</v>
      </c>
    </row>
    <row r="311" spans="1:19" ht="15" customHeight="1" x14ac:dyDescent="0.25">
      <c r="A311" s="21" t="s">
        <v>3053</v>
      </c>
      <c r="B311" s="524">
        <v>0.28886647848116381</v>
      </c>
      <c r="C311" s="524">
        <v>5.9012032227971885E-3</v>
      </c>
      <c r="D311" s="524">
        <v>1.4617784677224615E-2</v>
      </c>
      <c r="E311" s="524">
        <v>0.60893132387784821</v>
      </c>
      <c r="F311" s="524">
        <v>5.9031120397414656E-2</v>
      </c>
      <c r="G311" s="524">
        <v>0.97734791065644855</v>
      </c>
      <c r="H311" s="524">
        <v>3.6403776250211206E-3</v>
      </c>
      <c r="I311" s="524">
        <v>3.4856288053626496E-3</v>
      </c>
      <c r="J311" s="524">
        <v>1.4534208502658304E-2</v>
      </c>
      <c r="K311" s="524">
        <v>9.9187441050948015E-4</v>
      </c>
      <c r="L311" s="524">
        <v>1</v>
      </c>
      <c r="M311" s="566">
        <v>0.29556156546868029</v>
      </c>
      <c r="N311" s="566">
        <v>6.0379759944783305E-3</v>
      </c>
      <c r="O311" s="566">
        <v>1.4956582520759048E-2</v>
      </c>
      <c r="P311" s="566">
        <v>0.62304458549346209</v>
      </c>
      <c r="Q311" s="566">
        <v>6.0399290522620171E-2</v>
      </c>
      <c r="R311" s="567">
        <v>0.99999999999999989</v>
      </c>
      <c r="S311" s="303">
        <v>5</v>
      </c>
    </row>
    <row r="312" spans="1:19" ht="15" customHeight="1" x14ac:dyDescent="0.25">
      <c r="A312" s="21" t="s">
        <v>3054</v>
      </c>
      <c r="B312" s="524">
        <v>0.28886647848116381</v>
      </c>
      <c r="C312" s="524">
        <v>5.9012032227971885E-3</v>
      </c>
      <c r="D312" s="524">
        <v>1.4617784677224615E-2</v>
      </c>
      <c r="E312" s="524">
        <v>0.60893132387784821</v>
      </c>
      <c r="F312" s="524">
        <v>5.9031120397414656E-2</v>
      </c>
      <c r="G312" s="524">
        <v>0.97734791065644855</v>
      </c>
      <c r="H312" s="524">
        <v>3.6403776250211206E-3</v>
      </c>
      <c r="I312" s="524">
        <v>3.4856288053626496E-3</v>
      </c>
      <c r="J312" s="524">
        <v>1.4534208502658304E-2</v>
      </c>
      <c r="K312" s="524">
        <v>9.9187441050948015E-4</v>
      </c>
      <c r="L312" s="524">
        <v>1</v>
      </c>
      <c r="M312" s="566">
        <v>0.29556156546868029</v>
      </c>
      <c r="N312" s="566">
        <v>6.0379759944783305E-3</v>
      </c>
      <c r="O312" s="566">
        <v>1.4956582520759048E-2</v>
      </c>
      <c r="P312" s="566">
        <v>0.62304458549346209</v>
      </c>
      <c r="Q312" s="566">
        <v>6.0399290522620171E-2</v>
      </c>
      <c r="R312" s="567">
        <v>0.99999999999999989</v>
      </c>
      <c r="S312" s="303">
        <v>4</v>
      </c>
    </row>
    <row r="313" spans="1:19" ht="15" customHeight="1" x14ac:dyDescent="0.25">
      <c r="A313" s="21" t="s">
        <v>3055</v>
      </c>
      <c r="B313" s="524">
        <v>0.28886647848116381</v>
      </c>
      <c r="C313" s="524">
        <v>5.9012032227971885E-3</v>
      </c>
      <c r="D313" s="524">
        <v>1.4617784677224615E-2</v>
      </c>
      <c r="E313" s="524">
        <v>0.60893132387784821</v>
      </c>
      <c r="F313" s="524">
        <v>5.9031120397414656E-2</v>
      </c>
      <c r="G313" s="524">
        <v>0.97734791065644855</v>
      </c>
      <c r="H313" s="524">
        <v>3.6403776250211206E-3</v>
      </c>
      <c r="I313" s="524">
        <v>3.4856288053626496E-3</v>
      </c>
      <c r="J313" s="524">
        <v>1.4534208502658304E-2</v>
      </c>
      <c r="K313" s="524">
        <v>9.9187441050948015E-4</v>
      </c>
      <c r="L313" s="524">
        <v>1</v>
      </c>
      <c r="M313" s="566">
        <v>0.29556156546868029</v>
      </c>
      <c r="N313" s="566">
        <v>6.0379759944783305E-3</v>
      </c>
      <c r="O313" s="566">
        <v>1.4956582520759048E-2</v>
      </c>
      <c r="P313" s="566">
        <v>0.62304458549346209</v>
      </c>
      <c r="Q313" s="566">
        <v>6.0399290522620171E-2</v>
      </c>
      <c r="R313" s="567">
        <v>0.99999999999999989</v>
      </c>
      <c r="S313" s="303">
        <v>15</v>
      </c>
    </row>
    <row r="314" spans="1:19" ht="15" customHeight="1" x14ac:dyDescent="0.25">
      <c r="A314" s="21" t="s">
        <v>3056</v>
      </c>
      <c r="B314" s="524">
        <v>0.28886647848116381</v>
      </c>
      <c r="C314" s="524">
        <v>5.9012032227971885E-3</v>
      </c>
      <c r="D314" s="524">
        <v>1.4617784677224615E-2</v>
      </c>
      <c r="E314" s="524">
        <v>0.60893132387784821</v>
      </c>
      <c r="F314" s="524">
        <v>5.9031120397414656E-2</v>
      </c>
      <c r="G314" s="524">
        <v>0.97734791065644855</v>
      </c>
      <c r="H314" s="524">
        <v>3.6403776250211206E-3</v>
      </c>
      <c r="I314" s="524">
        <v>3.4856288053626496E-3</v>
      </c>
      <c r="J314" s="524">
        <v>1.4534208502658304E-2</v>
      </c>
      <c r="K314" s="524">
        <v>9.9187441050948015E-4</v>
      </c>
      <c r="L314" s="524">
        <v>1</v>
      </c>
      <c r="M314" s="566">
        <v>0.29556156546868029</v>
      </c>
      <c r="N314" s="566">
        <v>6.0379759944783305E-3</v>
      </c>
      <c r="O314" s="566">
        <v>1.4956582520759048E-2</v>
      </c>
      <c r="P314" s="566">
        <v>0.62304458549346209</v>
      </c>
      <c r="Q314" s="566">
        <v>6.0399290522620171E-2</v>
      </c>
      <c r="R314" s="567">
        <v>0.99999999999999989</v>
      </c>
      <c r="S314" s="303">
        <v>1</v>
      </c>
    </row>
    <row r="315" spans="1:19" ht="15" customHeight="1" x14ac:dyDescent="0.25">
      <c r="A315" s="21" t="s">
        <v>3057</v>
      </c>
      <c r="B315" s="524">
        <v>0.28886647848116381</v>
      </c>
      <c r="C315" s="524">
        <v>5.9012032227971885E-3</v>
      </c>
      <c r="D315" s="524">
        <v>1.4617784677224615E-2</v>
      </c>
      <c r="E315" s="524">
        <v>0.60893132387784821</v>
      </c>
      <c r="F315" s="524">
        <v>5.9031120397414656E-2</v>
      </c>
      <c r="G315" s="524">
        <v>0.97734791065644855</v>
      </c>
      <c r="H315" s="524">
        <v>3.6403776250211206E-3</v>
      </c>
      <c r="I315" s="524">
        <v>3.4856288053626496E-3</v>
      </c>
      <c r="J315" s="524">
        <v>1.4534208502658304E-2</v>
      </c>
      <c r="K315" s="524">
        <v>9.9187441050948015E-4</v>
      </c>
      <c r="L315" s="524">
        <v>1</v>
      </c>
      <c r="M315" s="566">
        <v>0.29556156546868029</v>
      </c>
      <c r="N315" s="566">
        <v>6.0379759944783305E-3</v>
      </c>
      <c r="O315" s="566">
        <v>1.4956582520759048E-2</v>
      </c>
      <c r="P315" s="566">
        <v>0.62304458549346209</v>
      </c>
      <c r="Q315" s="566">
        <v>6.0399290522620171E-2</v>
      </c>
      <c r="R315" s="567">
        <v>0.99999999999999989</v>
      </c>
      <c r="S315" s="303">
        <v>3</v>
      </c>
    </row>
    <row r="316" spans="1:19" ht="15" customHeight="1" x14ac:dyDescent="0.25">
      <c r="A316" s="21" t="s">
        <v>3058</v>
      </c>
      <c r="B316" s="524">
        <v>0.39737330962916739</v>
      </c>
      <c r="C316" s="524">
        <v>7.2838731540447775E-3</v>
      </c>
      <c r="D316" s="524">
        <v>6.8624234472745987E-3</v>
      </c>
      <c r="E316" s="524">
        <v>0.49318147581197469</v>
      </c>
      <c r="F316" s="524">
        <v>7.6018998400675414E-2</v>
      </c>
      <c r="G316" s="524">
        <v>0.98072008044313685</v>
      </c>
      <c r="H316" s="524">
        <v>3.2177353820391711E-4</v>
      </c>
      <c r="I316" s="524">
        <v>1.933091087235048E-3</v>
      </c>
      <c r="J316" s="524">
        <v>0</v>
      </c>
      <c r="K316" s="524">
        <v>1.7025054931424186E-2</v>
      </c>
      <c r="L316" s="524">
        <v>1</v>
      </c>
      <c r="M316" s="566">
        <v>0.40518524862834959</v>
      </c>
      <c r="N316" s="566">
        <v>7.4270663967169618E-3</v>
      </c>
      <c r="O316" s="566">
        <v>6.997331434443377E-3</v>
      </c>
      <c r="P316" s="566">
        <v>0.50287690203011992</v>
      </c>
      <c r="Q316" s="566">
        <v>7.751345151037016E-2</v>
      </c>
      <c r="R316" s="567">
        <v>1</v>
      </c>
      <c r="S316" s="303">
        <v>67</v>
      </c>
    </row>
    <row r="317" spans="1:19" ht="15" customHeight="1" x14ac:dyDescent="0.25">
      <c r="A317" s="21" t="s">
        <v>3059</v>
      </c>
      <c r="B317" s="524">
        <v>0.28886647848116381</v>
      </c>
      <c r="C317" s="524">
        <v>5.9012032227971885E-3</v>
      </c>
      <c r="D317" s="524">
        <v>1.4617784677224615E-2</v>
      </c>
      <c r="E317" s="524">
        <v>0.60893132387784821</v>
      </c>
      <c r="F317" s="524">
        <v>5.9031120397414656E-2</v>
      </c>
      <c r="G317" s="524">
        <v>0.97734791065644855</v>
      </c>
      <c r="H317" s="524">
        <v>3.6403776250211206E-3</v>
      </c>
      <c r="I317" s="524">
        <v>3.4856288053626496E-3</v>
      </c>
      <c r="J317" s="524">
        <v>1.4534208502658304E-2</v>
      </c>
      <c r="K317" s="524">
        <v>9.9187441050948015E-4</v>
      </c>
      <c r="L317" s="524">
        <v>1</v>
      </c>
      <c r="M317" s="566">
        <v>0.29556156546868029</v>
      </c>
      <c r="N317" s="566">
        <v>6.0379759944783305E-3</v>
      </c>
      <c r="O317" s="566">
        <v>1.4956582520759048E-2</v>
      </c>
      <c r="P317" s="566">
        <v>0.62304458549346209</v>
      </c>
      <c r="Q317" s="566">
        <v>6.0399290522620171E-2</v>
      </c>
      <c r="R317" s="567">
        <v>0.99999999999999989</v>
      </c>
      <c r="S317" s="303">
        <v>28</v>
      </c>
    </row>
    <row r="318" spans="1:19" ht="15" customHeight="1" x14ac:dyDescent="0.25">
      <c r="A318" s="21" t="s">
        <v>3060</v>
      </c>
      <c r="B318" s="524">
        <v>0.28886647848116381</v>
      </c>
      <c r="C318" s="524">
        <v>5.9012032227971885E-3</v>
      </c>
      <c r="D318" s="524">
        <v>1.4617784677224615E-2</v>
      </c>
      <c r="E318" s="524">
        <v>0.60893132387784821</v>
      </c>
      <c r="F318" s="524">
        <v>5.9031120397414656E-2</v>
      </c>
      <c r="G318" s="524">
        <v>0.97734791065644855</v>
      </c>
      <c r="H318" s="524">
        <v>3.6403776250211206E-3</v>
      </c>
      <c r="I318" s="524">
        <v>3.4856288053626496E-3</v>
      </c>
      <c r="J318" s="524">
        <v>1.4534208502658304E-2</v>
      </c>
      <c r="K318" s="524">
        <v>9.9187441050948015E-4</v>
      </c>
      <c r="L318" s="524">
        <v>1</v>
      </c>
      <c r="M318" s="566">
        <v>0.29556156546868029</v>
      </c>
      <c r="N318" s="566">
        <v>6.0379759944783305E-3</v>
      </c>
      <c r="O318" s="566">
        <v>1.4956582520759048E-2</v>
      </c>
      <c r="P318" s="566">
        <v>0.62304458549346209</v>
      </c>
      <c r="Q318" s="566">
        <v>6.0399290522620171E-2</v>
      </c>
      <c r="R318" s="567">
        <v>0.99999999999999989</v>
      </c>
      <c r="S318" s="303">
        <v>12</v>
      </c>
    </row>
    <row r="319" spans="1:19" ht="15" customHeight="1" x14ac:dyDescent="0.25">
      <c r="A319" s="21" t="s">
        <v>3061</v>
      </c>
      <c r="B319" s="524">
        <v>0.28886647848116381</v>
      </c>
      <c r="C319" s="524">
        <v>5.9012032227971885E-3</v>
      </c>
      <c r="D319" s="524">
        <v>1.4617784677224615E-2</v>
      </c>
      <c r="E319" s="524">
        <v>0.60893132387784821</v>
      </c>
      <c r="F319" s="524">
        <v>5.9031120397414656E-2</v>
      </c>
      <c r="G319" s="524">
        <v>0.97734791065644855</v>
      </c>
      <c r="H319" s="524">
        <v>3.6403776250211206E-3</v>
      </c>
      <c r="I319" s="524">
        <v>3.4856288053626496E-3</v>
      </c>
      <c r="J319" s="524">
        <v>1.4534208502658304E-2</v>
      </c>
      <c r="K319" s="524">
        <v>9.9187441050948015E-4</v>
      </c>
      <c r="L319" s="524">
        <v>1</v>
      </c>
      <c r="M319" s="566">
        <v>0.29556156546868029</v>
      </c>
      <c r="N319" s="566">
        <v>6.0379759944783305E-3</v>
      </c>
      <c r="O319" s="566">
        <v>1.4956582520759048E-2</v>
      </c>
      <c r="P319" s="566">
        <v>0.62304458549346209</v>
      </c>
      <c r="Q319" s="566">
        <v>6.0399290522620171E-2</v>
      </c>
      <c r="R319" s="567">
        <v>0.99999999999999989</v>
      </c>
      <c r="S319" s="303">
        <v>1</v>
      </c>
    </row>
    <row r="320" spans="1:19" ht="15" customHeight="1" x14ac:dyDescent="0.25">
      <c r="A320" s="21" t="s">
        <v>3062</v>
      </c>
      <c r="B320" s="524">
        <v>0.28886647848116381</v>
      </c>
      <c r="C320" s="524">
        <v>5.9012032227971885E-3</v>
      </c>
      <c r="D320" s="524">
        <v>1.4617784677224615E-2</v>
      </c>
      <c r="E320" s="524">
        <v>0.60893132387784821</v>
      </c>
      <c r="F320" s="524">
        <v>5.9031120397414656E-2</v>
      </c>
      <c r="G320" s="524">
        <v>0.97734791065644855</v>
      </c>
      <c r="H320" s="524">
        <v>3.6403776250211206E-3</v>
      </c>
      <c r="I320" s="524">
        <v>3.4856288053626496E-3</v>
      </c>
      <c r="J320" s="524">
        <v>1.4534208502658304E-2</v>
      </c>
      <c r="K320" s="524">
        <v>9.9187441050948015E-4</v>
      </c>
      <c r="L320" s="524">
        <v>1</v>
      </c>
      <c r="M320" s="566">
        <v>0.29556156546868029</v>
      </c>
      <c r="N320" s="566">
        <v>6.0379759944783305E-3</v>
      </c>
      <c r="O320" s="566">
        <v>1.4956582520759048E-2</v>
      </c>
      <c r="P320" s="566">
        <v>0.62304458549346209</v>
      </c>
      <c r="Q320" s="566">
        <v>6.0399290522620171E-2</v>
      </c>
      <c r="R320" s="567">
        <v>0.99999999999999989</v>
      </c>
      <c r="S320" s="303">
        <v>15</v>
      </c>
    </row>
    <row r="321" spans="1:19" ht="15" customHeight="1" x14ac:dyDescent="0.25">
      <c r="A321" s="21" t="s">
        <v>3063</v>
      </c>
      <c r="B321" s="524">
        <v>0.28886647848116381</v>
      </c>
      <c r="C321" s="524">
        <v>5.9012032227971885E-3</v>
      </c>
      <c r="D321" s="524">
        <v>1.4617784677224615E-2</v>
      </c>
      <c r="E321" s="524">
        <v>0.60893132387784821</v>
      </c>
      <c r="F321" s="524">
        <v>5.9031120397414656E-2</v>
      </c>
      <c r="G321" s="524">
        <v>0.97734791065644855</v>
      </c>
      <c r="H321" s="524">
        <v>3.6403776250211206E-3</v>
      </c>
      <c r="I321" s="524">
        <v>3.4856288053626496E-3</v>
      </c>
      <c r="J321" s="524">
        <v>1.4534208502658304E-2</v>
      </c>
      <c r="K321" s="524">
        <v>9.9187441050948015E-4</v>
      </c>
      <c r="L321" s="524">
        <v>1</v>
      </c>
      <c r="M321" s="566">
        <v>0.29556156546868029</v>
      </c>
      <c r="N321" s="566">
        <v>6.0379759944783305E-3</v>
      </c>
      <c r="O321" s="566">
        <v>1.4956582520759048E-2</v>
      </c>
      <c r="P321" s="566">
        <v>0.62304458549346209</v>
      </c>
      <c r="Q321" s="566">
        <v>6.0399290522620171E-2</v>
      </c>
      <c r="R321" s="567">
        <v>0.99999999999999989</v>
      </c>
      <c r="S321" s="303">
        <v>2</v>
      </c>
    </row>
    <row r="322" spans="1:19" ht="15" customHeight="1" x14ac:dyDescent="0.25">
      <c r="A322" s="21" t="s">
        <v>3064</v>
      </c>
      <c r="B322" s="524">
        <v>0.28886647848116381</v>
      </c>
      <c r="C322" s="524">
        <v>5.9012032227971885E-3</v>
      </c>
      <c r="D322" s="524">
        <v>1.4617784677224615E-2</v>
      </c>
      <c r="E322" s="524">
        <v>0.60893132387784821</v>
      </c>
      <c r="F322" s="524">
        <v>5.9031120397414656E-2</v>
      </c>
      <c r="G322" s="524">
        <v>0.97734791065644855</v>
      </c>
      <c r="H322" s="524">
        <v>3.6403776250211206E-3</v>
      </c>
      <c r="I322" s="524">
        <v>3.4856288053626496E-3</v>
      </c>
      <c r="J322" s="524">
        <v>1.4534208502658304E-2</v>
      </c>
      <c r="K322" s="524">
        <v>9.9187441050948015E-4</v>
      </c>
      <c r="L322" s="524">
        <v>1</v>
      </c>
      <c r="M322" s="566">
        <v>0.29556156546868029</v>
      </c>
      <c r="N322" s="566">
        <v>6.0379759944783305E-3</v>
      </c>
      <c r="O322" s="566">
        <v>1.4956582520759048E-2</v>
      </c>
      <c r="P322" s="566">
        <v>0.62304458549346209</v>
      </c>
      <c r="Q322" s="566">
        <v>6.0399290522620171E-2</v>
      </c>
      <c r="R322" s="567">
        <v>0.99999999999999989</v>
      </c>
      <c r="S322" s="303">
        <v>29</v>
      </c>
    </row>
    <row r="323" spans="1:19" ht="15" customHeight="1" x14ac:dyDescent="0.25">
      <c r="A323" s="21" t="s">
        <v>3065</v>
      </c>
      <c r="B323" s="524">
        <v>0.17925467374187332</v>
      </c>
      <c r="C323" s="524">
        <v>4.3801581170601301E-3</v>
      </c>
      <c r="D323" s="524">
        <v>2.1665276210927373E-2</v>
      </c>
      <c r="E323" s="524">
        <v>0.7516692496006574</v>
      </c>
      <c r="F323" s="524">
        <v>3.6135856302768707E-2</v>
      </c>
      <c r="G323" s="524">
        <v>0.99310521397328699</v>
      </c>
      <c r="H323" s="524">
        <v>4.337363929576849E-3</v>
      </c>
      <c r="I323" s="524">
        <v>2.5574220971363304E-3</v>
      </c>
      <c r="J323" s="524">
        <v>0</v>
      </c>
      <c r="K323" s="524">
        <v>0</v>
      </c>
      <c r="L323" s="524">
        <v>1.0000000000000002</v>
      </c>
      <c r="M323" s="566">
        <v>0.18049917694490625</v>
      </c>
      <c r="N323" s="566">
        <v>4.4105680399518571E-3</v>
      </c>
      <c r="O323" s="566">
        <v>2.1815690730539388E-2</v>
      </c>
      <c r="P323" s="566">
        <v>0.75688782922941755</v>
      </c>
      <c r="Q323" s="566">
        <v>3.6386735055184902E-2</v>
      </c>
      <c r="R323" s="567">
        <v>0.99999999999999989</v>
      </c>
      <c r="S323" s="303">
        <v>74</v>
      </c>
    </row>
    <row r="324" spans="1:19" ht="15" customHeight="1" x14ac:dyDescent="0.25">
      <c r="A324" s="21" t="s">
        <v>3066</v>
      </c>
      <c r="B324" s="524">
        <v>0.28886647848116381</v>
      </c>
      <c r="C324" s="524">
        <v>5.9012032227971885E-3</v>
      </c>
      <c r="D324" s="524">
        <v>1.4617784677224615E-2</v>
      </c>
      <c r="E324" s="524">
        <v>0.60893132387784821</v>
      </c>
      <c r="F324" s="524">
        <v>5.9031120397414656E-2</v>
      </c>
      <c r="G324" s="524">
        <v>0.97734791065644855</v>
      </c>
      <c r="H324" s="524">
        <v>3.6403776250211206E-3</v>
      </c>
      <c r="I324" s="524">
        <v>3.4856288053626496E-3</v>
      </c>
      <c r="J324" s="524">
        <v>1.4534208502658304E-2</v>
      </c>
      <c r="K324" s="524">
        <v>9.9187441050948015E-4</v>
      </c>
      <c r="L324" s="524">
        <v>1</v>
      </c>
      <c r="M324" s="566">
        <v>0.29556156546868029</v>
      </c>
      <c r="N324" s="566">
        <v>6.0379759944783305E-3</v>
      </c>
      <c r="O324" s="566">
        <v>1.4956582520759048E-2</v>
      </c>
      <c r="P324" s="566">
        <v>0.62304458549346209</v>
      </c>
      <c r="Q324" s="566">
        <v>6.0399290522620171E-2</v>
      </c>
      <c r="R324" s="567">
        <v>0.99999999999999989</v>
      </c>
      <c r="S324" s="303">
        <v>35</v>
      </c>
    </row>
    <row r="325" spans="1:19" ht="15" customHeight="1" x14ac:dyDescent="0.25">
      <c r="A325" s="21" t="s">
        <v>3067</v>
      </c>
      <c r="B325" s="524">
        <v>0.28886647848116381</v>
      </c>
      <c r="C325" s="524">
        <v>5.9012032227971885E-3</v>
      </c>
      <c r="D325" s="524">
        <v>1.4617784677224615E-2</v>
      </c>
      <c r="E325" s="524">
        <v>0.60893132387784821</v>
      </c>
      <c r="F325" s="524">
        <v>5.9031120397414656E-2</v>
      </c>
      <c r="G325" s="524">
        <v>0.97734791065644855</v>
      </c>
      <c r="H325" s="524">
        <v>3.6403776250211206E-3</v>
      </c>
      <c r="I325" s="524">
        <v>3.4856288053626496E-3</v>
      </c>
      <c r="J325" s="524">
        <v>1.4534208502658304E-2</v>
      </c>
      <c r="K325" s="524">
        <v>9.9187441050948015E-4</v>
      </c>
      <c r="L325" s="524">
        <v>1</v>
      </c>
      <c r="M325" s="566">
        <v>0.29556156546868029</v>
      </c>
      <c r="N325" s="566">
        <v>6.0379759944783305E-3</v>
      </c>
      <c r="O325" s="566">
        <v>1.4956582520759048E-2</v>
      </c>
      <c r="P325" s="566">
        <v>0.62304458549346209</v>
      </c>
      <c r="Q325" s="566">
        <v>6.0399290522620171E-2</v>
      </c>
      <c r="R325" s="567">
        <v>0.99999999999999989</v>
      </c>
      <c r="S325" s="303">
        <v>11</v>
      </c>
    </row>
    <row r="326" spans="1:19" ht="15" customHeight="1" x14ac:dyDescent="0.25">
      <c r="A326" s="21" t="s">
        <v>3068</v>
      </c>
      <c r="B326" s="524">
        <v>0.28886647848116381</v>
      </c>
      <c r="C326" s="524">
        <v>5.9012032227971885E-3</v>
      </c>
      <c r="D326" s="524">
        <v>1.4617784677224615E-2</v>
      </c>
      <c r="E326" s="524">
        <v>0.60893132387784821</v>
      </c>
      <c r="F326" s="524">
        <v>5.9031120397414656E-2</v>
      </c>
      <c r="G326" s="524">
        <v>0.97734791065644855</v>
      </c>
      <c r="H326" s="524">
        <v>3.6403776250211206E-3</v>
      </c>
      <c r="I326" s="524">
        <v>3.4856288053626496E-3</v>
      </c>
      <c r="J326" s="524">
        <v>1.4534208502658304E-2</v>
      </c>
      <c r="K326" s="524">
        <v>9.9187441050948015E-4</v>
      </c>
      <c r="L326" s="524">
        <v>1</v>
      </c>
      <c r="M326" s="566">
        <v>0.29556156546868029</v>
      </c>
      <c r="N326" s="566">
        <v>6.0379759944783305E-3</v>
      </c>
      <c r="O326" s="566">
        <v>1.4956582520759048E-2</v>
      </c>
      <c r="P326" s="566">
        <v>0.62304458549346209</v>
      </c>
      <c r="Q326" s="566">
        <v>6.0399290522620171E-2</v>
      </c>
      <c r="R326" s="567">
        <v>0.99999999999999989</v>
      </c>
      <c r="S326" s="303">
        <v>35</v>
      </c>
    </row>
    <row r="327" spans="1:19" ht="15" customHeight="1" x14ac:dyDescent="0.25">
      <c r="A327" s="21" t="s">
        <v>3069</v>
      </c>
      <c r="B327" s="524">
        <v>0.25316508814533184</v>
      </c>
      <c r="C327" s="524">
        <v>1.4749530852368978E-2</v>
      </c>
      <c r="D327" s="524">
        <v>2.0844169897726101E-2</v>
      </c>
      <c r="E327" s="524">
        <v>0.66300033476972919</v>
      </c>
      <c r="F327" s="524">
        <v>1.8895750960571625E-2</v>
      </c>
      <c r="G327" s="524">
        <v>0.97065487462572775</v>
      </c>
      <c r="H327" s="524">
        <v>0</v>
      </c>
      <c r="I327" s="524">
        <v>0</v>
      </c>
      <c r="J327" s="524">
        <v>2.9345125374272151E-2</v>
      </c>
      <c r="K327" s="524">
        <v>0</v>
      </c>
      <c r="L327" s="524">
        <v>0.99999999999999989</v>
      </c>
      <c r="M327" s="566">
        <v>0.26081884999851168</v>
      </c>
      <c r="N327" s="566">
        <v>1.5195443033298742E-2</v>
      </c>
      <c r="O327" s="566">
        <v>2.1474337009602253E-2</v>
      </c>
      <c r="P327" s="566">
        <v>0.68304435706396027</v>
      </c>
      <c r="Q327" s="566">
        <v>1.9467012894627031E-2</v>
      </c>
      <c r="R327" s="567">
        <v>1</v>
      </c>
      <c r="S327" s="303">
        <v>59</v>
      </c>
    </row>
    <row r="328" spans="1:19" ht="15" customHeight="1" x14ac:dyDescent="0.25">
      <c r="A328" s="21" t="s">
        <v>3070</v>
      </c>
      <c r="B328" s="524">
        <v>8.6954292804736141E-2</v>
      </c>
      <c r="C328" s="524">
        <v>1.3583242826716713E-2</v>
      </c>
      <c r="D328" s="524">
        <v>5.8273453495054257E-3</v>
      </c>
      <c r="E328" s="524">
        <v>0.84634677248611645</v>
      </c>
      <c r="F328" s="524">
        <v>1.2193315158077554E-2</v>
      </c>
      <c r="G328" s="524">
        <v>0.96490496862515229</v>
      </c>
      <c r="H328" s="524">
        <v>1.724824693229458E-2</v>
      </c>
      <c r="I328" s="524">
        <v>9.8491060284337361E-3</v>
      </c>
      <c r="J328" s="524">
        <v>7.6911874842941735E-4</v>
      </c>
      <c r="K328" s="524">
        <v>7.2285596656900125E-3</v>
      </c>
      <c r="L328" s="524">
        <v>1</v>
      </c>
      <c r="M328" s="566">
        <v>9.0116949992115003E-2</v>
      </c>
      <c r="N328" s="566">
        <v>1.4077285606758598E-2</v>
      </c>
      <c r="O328" s="566">
        <v>6.0392945823551265E-3</v>
      </c>
      <c r="P328" s="566">
        <v>0.87712966562089134</v>
      </c>
      <c r="Q328" s="566">
        <v>1.2636804197879959E-2</v>
      </c>
      <c r="R328" s="567">
        <v>1</v>
      </c>
      <c r="S328" s="303">
        <v>171</v>
      </c>
    </row>
    <row r="329" spans="1:19" ht="15" customHeight="1" x14ac:dyDescent="0.25">
      <c r="A329" s="21" t="s">
        <v>3071</v>
      </c>
      <c r="B329" s="524">
        <v>0.24719700656713328</v>
      </c>
      <c r="C329" s="524">
        <v>1.2100207634382649E-2</v>
      </c>
      <c r="D329" s="524">
        <v>0</v>
      </c>
      <c r="E329" s="524">
        <v>0.70635151266634377</v>
      </c>
      <c r="F329" s="524">
        <v>2.8443191758062231E-2</v>
      </c>
      <c r="G329" s="524">
        <v>0.99409191862592194</v>
      </c>
      <c r="H329" s="524">
        <v>5.9080813740782076E-3</v>
      </c>
      <c r="I329" s="524">
        <v>0</v>
      </c>
      <c r="J329" s="524">
        <v>0</v>
      </c>
      <c r="K329" s="524">
        <v>0</v>
      </c>
      <c r="L329" s="524">
        <v>1.0000000000000002</v>
      </c>
      <c r="M329" s="566">
        <v>0.24866614639501342</v>
      </c>
      <c r="N329" s="566">
        <v>1.217212151881095E-2</v>
      </c>
      <c r="O329" s="566">
        <v>0</v>
      </c>
      <c r="P329" s="566">
        <v>0.71054949691442437</v>
      </c>
      <c r="Q329" s="566">
        <v>2.8612235171751196E-2</v>
      </c>
      <c r="R329" s="567">
        <v>0.99999999999999989</v>
      </c>
      <c r="S329" s="303">
        <v>70</v>
      </c>
    </row>
    <row r="330" spans="1:19" ht="15" customHeight="1" x14ac:dyDescent="0.25">
      <c r="A330" s="21" t="s">
        <v>3072</v>
      </c>
      <c r="B330" s="524">
        <v>0.26386208507451958</v>
      </c>
      <c r="C330" s="524">
        <v>5.5136606543028793E-3</v>
      </c>
      <c r="D330" s="524">
        <v>3.8959774580978597E-3</v>
      </c>
      <c r="E330" s="524">
        <v>0.63292247573303628</v>
      </c>
      <c r="F330" s="524">
        <v>8.8782121372738193E-2</v>
      </c>
      <c r="G330" s="524">
        <v>0.99497632029269478</v>
      </c>
      <c r="H330" s="524">
        <v>5.0236797073051447E-3</v>
      </c>
      <c r="I330" s="524">
        <v>0</v>
      </c>
      <c r="J330" s="524">
        <v>0</v>
      </c>
      <c r="K330" s="524">
        <v>0</v>
      </c>
      <c r="L330" s="524">
        <v>0.99999999999999989</v>
      </c>
      <c r="M330" s="566">
        <v>0.26519433648119239</v>
      </c>
      <c r="N330" s="566">
        <v>5.5414993722472826E-3</v>
      </c>
      <c r="O330" s="566">
        <v>3.9156484216144663E-3</v>
      </c>
      <c r="P330" s="566">
        <v>0.63611812947151125</v>
      </c>
      <c r="Q330" s="566">
        <v>8.9230386253434574E-2</v>
      </c>
      <c r="R330" s="567">
        <v>1</v>
      </c>
      <c r="S330" s="303">
        <v>68</v>
      </c>
    </row>
    <row r="331" spans="1:19" ht="15" customHeight="1" x14ac:dyDescent="0.25">
      <c r="A331" s="21" t="s">
        <v>3073</v>
      </c>
      <c r="B331" s="524">
        <v>0.28886647848116381</v>
      </c>
      <c r="C331" s="524">
        <v>5.9012032227971885E-3</v>
      </c>
      <c r="D331" s="524">
        <v>1.4617784677224615E-2</v>
      </c>
      <c r="E331" s="524">
        <v>0.60893132387784821</v>
      </c>
      <c r="F331" s="524">
        <v>5.9031120397414656E-2</v>
      </c>
      <c r="G331" s="524">
        <v>0.97734791065644855</v>
      </c>
      <c r="H331" s="524">
        <v>3.6403776250211206E-3</v>
      </c>
      <c r="I331" s="524">
        <v>3.4856288053626496E-3</v>
      </c>
      <c r="J331" s="524">
        <v>1.4534208502658304E-2</v>
      </c>
      <c r="K331" s="524">
        <v>9.9187441050948015E-4</v>
      </c>
      <c r="L331" s="524">
        <v>1</v>
      </c>
      <c r="M331" s="566">
        <v>0.29556156546868029</v>
      </c>
      <c r="N331" s="566">
        <v>6.0379759944783305E-3</v>
      </c>
      <c r="O331" s="566">
        <v>1.4956582520759048E-2</v>
      </c>
      <c r="P331" s="566">
        <v>0.62304458549346209</v>
      </c>
      <c r="Q331" s="566">
        <v>6.0399290522620171E-2</v>
      </c>
      <c r="R331" s="567">
        <v>0.99999999999999989</v>
      </c>
      <c r="S331" s="303">
        <v>5</v>
      </c>
    </row>
    <row r="332" spans="1:19" ht="15" customHeight="1" x14ac:dyDescent="0.25">
      <c r="A332" s="21" t="s">
        <v>3074</v>
      </c>
      <c r="B332" s="524">
        <v>0.28886647848116381</v>
      </c>
      <c r="C332" s="524">
        <v>5.9012032227971885E-3</v>
      </c>
      <c r="D332" s="524">
        <v>1.4617784677224615E-2</v>
      </c>
      <c r="E332" s="524">
        <v>0.60893132387784821</v>
      </c>
      <c r="F332" s="524">
        <v>5.9031120397414656E-2</v>
      </c>
      <c r="G332" s="524">
        <v>0.97734791065644855</v>
      </c>
      <c r="H332" s="524">
        <v>3.6403776250211206E-3</v>
      </c>
      <c r="I332" s="524">
        <v>3.4856288053626496E-3</v>
      </c>
      <c r="J332" s="524">
        <v>1.4534208502658304E-2</v>
      </c>
      <c r="K332" s="524">
        <v>9.9187441050948015E-4</v>
      </c>
      <c r="L332" s="524">
        <v>1</v>
      </c>
      <c r="M332" s="566">
        <v>0.29556156546868029</v>
      </c>
      <c r="N332" s="566">
        <v>6.0379759944783305E-3</v>
      </c>
      <c r="O332" s="566">
        <v>1.4956582520759048E-2</v>
      </c>
      <c r="P332" s="566">
        <v>0.62304458549346209</v>
      </c>
      <c r="Q332" s="566">
        <v>6.0399290522620171E-2</v>
      </c>
      <c r="R332" s="567">
        <v>0.99999999999999989</v>
      </c>
      <c r="S332" s="303">
        <v>1</v>
      </c>
    </row>
    <row r="333" spans="1:19" ht="15" customHeight="1" x14ac:dyDescent="0.25">
      <c r="A333" s="21" t="s">
        <v>3075</v>
      </c>
      <c r="B333" s="524">
        <v>0.17875603003087628</v>
      </c>
      <c r="C333" s="524">
        <v>0</v>
      </c>
      <c r="D333" s="524">
        <v>1.06999158513636E-2</v>
      </c>
      <c r="E333" s="524">
        <v>0.69758574529309691</v>
      </c>
      <c r="F333" s="524">
        <v>2.1698978387826369E-2</v>
      </c>
      <c r="G333" s="524">
        <v>0.90874066956316324</v>
      </c>
      <c r="H333" s="524">
        <v>1.2542762073888074E-5</v>
      </c>
      <c r="I333" s="524">
        <v>8.2585866674465505E-2</v>
      </c>
      <c r="J333" s="524">
        <v>4.2366663005133053E-3</v>
      </c>
      <c r="K333" s="524">
        <v>4.4242546997841532E-3</v>
      </c>
      <c r="L333" s="524">
        <v>1.0000000000000002</v>
      </c>
      <c r="M333" s="566">
        <v>0.19670741721816556</v>
      </c>
      <c r="N333" s="566">
        <v>0</v>
      </c>
      <c r="O333" s="566">
        <v>1.1774443699660884E-2</v>
      </c>
      <c r="P333" s="566">
        <v>0.76764006350505953</v>
      </c>
      <c r="Q333" s="566">
        <v>2.3878075577113973E-2</v>
      </c>
      <c r="R333" s="567">
        <v>1</v>
      </c>
      <c r="S333" s="303">
        <v>108</v>
      </c>
    </row>
    <row r="334" spans="1:19" ht="15" customHeight="1" x14ac:dyDescent="0.25">
      <c r="A334" s="21" t="s">
        <v>3076</v>
      </c>
      <c r="B334" s="524">
        <v>0.1132543292109537</v>
      </c>
      <c r="C334" s="524">
        <v>2.6954586477012433E-3</v>
      </c>
      <c r="D334" s="524">
        <v>5.3329450268133809E-3</v>
      </c>
      <c r="E334" s="524">
        <v>0.80923905716062206</v>
      </c>
      <c r="F334" s="524">
        <v>1.1927743717271962E-2</v>
      </c>
      <c r="G334" s="524">
        <v>0.94244953376336238</v>
      </c>
      <c r="H334" s="524">
        <v>3.6850886939729238E-3</v>
      </c>
      <c r="I334" s="524">
        <v>3.74846883835964E-2</v>
      </c>
      <c r="J334" s="524">
        <v>0</v>
      </c>
      <c r="K334" s="524">
        <v>1.6380689159068262E-2</v>
      </c>
      <c r="L334" s="524">
        <v>1</v>
      </c>
      <c r="M334" s="566">
        <v>0.12017017904259528</v>
      </c>
      <c r="N334" s="566">
        <v>2.8600562164191596E-3</v>
      </c>
      <c r="O334" s="566">
        <v>5.6586001008648371E-3</v>
      </c>
      <c r="P334" s="566">
        <v>0.85865505596802827</v>
      </c>
      <c r="Q334" s="566">
        <v>1.2656108672092433E-2</v>
      </c>
      <c r="R334" s="567">
        <v>1</v>
      </c>
      <c r="S334" s="303">
        <v>326</v>
      </c>
    </row>
    <row r="335" spans="1:19" ht="15" customHeight="1" x14ac:dyDescent="0.25">
      <c r="A335" s="21" t="s">
        <v>3077</v>
      </c>
      <c r="B335" s="524">
        <v>0.2433504767602335</v>
      </c>
      <c r="C335" s="524">
        <v>1.2820740404561666E-2</v>
      </c>
      <c r="D335" s="524">
        <v>6.9022422316094463E-3</v>
      </c>
      <c r="E335" s="524">
        <v>0.67350440340628193</v>
      </c>
      <c r="F335" s="524">
        <v>1.5420278282003099E-2</v>
      </c>
      <c r="G335" s="524">
        <v>0.95199814108468972</v>
      </c>
      <c r="H335" s="524">
        <v>5.2591598979398815E-4</v>
      </c>
      <c r="I335" s="524">
        <v>4.6663385466814075E-3</v>
      </c>
      <c r="J335" s="524">
        <v>0</v>
      </c>
      <c r="K335" s="524">
        <v>4.280960437883502E-2</v>
      </c>
      <c r="L335" s="524">
        <v>1.0000000000000002</v>
      </c>
      <c r="M335" s="566">
        <v>0.25562074783356648</v>
      </c>
      <c r="N335" s="566">
        <v>1.34671905871097E-2</v>
      </c>
      <c r="O335" s="566">
        <v>7.2502686021478514E-3</v>
      </c>
      <c r="P335" s="566">
        <v>0.70746399004403837</v>
      </c>
      <c r="Q335" s="566">
        <v>1.6197802933137568E-2</v>
      </c>
      <c r="R335" s="567">
        <v>1</v>
      </c>
      <c r="S335" s="303">
        <v>120</v>
      </c>
    </row>
    <row r="336" spans="1:19" ht="15" customHeight="1" x14ac:dyDescent="0.25">
      <c r="A336" s="21" t="s">
        <v>3078</v>
      </c>
      <c r="B336" s="524">
        <v>0.28886647848116381</v>
      </c>
      <c r="C336" s="524">
        <v>5.9012032227971885E-3</v>
      </c>
      <c r="D336" s="524">
        <v>1.4617784677224615E-2</v>
      </c>
      <c r="E336" s="524">
        <v>0.60893132387784821</v>
      </c>
      <c r="F336" s="524">
        <v>5.9031120397414656E-2</v>
      </c>
      <c r="G336" s="524">
        <v>0.97734791065644855</v>
      </c>
      <c r="H336" s="524">
        <v>3.6403776250211206E-3</v>
      </c>
      <c r="I336" s="524">
        <v>3.4856288053626496E-3</v>
      </c>
      <c r="J336" s="524">
        <v>1.4534208502658304E-2</v>
      </c>
      <c r="K336" s="524">
        <v>9.9187441050948015E-4</v>
      </c>
      <c r="L336" s="524">
        <v>1</v>
      </c>
      <c r="M336" s="566">
        <v>0.29556156546868029</v>
      </c>
      <c r="N336" s="566">
        <v>6.0379759944783305E-3</v>
      </c>
      <c r="O336" s="566">
        <v>1.4956582520759048E-2</v>
      </c>
      <c r="P336" s="566">
        <v>0.62304458549346209</v>
      </c>
      <c r="Q336" s="566">
        <v>6.0399290522620171E-2</v>
      </c>
      <c r="R336" s="567">
        <v>0.99999999999999989</v>
      </c>
      <c r="S336" s="303">
        <v>8</v>
      </c>
    </row>
    <row r="337" spans="1:19" ht="15" customHeight="1" x14ac:dyDescent="0.25">
      <c r="A337" s="21" t="s">
        <v>3079</v>
      </c>
      <c r="B337" s="524">
        <v>0.28886647848116381</v>
      </c>
      <c r="C337" s="524">
        <v>5.9012032227971885E-3</v>
      </c>
      <c r="D337" s="524">
        <v>1.4617784677224615E-2</v>
      </c>
      <c r="E337" s="524">
        <v>0.60893132387784821</v>
      </c>
      <c r="F337" s="524">
        <v>5.9031120397414656E-2</v>
      </c>
      <c r="G337" s="524">
        <v>0.97734791065644855</v>
      </c>
      <c r="H337" s="524">
        <v>3.6403776250211206E-3</v>
      </c>
      <c r="I337" s="524">
        <v>3.4856288053626496E-3</v>
      </c>
      <c r="J337" s="524">
        <v>1.4534208502658304E-2</v>
      </c>
      <c r="K337" s="524">
        <v>9.9187441050948015E-4</v>
      </c>
      <c r="L337" s="524">
        <v>1</v>
      </c>
      <c r="M337" s="566">
        <v>0.29556156546868029</v>
      </c>
      <c r="N337" s="566">
        <v>6.0379759944783305E-3</v>
      </c>
      <c r="O337" s="566">
        <v>1.4956582520759048E-2</v>
      </c>
      <c r="P337" s="566">
        <v>0.62304458549346209</v>
      </c>
      <c r="Q337" s="566">
        <v>6.0399290522620171E-2</v>
      </c>
      <c r="R337" s="567">
        <v>0.99999999999999989</v>
      </c>
      <c r="S337" s="303">
        <v>16</v>
      </c>
    </row>
    <row r="338" spans="1:19" ht="15" customHeight="1" x14ac:dyDescent="0.25">
      <c r="A338" s="21" t="s">
        <v>3080</v>
      </c>
      <c r="B338" s="524">
        <v>0.11508456855042304</v>
      </c>
      <c r="C338" s="524">
        <v>2.0897761427072568E-3</v>
      </c>
      <c r="D338" s="524">
        <v>4.4299357114611377E-3</v>
      </c>
      <c r="E338" s="524">
        <v>0.73751569184763821</v>
      </c>
      <c r="F338" s="524">
        <v>2.3714258956975084E-2</v>
      </c>
      <c r="G338" s="524">
        <v>0.88283423120920468</v>
      </c>
      <c r="H338" s="524">
        <v>2.5038098322013244E-2</v>
      </c>
      <c r="I338" s="524">
        <v>7.0835117900947958E-2</v>
      </c>
      <c r="J338" s="524">
        <v>1.6566003012928796E-3</v>
      </c>
      <c r="K338" s="524">
        <v>1.9635952266540989E-2</v>
      </c>
      <c r="L338" s="524">
        <v>0.99999999999999978</v>
      </c>
      <c r="M338" s="566">
        <v>0.13035807231080454</v>
      </c>
      <c r="N338" s="566">
        <v>2.3671217866630774E-3</v>
      </c>
      <c r="O338" s="566">
        <v>5.0178567559546507E-3</v>
      </c>
      <c r="P338" s="566">
        <v>0.83539544092833162</v>
      </c>
      <c r="Q338" s="566">
        <v>2.6861508218246163E-2</v>
      </c>
      <c r="R338" s="567">
        <v>1</v>
      </c>
      <c r="S338" s="303">
        <v>221</v>
      </c>
    </row>
    <row r="339" spans="1:19" ht="15" customHeight="1" x14ac:dyDescent="0.25">
      <c r="A339" s="21" t="s">
        <v>3081</v>
      </c>
      <c r="B339" s="524">
        <v>9.1373212969409673E-2</v>
      </c>
      <c r="C339" s="524">
        <v>5.3690899298624549E-3</v>
      </c>
      <c r="D339" s="524">
        <v>2.3283391068327692E-3</v>
      </c>
      <c r="E339" s="524">
        <v>0.84160745750190535</v>
      </c>
      <c r="F339" s="524">
        <v>1.8275720162633766E-2</v>
      </c>
      <c r="G339" s="524">
        <v>0.95895381967064408</v>
      </c>
      <c r="H339" s="524">
        <v>2.6870951750734427E-3</v>
      </c>
      <c r="I339" s="524">
        <v>7.3108193454019766E-3</v>
      </c>
      <c r="J339" s="524">
        <v>4.1695070155012915E-3</v>
      </c>
      <c r="K339" s="524">
        <v>2.6878758793379358E-2</v>
      </c>
      <c r="L339" s="524">
        <v>1.0000000000000002</v>
      </c>
      <c r="M339" s="566">
        <v>9.5284268225546156E-2</v>
      </c>
      <c r="N339" s="566">
        <v>5.598903533964218E-3</v>
      </c>
      <c r="O339" s="566">
        <v>2.4279991998284599E-3</v>
      </c>
      <c r="P339" s="566">
        <v>0.87763085170353483</v>
      </c>
      <c r="Q339" s="566">
        <v>1.9057977337126226E-2</v>
      </c>
      <c r="R339" s="567">
        <v>0.99999999999999989</v>
      </c>
      <c r="S339" s="303">
        <v>621</v>
      </c>
    </row>
    <row r="340" spans="1:19" ht="15" customHeight="1" x14ac:dyDescent="0.25">
      <c r="A340" s="21" t="s">
        <v>3082</v>
      </c>
      <c r="B340" s="524">
        <v>0.16047663571219506</v>
      </c>
      <c r="C340" s="524">
        <v>3.3372491972854954E-2</v>
      </c>
      <c r="D340" s="524">
        <v>2.1276228429014526E-2</v>
      </c>
      <c r="E340" s="524">
        <v>0.67845404222815187</v>
      </c>
      <c r="F340" s="524">
        <v>6.6175812058910613E-2</v>
      </c>
      <c r="G340" s="524">
        <v>0.9597552104011271</v>
      </c>
      <c r="H340" s="524">
        <v>2.0451318802125638E-3</v>
      </c>
      <c r="I340" s="524">
        <v>1.105439626735963E-2</v>
      </c>
      <c r="J340" s="524">
        <v>2.7145261451300758E-2</v>
      </c>
      <c r="K340" s="524">
        <v>0</v>
      </c>
      <c r="L340" s="524">
        <v>1</v>
      </c>
      <c r="M340" s="566">
        <v>0.16720579786706682</v>
      </c>
      <c r="N340" s="566">
        <v>3.4771878924113382E-2</v>
      </c>
      <c r="O340" s="566">
        <v>2.216839064632135E-2</v>
      </c>
      <c r="P340" s="566">
        <v>0.70690321331477202</v>
      </c>
      <c r="Q340" s="566">
        <v>6.8950719247726319E-2</v>
      </c>
      <c r="R340" s="567">
        <v>0.99999999999999989</v>
      </c>
      <c r="S340" s="303">
        <v>73</v>
      </c>
    </row>
    <row r="341" spans="1:19" ht="15" customHeight="1" x14ac:dyDescent="0.25">
      <c r="A341" s="21" t="s">
        <v>3083</v>
      </c>
      <c r="B341" s="524">
        <v>0.28886647848116381</v>
      </c>
      <c r="C341" s="524">
        <v>5.9012032227971885E-3</v>
      </c>
      <c r="D341" s="524">
        <v>1.4617784677224615E-2</v>
      </c>
      <c r="E341" s="524">
        <v>0.60893132387784821</v>
      </c>
      <c r="F341" s="524">
        <v>5.9031120397414656E-2</v>
      </c>
      <c r="G341" s="524">
        <v>0.97734791065644855</v>
      </c>
      <c r="H341" s="524">
        <v>3.6403776250211206E-3</v>
      </c>
      <c r="I341" s="524">
        <v>3.4856288053626496E-3</v>
      </c>
      <c r="J341" s="524">
        <v>1.4534208502658304E-2</v>
      </c>
      <c r="K341" s="524">
        <v>9.9187441050948015E-4</v>
      </c>
      <c r="L341" s="524">
        <v>1</v>
      </c>
      <c r="M341" s="566">
        <v>0.29556156546868029</v>
      </c>
      <c r="N341" s="566">
        <v>6.0379759944783305E-3</v>
      </c>
      <c r="O341" s="566">
        <v>1.4956582520759048E-2</v>
      </c>
      <c r="P341" s="566">
        <v>0.62304458549346209</v>
      </c>
      <c r="Q341" s="566">
        <v>6.0399290522620171E-2</v>
      </c>
      <c r="R341" s="567">
        <v>0.99999999999999989</v>
      </c>
      <c r="S341" s="303">
        <v>26</v>
      </c>
    </row>
    <row r="342" spans="1:19" ht="15" customHeight="1" x14ac:dyDescent="0.25">
      <c r="A342" s="21" t="s">
        <v>3084</v>
      </c>
      <c r="B342" s="524">
        <v>0.28886647848116381</v>
      </c>
      <c r="C342" s="524">
        <v>5.9012032227971885E-3</v>
      </c>
      <c r="D342" s="524">
        <v>1.4617784677224615E-2</v>
      </c>
      <c r="E342" s="524">
        <v>0.60893132387784821</v>
      </c>
      <c r="F342" s="524">
        <v>5.9031120397414656E-2</v>
      </c>
      <c r="G342" s="524">
        <v>0.97734791065644855</v>
      </c>
      <c r="H342" s="524">
        <v>3.6403776250211206E-3</v>
      </c>
      <c r="I342" s="524">
        <v>3.4856288053626496E-3</v>
      </c>
      <c r="J342" s="524">
        <v>1.4534208502658304E-2</v>
      </c>
      <c r="K342" s="524">
        <v>9.9187441050948015E-4</v>
      </c>
      <c r="L342" s="524">
        <v>1</v>
      </c>
      <c r="M342" s="566">
        <v>0.29556156546868029</v>
      </c>
      <c r="N342" s="566">
        <v>6.0379759944783305E-3</v>
      </c>
      <c r="O342" s="566">
        <v>1.4956582520759048E-2</v>
      </c>
      <c r="P342" s="566">
        <v>0.62304458549346209</v>
      </c>
      <c r="Q342" s="566">
        <v>6.0399290522620171E-2</v>
      </c>
      <c r="R342" s="567">
        <v>0.99999999999999989</v>
      </c>
      <c r="S342" s="303">
        <v>1</v>
      </c>
    </row>
    <row r="343" spans="1:19" ht="15" customHeight="1" x14ac:dyDescent="0.25">
      <c r="A343" s="21" t="s">
        <v>3085</v>
      </c>
      <c r="B343" s="524">
        <v>0.28886647848116381</v>
      </c>
      <c r="C343" s="524">
        <v>5.9012032227971885E-3</v>
      </c>
      <c r="D343" s="524">
        <v>1.4617784677224615E-2</v>
      </c>
      <c r="E343" s="524">
        <v>0.60893132387784821</v>
      </c>
      <c r="F343" s="524">
        <v>5.9031120397414656E-2</v>
      </c>
      <c r="G343" s="524">
        <v>0.97734791065644855</v>
      </c>
      <c r="H343" s="524">
        <v>3.6403776250211206E-3</v>
      </c>
      <c r="I343" s="524">
        <v>3.4856288053626496E-3</v>
      </c>
      <c r="J343" s="524">
        <v>1.4534208502658304E-2</v>
      </c>
      <c r="K343" s="524">
        <v>9.9187441050948015E-4</v>
      </c>
      <c r="L343" s="524">
        <v>1</v>
      </c>
      <c r="M343" s="566">
        <v>0.29556156546868029</v>
      </c>
      <c r="N343" s="566">
        <v>6.0379759944783305E-3</v>
      </c>
      <c r="O343" s="566">
        <v>1.4956582520759048E-2</v>
      </c>
      <c r="P343" s="566">
        <v>0.62304458549346209</v>
      </c>
      <c r="Q343" s="566">
        <v>6.0399290522620171E-2</v>
      </c>
      <c r="R343" s="567">
        <v>0.99999999999999989</v>
      </c>
      <c r="S343" s="303">
        <v>1</v>
      </c>
    </row>
    <row r="344" spans="1:19" ht="15" customHeight="1" x14ac:dyDescent="0.25">
      <c r="A344" s="21" t="s">
        <v>3086</v>
      </c>
      <c r="B344" s="524">
        <v>0.28886647848116381</v>
      </c>
      <c r="C344" s="524">
        <v>5.9012032227971885E-3</v>
      </c>
      <c r="D344" s="524">
        <v>1.4617784677224615E-2</v>
      </c>
      <c r="E344" s="524">
        <v>0.60893132387784821</v>
      </c>
      <c r="F344" s="524">
        <v>5.9031120397414656E-2</v>
      </c>
      <c r="G344" s="524">
        <v>0.97734791065644855</v>
      </c>
      <c r="H344" s="524">
        <v>3.6403776250211206E-3</v>
      </c>
      <c r="I344" s="524">
        <v>3.4856288053626496E-3</v>
      </c>
      <c r="J344" s="524">
        <v>1.4534208502658304E-2</v>
      </c>
      <c r="K344" s="524">
        <v>9.9187441050948015E-4</v>
      </c>
      <c r="L344" s="524">
        <v>1</v>
      </c>
      <c r="M344" s="566">
        <v>0.29556156546868029</v>
      </c>
      <c r="N344" s="566">
        <v>6.0379759944783305E-3</v>
      </c>
      <c r="O344" s="566">
        <v>1.4956582520759048E-2</v>
      </c>
      <c r="P344" s="566">
        <v>0.62304458549346209</v>
      </c>
      <c r="Q344" s="566">
        <v>6.0399290522620171E-2</v>
      </c>
      <c r="R344" s="567">
        <v>0.99999999999999989</v>
      </c>
      <c r="S344" s="303">
        <v>6</v>
      </c>
    </row>
    <row r="345" spans="1:19" ht="15" customHeight="1" x14ac:dyDescent="0.25">
      <c r="A345" s="21" t="s">
        <v>3087</v>
      </c>
      <c r="B345" s="524">
        <v>0.28886647848116381</v>
      </c>
      <c r="C345" s="524">
        <v>5.9012032227971885E-3</v>
      </c>
      <c r="D345" s="524">
        <v>1.4617784677224615E-2</v>
      </c>
      <c r="E345" s="524">
        <v>0.60893132387784821</v>
      </c>
      <c r="F345" s="524">
        <v>5.9031120397414656E-2</v>
      </c>
      <c r="G345" s="524">
        <v>0.97734791065644855</v>
      </c>
      <c r="H345" s="524">
        <v>3.6403776250211206E-3</v>
      </c>
      <c r="I345" s="524">
        <v>3.4856288053626496E-3</v>
      </c>
      <c r="J345" s="524">
        <v>1.4534208502658304E-2</v>
      </c>
      <c r="K345" s="524">
        <v>9.9187441050948015E-4</v>
      </c>
      <c r="L345" s="524">
        <v>1</v>
      </c>
      <c r="M345" s="566">
        <v>0.29556156546868029</v>
      </c>
      <c r="N345" s="566">
        <v>6.0379759944783305E-3</v>
      </c>
      <c r="O345" s="566">
        <v>1.4956582520759048E-2</v>
      </c>
      <c r="P345" s="566">
        <v>0.62304458549346209</v>
      </c>
      <c r="Q345" s="566">
        <v>6.0399290522620171E-2</v>
      </c>
      <c r="R345" s="567">
        <v>0.99999999999999989</v>
      </c>
      <c r="S345" s="303">
        <v>10</v>
      </c>
    </row>
    <row r="346" spans="1:19" ht="15" customHeight="1" x14ac:dyDescent="0.25">
      <c r="A346" s="21" t="s">
        <v>3088</v>
      </c>
      <c r="B346" s="524">
        <v>0.28886647848116381</v>
      </c>
      <c r="C346" s="524">
        <v>5.9012032227971885E-3</v>
      </c>
      <c r="D346" s="524">
        <v>1.4617784677224615E-2</v>
      </c>
      <c r="E346" s="524">
        <v>0.60893132387784821</v>
      </c>
      <c r="F346" s="524">
        <v>5.9031120397414656E-2</v>
      </c>
      <c r="G346" s="524">
        <v>0.97734791065644855</v>
      </c>
      <c r="H346" s="524">
        <v>3.6403776250211206E-3</v>
      </c>
      <c r="I346" s="524">
        <v>3.4856288053626496E-3</v>
      </c>
      <c r="J346" s="524">
        <v>1.4534208502658304E-2</v>
      </c>
      <c r="K346" s="524">
        <v>9.9187441050948015E-4</v>
      </c>
      <c r="L346" s="524">
        <v>1</v>
      </c>
      <c r="M346" s="566">
        <v>0.29556156546868029</v>
      </c>
      <c r="N346" s="566">
        <v>6.0379759944783305E-3</v>
      </c>
      <c r="O346" s="566">
        <v>1.4956582520759048E-2</v>
      </c>
      <c r="P346" s="566">
        <v>0.62304458549346209</v>
      </c>
      <c r="Q346" s="566">
        <v>6.0399290522620171E-2</v>
      </c>
      <c r="R346" s="567">
        <v>0.99999999999999989</v>
      </c>
      <c r="S346" s="303">
        <v>24</v>
      </c>
    </row>
    <row r="347" spans="1:19" ht="15" customHeight="1" x14ac:dyDescent="0.25">
      <c r="A347" s="21" t="s">
        <v>3089</v>
      </c>
      <c r="B347" s="524">
        <v>0.17178878172224407</v>
      </c>
      <c r="C347" s="524">
        <v>0</v>
      </c>
      <c r="D347" s="524">
        <v>2.4590308719753151E-2</v>
      </c>
      <c r="E347" s="524">
        <v>0.75645368629226184</v>
      </c>
      <c r="F347" s="524">
        <v>3.8626165895038971E-2</v>
      </c>
      <c r="G347" s="524">
        <v>0.99145894262929801</v>
      </c>
      <c r="H347" s="524">
        <v>1.15301987746385E-4</v>
      </c>
      <c r="I347" s="524">
        <v>5.1720837710647425E-3</v>
      </c>
      <c r="J347" s="524">
        <v>0</v>
      </c>
      <c r="K347" s="524">
        <v>3.2536716118909347E-3</v>
      </c>
      <c r="L347" s="524">
        <v>1</v>
      </c>
      <c r="M347" s="566">
        <v>0.17326867945400651</v>
      </c>
      <c r="N347" s="566">
        <v>0</v>
      </c>
      <c r="O347" s="566">
        <v>2.4802145265381256E-2</v>
      </c>
      <c r="P347" s="566">
        <v>0.76297025904692095</v>
      </c>
      <c r="Q347" s="566">
        <v>3.8958916233691299E-2</v>
      </c>
      <c r="R347" s="567">
        <v>1</v>
      </c>
      <c r="S347" s="303">
        <v>57</v>
      </c>
    </row>
    <row r="348" spans="1:19" ht="15" customHeight="1" x14ac:dyDescent="0.25">
      <c r="A348" s="21" t="s">
        <v>3090</v>
      </c>
      <c r="B348" s="524">
        <v>0.28886647848116381</v>
      </c>
      <c r="C348" s="524">
        <v>5.9012032227971885E-3</v>
      </c>
      <c r="D348" s="524">
        <v>1.4617784677224615E-2</v>
      </c>
      <c r="E348" s="524">
        <v>0.60893132387784821</v>
      </c>
      <c r="F348" s="524">
        <v>5.9031120397414656E-2</v>
      </c>
      <c r="G348" s="524">
        <v>0.97734791065644855</v>
      </c>
      <c r="H348" s="524">
        <v>3.6403776250211206E-3</v>
      </c>
      <c r="I348" s="524">
        <v>3.4856288053626496E-3</v>
      </c>
      <c r="J348" s="524">
        <v>1.4534208502658304E-2</v>
      </c>
      <c r="K348" s="524">
        <v>9.9187441050948015E-4</v>
      </c>
      <c r="L348" s="524">
        <v>1</v>
      </c>
      <c r="M348" s="566">
        <v>0.29556156546868029</v>
      </c>
      <c r="N348" s="566">
        <v>6.0379759944783305E-3</v>
      </c>
      <c r="O348" s="566">
        <v>1.4956582520759048E-2</v>
      </c>
      <c r="P348" s="566">
        <v>0.62304458549346209</v>
      </c>
      <c r="Q348" s="566">
        <v>6.0399290522620171E-2</v>
      </c>
      <c r="R348" s="567">
        <v>0.99999999999999989</v>
      </c>
      <c r="S348" s="303">
        <v>40</v>
      </c>
    </row>
    <row r="349" spans="1:19" ht="15" customHeight="1" x14ac:dyDescent="0.25">
      <c r="A349" s="21" t="s">
        <v>3091</v>
      </c>
      <c r="B349" s="524">
        <v>0.28886647848116381</v>
      </c>
      <c r="C349" s="524">
        <v>5.9012032227971885E-3</v>
      </c>
      <c r="D349" s="524">
        <v>1.4617784677224615E-2</v>
      </c>
      <c r="E349" s="524">
        <v>0.60893132387784821</v>
      </c>
      <c r="F349" s="524">
        <v>5.9031120397414656E-2</v>
      </c>
      <c r="G349" s="524">
        <v>0.97734791065644855</v>
      </c>
      <c r="H349" s="524">
        <v>3.6403776250211206E-3</v>
      </c>
      <c r="I349" s="524">
        <v>3.4856288053626496E-3</v>
      </c>
      <c r="J349" s="524">
        <v>1.4534208502658304E-2</v>
      </c>
      <c r="K349" s="524">
        <v>9.9187441050948015E-4</v>
      </c>
      <c r="L349" s="524">
        <v>1</v>
      </c>
      <c r="M349" s="566">
        <v>0.29556156546868029</v>
      </c>
      <c r="N349" s="566">
        <v>6.0379759944783305E-3</v>
      </c>
      <c r="O349" s="566">
        <v>1.4956582520759048E-2</v>
      </c>
      <c r="P349" s="566">
        <v>0.62304458549346209</v>
      </c>
      <c r="Q349" s="566">
        <v>6.0399290522620171E-2</v>
      </c>
      <c r="R349" s="567">
        <v>0.99999999999999989</v>
      </c>
      <c r="S349" s="303">
        <v>10</v>
      </c>
    </row>
    <row r="350" spans="1:19" ht="15" customHeight="1" x14ac:dyDescent="0.25">
      <c r="A350" s="21" t="s">
        <v>3092</v>
      </c>
      <c r="B350" s="524">
        <v>0.28886647848116381</v>
      </c>
      <c r="C350" s="524">
        <v>5.9012032227971885E-3</v>
      </c>
      <c r="D350" s="524">
        <v>1.4617784677224615E-2</v>
      </c>
      <c r="E350" s="524">
        <v>0.60893132387784821</v>
      </c>
      <c r="F350" s="524">
        <v>5.9031120397414656E-2</v>
      </c>
      <c r="G350" s="524">
        <v>0.97734791065644855</v>
      </c>
      <c r="H350" s="524">
        <v>3.6403776250211206E-3</v>
      </c>
      <c r="I350" s="524">
        <v>3.4856288053626496E-3</v>
      </c>
      <c r="J350" s="524">
        <v>1.4534208502658304E-2</v>
      </c>
      <c r="K350" s="524">
        <v>9.9187441050948015E-4</v>
      </c>
      <c r="L350" s="524">
        <v>1</v>
      </c>
      <c r="M350" s="566">
        <v>0.29556156546868029</v>
      </c>
      <c r="N350" s="566">
        <v>6.0379759944783305E-3</v>
      </c>
      <c r="O350" s="566">
        <v>1.4956582520759048E-2</v>
      </c>
      <c r="P350" s="566">
        <v>0.62304458549346209</v>
      </c>
      <c r="Q350" s="566">
        <v>6.0399290522620171E-2</v>
      </c>
      <c r="R350" s="567">
        <v>0.99999999999999989</v>
      </c>
      <c r="S350" s="303">
        <v>2</v>
      </c>
    </row>
    <row r="351" spans="1:19" ht="15" customHeight="1" x14ac:dyDescent="0.25">
      <c r="A351" s="21" t="s">
        <v>3093</v>
      </c>
      <c r="B351" s="524">
        <v>0.28886647848116381</v>
      </c>
      <c r="C351" s="524">
        <v>5.9012032227971885E-3</v>
      </c>
      <c r="D351" s="524">
        <v>1.4617784677224615E-2</v>
      </c>
      <c r="E351" s="524">
        <v>0.60893132387784821</v>
      </c>
      <c r="F351" s="524">
        <v>5.9031120397414656E-2</v>
      </c>
      <c r="G351" s="524">
        <v>0.97734791065644855</v>
      </c>
      <c r="H351" s="524">
        <v>3.6403776250211206E-3</v>
      </c>
      <c r="I351" s="524">
        <v>3.4856288053626496E-3</v>
      </c>
      <c r="J351" s="524">
        <v>1.4534208502658304E-2</v>
      </c>
      <c r="K351" s="524">
        <v>9.9187441050948015E-4</v>
      </c>
      <c r="L351" s="524">
        <v>1</v>
      </c>
      <c r="M351" s="566">
        <v>0.29556156546868029</v>
      </c>
      <c r="N351" s="566">
        <v>6.0379759944783305E-3</v>
      </c>
      <c r="O351" s="566">
        <v>1.4956582520759048E-2</v>
      </c>
      <c r="P351" s="566">
        <v>0.62304458549346209</v>
      </c>
      <c r="Q351" s="566">
        <v>6.0399290522620171E-2</v>
      </c>
      <c r="R351" s="567">
        <v>0.99999999999999989</v>
      </c>
      <c r="S351" s="303">
        <v>16</v>
      </c>
    </row>
    <row r="352" spans="1:19" ht="15" customHeight="1" x14ac:dyDescent="0.25">
      <c r="A352" s="21" t="s">
        <v>3094</v>
      </c>
      <c r="B352" s="524">
        <v>0.20014942556179471</v>
      </c>
      <c r="C352" s="524">
        <v>6.682141932180365E-3</v>
      </c>
      <c r="D352" s="524">
        <v>2.3608157966040731E-2</v>
      </c>
      <c r="E352" s="524">
        <v>0.70975490207320846</v>
      </c>
      <c r="F352" s="524">
        <v>2.5177640270759302E-2</v>
      </c>
      <c r="G352" s="524">
        <v>0.96537226780398355</v>
      </c>
      <c r="H352" s="524">
        <v>2.5653942419180966E-3</v>
      </c>
      <c r="I352" s="524">
        <v>5.3201869690294324E-3</v>
      </c>
      <c r="J352" s="524">
        <v>2.3680907209181912E-2</v>
      </c>
      <c r="K352" s="524">
        <v>3.0612437758868586E-3</v>
      </c>
      <c r="L352" s="524">
        <v>1</v>
      </c>
      <c r="M352" s="566">
        <v>0.20732874999309028</v>
      </c>
      <c r="N352" s="566">
        <v>6.9218291793080155E-3</v>
      </c>
      <c r="O352" s="566">
        <v>2.4454978409255805E-2</v>
      </c>
      <c r="P352" s="566">
        <v>0.73521368465219106</v>
      </c>
      <c r="Q352" s="566">
        <v>2.6080757766154889E-2</v>
      </c>
      <c r="R352" s="567">
        <v>1</v>
      </c>
      <c r="S352" s="303">
        <v>96</v>
      </c>
    </row>
    <row r="353" spans="1:38" ht="15" customHeight="1" x14ac:dyDescent="0.25">
      <c r="A353" s="21" t="s">
        <v>3095</v>
      </c>
      <c r="B353" s="524">
        <v>0.28886647848116381</v>
      </c>
      <c r="C353" s="524">
        <v>5.9012032227971885E-3</v>
      </c>
      <c r="D353" s="524">
        <v>1.4617784677224615E-2</v>
      </c>
      <c r="E353" s="524">
        <v>0.60893132387784821</v>
      </c>
      <c r="F353" s="524">
        <v>5.9031120397414656E-2</v>
      </c>
      <c r="G353" s="524">
        <v>0.97734791065644855</v>
      </c>
      <c r="H353" s="524">
        <v>3.6403776250211206E-3</v>
      </c>
      <c r="I353" s="524">
        <v>3.4856288053626496E-3</v>
      </c>
      <c r="J353" s="524">
        <v>1.4534208502658304E-2</v>
      </c>
      <c r="K353" s="524">
        <v>9.9187441050948015E-4</v>
      </c>
      <c r="L353" s="524">
        <v>1</v>
      </c>
      <c r="M353" s="566">
        <v>0.29556156546868029</v>
      </c>
      <c r="N353" s="566">
        <v>6.0379759944783305E-3</v>
      </c>
      <c r="O353" s="566">
        <v>1.4956582520759048E-2</v>
      </c>
      <c r="P353" s="566">
        <v>0.62304458549346209</v>
      </c>
      <c r="Q353" s="566">
        <v>6.0399290522620171E-2</v>
      </c>
      <c r="R353" s="567">
        <v>0.99999999999999989</v>
      </c>
      <c r="S353" s="303">
        <v>9</v>
      </c>
    </row>
    <row r="354" spans="1:38" ht="15" customHeight="1" x14ac:dyDescent="0.25">
      <c r="A354" s="21" t="s">
        <v>3096</v>
      </c>
      <c r="B354" s="524">
        <v>0.28886647848116381</v>
      </c>
      <c r="C354" s="524">
        <v>5.9012032227971885E-3</v>
      </c>
      <c r="D354" s="524">
        <v>1.4617784677224615E-2</v>
      </c>
      <c r="E354" s="524">
        <v>0.60893132387784821</v>
      </c>
      <c r="F354" s="524">
        <v>5.9031120397414656E-2</v>
      </c>
      <c r="G354" s="524">
        <v>0.97734791065644855</v>
      </c>
      <c r="H354" s="524">
        <v>3.6403776250211206E-3</v>
      </c>
      <c r="I354" s="524">
        <v>3.4856288053626496E-3</v>
      </c>
      <c r="J354" s="524">
        <v>1.4534208502658304E-2</v>
      </c>
      <c r="K354" s="524">
        <v>9.9187441050948015E-4</v>
      </c>
      <c r="L354" s="524">
        <v>1</v>
      </c>
      <c r="M354" s="566">
        <v>0.29556156546868029</v>
      </c>
      <c r="N354" s="566">
        <v>6.0379759944783305E-3</v>
      </c>
      <c r="O354" s="566">
        <v>1.4956582520759048E-2</v>
      </c>
      <c r="P354" s="566">
        <v>0.62304458549346209</v>
      </c>
      <c r="Q354" s="566">
        <v>6.0399290522620171E-2</v>
      </c>
      <c r="R354" s="567">
        <v>0.99999999999999989</v>
      </c>
      <c r="S354" s="303">
        <v>24</v>
      </c>
    </row>
    <row r="355" spans="1:38" ht="15" customHeight="1" x14ac:dyDescent="0.25">
      <c r="A355" s="21" t="s">
        <v>3097</v>
      </c>
      <c r="B355" s="524">
        <v>0.28886647848116381</v>
      </c>
      <c r="C355" s="524">
        <v>5.9012032227971885E-3</v>
      </c>
      <c r="D355" s="524">
        <v>1.4617784677224615E-2</v>
      </c>
      <c r="E355" s="524">
        <v>0.60893132387784821</v>
      </c>
      <c r="F355" s="524">
        <v>5.9031120397414656E-2</v>
      </c>
      <c r="G355" s="524">
        <v>0.97734791065644855</v>
      </c>
      <c r="H355" s="524">
        <v>3.6403776250211206E-3</v>
      </c>
      <c r="I355" s="524">
        <v>3.4856288053626496E-3</v>
      </c>
      <c r="J355" s="524">
        <v>1.4534208502658304E-2</v>
      </c>
      <c r="K355" s="524">
        <v>9.9187441050948015E-4</v>
      </c>
      <c r="L355" s="524">
        <v>1</v>
      </c>
      <c r="M355" s="566">
        <v>0.29556156546868029</v>
      </c>
      <c r="N355" s="566">
        <v>6.0379759944783305E-3</v>
      </c>
      <c r="O355" s="566">
        <v>1.4956582520759048E-2</v>
      </c>
      <c r="P355" s="566">
        <v>0.62304458549346209</v>
      </c>
      <c r="Q355" s="566">
        <v>6.0399290522620171E-2</v>
      </c>
      <c r="R355" s="567">
        <v>0.99999999999999989</v>
      </c>
      <c r="S355" s="303">
        <v>40</v>
      </c>
    </row>
    <row r="356" spans="1:38" ht="15" customHeight="1" x14ac:dyDescent="0.25">
      <c r="A356" s="21" t="s">
        <v>3098</v>
      </c>
      <c r="B356" s="524">
        <v>0.28886647848116381</v>
      </c>
      <c r="C356" s="524">
        <v>5.9012032227971885E-3</v>
      </c>
      <c r="D356" s="524">
        <v>1.4617784677224615E-2</v>
      </c>
      <c r="E356" s="524">
        <v>0.60893132387784821</v>
      </c>
      <c r="F356" s="524">
        <v>5.9031120397414656E-2</v>
      </c>
      <c r="G356" s="524">
        <v>0.97734791065644855</v>
      </c>
      <c r="H356" s="524">
        <v>3.6403776250211206E-3</v>
      </c>
      <c r="I356" s="524">
        <v>3.4856288053626496E-3</v>
      </c>
      <c r="J356" s="524">
        <v>1.4534208502658304E-2</v>
      </c>
      <c r="K356" s="524">
        <v>9.9187441050948015E-4</v>
      </c>
      <c r="L356" s="524">
        <v>1</v>
      </c>
      <c r="M356" s="566">
        <v>0.29556156546868029</v>
      </c>
      <c r="N356" s="566">
        <v>6.0379759944783305E-3</v>
      </c>
      <c r="O356" s="566">
        <v>1.4956582520759048E-2</v>
      </c>
      <c r="P356" s="566">
        <v>0.62304458549346209</v>
      </c>
      <c r="Q356" s="566">
        <v>6.0399290522620171E-2</v>
      </c>
      <c r="R356" s="567">
        <v>0.99999999999999989</v>
      </c>
      <c r="S356" s="303">
        <v>4</v>
      </c>
    </row>
    <row r="357" spans="1:38" ht="15" customHeight="1" x14ac:dyDescent="0.25">
      <c r="A357" s="21" t="s">
        <v>3099</v>
      </c>
      <c r="B357" s="524">
        <v>0.28886647848116381</v>
      </c>
      <c r="C357" s="524">
        <v>5.9012032227971885E-3</v>
      </c>
      <c r="D357" s="524">
        <v>1.4617784677224615E-2</v>
      </c>
      <c r="E357" s="524">
        <v>0.60893132387784821</v>
      </c>
      <c r="F357" s="524">
        <v>5.9031120397414656E-2</v>
      </c>
      <c r="G357" s="524">
        <v>0.97734791065644855</v>
      </c>
      <c r="H357" s="524">
        <v>3.6403776250211206E-3</v>
      </c>
      <c r="I357" s="524">
        <v>3.4856288053626496E-3</v>
      </c>
      <c r="J357" s="524">
        <v>1.4534208502658304E-2</v>
      </c>
      <c r="K357" s="524">
        <v>9.9187441050948015E-4</v>
      </c>
      <c r="L357" s="524">
        <v>1</v>
      </c>
      <c r="M357" s="566">
        <v>0.29556156546868029</v>
      </c>
      <c r="N357" s="566">
        <v>6.0379759944783305E-3</v>
      </c>
      <c r="O357" s="566">
        <v>1.4956582520759048E-2</v>
      </c>
      <c r="P357" s="566">
        <v>0.62304458549346209</v>
      </c>
      <c r="Q357" s="566">
        <v>6.0399290522620171E-2</v>
      </c>
      <c r="R357" s="567">
        <v>0.99999999999999989</v>
      </c>
      <c r="S357" s="303">
        <v>1</v>
      </c>
    </row>
    <row r="358" spans="1:38" ht="15" customHeight="1" x14ac:dyDescent="0.25">
      <c r="A358" s="21" t="s">
        <v>3100</v>
      </c>
      <c r="B358" s="524">
        <v>0.28886647848116381</v>
      </c>
      <c r="C358" s="524">
        <v>5.9012032227971885E-3</v>
      </c>
      <c r="D358" s="524">
        <v>1.4617784677224615E-2</v>
      </c>
      <c r="E358" s="524">
        <v>0.60893132387784821</v>
      </c>
      <c r="F358" s="524">
        <v>5.9031120397414656E-2</v>
      </c>
      <c r="G358" s="524">
        <v>0.97734791065644855</v>
      </c>
      <c r="H358" s="524">
        <v>3.6403776250211206E-3</v>
      </c>
      <c r="I358" s="524">
        <v>3.4856288053626496E-3</v>
      </c>
      <c r="J358" s="524">
        <v>1.4534208502658304E-2</v>
      </c>
      <c r="K358" s="524">
        <v>9.9187441050948015E-4</v>
      </c>
      <c r="L358" s="524">
        <v>1</v>
      </c>
      <c r="M358" s="566">
        <v>0.29556156546868029</v>
      </c>
      <c r="N358" s="566">
        <v>6.0379759944783305E-3</v>
      </c>
      <c r="O358" s="566">
        <v>1.4956582520759048E-2</v>
      </c>
      <c r="P358" s="566">
        <v>0.62304458549346209</v>
      </c>
      <c r="Q358" s="566">
        <v>6.0399290522620171E-2</v>
      </c>
      <c r="R358" s="567">
        <v>0.99999999999999989</v>
      </c>
      <c r="S358" s="303">
        <v>17</v>
      </c>
    </row>
    <row r="359" spans="1:38" ht="15" customHeight="1" x14ac:dyDescent="0.25">
      <c r="A359" s="21" t="s">
        <v>3101</v>
      </c>
      <c r="B359" s="524">
        <v>0.24201562640199398</v>
      </c>
      <c r="C359" s="524">
        <v>8.303023243373335E-3</v>
      </c>
      <c r="D359" s="524">
        <v>3.2854940327892983E-2</v>
      </c>
      <c r="E359" s="524">
        <v>0.68018759720104649</v>
      </c>
      <c r="F359" s="524">
        <v>3.6308696718606238E-2</v>
      </c>
      <c r="G359" s="524">
        <v>0.99966988389291311</v>
      </c>
      <c r="H359" s="524">
        <v>3.3011610708698228E-4</v>
      </c>
      <c r="I359" s="524">
        <v>0</v>
      </c>
      <c r="J359" s="524">
        <v>0</v>
      </c>
      <c r="K359" s="524">
        <v>0</v>
      </c>
      <c r="L359" s="524">
        <v>1</v>
      </c>
      <c r="M359" s="566">
        <v>0.24209554604119618</v>
      </c>
      <c r="N359" s="566">
        <v>8.3057651102178987E-3</v>
      </c>
      <c r="O359" s="566">
        <v>3.2865789854496084E-2</v>
      </c>
      <c r="P359" s="566">
        <v>0.68041221223176285</v>
      </c>
      <c r="Q359" s="566">
        <v>3.6320686762326942E-2</v>
      </c>
      <c r="R359" s="567">
        <v>0.99999999999999989</v>
      </c>
      <c r="S359" s="303">
        <v>96</v>
      </c>
    </row>
    <row r="360" spans="1:38" ht="15" customHeight="1" x14ac:dyDescent="0.25">
      <c r="A360" s="21" t="s">
        <v>3102</v>
      </c>
      <c r="B360" s="524">
        <v>0.28886647848116381</v>
      </c>
      <c r="C360" s="524">
        <v>5.9012032227971885E-3</v>
      </c>
      <c r="D360" s="524">
        <v>1.4617784677224615E-2</v>
      </c>
      <c r="E360" s="524">
        <v>0.60893132387784821</v>
      </c>
      <c r="F360" s="524">
        <v>5.9031120397414656E-2</v>
      </c>
      <c r="G360" s="524">
        <v>0.97734791065644855</v>
      </c>
      <c r="H360" s="524">
        <v>3.6403776250211206E-3</v>
      </c>
      <c r="I360" s="524">
        <v>3.4856288053626496E-3</v>
      </c>
      <c r="J360" s="524">
        <v>1.4534208502658304E-2</v>
      </c>
      <c r="K360" s="524">
        <v>9.9187441050948015E-4</v>
      </c>
      <c r="L360" s="524">
        <v>1</v>
      </c>
      <c r="M360" s="566">
        <v>0.29556156546868029</v>
      </c>
      <c r="N360" s="566">
        <v>6.0379759944783305E-3</v>
      </c>
      <c r="O360" s="566">
        <v>1.4956582520759048E-2</v>
      </c>
      <c r="P360" s="566">
        <v>0.62304458549346209</v>
      </c>
      <c r="Q360" s="566">
        <v>6.0399290522620171E-2</v>
      </c>
      <c r="R360" s="567">
        <v>0.99999999999999989</v>
      </c>
      <c r="S360" s="303">
        <v>18</v>
      </c>
    </row>
    <row r="361" spans="1:38" ht="15" customHeight="1" x14ac:dyDescent="0.25">
      <c r="A361" s="21" t="s">
        <v>3103</v>
      </c>
      <c r="B361" s="524">
        <v>0.28886647848116381</v>
      </c>
      <c r="C361" s="524">
        <v>5.9012032227971885E-3</v>
      </c>
      <c r="D361" s="524">
        <v>1.4617784677224615E-2</v>
      </c>
      <c r="E361" s="524">
        <v>0.60893132387784821</v>
      </c>
      <c r="F361" s="524">
        <v>5.9031120397414656E-2</v>
      </c>
      <c r="G361" s="524">
        <v>0.97734791065644855</v>
      </c>
      <c r="H361" s="524">
        <v>3.6403776250211206E-3</v>
      </c>
      <c r="I361" s="524">
        <v>3.4856288053626496E-3</v>
      </c>
      <c r="J361" s="524">
        <v>1.4534208502658304E-2</v>
      </c>
      <c r="K361" s="524">
        <v>9.9187441050948015E-4</v>
      </c>
      <c r="L361" s="524">
        <v>1</v>
      </c>
      <c r="M361" s="566">
        <v>0.29556156546868029</v>
      </c>
      <c r="N361" s="566">
        <v>6.0379759944783305E-3</v>
      </c>
      <c r="O361" s="566">
        <v>1.4956582520759048E-2</v>
      </c>
      <c r="P361" s="566">
        <v>0.62304458549346209</v>
      </c>
      <c r="Q361" s="566">
        <v>6.0399290522620171E-2</v>
      </c>
      <c r="R361" s="567">
        <v>0.99999999999999989</v>
      </c>
      <c r="S361" s="303">
        <v>36</v>
      </c>
    </row>
    <row r="362" spans="1:38" ht="15" customHeight="1" x14ac:dyDescent="0.25">
      <c r="A362" s="21" t="s">
        <v>3104</v>
      </c>
      <c r="B362" s="524">
        <v>0.28886647848116381</v>
      </c>
      <c r="C362" s="524">
        <v>5.9012032227971885E-3</v>
      </c>
      <c r="D362" s="524">
        <v>1.4617784677224615E-2</v>
      </c>
      <c r="E362" s="524">
        <v>0.60893132387784821</v>
      </c>
      <c r="F362" s="524">
        <v>5.9031120397414656E-2</v>
      </c>
      <c r="G362" s="524">
        <v>0.97734791065644855</v>
      </c>
      <c r="H362" s="524">
        <v>3.6403776250211206E-3</v>
      </c>
      <c r="I362" s="524">
        <v>3.4856288053626496E-3</v>
      </c>
      <c r="J362" s="524">
        <v>1.4534208502658304E-2</v>
      </c>
      <c r="K362" s="524">
        <v>9.9187441050948015E-4</v>
      </c>
      <c r="L362" s="524">
        <v>1</v>
      </c>
      <c r="M362" s="566">
        <v>0.29556156546868029</v>
      </c>
      <c r="N362" s="566">
        <v>6.0379759944783305E-3</v>
      </c>
      <c r="O362" s="566">
        <v>1.4956582520759048E-2</v>
      </c>
      <c r="P362" s="566">
        <v>0.62304458549346209</v>
      </c>
      <c r="Q362" s="566">
        <v>6.0399290522620171E-2</v>
      </c>
      <c r="R362" s="567">
        <v>0.99999999999999989</v>
      </c>
      <c r="S362" s="303">
        <v>1</v>
      </c>
    </row>
    <row r="363" spans="1:38" ht="15" customHeight="1" x14ac:dyDescent="0.25">
      <c r="A363" s="568" t="s">
        <v>3105</v>
      </c>
      <c r="B363" s="569">
        <v>0.2074982463299434</v>
      </c>
      <c r="C363" s="569">
        <v>1.033024200296589E-2</v>
      </c>
      <c r="D363" s="569">
        <v>1.3903610549326675E-2</v>
      </c>
      <c r="E363" s="569">
        <v>0.72566215735056594</v>
      </c>
      <c r="F363" s="569">
        <v>1.5515914031306465E-2</v>
      </c>
      <c r="G363" s="569">
        <v>0.97291017026410842</v>
      </c>
      <c r="H363" s="569">
        <v>6.6496774419884841E-4</v>
      </c>
      <c r="I363" s="569">
        <v>0</v>
      </c>
      <c r="J363" s="569">
        <v>2.6424861991692802E-2</v>
      </c>
      <c r="K363" s="569">
        <v>0</v>
      </c>
      <c r="L363" s="569">
        <v>1</v>
      </c>
      <c r="M363" s="570">
        <v>0.21327585287099574</v>
      </c>
      <c r="N363" s="570">
        <v>1.0617878524346825E-2</v>
      </c>
      <c r="O363" s="570">
        <v>1.429074438141845E-2</v>
      </c>
      <c r="P363" s="570">
        <v>0.74586758318455648</v>
      </c>
      <c r="Q363" s="570">
        <v>1.5947941038682408E-2</v>
      </c>
      <c r="R363" s="571">
        <v>0.99999999999999989</v>
      </c>
      <c r="S363" s="303">
        <v>85</v>
      </c>
      <c r="U363" s="303" t="s">
        <v>3105</v>
      </c>
      <c r="V363" s="524">
        <v>0.2074982463299434</v>
      </c>
      <c r="W363" s="524">
        <v>1.033024200296589E-2</v>
      </c>
      <c r="X363" s="524">
        <v>1.3903610549326675E-2</v>
      </c>
      <c r="Y363" s="524">
        <v>0.72566215735056594</v>
      </c>
      <c r="Z363" s="524">
        <v>1.5515914031306465E-2</v>
      </c>
      <c r="AA363" s="524">
        <v>0.97291017026410842</v>
      </c>
      <c r="AB363" s="524">
        <v>6.6496774419884841E-4</v>
      </c>
      <c r="AC363" s="524">
        <v>0</v>
      </c>
      <c r="AD363" s="524">
        <v>2.6424861991692802E-2</v>
      </c>
      <c r="AE363" s="524">
        <v>0</v>
      </c>
      <c r="AF363" s="524">
        <v>1</v>
      </c>
      <c r="AG363" s="524">
        <v>0.21327585287099574</v>
      </c>
      <c r="AH363" s="524">
        <v>1.0617878524346825E-2</v>
      </c>
      <c r="AI363" s="524">
        <v>1.429074438141845E-2</v>
      </c>
      <c r="AJ363" s="524">
        <v>0.74586758318455648</v>
      </c>
      <c r="AK363" s="524">
        <v>1.5947941038682408E-2</v>
      </c>
      <c r="AL363" s="524">
        <v>0.99999999999999989</v>
      </c>
    </row>
    <row r="364" spans="1:38" ht="15" customHeight="1" x14ac:dyDescent="0.25">
      <c r="A364" s="568" t="s">
        <v>3106</v>
      </c>
      <c r="B364" s="569">
        <v>0.26842276118288877</v>
      </c>
      <c r="C364" s="569">
        <v>3.5070439827807704E-3</v>
      </c>
      <c r="D364" s="569">
        <v>3.3041241039039243E-2</v>
      </c>
      <c r="E364" s="569">
        <v>0.62816216878929465</v>
      </c>
      <c r="F364" s="569">
        <v>2.7768405437803689E-2</v>
      </c>
      <c r="G364" s="569">
        <v>0.96090162043180716</v>
      </c>
      <c r="H364" s="569">
        <v>9.3443912157567307E-3</v>
      </c>
      <c r="I364" s="569">
        <v>6.2049730249079107E-3</v>
      </c>
      <c r="J364" s="569">
        <v>2.3549015327528129E-2</v>
      </c>
      <c r="K364" s="569">
        <v>0</v>
      </c>
      <c r="L364" s="569">
        <v>0.99999999999999989</v>
      </c>
      <c r="M364" s="570">
        <v>0.27934468573615867</v>
      </c>
      <c r="N364" s="570">
        <v>3.6497430207317011E-3</v>
      </c>
      <c r="O364" s="570">
        <v>3.4385664813627086E-2</v>
      </c>
      <c r="P364" s="570">
        <v>0.65372162501611031</v>
      </c>
      <c r="Q364" s="570">
        <v>2.8898281413372164E-2</v>
      </c>
      <c r="R364" s="571">
        <v>0.99999999999999989</v>
      </c>
      <c r="S364" s="303">
        <v>123</v>
      </c>
      <c r="U364" s="303" t="s">
        <v>3106</v>
      </c>
      <c r="V364" s="524">
        <v>0.26842276118288877</v>
      </c>
      <c r="W364" s="524">
        <v>3.5070439827807704E-3</v>
      </c>
      <c r="X364" s="524">
        <v>3.3041241039039243E-2</v>
      </c>
      <c r="Y364" s="524">
        <v>0.62816216878929465</v>
      </c>
      <c r="Z364" s="524">
        <v>2.7768405437803689E-2</v>
      </c>
      <c r="AA364" s="524">
        <v>0.96090162043180716</v>
      </c>
      <c r="AB364" s="524">
        <v>9.3443912157567307E-3</v>
      </c>
      <c r="AC364" s="524">
        <v>6.2049730249079107E-3</v>
      </c>
      <c r="AD364" s="524">
        <v>2.3549015327528129E-2</v>
      </c>
      <c r="AE364" s="524">
        <v>0</v>
      </c>
      <c r="AF364" s="524">
        <v>0.99999999999999989</v>
      </c>
      <c r="AG364" s="524">
        <v>0.27934468573615867</v>
      </c>
      <c r="AH364" s="524">
        <v>3.6497430207317011E-3</v>
      </c>
      <c r="AI364" s="524">
        <v>3.4385664813627086E-2</v>
      </c>
      <c r="AJ364" s="524">
        <v>0.65372162501611031</v>
      </c>
      <c r="AK364" s="524">
        <v>2.8898281413372164E-2</v>
      </c>
      <c r="AL364" s="524">
        <v>0.99999999999999989</v>
      </c>
    </row>
    <row r="365" spans="1:38" ht="15" customHeight="1" x14ac:dyDescent="0.25">
      <c r="A365" s="21" t="s">
        <v>3107</v>
      </c>
      <c r="B365" s="524">
        <v>0.28886647848116381</v>
      </c>
      <c r="C365" s="524">
        <v>5.9012032227971885E-3</v>
      </c>
      <c r="D365" s="524">
        <v>1.4617784677224615E-2</v>
      </c>
      <c r="E365" s="524">
        <v>0.60893132387784821</v>
      </c>
      <c r="F365" s="524">
        <v>5.9031120397414656E-2</v>
      </c>
      <c r="G365" s="524">
        <v>0.97734791065644855</v>
      </c>
      <c r="H365" s="524">
        <v>3.6403776250211206E-3</v>
      </c>
      <c r="I365" s="524">
        <v>3.4856288053626496E-3</v>
      </c>
      <c r="J365" s="524">
        <v>1.4534208502658304E-2</v>
      </c>
      <c r="K365" s="524">
        <v>9.9187441050948015E-4</v>
      </c>
      <c r="L365" s="524">
        <v>1</v>
      </c>
      <c r="M365" s="566">
        <v>0.29556156546868029</v>
      </c>
      <c r="N365" s="566">
        <v>6.0379759944783305E-3</v>
      </c>
      <c r="O365" s="566">
        <v>1.4956582520759048E-2</v>
      </c>
      <c r="P365" s="566">
        <v>0.62304458549346209</v>
      </c>
      <c r="Q365" s="566">
        <v>6.0399290522620171E-2</v>
      </c>
      <c r="R365" s="567">
        <v>0.99999999999999989</v>
      </c>
      <c r="S365" s="303">
        <v>32</v>
      </c>
      <c r="U365" s="303" t="s">
        <v>3112</v>
      </c>
      <c r="V365" s="524">
        <v>0.29823959572111042</v>
      </c>
      <c r="W365" s="524">
        <v>7.0592953484171755E-3</v>
      </c>
      <c r="X365" s="524">
        <v>3.5471145928866785E-2</v>
      </c>
      <c r="Y365" s="524">
        <v>0.62998874494553114</v>
      </c>
      <c r="Z365" s="524">
        <v>1.1226691921194408E-2</v>
      </c>
      <c r="AA365" s="524">
        <v>0.98198547386511992</v>
      </c>
      <c r="AB365" s="524">
        <v>9.1684650689754336E-3</v>
      </c>
      <c r="AC365" s="524">
        <v>6.6612965109615124E-3</v>
      </c>
      <c r="AD365" s="524">
        <v>2.1847645549429996E-3</v>
      </c>
      <c r="AE365" s="524">
        <v>0</v>
      </c>
      <c r="AF365" s="524">
        <v>0.99999999999999978</v>
      </c>
      <c r="AG365" s="524">
        <v>0.30371080189937205</v>
      </c>
      <c r="AH365" s="524">
        <v>7.1887981403957113E-3</v>
      </c>
      <c r="AI365" s="524">
        <v>3.6121864195456425E-2</v>
      </c>
      <c r="AJ365" s="524">
        <v>0.64154589015036989</v>
      </c>
      <c r="AK365" s="524">
        <v>1.1432645614405946E-2</v>
      </c>
      <c r="AL365" s="524">
        <v>1</v>
      </c>
    </row>
    <row r="366" spans="1:38" ht="15" customHeight="1" x14ac:dyDescent="0.25">
      <c r="A366" s="21" t="s">
        <v>3108</v>
      </c>
      <c r="B366" s="524">
        <v>0.28886647848116381</v>
      </c>
      <c r="C366" s="524">
        <v>5.9012032227971885E-3</v>
      </c>
      <c r="D366" s="524">
        <v>1.4617784677224615E-2</v>
      </c>
      <c r="E366" s="524">
        <v>0.60893132387784821</v>
      </c>
      <c r="F366" s="524">
        <v>5.9031120397414656E-2</v>
      </c>
      <c r="G366" s="524">
        <v>0.97734791065644855</v>
      </c>
      <c r="H366" s="524">
        <v>3.6403776250211206E-3</v>
      </c>
      <c r="I366" s="524">
        <v>3.4856288053626496E-3</v>
      </c>
      <c r="J366" s="524">
        <v>1.4534208502658304E-2</v>
      </c>
      <c r="K366" s="524">
        <v>9.9187441050948015E-4</v>
      </c>
      <c r="L366" s="524">
        <v>1</v>
      </c>
      <c r="M366" s="566">
        <v>0.29556156546868029</v>
      </c>
      <c r="N366" s="566">
        <v>6.0379759944783305E-3</v>
      </c>
      <c r="O366" s="566">
        <v>1.4956582520759048E-2</v>
      </c>
      <c r="P366" s="566">
        <v>0.62304458549346209</v>
      </c>
      <c r="Q366" s="566">
        <v>6.0399290522620171E-2</v>
      </c>
      <c r="R366" s="567">
        <v>0.99999999999999989</v>
      </c>
      <c r="S366" s="303">
        <v>19</v>
      </c>
      <c r="U366" s="303" t="s">
        <v>3113</v>
      </c>
      <c r="V366" s="524">
        <v>0.24530498163358674</v>
      </c>
      <c r="W366" s="524">
        <v>0</v>
      </c>
      <c r="X366" s="524">
        <v>1.8752781299800472E-2</v>
      </c>
      <c r="Y366" s="524">
        <v>0.71285384830642307</v>
      </c>
      <c r="Z366" s="524">
        <v>8.5182467756854622E-3</v>
      </c>
      <c r="AA366" s="524">
        <v>0.98542985801549576</v>
      </c>
      <c r="AB366" s="524">
        <v>2.4180829556784537E-3</v>
      </c>
      <c r="AC366" s="524">
        <v>0</v>
      </c>
      <c r="AD366" s="524">
        <v>8.6627618344844275E-3</v>
      </c>
      <c r="AE366" s="524">
        <v>3.4892971943412026E-3</v>
      </c>
      <c r="AF366" s="524">
        <v>0.99999999999999989</v>
      </c>
      <c r="AG366" s="524">
        <v>0.24893195557073261</v>
      </c>
      <c r="AH366" s="524">
        <v>0</v>
      </c>
      <c r="AI366" s="524">
        <v>1.903005185733431E-2</v>
      </c>
      <c r="AJ366" s="524">
        <v>0.72339379866366249</v>
      </c>
      <c r="AK366" s="524">
        <v>8.6441939082705505E-3</v>
      </c>
      <c r="AL366" s="524">
        <v>0.99999999999999989</v>
      </c>
    </row>
    <row r="367" spans="1:38" ht="15" customHeight="1" x14ac:dyDescent="0.25">
      <c r="A367" s="21" t="s">
        <v>3109</v>
      </c>
      <c r="B367" s="524">
        <v>0.28886647848116381</v>
      </c>
      <c r="C367" s="524">
        <v>5.9012032227971885E-3</v>
      </c>
      <c r="D367" s="524">
        <v>1.4617784677224615E-2</v>
      </c>
      <c r="E367" s="524">
        <v>0.60893132387784821</v>
      </c>
      <c r="F367" s="524">
        <v>5.9031120397414656E-2</v>
      </c>
      <c r="G367" s="524">
        <v>0.97734791065644855</v>
      </c>
      <c r="H367" s="524">
        <v>3.6403776250211206E-3</v>
      </c>
      <c r="I367" s="524">
        <v>3.4856288053626496E-3</v>
      </c>
      <c r="J367" s="524">
        <v>1.4534208502658304E-2</v>
      </c>
      <c r="K367" s="524">
        <v>9.9187441050948015E-4</v>
      </c>
      <c r="L367" s="524">
        <v>1</v>
      </c>
      <c r="M367" s="566">
        <v>0.29556156546868029</v>
      </c>
      <c r="N367" s="566">
        <v>6.0379759944783305E-3</v>
      </c>
      <c r="O367" s="566">
        <v>1.4956582520759048E-2</v>
      </c>
      <c r="P367" s="566">
        <v>0.62304458549346209</v>
      </c>
      <c r="Q367" s="566">
        <v>6.0399290522620171E-2</v>
      </c>
      <c r="R367" s="567">
        <v>0.99999999999999989</v>
      </c>
      <c r="S367" s="303">
        <v>10</v>
      </c>
      <c r="U367" s="303" t="s">
        <v>3132</v>
      </c>
      <c r="V367" s="524">
        <v>0.28886647848116381</v>
      </c>
      <c r="W367" s="524">
        <v>5.9012032227971885E-3</v>
      </c>
      <c r="X367" s="524">
        <v>1.4617784677224615E-2</v>
      </c>
      <c r="Y367" s="524">
        <v>0.60893132387784821</v>
      </c>
      <c r="Z367" s="524">
        <v>5.9031120397414656E-2</v>
      </c>
      <c r="AA367" s="524">
        <v>0.97734791065644855</v>
      </c>
      <c r="AB367" s="524">
        <v>3.6403776250211206E-3</v>
      </c>
      <c r="AC367" s="524">
        <v>3.4856288053626496E-3</v>
      </c>
      <c r="AD367" s="524">
        <v>1.4534208502658304E-2</v>
      </c>
      <c r="AE367" s="524">
        <v>9.9187441050948015E-4</v>
      </c>
      <c r="AF367" s="524">
        <v>1</v>
      </c>
      <c r="AG367" s="524">
        <v>0.29556156546868029</v>
      </c>
      <c r="AH367" s="524">
        <v>6.0379759944783305E-3</v>
      </c>
      <c r="AI367" s="524">
        <v>1.4956582520759048E-2</v>
      </c>
      <c r="AJ367" s="524">
        <v>0.62304458549346209</v>
      </c>
      <c r="AK367" s="524">
        <v>6.0399290522620171E-2</v>
      </c>
      <c r="AL367" s="524">
        <v>0.99999999999999989</v>
      </c>
    </row>
    <row r="368" spans="1:38" ht="15" customHeight="1" x14ac:dyDescent="0.25">
      <c r="A368" s="21" t="s">
        <v>3110</v>
      </c>
      <c r="B368" s="524">
        <v>0.28886647848116381</v>
      </c>
      <c r="C368" s="524">
        <v>5.9012032227971885E-3</v>
      </c>
      <c r="D368" s="524">
        <v>1.4617784677224615E-2</v>
      </c>
      <c r="E368" s="524">
        <v>0.60893132387784821</v>
      </c>
      <c r="F368" s="524">
        <v>5.9031120397414656E-2</v>
      </c>
      <c r="G368" s="524">
        <v>0.97734791065644855</v>
      </c>
      <c r="H368" s="524">
        <v>3.6403776250211206E-3</v>
      </c>
      <c r="I368" s="524">
        <v>3.4856288053626496E-3</v>
      </c>
      <c r="J368" s="524">
        <v>1.4534208502658304E-2</v>
      </c>
      <c r="K368" s="524">
        <v>9.9187441050948015E-4</v>
      </c>
      <c r="L368" s="524">
        <v>1</v>
      </c>
      <c r="M368" s="566">
        <v>0.29556156546868029</v>
      </c>
      <c r="N368" s="566">
        <v>6.0379759944783305E-3</v>
      </c>
      <c r="O368" s="566">
        <v>1.4956582520759048E-2</v>
      </c>
      <c r="P368" s="566">
        <v>0.62304458549346209</v>
      </c>
      <c r="Q368" s="566">
        <v>6.0399290522620171E-2</v>
      </c>
      <c r="R368" s="567">
        <v>0.99999999999999989</v>
      </c>
      <c r="S368" s="303">
        <v>1</v>
      </c>
    </row>
    <row r="369" spans="1:25" ht="15" customHeight="1" x14ac:dyDescent="0.25">
      <c r="A369" s="21" t="s">
        <v>3111</v>
      </c>
      <c r="B369" s="524">
        <v>0.28886647848116381</v>
      </c>
      <c r="C369" s="524">
        <v>5.9012032227971885E-3</v>
      </c>
      <c r="D369" s="524">
        <v>1.4617784677224615E-2</v>
      </c>
      <c r="E369" s="524">
        <v>0.60893132387784821</v>
      </c>
      <c r="F369" s="524">
        <v>5.9031120397414656E-2</v>
      </c>
      <c r="G369" s="524">
        <v>0.97734791065644855</v>
      </c>
      <c r="H369" s="524">
        <v>3.6403776250211206E-3</v>
      </c>
      <c r="I369" s="524">
        <v>3.4856288053626496E-3</v>
      </c>
      <c r="J369" s="524">
        <v>1.4534208502658304E-2</v>
      </c>
      <c r="K369" s="524">
        <v>9.9187441050948015E-4</v>
      </c>
      <c r="L369" s="524">
        <v>1</v>
      </c>
      <c r="M369" s="566">
        <v>0.29556156546868029</v>
      </c>
      <c r="N369" s="566">
        <v>6.0379759944783305E-3</v>
      </c>
      <c r="O369" s="566">
        <v>1.4956582520759048E-2</v>
      </c>
      <c r="P369" s="566">
        <v>0.62304458549346209</v>
      </c>
      <c r="Q369" s="566">
        <v>6.0399290522620171E-2</v>
      </c>
      <c r="R369" s="567">
        <v>0.99999999999999989</v>
      </c>
      <c r="S369" s="303">
        <v>2</v>
      </c>
      <c r="T369" s="117" t="s">
        <v>3036</v>
      </c>
      <c r="U369" s="303" t="s">
        <v>3105</v>
      </c>
      <c r="V369" s="303" t="s">
        <v>3106</v>
      </c>
      <c r="W369" s="303" t="s">
        <v>3112</v>
      </c>
      <c r="X369" s="303" t="s">
        <v>3113</v>
      </c>
      <c r="Y369" s="303" t="s">
        <v>3132</v>
      </c>
    </row>
    <row r="370" spans="1:25" ht="15" customHeight="1" x14ac:dyDescent="0.25">
      <c r="A370" s="568" t="s">
        <v>3112</v>
      </c>
      <c r="B370" s="569">
        <v>0.29823959572111042</v>
      </c>
      <c r="C370" s="569">
        <v>7.0592953484171755E-3</v>
      </c>
      <c r="D370" s="569">
        <v>3.5471145928866785E-2</v>
      </c>
      <c r="E370" s="569">
        <v>0.62998874494553114</v>
      </c>
      <c r="F370" s="569">
        <v>1.1226691921194408E-2</v>
      </c>
      <c r="G370" s="569">
        <v>0.98198547386511992</v>
      </c>
      <c r="H370" s="569">
        <v>9.1684650689754336E-3</v>
      </c>
      <c r="I370" s="569">
        <v>6.6612965109615124E-3</v>
      </c>
      <c r="J370" s="569">
        <v>2.1847645549429996E-3</v>
      </c>
      <c r="K370" s="569">
        <v>0</v>
      </c>
      <c r="L370" s="569">
        <v>0.99999999999999978</v>
      </c>
      <c r="M370" s="570">
        <v>0.30371080189937205</v>
      </c>
      <c r="N370" s="570">
        <v>7.1887981403957113E-3</v>
      </c>
      <c r="O370" s="570">
        <v>3.6121864195456425E-2</v>
      </c>
      <c r="P370" s="570">
        <v>0.64154589015036989</v>
      </c>
      <c r="Q370" s="570">
        <v>1.1432645614405946E-2</v>
      </c>
      <c r="R370" s="571">
        <v>1</v>
      </c>
      <c r="S370" s="303">
        <v>134</v>
      </c>
      <c r="T370" s="117" t="s">
        <v>3152</v>
      </c>
      <c r="U370" s="524">
        <v>0.2074982463299434</v>
      </c>
      <c r="V370" s="524">
        <v>0.26842276118288877</v>
      </c>
      <c r="W370" s="524">
        <v>0.29823959572111042</v>
      </c>
      <c r="X370" s="524">
        <v>0.24530498163358674</v>
      </c>
      <c r="Y370" s="524">
        <v>0.28886647848116381</v>
      </c>
    </row>
    <row r="371" spans="1:25" ht="15" customHeight="1" x14ac:dyDescent="0.25">
      <c r="A371" s="568" t="s">
        <v>3113</v>
      </c>
      <c r="B371" s="569">
        <v>0.24530498163358674</v>
      </c>
      <c r="C371" s="569">
        <v>0</v>
      </c>
      <c r="D371" s="569">
        <v>1.8752781299800472E-2</v>
      </c>
      <c r="E371" s="569">
        <v>0.71285384830642307</v>
      </c>
      <c r="F371" s="569">
        <v>8.5182467756854622E-3</v>
      </c>
      <c r="G371" s="569">
        <v>0.98542985801549576</v>
      </c>
      <c r="H371" s="569">
        <v>2.4180829556784537E-3</v>
      </c>
      <c r="I371" s="569">
        <v>0</v>
      </c>
      <c r="J371" s="569">
        <v>8.6627618344844275E-3</v>
      </c>
      <c r="K371" s="569">
        <v>3.4892971943412026E-3</v>
      </c>
      <c r="L371" s="569">
        <v>0.99999999999999989</v>
      </c>
      <c r="M371" s="570">
        <v>0.24893195557073261</v>
      </c>
      <c r="N371" s="570">
        <v>0</v>
      </c>
      <c r="O371" s="570">
        <v>1.903005185733431E-2</v>
      </c>
      <c r="P371" s="570">
        <v>0.72339379866366249</v>
      </c>
      <c r="Q371" s="570">
        <v>8.6441939082705505E-3</v>
      </c>
      <c r="R371" s="571">
        <v>0.99999999999999989</v>
      </c>
      <c r="S371" s="303">
        <v>81</v>
      </c>
      <c r="T371" s="117" t="s">
        <v>3153</v>
      </c>
      <c r="U371" s="524">
        <v>1.033024200296589E-2</v>
      </c>
      <c r="V371" s="524">
        <v>3.5070439827807704E-3</v>
      </c>
      <c r="W371" s="524">
        <v>7.0592953484171755E-3</v>
      </c>
      <c r="X371" s="524">
        <v>0</v>
      </c>
      <c r="Y371" s="524">
        <v>5.9012032227971885E-3</v>
      </c>
    </row>
    <row r="372" spans="1:25" ht="15" customHeight="1" x14ac:dyDescent="0.25">
      <c r="A372" s="21" t="s">
        <v>3114</v>
      </c>
      <c r="B372" s="524">
        <v>0.28886647848116381</v>
      </c>
      <c r="C372" s="524">
        <v>5.9012032227971885E-3</v>
      </c>
      <c r="D372" s="524">
        <v>1.4617784677224615E-2</v>
      </c>
      <c r="E372" s="524">
        <v>0.60893132387784821</v>
      </c>
      <c r="F372" s="524">
        <v>5.9031120397414656E-2</v>
      </c>
      <c r="G372" s="524">
        <v>0.97734791065644855</v>
      </c>
      <c r="H372" s="524">
        <v>3.6403776250211206E-3</v>
      </c>
      <c r="I372" s="524">
        <v>3.4856288053626496E-3</v>
      </c>
      <c r="J372" s="524">
        <v>1.4534208502658304E-2</v>
      </c>
      <c r="K372" s="524">
        <v>9.9187441050948015E-4</v>
      </c>
      <c r="L372" s="524">
        <v>1</v>
      </c>
      <c r="M372" s="566">
        <v>0.29556156546868029</v>
      </c>
      <c r="N372" s="566">
        <v>6.0379759944783305E-3</v>
      </c>
      <c r="O372" s="566">
        <v>1.4956582520759048E-2</v>
      </c>
      <c r="P372" s="566">
        <v>0.62304458549346209</v>
      </c>
      <c r="Q372" s="566">
        <v>6.0399290522620171E-2</v>
      </c>
      <c r="R372" s="567">
        <v>0.99999999999999989</v>
      </c>
      <c r="S372" s="303">
        <v>5</v>
      </c>
      <c r="T372" s="117" t="s">
        <v>3154</v>
      </c>
      <c r="U372" s="524">
        <v>1.3903610549326675E-2</v>
      </c>
      <c r="V372" s="524">
        <v>3.3041241039039243E-2</v>
      </c>
      <c r="W372" s="524">
        <v>3.5471145928866785E-2</v>
      </c>
      <c r="X372" s="524">
        <v>1.8752781299800472E-2</v>
      </c>
      <c r="Y372" s="524">
        <v>1.4617784677224615E-2</v>
      </c>
    </row>
    <row r="373" spans="1:25" ht="15" customHeight="1" x14ac:dyDescent="0.25">
      <c r="A373" s="21" t="s">
        <v>3115</v>
      </c>
      <c r="B373" s="524">
        <v>0.28886647848116381</v>
      </c>
      <c r="C373" s="524">
        <v>5.9012032227971885E-3</v>
      </c>
      <c r="D373" s="524">
        <v>1.4617784677224615E-2</v>
      </c>
      <c r="E373" s="524">
        <v>0.60893132387784821</v>
      </c>
      <c r="F373" s="524">
        <v>5.9031120397414656E-2</v>
      </c>
      <c r="G373" s="524">
        <v>0.97734791065644855</v>
      </c>
      <c r="H373" s="524">
        <v>3.6403776250211206E-3</v>
      </c>
      <c r="I373" s="524">
        <v>3.4856288053626496E-3</v>
      </c>
      <c r="J373" s="524">
        <v>1.4534208502658304E-2</v>
      </c>
      <c r="K373" s="524">
        <v>9.9187441050948015E-4</v>
      </c>
      <c r="L373" s="524">
        <v>1</v>
      </c>
      <c r="M373" s="566">
        <v>0.29556156546868029</v>
      </c>
      <c r="N373" s="566">
        <v>6.0379759944783305E-3</v>
      </c>
      <c r="O373" s="566">
        <v>1.4956582520759048E-2</v>
      </c>
      <c r="P373" s="566">
        <v>0.62304458549346209</v>
      </c>
      <c r="Q373" s="566">
        <v>6.0399290522620171E-2</v>
      </c>
      <c r="R373" s="567">
        <v>0.99999999999999989</v>
      </c>
      <c r="S373" s="303">
        <v>2</v>
      </c>
      <c r="T373" s="117" t="s">
        <v>3155</v>
      </c>
      <c r="U373" s="524">
        <v>0.72566215735056594</v>
      </c>
      <c r="V373" s="524">
        <v>0.62816216878929465</v>
      </c>
      <c r="W373" s="524">
        <v>0.62998874494553114</v>
      </c>
      <c r="X373" s="524">
        <v>0.71285384830642307</v>
      </c>
      <c r="Y373" s="524">
        <v>0.60893132387784821</v>
      </c>
    </row>
    <row r="374" spans="1:25" ht="15" customHeight="1" x14ac:dyDescent="0.25">
      <c r="A374" s="21" t="s">
        <v>3116</v>
      </c>
      <c r="B374" s="524">
        <v>0.28886647848116381</v>
      </c>
      <c r="C374" s="524">
        <v>5.9012032227971885E-3</v>
      </c>
      <c r="D374" s="524">
        <v>1.4617784677224615E-2</v>
      </c>
      <c r="E374" s="524">
        <v>0.60893132387784821</v>
      </c>
      <c r="F374" s="524">
        <v>5.9031120397414656E-2</v>
      </c>
      <c r="G374" s="524">
        <v>0.97734791065644855</v>
      </c>
      <c r="H374" s="524">
        <v>3.6403776250211206E-3</v>
      </c>
      <c r="I374" s="524">
        <v>3.4856288053626496E-3</v>
      </c>
      <c r="J374" s="524">
        <v>1.4534208502658304E-2</v>
      </c>
      <c r="K374" s="524">
        <v>9.9187441050948015E-4</v>
      </c>
      <c r="L374" s="524">
        <v>1</v>
      </c>
      <c r="M374" s="566">
        <v>0.29556156546868029</v>
      </c>
      <c r="N374" s="566">
        <v>6.0379759944783305E-3</v>
      </c>
      <c r="O374" s="566">
        <v>1.4956582520759048E-2</v>
      </c>
      <c r="P374" s="566">
        <v>0.62304458549346209</v>
      </c>
      <c r="Q374" s="566">
        <v>6.0399290522620171E-2</v>
      </c>
      <c r="R374" s="567">
        <v>0.99999999999999989</v>
      </c>
      <c r="S374" s="303">
        <v>16</v>
      </c>
      <c r="T374" s="117" t="s">
        <v>3156</v>
      </c>
      <c r="U374" s="524">
        <v>1.5515914031306465E-2</v>
      </c>
      <c r="V374" s="524">
        <v>2.7768405437803689E-2</v>
      </c>
      <c r="W374" s="524">
        <v>1.1226691921194408E-2</v>
      </c>
      <c r="X374" s="524">
        <v>8.5182467756854622E-3</v>
      </c>
      <c r="Y374" s="524">
        <v>5.9031120397414656E-2</v>
      </c>
    </row>
    <row r="375" spans="1:25" ht="15" customHeight="1" x14ac:dyDescent="0.25">
      <c r="A375" s="21" t="s">
        <v>3117</v>
      </c>
      <c r="B375" s="524">
        <v>0.28886647848116381</v>
      </c>
      <c r="C375" s="524">
        <v>5.9012032227971885E-3</v>
      </c>
      <c r="D375" s="524">
        <v>1.4617784677224615E-2</v>
      </c>
      <c r="E375" s="524">
        <v>0.60893132387784821</v>
      </c>
      <c r="F375" s="524">
        <v>5.9031120397414656E-2</v>
      </c>
      <c r="G375" s="524">
        <v>0.97734791065644855</v>
      </c>
      <c r="H375" s="524">
        <v>3.6403776250211206E-3</v>
      </c>
      <c r="I375" s="524">
        <v>3.4856288053626496E-3</v>
      </c>
      <c r="J375" s="524">
        <v>1.4534208502658304E-2</v>
      </c>
      <c r="K375" s="524">
        <v>9.9187441050948015E-4</v>
      </c>
      <c r="L375" s="524">
        <v>1</v>
      </c>
      <c r="M375" s="566">
        <v>0.29556156546868029</v>
      </c>
      <c r="N375" s="566">
        <v>6.0379759944783305E-3</v>
      </c>
      <c r="O375" s="566">
        <v>1.4956582520759048E-2</v>
      </c>
      <c r="P375" s="566">
        <v>0.62304458549346209</v>
      </c>
      <c r="Q375" s="566">
        <v>6.0399290522620171E-2</v>
      </c>
      <c r="R375" s="567">
        <v>0.99999999999999989</v>
      </c>
      <c r="S375" s="303">
        <v>2</v>
      </c>
      <c r="T375" s="117" t="s">
        <v>3157</v>
      </c>
      <c r="U375" s="524">
        <v>0.97291017026410842</v>
      </c>
      <c r="V375" s="524">
        <v>0.96090162043180716</v>
      </c>
      <c r="W375" s="524">
        <v>0.98198547386511992</v>
      </c>
      <c r="X375" s="524">
        <v>0.98542985801549576</v>
      </c>
      <c r="Y375" s="524">
        <v>0.97734791065644855</v>
      </c>
    </row>
    <row r="376" spans="1:25" ht="15" customHeight="1" x14ac:dyDescent="0.25">
      <c r="A376" s="21" t="s">
        <v>3118</v>
      </c>
      <c r="B376" s="524">
        <v>0.28886647848116381</v>
      </c>
      <c r="C376" s="524">
        <v>5.9012032227971885E-3</v>
      </c>
      <c r="D376" s="524">
        <v>1.4617784677224615E-2</v>
      </c>
      <c r="E376" s="524">
        <v>0.60893132387784821</v>
      </c>
      <c r="F376" s="524">
        <v>5.9031120397414656E-2</v>
      </c>
      <c r="G376" s="524">
        <v>0.97734791065644855</v>
      </c>
      <c r="H376" s="524">
        <v>3.6403776250211206E-3</v>
      </c>
      <c r="I376" s="524">
        <v>3.4856288053626496E-3</v>
      </c>
      <c r="J376" s="524">
        <v>1.4534208502658304E-2</v>
      </c>
      <c r="K376" s="524">
        <v>9.9187441050948015E-4</v>
      </c>
      <c r="L376" s="524">
        <v>1</v>
      </c>
      <c r="M376" s="566">
        <v>0.29556156546868029</v>
      </c>
      <c r="N376" s="566">
        <v>6.0379759944783305E-3</v>
      </c>
      <c r="O376" s="566">
        <v>1.4956582520759048E-2</v>
      </c>
      <c r="P376" s="566">
        <v>0.62304458549346209</v>
      </c>
      <c r="Q376" s="566">
        <v>6.0399290522620171E-2</v>
      </c>
      <c r="R376" s="567">
        <v>0.99999999999999989</v>
      </c>
      <c r="S376" s="303">
        <v>1</v>
      </c>
      <c r="T376" s="117" t="s">
        <v>2210</v>
      </c>
      <c r="U376" s="524">
        <v>6.6496774419884841E-4</v>
      </c>
      <c r="V376" s="524">
        <v>9.3443912157567307E-3</v>
      </c>
      <c r="W376" s="524">
        <v>9.1684650689754336E-3</v>
      </c>
      <c r="X376" s="524">
        <v>2.4180829556784537E-3</v>
      </c>
      <c r="Y376" s="524">
        <v>3.6403776250211206E-3</v>
      </c>
    </row>
    <row r="377" spans="1:25" ht="15" customHeight="1" x14ac:dyDescent="0.25">
      <c r="A377" s="21" t="s">
        <v>3119</v>
      </c>
      <c r="B377" s="524">
        <v>0.28886647848116381</v>
      </c>
      <c r="C377" s="524">
        <v>5.9012032227971885E-3</v>
      </c>
      <c r="D377" s="524">
        <v>1.4617784677224615E-2</v>
      </c>
      <c r="E377" s="524">
        <v>0.60893132387784821</v>
      </c>
      <c r="F377" s="524">
        <v>5.9031120397414656E-2</v>
      </c>
      <c r="G377" s="524">
        <v>0.97734791065644855</v>
      </c>
      <c r="H377" s="524">
        <v>3.6403776250211206E-3</v>
      </c>
      <c r="I377" s="524">
        <v>3.4856288053626496E-3</v>
      </c>
      <c r="J377" s="524">
        <v>1.4534208502658304E-2</v>
      </c>
      <c r="K377" s="524">
        <v>9.9187441050948015E-4</v>
      </c>
      <c r="L377" s="524">
        <v>1</v>
      </c>
      <c r="M377" s="566">
        <v>0.29556156546868029</v>
      </c>
      <c r="N377" s="566">
        <v>6.0379759944783305E-3</v>
      </c>
      <c r="O377" s="566">
        <v>1.4956582520759048E-2</v>
      </c>
      <c r="P377" s="566">
        <v>0.62304458549346209</v>
      </c>
      <c r="Q377" s="566">
        <v>6.0399290522620171E-2</v>
      </c>
      <c r="R377" s="567">
        <v>0.99999999999999989</v>
      </c>
      <c r="S377" s="303">
        <v>1</v>
      </c>
      <c r="T377" s="117" t="s">
        <v>3044</v>
      </c>
      <c r="U377" s="524">
        <v>0</v>
      </c>
      <c r="V377" s="524">
        <v>6.2049730249079107E-3</v>
      </c>
      <c r="W377" s="524">
        <v>6.6612965109615124E-3</v>
      </c>
      <c r="X377" s="524">
        <v>0</v>
      </c>
      <c r="Y377" s="524">
        <v>3.4856288053626496E-3</v>
      </c>
    </row>
    <row r="378" spans="1:25" ht="15" customHeight="1" x14ac:dyDescent="0.25">
      <c r="A378" s="21" t="s">
        <v>3120</v>
      </c>
      <c r="B378" s="524">
        <v>0.28886647848116381</v>
      </c>
      <c r="C378" s="524">
        <v>5.9012032227971885E-3</v>
      </c>
      <c r="D378" s="524">
        <v>1.4617784677224615E-2</v>
      </c>
      <c r="E378" s="524">
        <v>0.60893132387784821</v>
      </c>
      <c r="F378" s="524">
        <v>5.9031120397414656E-2</v>
      </c>
      <c r="G378" s="524">
        <v>0.97734791065644855</v>
      </c>
      <c r="H378" s="524">
        <v>3.6403776250211206E-3</v>
      </c>
      <c r="I378" s="524">
        <v>3.4856288053626496E-3</v>
      </c>
      <c r="J378" s="524">
        <v>1.4534208502658304E-2</v>
      </c>
      <c r="K378" s="524">
        <v>9.9187441050948015E-4</v>
      </c>
      <c r="L378" s="524">
        <v>1</v>
      </c>
      <c r="M378" s="566">
        <v>0.29556156546868029</v>
      </c>
      <c r="N378" s="566">
        <v>6.0379759944783305E-3</v>
      </c>
      <c r="O378" s="566">
        <v>1.4956582520759048E-2</v>
      </c>
      <c r="P378" s="566">
        <v>0.62304458549346209</v>
      </c>
      <c r="Q378" s="566">
        <v>6.0399290522620171E-2</v>
      </c>
      <c r="R378" s="567">
        <v>0.99999999999999989</v>
      </c>
      <c r="S378" s="303">
        <v>1</v>
      </c>
      <c r="T378" s="117" t="s">
        <v>2223</v>
      </c>
      <c r="U378" s="524">
        <v>2.6424861991692802E-2</v>
      </c>
      <c r="V378" s="524">
        <v>2.3549015327528129E-2</v>
      </c>
      <c r="W378" s="524">
        <v>2.1847645549429996E-3</v>
      </c>
      <c r="X378" s="524">
        <v>8.6627618344844275E-3</v>
      </c>
      <c r="Y378" s="524">
        <v>1.4534208502658304E-2</v>
      </c>
    </row>
    <row r="379" spans="1:25" ht="15" customHeight="1" x14ac:dyDescent="0.25">
      <c r="A379" s="21" t="s">
        <v>3121</v>
      </c>
      <c r="B379" s="524">
        <v>0.28886647848116381</v>
      </c>
      <c r="C379" s="524">
        <v>5.9012032227971885E-3</v>
      </c>
      <c r="D379" s="524">
        <v>1.4617784677224615E-2</v>
      </c>
      <c r="E379" s="524">
        <v>0.60893132387784821</v>
      </c>
      <c r="F379" s="524">
        <v>5.9031120397414656E-2</v>
      </c>
      <c r="G379" s="524">
        <v>0.97734791065644855</v>
      </c>
      <c r="H379" s="524">
        <v>3.6403776250211206E-3</v>
      </c>
      <c r="I379" s="524">
        <v>3.4856288053626496E-3</v>
      </c>
      <c r="J379" s="524">
        <v>1.4534208502658304E-2</v>
      </c>
      <c r="K379" s="524">
        <v>9.9187441050948015E-4</v>
      </c>
      <c r="L379" s="524">
        <v>1</v>
      </c>
      <c r="M379" s="566">
        <v>0.29556156546868029</v>
      </c>
      <c r="N379" s="566">
        <v>6.0379759944783305E-3</v>
      </c>
      <c r="O379" s="566">
        <v>1.4956582520759048E-2</v>
      </c>
      <c r="P379" s="566">
        <v>0.62304458549346209</v>
      </c>
      <c r="Q379" s="566">
        <v>6.0399290522620171E-2</v>
      </c>
      <c r="R379" s="567">
        <v>0.99999999999999989</v>
      </c>
      <c r="S379" s="303">
        <v>2</v>
      </c>
      <c r="T379" s="117" t="s">
        <v>3045</v>
      </c>
      <c r="U379" s="524">
        <v>0</v>
      </c>
      <c r="V379" s="524">
        <v>0</v>
      </c>
      <c r="W379" s="524">
        <v>0</v>
      </c>
      <c r="X379" s="524">
        <v>3.4892971943412026E-3</v>
      </c>
      <c r="Y379" s="524">
        <v>9.9187441050948015E-4</v>
      </c>
    </row>
    <row r="380" spans="1:25" ht="15" customHeight="1" x14ac:dyDescent="0.25">
      <c r="A380" s="21" t="s">
        <v>3122</v>
      </c>
      <c r="B380" s="524">
        <v>0.28886647848116381</v>
      </c>
      <c r="C380" s="524">
        <v>5.9012032227971885E-3</v>
      </c>
      <c r="D380" s="524">
        <v>1.4617784677224615E-2</v>
      </c>
      <c r="E380" s="524">
        <v>0.60893132387784821</v>
      </c>
      <c r="F380" s="524">
        <v>5.9031120397414656E-2</v>
      </c>
      <c r="G380" s="524">
        <v>0.97734791065644855</v>
      </c>
      <c r="H380" s="524">
        <v>3.6403776250211206E-3</v>
      </c>
      <c r="I380" s="524">
        <v>3.4856288053626496E-3</v>
      </c>
      <c r="J380" s="524">
        <v>1.4534208502658304E-2</v>
      </c>
      <c r="K380" s="524">
        <v>9.9187441050948015E-4</v>
      </c>
      <c r="L380" s="524">
        <v>1</v>
      </c>
      <c r="M380" s="566">
        <v>0.29556156546868029</v>
      </c>
      <c r="N380" s="566">
        <v>6.0379759944783305E-3</v>
      </c>
      <c r="O380" s="566">
        <v>1.4956582520759048E-2</v>
      </c>
      <c r="P380" s="566">
        <v>0.62304458549346209</v>
      </c>
      <c r="Q380" s="566">
        <v>6.0399290522620171E-2</v>
      </c>
      <c r="R380" s="567">
        <v>0.99999999999999989</v>
      </c>
      <c r="S380" s="303">
        <v>1</v>
      </c>
      <c r="T380" s="117" t="s">
        <v>2462</v>
      </c>
      <c r="U380" s="524">
        <v>1</v>
      </c>
      <c r="V380" s="524">
        <v>0.99999999999999989</v>
      </c>
      <c r="W380" s="524">
        <v>0.99999999999999978</v>
      </c>
      <c r="X380" s="524">
        <v>0.99999999999999989</v>
      </c>
      <c r="Y380" s="524">
        <v>1</v>
      </c>
    </row>
    <row r="381" spans="1:25" ht="15" customHeight="1" x14ac:dyDescent="0.25">
      <c r="A381" s="21" t="s">
        <v>3123</v>
      </c>
      <c r="B381" s="524">
        <v>0.28886647848116381</v>
      </c>
      <c r="C381" s="524">
        <v>5.9012032227971885E-3</v>
      </c>
      <c r="D381" s="524">
        <v>1.4617784677224615E-2</v>
      </c>
      <c r="E381" s="524">
        <v>0.60893132387784821</v>
      </c>
      <c r="F381" s="524">
        <v>5.9031120397414656E-2</v>
      </c>
      <c r="G381" s="524">
        <v>0.97734791065644855</v>
      </c>
      <c r="H381" s="524">
        <v>3.6403776250211206E-3</v>
      </c>
      <c r="I381" s="524">
        <v>3.4856288053626496E-3</v>
      </c>
      <c r="J381" s="524">
        <v>1.4534208502658304E-2</v>
      </c>
      <c r="K381" s="524">
        <v>9.9187441050948015E-4</v>
      </c>
      <c r="L381" s="524">
        <v>1</v>
      </c>
      <c r="M381" s="566">
        <v>0.29556156546868029</v>
      </c>
      <c r="N381" s="566">
        <v>6.0379759944783305E-3</v>
      </c>
      <c r="O381" s="566">
        <v>1.4956582520759048E-2</v>
      </c>
      <c r="P381" s="566">
        <v>0.62304458549346209</v>
      </c>
      <c r="Q381" s="566">
        <v>6.0399290522620171E-2</v>
      </c>
      <c r="R381" s="567">
        <v>0.99999999999999989</v>
      </c>
      <c r="S381" s="303">
        <v>8</v>
      </c>
      <c r="T381" s="117" t="s">
        <v>3152</v>
      </c>
      <c r="U381" s="524">
        <v>0.21327585287099574</v>
      </c>
      <c r="V381" s="524">
        <v>0.27934468573615867</v>
      </c>
      <c r="W381" s="524">
        <v>0.30371080189937205</v>
      </c>
      <c r="X381" s="524">
        <v>0.24893195557073261</v>
      </c>
      <c r="Y381" s="524">
        <v>0.29556156546868029</v>
      </c>
    </row>
    <row r="382" spans="1:25" ht="15" customHeight="1" x14ac:dyDescent="0.25">
      <c r="A382" s="21" t="s">
        <v>3124</v>
      </c>
      <c r="B382" s="524">
        <v>0.28886647848116381</v>
      </c>
      <c r="C382" s="524">
        <v>5.9012032227971885E-3</v>
      </c>
      <c r="D382" s="524">
        <v>1.4617784677224615E-2</v>
      </c>
      <c r="E382" s="524">
        <v>0.60893132387784821</v>
      </c>
      <c r="F382" s="524">
        <v>5.9031120397414656E-2</v>
      </c>
      <c r="G382" s="524">
        <v>0.97734791065644855</v>
      </c>
      <c r="H382" s="524">
        <v>3.6403776250211206E-3</v>
      </c>
      <c r="I382" s="524">
        <v>3.4856288053626496E-3</v>
      </c>
      <c r="J382" s="524">
        <v>1.4534208502658304E-2</v>
      </c>
      <c r="K382" s="524">
        <v>9.9187441050948015E-4</v>
      </c>
      <c r="L382" s="524">
        <v>1</v>
      </c>
      <c r="M382" s="566">
        <v>0.29556156546868029</v>
      </c>
      <c r="N382" s="566">
        <v>6.0379759944783305E-3</v>
      </c>
      <c r="O382" s="566">
        <v>1.4956582520759048E-2</v>
      </c>
      <c r="P382" s="566">
        <v>0.62304458549346209</v>
      </c>
      <c r="Q382" s="566">
        <v>6.0399290522620171E-2</v>
      </c>
      <c r="R382" s="567">
        <v>0.99999999999999989</v>
      </c>
      <c r="S382" s="303">
        <v>4</v>
      </c>
      <c r="T382" s="117" t="s">
        <v>3153</v>
      </c>
      <c r="U382" s="524">
        <v>1.0617878524346825E-2</v>
      </c>
      <c r="V382" s="524">
        <v>3.6497430207317011E-3</v>
      </c>
      <c r="W382" s="524">
        <v>7.1887981403957113E-3</v>
      </c>
      <c r="X382" s="524">
        <v>0</v>
      </c>
      <c r="Y382" s="524">
        <v>6.0379759944783305E-3</v>
      </c>
    </row>
    <row r="383" spans="1:25" ht="15" customHeight="1" x14ac:dyDescent="0.25">
      <c r="A383" s="21" t="s">
        <v>3125</v>
      </c>
      <c r="B383" s="524">
        <v>0.28886647848116381</v>
      </c>
      <c r="C383" s="524">
        <v>5.9012032227971885E-3</v>
      </c>
      <c r="D383" s="524">
        <v>1.4617784677224615E-2</v>
      </c>
      <c r="E383" s="524">
        <v>0.60893132387784821</v>
      </c>
      <c r="F383" s="524">
        <v>5.9031120397414656E-2</v>
      </c>
      <c r="G383" s="524">
        <v>0.97734791065644855</v>
      </c>
      <c r="H383" s="524">
        <v>3.6403776250211206E-3</v>
      </c>
      <c r="I383" s="524">
        <v>3.4856288053626496E-3</v>
      </c>
      <c r="J383" s="524">
        <v>1.4534208502658304E-2</v>
      </c>
      <c r="K383" s="524">
        <v>9.9187441050948015E-4</v>
      </c>
      <c r="L383" s="524">
        <v>1</v>
      </c>
      <c r="M383" s="566">
        <v>0.29556156546868029</v>
      </c>
      <c r="N383" s="566">
        <v>6.0379759944783305E-3</v>
      </c>
      <c r="O383" s="566">
        <v>1.4956582520759048E-2</v>
      </c>
      <c r="P383" s="566">
        <v>0.62304458549346209</v>
      </c>
      <c r="Q383" s="566">
        <v>6.0399290522620171E-2</v>
      </c>
      <c r="R383" s="567">
        <v>0.99999999999999989</v>
      </c>
      <c r="S383" s="303">
        <v>2</v>
      </c>
      <c r="T383" s="117" t="s">
        <v>3154</v>
      </c>
      <c r="U383" s="524">
        <v>1.429074438141845E-2</v>
      </c>
      <c r="V383" s="524">
        <v>3.4385664813627086E-2</v>
      </c>
      <c r="W383" s="524">
        <v>3.6121864195456425E-2</v>
      </c>
      <c r="X383" s="524">
        <v>1.903005185733431E-2</v>
      </c>
      <c r="Y383" s="524">
        <v>1.4956582520759048E-2</v>
      </c>
    </row>
    <row r="384" spans="1:25" ht="15" customHeight="1" x14ac:dyDescent="0.25">
      <c r="A384" s="21" t="s">
        <v>3126</v>
      </c>
      <c r="B384" s="524">
        <v>0.28886647848116381</v>
      </c>
      <c r="C384" s="524">
        <v>5.9012032227971885E-3</v>
      </c>
      <c r="D384" s="524">
        <v>1.4617784677224615E-2</v>
      </c>
      <c r="E384" s="524">
        <v>0.60893132387784821</v>
      </c>
      <c r="F384" s="524">
        <v>5.9031120397414656E-2</v>
      </c>
      <c r="G384" s="524">
        <v>0.97734791065644855</v>
      </c>
      <c r="H384" s="524">
        <v>3.6403776250211206E-3</v>
      </c>
      <c r="I384" s="524">
        <v>3.4856288053626496E-3</v>
      </c>
      <c r="J384" s="524">
        <v>1.4534208502658304E-2</v>
      </c>
      <c r="K384" s="524">
        <v>9.9187441050948015E-4</v>
      </c>
      <c r="L384" s="524">
        <v>1</v>
      </c>
      <c r="M384" s="566">
        <v>0.29556156546868029</v>
      </c>
      <c r="N384" s="566">
        <v>6.0379759944783305E-3</v>
      </c>
      <c r="O384" s="566">
        <v>1.4956582520759048E-2</v>
      </c>
      <c r="P384" s="566">
        <v>0.62304458549346209</v>
      </c>
      <c r="Q384" s="566">
        <v>6.0399290522620171E-2</v>
      </c>
      <c r="R384" s="567">
        <v>0.99999999999999989</v>
      </c>
      <c r="S384" s="303">
        <v>1</v>
      </c>
      <c r="T384" s="117" t="s">
        <v>3155</v>
      </c>
      <c r="U384" s="524">
        <v>0.74586758318455648</v>
      </c>
      <c r="V384" s="524">
        <v>0.65372162501611031</v>
      </c>
      <c r="W384" s="524">
        <v>0.64154589015036989</v>
      </c>
      <c r="X384" s="524">
        <v>0.72339379866366249</v>
      </c>
      <c r="Y384" s="524">
        <v>0.62304458549346209</v>
      </c>
    </row>
    <row r="385" spans="1:25" ht="15" customHeight="1" x14ac:dyDescent="0.25">
      <c r="A385" s="21" t="s">
        <v>3127</v>
      </c>
      <c r="B385" s="524">
        <v>0.28886647848116381</v>
      </c>
      <c r="C385" s="524">
        <v>5.9012032227971885E-3</v>
      </c>
      <c r="D385" s="524">
        <v>1.4617784677224615E-2</v>
      </c>
      <c r="E385" s="524">
        <v>0.60893132387784821</v>
      </c>
      <c r="F385" s="524">
        <v>5.9031120397414656E-2</v>
      </c>
      <c r="G385" s="524">
        <v>0.97734791065644855</v>
      </c>
      <c r="H385" s="524">
        <v>3.6403776250211206E-3</v>
      </c>
      <c r="I385" s="524">
        <v>3.4856288053626496E-3</v>
      </c>
      <c r="J385" s="524">
        <v>1.4534208502658304E-2</v>
      </c>
      <c r="K385" s="524">
        <v>9.9187441050948015E-4</v>
      </c>
      <c r="L385" s="524">
        <v>1</v>
      </c>
      <c r="M385" s="566">
        <v>0.29556156546868029</v>
      </c>
      <c r="N385" s="566">
        <v>6.0379759944783305E-3</v>
      </c>
      <c r="O385" s="566">
        <v>1.4956582520759048E-2</v>
      </c>
      <c r="P385" s="566">
        <v>0.62304458549346209</v>
      </c>
      <c r="Q385" s="566">
        <v>6.0399290522620171E-2</v>
      </c>
      <c r="R385" s="567">
        <v>0.99999999999999989</v>
      </c>
      <c r="S385" s="303">
        <v>6</v>
      </c>
      <c r="T385" s="117" t="s">
        <v>3156</v>
      </c>
      <c r="U385" s="524">
        <v>1.5947941038682408E-2</v>
      </c>
      <c r="V385" s="524">
        <v>2.8898281413372164E-2</v>
      </c>
      <c r="W385" s="524">
        <v>1.1432645614405946E-2</v>
      </c>
      <c r="X385" s="524">
        <v>8.6441939082705505E-3</v>
      </c>
      <c r="Y385" s="524">
        <v>6.0399290522620171E-2</v>
      </c>
    </row>
    <row r="386" spans="1:25" ht="15" customHeight="1" x14ac:dyDescent="0.25">
      <c r="A386" s="21" t="s">
        <v>3128</v>
      </c>
      <c r="B386" s="524">
        <v>0.28886647848116381</v>
      </c>
      <c r="C386" s="524">
        <v>5.9012032227971885E-3</v>
      </c>
      <c r="D386" s="524">
        <v>1.4617784677224615E-2</v>
      </c>
      <c r="E386" s="524">
        <v>0.60893132387784821</v>
      </c>
      <c r="F386" s="524">
        <v>5.9031120397414656E-2</v>
      </c>
      <c r="G386" s="524">
        <v>0.97734791065644855</v>
      </c>
      <c r="H386" s="524">
        <v>3.6403776250211206E-3</v>
      </c>
      <c r="I386" s="524">
        <v>3.4856288053626496E-3</v>
      </c>
      <c r="J386" s="524">
        <v>1.4534208502658304E-2</v>
      </c>
      <c r="K386" s="524">
        <v>9.9187441050948015E-4</v>
      </c>
      <c r="L386" s="524">
        <v>1</v>
      </c>
      <c r="M386" s="566">
        <v>0.29556156546868029</v>
      </c>
      <c r="N386" s="566">
        <v>6.0379759944783305E-3</v>
      </c>
      <c r="O386" s="566">
        <v>1.4956582520759048E-2</v>
      </c>
      <c r="P386" s="566">
        <v>0.62304458549346209</v>
      </c>
      <c r="Q386" s="566">
        <v>6.0399290522620171E-2</v>
      </c>
      <c r="R386" s="567">
        <v>0.99999999999999989</v>
      </c>
      <c r="S386" s="303">
        <v>3</v>
      </c>
      <c r="T386" s="117" t="s">
        <v>3157</v>
      </c>
      <c r="U386" s="524">
        <v>0.99999999999999989</v>
      </c>
      <c r="V386" s="524">
        <v>0.99999999999999989</v>
      </c>
      <c r="W386" s="524">
        <v>1</v>
      </c>
      <c r="X386" s="524">
        <v>0.99999999999999989</v>
      </c>
      <c r="Y386" s="524">
        <v>0.99999999999999989</v>
      </c>
    </row>
    <row r="387" spans="1:25" ht="15" customHeight="1" x14ac:dyDescent="0.25">
      <c r="A387" s="21" t="s">
        <v>3129</v>
      </c>
      <c r="B387" s="524">
        <v>0.28886647848116381</v>
      </c>
      <c r="C387" s="524">
        <v>5.9012032227971885E-3</v>
      </c>
      <c r="D387" s="524">
        <v>1.4617784677224615E-2</v>
      </c>
      <c r="E387" s="524">
        <v>0.60893132387784821</v>
      </c>
      <c r="F387" s="524">
        <v>5.9031120397414656E-2</v>
      </c>
      <c r="G387" s="524">
        <v>0.97734791065644855</v>
      </c>
      <c r="H387" s="524">
        <v>3.6403776250211206E-3</v>
      </c>
      <c r="I387" s="524">
        <v>3.4856288053626496E-3</v>
      </c>
      <c r="J387" s="524">
        <v>1.4534208502658304E-2</v>
      </c>
      <c r="K387" s="524">
        <v>9.9187441050948015E-4</v>
      </c>
      <c r="L387" s="524">
        <v>1</v>
      </c>
      <c r="M387" s="566">
        <v>0.29556156546868029</v>
      </c>
      <c r="N387" s="566">
        <v>6.0379759944783305E-3</v>
      </c>
      <c r="O387" s="566">
        <v>1.4956582520759048E-2</v>
      </c>
      <c r="P387" s="566">
        <v>0.62304458549346209</v>
      </c>
      <c r="Q387" s="566">
        <v>6.0399290522620171E-2</v>
      </c>
      <c r="R387" s="567">
        <v>0.99999999999999989</v>
      </c>
      <c r="S387" s="303">
        <v>11</v>
      </c>
    </row>
    <row r="388" spans="1:25" ht="15" customHeight="1" x14ac:dyDescent="0.25">
      <c r="A388" s="525" t="s">
        <v>3130</v>
      </c>
      <c r="B388" s="529">
        <v>0.28886647848116381</v>
      </c>
      <c r="C388" s="529">
        <v>5.9012032227971885E-3</v>
      </c>
      <c r="D388" s="529">
        <v>1.4617784677224615E-2</v>
      </c>
      <c r="E388" s="529">
        <v>0.60893132387784821</v>
      </c>
      <c r="F388" s="529">
        <v>5.9031120397414656E-2</v>
      </c>
      <c r="G388" s="529">
        <v>0.97734791065644855</v>
      </c>
      <c r="H388" s="529">
        <v>3.6403776250211206E-3</v>
      </c>
      <c r="I388" s="529">
        <v>3.4856288053626496E-3</v>
      </c>
      <c r="J388" s="529">
        <v>1.4534208502658304E-2</v>
      </c>
      <c r="K388" s="529">
        <v>9.9187441050948015E-4</v>
      </c>
      <c r="L388" s="529">
        <v>1</v>
      </c>
      <c r="M388" s="572">
        <v>0.29556156546868029</v>
      </c>
      <c r="N388" s="572">
        <v>6.0379759944783305E-3</v>
      </c>
      <c r="O388" s="572">
        <v>1.4956582520759048E-2</v>
      </c>
      <c r="P388" s="572">
        <v>0.62304458549346209</v>
      </c>
      <c r="Q388" s="572">
        <v>6.0399290522620171E-2</v>
      </c>
      <c r="R388" s="573">
        <v>0.99999999999999989</v>
      </c>
      <c r="S388" s="528">
        <v>4</v>
      </c>
    </row>
    <row r="389" spans="1:25" ht="15" customHeight="1" x14ac:dyDescent="0.25">
      <c r="A389" s="298" t="s">
        <v>3131</v>
      </c>
      <c r="B389" s="574">
        <v>0.19989914412024398</v>
      </c>
      <c r="C389" s="574">
        <v>6.6191088913094996E-3</v>
      </c>
      <c r="D389" s="574">
        <v>1.3097452065551966E-2</v>
      </c>
      <c r="E389" s="574">
        <v>0.71274987715469129</v>
      </c>
      <c r="F389" s="574">
        <v>3.0869581697330933E-2</v>
      </c>
      <c r="G389" s="575">
        <v>0.96323516392912767</v>
      </c>
      <c r="H389" s="574">
        <v>5.1794067162623959E-3</v>
      </c>
      <c r="I389" s="574">
        <v>1.3442602780446355E-2</v>
      </c>
      <c r="J389" s="574">
        <v>7.981042117985053E-3</v>
      </c>
      <c r="K389" s="574">
        <v>1.0161784456178919E-2</v>
      </c>
      <c r="L389" s="575">
        <v>1.0000000000000004</v>
      </c>
      <c r="M389" s="576">
        <v>0.20752891049454258</v>
      </c>
      <c r="N389" s="576">
        <v>6.8717475640211537E-3</v>
      </c>
      <c r="O389" s="576">
        <v>1.3597356653930921E-2</v>
      </c>
      <c r="P389" s="576">
        <v>0.73995417094961202</v>
      </c>
      <c r="Q389" s="576">
        <v>3.2047814337893332E-2</v>
      </c>
      <c r="R389" s="577">
        <v>1</v>
      </c>
      <c r="S389" s="312">
        <v>3306</v>
      </c>
    </row>
    <row r="390" spans="1:25" ht="15" customHeight="1" x14ac:dyDescent="0.25">
      <c r="A390" s="530" t="s">
        <v>3132</v>
      </c>
      <c r="B390" s="548">
        <v>0.28886647848116381</v>
      </c>
      <c r="C390" s="548">
        <v>5.9012032227971885E-3</v>
      </c>
      <c r="D390" s="548">
        <v>1.4617784677224615E-2</v>
      </c>
      <c r="E390" s="548">
        <v>0.60893132387784821</v>
      </c>
      <c r="F390" s="548">
        <v>5.9031120397414656E-2</v>
      </c>
      <c r="G390" s="578">
        <v>0.97734791065644855</v>
      </c>
      <c r="H390" s="548">
        <v>3.6403776250211206E-3</v>
      </c>
      <c r="I390" s="548">
        <v>3.4856288053626496E-3</v>
      </c>
      <c r="J390" s="548">
        <v>1.4534208502658304E-2</v>
      </c>
      <c r="K390" s="548">
        <v>9.9187441050948015E-4</v>
      </c>
      <c r="L390" s="578">
        <v>1</v>
      </c>
      <c r="M390" s="579">
        <v>0.29556156546868029</v>
      </c>
      <c r="N390" s="579">
        <v>6.0379759944783305E-3</v>
      </c>
      <c r="O390" s="579">
        <v>1.4956582520759048E-2</v>
      </c>
      <c r="P390" s="579">
        <v>0.62304458549346209</v>
      </c>
      <c r="Q390" s="579">
        <v>6.0399290522620171E-2</v>
      </c>
      <c r="R390" s="580">
        <v>0.99999999999999989</v>
      </c>
      <c r="S390" s="532">
        <v>656</v>
      </c>
    </row>
    <row r="391" spans="1:25" ht="15" customHeight="1" x14ac:dyDescent="0.25">
      <c r="A391" s="539"/>
      <c r="B391" s="540"/>
      <c r="C391" s="540"/>
      <c r="D391" s="540"/>
      <c r="E391" s="540"/>
      <c r="F391" s="540"/>
      <c r="G391" s="540"/>
      <c r="H391" s="540"/>
      <c r="I391" s="540"/>
      <c r="J391" s="540"/>
      <c r="K391" s="540"/>
      <c r="L391" s="540"/>
      <c r="M391" s="540"/>
      <c r="N391" s="538"/>
    </row>
    <row r="392" spans="1:25" ht="15" customHeight="1" x14ac:dyDescent="0.25">
      <c r="A392" s="915" t="s">
        <v>3158</v>
      </c>
      <c r="B392" s="915"/>
      <c r="C392" s="915"/>
      <c r="D392" s="915"/>
      <c r="E392" s="915"/>
      <c r="F392" s="915"/>
      <c r="G392" s="915"/>
      <c r="H392" s="915"/>
      <c r="I392" s="915"/>
      <c r="J392" s="915"/>
      <c r="K392" s="915"/>
      <c r="L392" s="915"/>
      <c r="M392" s="915"/>
      <c r="N392" s="915"/>
      <c r="O392" s="296" t="s">
        <v>3159</v>
      </c>
    </row>
    <row r="393" spans="1:25" ht="15" customHeight="1" x14ac:dyDescent="0.25">
      <c r="O393" s="296" t="s">
        <v>3160</v>
      </c>
    </row>
    <row r="394" spans="1:25" ht="15" customHeight="1" x14ac:dyDescent="0.25">
      <c r="A394" s="302" t="s">
        <v>3036</v>
      </c>
      <c r="B394" s="302" t="s">
        <v>3037</v>
      </c>
      <c r="C394" s="302" t="s">
        <v>3038</v>
      </c>
      <c r="D394" s="302" t="s">
        <v>3039</v>
      </c>
      <c r="E394" s="302" t="s">
        <v>3040</v>
      </c>
      <c r="F394" s="302" t="s">
        <v>2152</v>
      </c>
      <c r="G394" s="302" t="s">
        <v>2186</v>
      </c>
      <c r="H394" s="302" t="s">
        <v>3042</v>
      </c>
      <c r="I394" s="302" t="s">
        <v>2210</v>
      </c>
      <c r="J394" s="302" t="s">
        <v>3043</v>
      </c>
      <c r="K394" s="302" t="s">
        <v>3044</v>
      </c>
      <c r="L394" s="302" t="s">
        <v>2223</v>
      </c>
      <c r="M394" s="302" t="s">
        <v>3045</v>
      </c>
      <c r="N394" s="302" t="s">
        <v>68</v>
      </c>
      <c r="O394" s="302" t="s">
        <v>3046</v>
      </c>
    </row>
    <row r="395" spans="1:25" ht="15" customHeight="1" x14ac:dyDescent="0.25">
      <c r="A395" s="21" t="s">
        <v>3047</v>
      </c>
      <c r="B395" s="303">
        <v>0</v>
      </c>
      <c r="C395" s="303">
        <v>0</v>
      </c>
      <c r="D395" s="303">
        <v>0</v>
      </c>
      <c r="E395" s="303">
        <v>0</v>
      </c>
      <c r="F395" s="303">
        <v>0</v>
      </c>
      <c r="G395" s="303">
        <v>0</v>
      </c>
      <c r="H395" s="303">
        <v>0</v>
      </c>
      <c r="I395" s="303">
        <v>0</v>
      </c>
      <c r="J395" s="303">
        <v>0</v>
      </c>
      <c r="K395" s="303">
        <v>0</v>
      </c>
      <c r="L395" s="303">
        <v>0</v>
      </c>
      <c r="M395" s="303">
        <v>0</v>
      </c>
      <c r="N395" s="303">
        <v>1</v>
      </c>
      <c r="O395" s="581">
        <v>3.0248033877797946E-4</v>
      </c>
    </row>
    <row r="396" spans="1:25" ht="15" customHeight="1" x14ac:dyDescent="0.25">
      <c r="A396" s="21" t="s">
        <v>3048</v>
      </c>
      <c r="B396" s="303">
        <v>3</v>
      </c>
      <c r="C396" s="303">
        <v>0</v>
      </c>
      <c r="D396" s="303">
        <v>0</v>
      </c>
      <c r="E396" s="303">
        <v>0</v>
      </c>
      <c r="F396" s="303">
        <v>0</v>
      </c>
      <c r="G396" s="303">
        <v>0</v>
      </c>
      <c r="H396" s="303">
        <v>0</v>
      </c>
      <c r="I396" s="303">
        <v>0</v>
      </c>
      <c r="J396" s="303">
        <v>0</v>
      </c>
      <c r="K396" s="303">
        <v>0</v>
      </c>
      <c r="L396" s="303">
        <v>0</v>
      </c>
      <c r="M396" s="303">
        <v>0</v>
      </c>
      <c r="N396" s="303">
        <v>3</v>
      </c>
      <c r="O396" s="581">
        <v>9.0744101633393826E-4</v>
      </c>
    </row>
    <row r="397" spans="1:25" ht="15" customHeight="1" x14ac:dyDescent="0.25">
      <c r="A397" s="21" t="s">
        <v>3049</v>
      </c>
      <c r="B397" s="303">
        <v>1</v>
      </c>
      <c r="C397" s="303">
        <v>0</v>
      </c>
      <c r="D397" s="303">
        <v>0</v>
      </c>
      <c r="E397" s="303">
        <v>0</v>
      </c>
      <c r="F397" s="303">
        <v>0</v>
      </c>
      <c r="G397" s="303">
        <v>0</v>
      </c>
      <c r="H397" s="303">
        <v>1</v>
      </c>
      <c r="I397" s="303">
        <v>0</v>
      </c>
      <c r="J397" s="303">
        <v>0</v>
      </c>
      <c r="K397" s="303">
        <v>0</v>
      </c>
      <c r="L397" s="303">
        <v>0</v>
      </c>
      <c r="M397" s="303">
        <v>0</v>
      </c>
      <c r="N397" s="303">
        <v>1</v>
      </c>
      <c r="O397" s="581">
        <v>3.0248033877797946E-4</v>
      </c>
    </row>
    <row r="398" spans="1:25" ht="15" customHeight="1" x14ac:dyDescent="0.25">
      <c r="A398" s="21" t="s">
        <v>3050</v>
      </c>
      <c r="B398" s="303">
        <v>1</v>
      </c>
      <c r="C398" s="303">
        <v>0</v>
      </c>
      <c r="D398" s="303">
        <v>0</v>
      </c>
      <c r="E398" s="303">
        <v>0</v>
      </c>
      <c r="F398" s="303">
        <v>0</v>
      </c>
      <c r="G398" s="303">
        <v>0</v>
      </c>
      <c r="H398" s="303">
        <v>0</v>
      </c>
      <c r="I398" s="303">
        <v>0</v>
      </c>
      <c r="J398" s="303">
        <v>1</v>
      </c>
      <c r="K398" s="303">
        <v>0</v>
      </c>
      <c r="L398" s="303">
        <v>0</v>
      </c>
      <c r="M398" s="303">
        <v>0</v>
      </c>
      <c r="N398" s="303">
        <v>1</v>
      </c>
      <c r="O398" s="581">
        <v>3.0248033877797946E-4</v>
      </c>
    </row>
    <row r="399" spans="1:25" ht="15" customHeight="1" x14ac:dyDescent="0.25">
      <c r="A399" s="21" t="s">
        <v>3051</v>
      </c>
      <c r="B399" s="303">
        <v>2</v>
      </c>
      <c r="C399" s="303">
        <v>0</v>
      </c>
      <c r="D399" s="303">
        <v>0</v>
      </c>
      <c r="E399" s="303">
        <v>0</v>
      </c>
      <c r="F399" s="303">
        <v>0</v>
      </c>
      <c r="G399" s="303">
        <v>0</v>
      </c>
      <c r="H399" s="303">
        <v>1</v>
      </c>
      <c r="I399" s="303">
        <v>0</v>
      </c>
      <c r="J399" s="303">
        <v>2</v>
      </c>
      <c r="K399" s="303">
        <v>0</v>
      </c>
      <c r="L399" s="303">
        <v>0</v>
      </c>
      <c r="M399" s="303">
        <v>0</v>
      </c>
      <c r="N399" s="303">
        <v>3</v>
      </c>
      <c r="O399" s="581">
        <v>9.0744101633393826E-4</v>
      </c>
    </row>
    <row r="400" spans="1:25" ht="15" customHeight="1" x14ac:dyDescent="0.25">
      <c r="A400" s="21" t="s">
        <v>3052</v>
      </c>
      <c r="B400" s="303">
        <v>0</v>
      </c>
      <c r="C400" s="303">
        <v>0</v>
      </c>
      <c r="D400" s="303">
        <v>0</v>
      </c>
      <c r="E400" s="303">
        <v>0</v>
      </c>
      <c r="F400" s="303">
        <v>1</v>
      </c>
      <c r="G400" s="303">
        <v>0</v>
      </c>
      <c r="H400" s="303">
        <v>1</v>
      </c>
      <c r="I400" s="303">
        <v>0</v>
      </c>
      <c r="J400" s="303">
        <v>0</v>
      </c>
      <c r="K400" s="303">
        <v>0</v>
      </c>
      <c r="L400" s="303">
        <v>0</v>
      </c>
      <c r="M400" s="303">
        <v>0</v>
      </c>
      <c r="N400" s="303">
        <v>1</v>
      </c>
      <c r="O400" s="581">
        <v>3.0248033877797946E-4</v>
      </c>
    </row>
    <row r="401" spans="1:16" ht="15" customHeight="1" x14ac:dyDescent="0.25">
      <c r="A401" s="21" t="s">
        <v>3053</v>
      </c>
      <c r="B401" s="303">
        <v>4</v>
      </c>
      <c r="C401" s="303">
        <v>0</v>
      </c>
      <c r="D401" s="303">
        <v>0</v>
      </c>
      <c r="E401" s="303">
        <v>0</v>
      </c>
      <c r="F401" s="303">
        <v>0</v>
      </c>
      <c r="G401" s="303">
        <v>0</v>
      </c>
      <c r="H401" s="303">
        <v>1</v>
      </c>
      <c r="I401" s="303">
        <v>0</v>
      </c>
      <c r="J401" s="303">
        <v>3</v>
      </c>
      <c r="K401" s="303">
        <v>0</v>
      </c>
      <c r="L401" s="303">
        <v>0</v>
      </c>
      <c r="M401" s="303">
        <v>0</v>
      </c>
      <c r="N401" s="303">
        <v>5</v>
      </c>
      <c r="O401" s="581">
        <v>1.5124016938898972E-3</v>
      </c>
      <c r="P401" s="582"/>
    </row>
    <row r="402" spans="1:16" ht="15" customHeight="1" x14ac:dyDescent="0.25">
      <c r="A402" s="21" t="s">
        <v>3054</v>
      </c>
      <c r="B402" s="303">
        <v>2</v>
      </c>
      <c r="C402" s="303">
        <v>0</v>
      </c>
      <c r="D402" s="303">
        <v>0</v>
      </c>
      <c r="E402" s="303">
        <v>0</v>
      </c>
      <c r="F402" s="303">
        <v>0</v>
      </c>
      <c r="G402" s="303">
        <v>0</v>
      </c>
      <c r="H402" s="303">
        <v>1</v>
      </c>
      <c r="I402" s="303">
        <v>1</v>
      </c>
      <c r="J402" s="303">
        <v>2</v>
      </c>
      <c r="K402" s="303">
        <v>0</v>
      </c>
      <c r="L402" s="303">
        <v>0</v>
      </c>
      <c r="M402" s="303">
        <v>0</v>
      </c>
      <c r="N402" s="303">
        <v>4</v>
      </c>
      <c r="O402" s="581">
        <v>1.2099213551119178E-3</v>
      </c>
      <c r="P402" s="582"/>
    </row>
    <row r="403" spans="1:16" ht="15" customHeight="1" x14ac:dyDescent="0.25">
      <c r="A403" s="21" t="s">
        <v>3055</v>
      </c>
      <c r="B403" s="303">
        <v>9</v>
      </c>
      <c r="C403" s="303">
        <v>0</v>
      </c>
      <c r="D403" s="303">
        <v>0</v>
      </c>
      <c r="E403" s="303">
        <v>0</v>
      </c>
      <c r="F403" s="303">
        <v>0</v>
      </c>
      <c r="G403" s="303">
        <v>0</v>
      </c>
      <c r="H403" s="303">
        <v>9</v>
      </c>
      <c r="I403" s="303">
        <v>0</v>
      </c>
      <c r="J403" s="303">
        <v>4</v>
      </c>
      <c r="K403" s="303">
        <v>0</v>
      </c>
      <c r="L403" s="303">
        <v>0</v>
      </c>
      <c r="M403" s="303">
        <v>0</v>
      </c>
      <c r="N403" s="303">
        <v>15</v>
      </c>
      <c r="O403" s="581">
        <v>4.5372050816696917E-3</v>
      </c>
      <c r="P403" s="582"/>
    </row>
    <row r="404" spans="1:16" ht="15" customHeight="1" x14ac:dyDescent="0.25">
      <c r="A404" s="21" t="s">
        <v>3056</v>
      </c>
      <c r="B404" s="303">
        <v>0</v>
      </c>
      <c r="C404" s="303">
        <v>0</v>
      </c>
      <c r="D404" s="303">
        <v>0</v>
      </c>
      <c r="E404" s="303">
        <v>0</v>
      </c>
      <c r="F404" s="303">
        <v>0</v>
      </c>
      <c r="G404" s="303">
        <v>0</v>
      </c>
      <c r="H404" s="303">
        <v>0</v>
      </c>
      <c r="I404" s="303">
        <v>0</v>
      </c>
      <c r="J404" s="303">
        <v>0</v>
      </c>
      <c r="K404" s="303">
        <v>0</v>
      </c>
      <c r="L404" s="303">
        <v>0</v>
      </c>
      <c r="M404" s="303">
        <v>0</v>
      </c>
      <c r="N404" s="303">
        <v>1</v>
      </c>
      <c r="O404" s="581">
        <v>3.0248033877797946E-4</v>
      </c>
      <c r="P404" s="582"/>
    </row>
    <row r="405" spans="1:16" ht="15" customHeight="1" x14ac:dyDescent="0.25">
      <c r="A405" s="21" t="s">
        <v>3057</v>
      </c>
      <c r="B405" s="303">
        <v>1</v>
      </c>
      <c r="C405" s="303">
        <v>0</v>
      </c>
      <c r="D405" s="303">
        <v>0</v>
      </c>
      <c r="E405" s="303">
        <v>0</v>
      </c>
      <c r="F405" s="303">
        <v>0</v>
      </c>
      <c r="G405" s="303">
        <v>0</v>
      </c>
      <c r="H405" s="303">
        <v>2</v>
      </c>
      <c r="I405" s="303">
        <v>0</v>
      </c>
      <c r="J405" s="303">
        <v>1</v>
      </c>
      <c r="K405" s="303">
        <v>0</v>
      </c>
      <c r="L405" s="303">
        <v>0</v>
      </c>
      <c r="M405" s="303">
        <v>0</v>
      </c>
      <c r="N405" s="303">
        <v>3</v>
      </c>
      <c r="O405" s="581">
        <v>9.0744101633393826E-4</v>
      </c>
      <c r="P405" s="582"/>
    </row>
    <row r="406" spans="1:16" ht="15" customHeight="1" x14ac:dyDescent="0.25">
      <c r="A406" s="21" t="s">
        <v>3058</v>
      </c>
      <c r="B406" s="303">
        <v>40</v>
      </c>
      <c r="C406" s="303">
        <v>2</v>
      </c>
      <c r="D406" s="303">
        <v>0</v>
      </c>
      <c r="E406" s="303">
        <v>2</v>
      </c>
      <c r="F406" s="303">
        <v>2</v>
      </c>
      <c r="G406" s="303">
        <v>0</v>
      </c>
      <c r="H406" s="303">
        <v>43</v>
      </c>
      <c r="I406" s="303">
        <v>1</v>
      </c>
      <c r="J406" s="303">
        <v>14</v>
      </c>
      <c r="K406" s="303">
        <v>1</v>
      </c>
      <c r="L406" s="303">
        <v>0</v>
      </c>
      <c r="M406" s="303">
        <v>1</v>
      </c>
      <c r="N406" s="303">
        <v>67</v>
      </c>
      <c r="O406" s="581">
        <v>2.0266182698124621E-2</v>
      </c>
      <c r="P406" s="582"/>
    </row>
    <row r="407" spans="1:16" ht="15" customHeight="1" x14ac:dyDescent="0.25">
      <c r="A407" s="21" t="s">
        <v>3059</v>
      </c>
      <c r="B407" s="303">
        <v>12</v>
      </c>
      <c r="C407" s="303">
        <v>0</v>
      </c>
      <c r="D407" s="303">
        <v>2</v>
      </c>
      <c r="E407" s="303">
        <v>0</v>
      </c>
      <c r="F407" s="303">
        <v>0</v>
      </c>
      <c r="G407" s="303">
        <v>0</v>
      </c>
      <c r="H407" s="303">
        <v>19</v>
      </c>
      <c r="I407" s="303">
        <v>1</v>
      </c>
      <c r="J407" s="303">
        <v>4</v>
      </c>
      <c r="K407" s="303">
        <v>0</v>
      </c>
      <c r="L407" s="303">
        <v>0</v>
      </c>
      <c r="M407" s="303">
        <v>0</v>
      </c>
      <c r="N407" s="303">
        <v>28</v>
      </c>
      <c r="O407" s="581">
        <v>8.4694494857834243E-3</v>
      </c>
      <c r="P407" s="582"/>
    </row>
    <row r="408" spans="1:16" ht="15" customHeight="1" x14ac:dyDescent="0.25">
      <c r="A408" s="21" t="s">
        <v>3060</v>
      </c>
      <c r="B408" s="303">
        <v>8</v>
      </c>
      <c r="C408" s="303">
        <v>0</v>
      </c>
      <c r="D408" s="303">
        <v>0</v>
      </c>
      <c r="E408" s="303">
        <v>0</v>
      </c>
      <c r="F408" s="303">
        <v>0</v>
      </c>
      <c r="G408" s="303">
        <v>0</v>
      </c>
      <c r="H408" s="303">
        <v>8</v>
      </c>
      <c r="I408" s="303">
        <v>0</v>
      </c>
      <c r="J408" s="303">
        <v>3</v>
      </c>
      <c r="K408" s="303">
        <v>0</v>
      </c>
      <c r="L408" s="303">
        <v>0</v>
      </c>
      <c r="M408" s="303">
        <v>0</v>
      </c>
      <c r="N408" s="303">
        <v>12</v>
      </c>
      <c r="O408" s="581">
        <v>3.629764065335753E-3</v>
      </c>
      <c r="P408" s="582"/>
    </row>
    <row r="409" spans="1:16" ht="15" customHeight="1" x14ac:dyDescent="0.25">
      <c r="A409" s="21" t="s">
        <v>3061</v>
      </c>
      <c r="B409" s="303">
        <v>1</v>
      </c>
      <c r="C409" s="303">
        <v>0</v>
      </c>
      <c r="D409" s="303">
        <v>0</v>
      </c>
      <c r="E409" s="303">
        <v>0</v>
      </c>
      <c r="F409" s="303">
        <v>0</v>
      </c>
      <c r="G409" s="303">
        <v>0</v>
      </c>
      <c r="H409" s="303">
        <v>0</v>
      </c>
      <c r="I409" s="303">
        <v>0</v>
      </c>
      <c r="J409" s="303">
        <v>1</v>
      </c>
      <c r="K409" s="303">
        <v>0</v>
      </c>
      <c r="L409" s="303">
        <v>0</v>
      </c>
      <c r="M409" s="303">
        <v>0</v>
      </c>
      <c r="N409" s="303">
        <v>1</v>
      </c>
      <c r="O409" s="581">
        <v>3.0248033877797946E-4</v>
      </c>
      <c r="P409" s="582"/>
    </row>
    <row r="410" spans="1:16" ht="15" customHeight="1" x14ac:dyDescent="0.25">
      <c r="A410" s="21" t="s">
        <v>3062</v>
      </c>
      <c r="B410" s="303">
        <v>11</v>
      </c>
      <c r="C410" s="303">
        <v>0</v>
      </c>
      <c r="D410" s="303">
        <v>0</v>
      </c>
      <c r="E410" s="303">
        <v>0</v>
      </c>
      <c r="F410" s="303">
        <v>0</v>
      </c>
      <c r="G410" s="303">
        <v>0</v>
      </c>
      <c r="H410" s="303">
        <v>12</v>
      </c>
      <c r="I410" s="303">
        <v>0</v>
      </c>
      <c r="J410" s="303">
        <v>2</v>
      </c>
      <c r="K410" s="303">
        <v>0</v>
      </c>
      <c r="L410" s="303">
        <v>0</v>
      </c>
      <c r="M410" s="303">
        <v>0</v>
      </c>
      <c r="N410" s="303">
        <v>15</v>
      </c>
      <c r="O410" s="581">
        <v>4.5372050816696917E-3</v>
      </c>
      <c r="P410" s="582"/>
    </row>
    <row r="411" spans="1:16" ht="15" customHeight="1" x14ac:dyDescent="0.25">
      <c r="A411" s="21" t="s">
        <v>3063</v>
      </c>
      <c r="B411" s="303">
        <v>0</v>
      </c>
      <c r="C411" s="303">
        <v>0</v>
      </c>
      <c r="D411" s="303">
        <v>0</v>
      </c>
      <c r="E411" s="303">
        <v>0</v>
      </c>
      <c r="F411" s="303">
        <v>0</v>
      </c>
      <c r="G411" s="303">
        <v>0</v>
      </c>
      <c r="H411" s="303">
        <v>1</v>
      </c>
      <c r="I411" s="303">
        <v>0</v>
      </c>
      <c r="J411" s="303">
        <v>1</v>
      </c>
      <c r="K411" s="303">
        <v>0</v>
      </c>
      <c r="L411" s="303">
        <v>0</v>
      </c>
      <c r="M411" s="303">
        <v>0</v>
      </c>
      <c r="N411" s="303">
        <v>2</v>
      </c>
      <c r="O411" s="581">
        <v>6.0496067755595891E-4</v>
      </c>
      <c r="P411" s="582"/>
    </row>
    <row r="412" spans="1:16" ht="15" customHeight="1" x14ac:dyDescent="0.25">
      <c r="A412" s="21" t="s">
        <v>3064</v>
      </c>
      <c r="B412" s="303">
        <v>8</v>
      </c>
      <c r="C412" s="303">
        <v>3</v>
      </c>
      <c r="D412" s="303">
        <v>2</v>
      </c>
      <c r="E412" s="303">
        <v>3</v>
      </c>
      <c r="F412" s="303">
        <v>0</v>
      </c>
      <c r="G412" s="303">
        <v>0</v>
      </c>
      <c r="H412" s="303">
        <v>21</v>
      </c>
      <c r="I412" s="303">
        <v>2</v>
      </c>
      <c r="J412" s="303">
        <v>2</v>
      </c>
      <c r="K412" s="303">
        <v>0</v>
      </c>
      <c r="L412" s="303">
        <v>0</v>
      </c>
      <c r="M412" s="303">
        <v>0</v>
      </c>
      <c r="N412" s="303">
        <v>29</v>
      </c>
      <c r="O412" s="581">
        <v>8.771929824561403E-3</v>
      </c>
      <c r="P412" s="582"/>
    </row>
    <row r="413" spans="1:16" ht="15" customHeight="1" x14ac:dyDescent="0.25">
      <c r="A413" s="21" t="s">
        <v>3065</v>
      </c>
      <c r="B413" s="303">
        <v>19</v>
      </c>
      <c r="C413" s="303">
        <v>3</v>
      </c>
      <c r="D413" s="303">
        <v>3</v>
      </c>
      <c r="E413" s="303">
        <v>3</v>
      </c>
      <c r="F413" s="303">
        <v>2</v>
      </c>
      <c r="G413" s="303">
        <v>0</v>
      </c>
      <c r="H413" s="303">
        <v>54</v>
      </c>
      <c r="I413" s="303">
        <v>1</v>
      </c>
      <c r="J413" s="303">
        <v>6</v>
      </c>
      <c r="K413" s="303">
        <v>2</v>
      </c>
      <c r="L413" s="303">
        <v>0</v>
      </c>
      <c r="M413" s="303">
        <v>0</v>
      </c>
      <c r="N413" s="303">
        <v>74</v>
      </c>
      <c r="O413" s="581">
        <v>2.2383545069570479E-2</v>
      </c>
      <c r="P413" s="582"/>
    </row>
    <row r="414" spans="1:16" ht="15" customHeight="1" x14ac:dyDescent="0.25">
      <c r="A414" s="21" t="s">
        <v>3066</v>
      </c>
      <c r="B414" s="303">
        <v>9</v>
      </c>
      <c r="C414" s="303">
        <v>4</v>
      </c>
      <c r="D414" s="303">
        <v>0</v>
      </c>
      <c r="E414" s="303">
        <v>4</v>
      </c>
      <c r="F414" s="303">
        <v>0</v>
      </c>
      <c r="G414" s="303">
        <v>0</v>
      </c>
      <c r="H414" s="303">
        <v>24</v>
      </c>
      <c r="I414" s="303">
        <v>1</v>
      </c>
      <c r="J414" s="303">
        <v>5</v>
      </c>
      <c r="K414" s="303">
        <v>0</v>
      </c>
      <c r="L414" s="303">
        <v>0</v>
      </c>
      <c r="M414" s="303">
        <v>0</v>
      </c>
      <c r="N414" s="303">
        <v>35</v>
      </c>
      <c r="O414" s="581">
        <v>1.058681185722928E-2</v>
      </c>
      <c r="P414" s="582"/>
    </row>
    <row r="415" spans="1:16" ht="15" customHeight="1" x14ac:dyDescent="0.25">
      <c r="A415" s="21" t="s">
        <v>3067</v>
      </c>
      <c r="B415" s="303">
        <v>6</v>
      </c>
      <c r="C415" s="303">
        <v>0</v>
      </c>
      <c r="D415" s="303">
        <v>1</v>
      </c>
      <c r="E415" s="303">
        <v>0</v>
      </c>
      <c r="F415" s="303">
        <v>0</v>
      </c>
      <c r="G415" s="303">
        <v>0</v>
      </c>
      <c r="H415" s="303">
        <v>4</v>
      </c>
      <c r="I415" s="303">
        <v>0</v>
      </c>
      <c r="J415" s="303">
        <v>2</v>
      </c>
      <c r="K415" s="303">
        <v>0</v>
      </c>
      <c r="L415" s="303">
        <v>0</v>
      </c>
      <c r="M415" s="303">
        <v>0</v>
      </c>
      <c r="N415" s="303">
        <v>11</v>
      </c>
      <c r="O415" s="581">
        <v>3.3272837265577739E-3</v>
      </c>
      <c r="P415" s="582"/>
    </row>
    <row r="416" spans="1:16" ht="15" customHeight="1" x14ac:dyDescent="0.25">
      <c r="A416" s="21" t="s">
        <v>3068</v>
      </c>
      <c r="B416" s="303">
        <v>16</v>
      </c>
      <c r="C416" s="303">
        <v>0</v>
      </c>
      <c r="D416" s="303">
        <v>0</v>
      </c>
      <c r="E416" s="303">
        <v>0</v>
      </c>
      <c r="F416" s="303">
        <v>0</v>
      </c>
      <c r="G416" s="303">
        <v>1</v>
      </c>
      <c r="H416" s="303">
        <v>23</v>
      </c>
      <c r="I416" s="303">
        <v>0</v>
      </c>
      <c r="J416" s="303">
        <v>7</v>
      </c>
      <c r="K416" s="303">
        <v>0</v>
      </c>
      <c r="L416" s="303">
        <v>0</v>
      </c>
      <c r="M416" s="303">
        <v>0</v>
      </c>
      <c r="N416" s="303">
        <v>35</v>
      </c>
      <c r="O416" s="581">
        <v>1.058681185722928E-2</v>
      </c>
      <c r="P416" s="582"/>
    </row>
    <row r="417" spans="1:16" ht="15" customHeight="1" x14ac:dyDescent="0.25">
      <c r="A417" s="21" t="s">
        <v>3069</v>
      </c>
      <c r="B417" s="303">
        <v>25</v>
      </c>
      <c r="C417" s="303">
        <v>2</v>
      </c>
      <c r="D417" s="303">
        <v>1</v>
      </c>
      <c r="E417" s="303">
        <v>2</v>
      </c>
      <c r="F417" s="303">
        <v>2</v>
      </c>
      <c r="G417" s="303">
        <v>0</v>
      </c>
      <c r="H417" s="303">
        <v>47</v>
      </c>
      <c r="I417" s="303">
        <v>0</v>
      </c>
      <c r="J417" s="303">
        <v>3</v>
      </c>
      <c r="K417" s="303">
        <v>0</v>
      </c>
      <c r="L417" s="303">
        <v>2</v>
      </c>
      <c r="M417" s="303">
        <v>0</v>
      </c>
      <c r="N417" s="303">
        <v>59</v>
      </c>
      <c r="O417" s="581">
        <v>1.7846339987900785E-2</v>
      </c>
      <c r="P417" s="582"/>
    </row>
    <row r="418" spans="1:16" ht="15" customHeight="1" x14ac:dyDescent="0.25">
      <c r="A418" s="21" t="s">
        <v>3070</v>
      </c>
      <c r="B418" s="303">
        <v>34</v>
      </c>
      <c r="C418" s="303">
        <v>1</v>
      </c>
      <c r="D418" s="303">
        <v>0</v>
      </c>
      <c r="E418" s="303">
        <v>1</v>
      </c>
      <c r="F418" s="303">
        <v>5</v>
      </c>
      <c r="G418" s="303">
        <v>3</v>
      </c>
      <c r="H418" s="303">
        <v>132</v>
      </c>
      <c r="I418" s="303">
        <v>4</v>
      </c>
      <c r="J418" s="303">
        <v>7</v>
      </c>
      <c r="K418" s="303">
        <v>2</v>
      </c>
      <c r="L418" s="303">
        <v>1</v>
      </c>
      <c r="M418" s="303">
        <v>1</v>
      </c>
      <c r="N418" s="303">
        <v>171</v>
      </c>
      <c r="O418" s="581">
        <v>5.1724137931034482E-2</v>
      </c>
      <c r="P418" s="582"/>
    </row>
    <row r="419" spans="1:16" ht="15" customHeight="1" x14ac:dyDescent="0.25">
      <c r="A419" s="21" t="s">
        <v>3071</v>
      </c>
      <c r="B419" s="303">
        <v>29</v>
      </c>
      <c r="C419" s="303">
        <v>3</v>
      </c>
      <c r="D419" s="303">
        <v>4</v>
      </c>
      <c r="E419" s="303">
        <v>2</v>
      </c>
      <c r="F419" s="303">
        <v>3</v>
      </c>
      <c r="G419" s="303">
        <v>0</v>
      </c>
      <c r="H419" s="303">
        <v>51</v>
      </c>
      <c r="I419" s="303">
        <v>1</v>
      </c>
      <c r="J419" s="303">
        <v>7</v>
      </c>
      <c r="K419" s="303">
        <v>0</v>
      </c>
      <c r="L419" s="303">
        <v>0</v>
      </c>
      <c r="M419" s="303">
        <v>0</v>
      </c>
      <c r="N419" s="303">
        <v>70</v>
      </c>
      <c r="O419" s="581">
        <v>2.1173623714458561E-2</v>
      </c>
      <c r="P419" s="582"/>
    </row>
    <row r="420" spans="1:16" ht="15" customHeight="1" x14ac:dyDescent="0.25">
      <c r="A420" s="21" t="s">
        <v>3072</v>
      </c>
      <c r="B420" s="303">
        <v>29</v>
      </c>
      <c r="C420" s="303">
        <v>1</v>
      </c>
      <c r="D420" s="303">
        <v>1</v>
      </c>
      <c r="E420" s="303">
        <v>1</v>
      </c>
      <c r="F420" s="303">
        <v>2</v>
      </c>
      <c r="G420" s="303">
        <v>1</v>
      </c>
      <c r="H420" s="303">
        <v>40</v>
      </c>
      <c r="I420" s="303">
        <v>1</v>
      </c>
      <c r="J420" s="303">
        <v>17</v>
      </c>
      <c r="K420" s="303">
        <v>0</v>
      </c>
      <c r="L420" s="303">
        <v>0</v>
      </c>
      <c r="M420" s="303">
        <v>0</v>
      </c>
      <c r="N420" s="303">
        <v>68</v>
      </c>
      <c r="O420" s="581">
        <v>2.05686630369026E-2</v>
      </c>
      <c r="P420" s="582"/>
    </row>
    <row r="421" spans="1:16" ht="15" customHeight="1" x14ac:dyDescent="0.25">
      <c r="A421" s="21" t="s">
        <v>3073</v>
      </c>
      <c r="B421" s="303">
        <v>4</v>
      </c>
      <c r="C421" s="303">
        <v>0</v>
      </c>
      <c r="D421" s="303">
        <v>0</v>
      </c>
      <c r="E421" s="303">
        <v>0</v>
      </c>
      <c r="F421" s="303">
        <v>0</v>
      </c>
      <c r="G421" s="303">
        <v>0</v>
      </c>
      <c r="H421" s="303">
        <v>5</v>
      </c>
      <c r="I421" s="303">
        <v>0</v>
      </c>
      <c r="J421" s="303">
        <v>0</v>
      </c>
      <c r="K421" s="303">
        <v>0</v>
      </c>
      <c r="L421" s="303">
        <v>0</v>
      </c>
      <c r="M421" s="303">
        <v>0</v>
      </c>
      <c r="N421" s="303">
        <v>5</v>
      </c>
      <c r="O421" s="581">
        <v>1.5124016938898972E-3</v>
      </c>
      <c r="P421" s="582"/>
    </row>
    <row r="422" spans="1:16" ht="15" customHeight="1" x14ac:dyDescent="0.25">
      <c r="A422" s="21" t="s">
        <v>3074</v>
      </c>
      <c r="B422" s="303">
        <v>1</v>
      </c>
      <c r="C422" s="303">
        <v>0</v>
      </c>
      <c r="D422" s="303">
        <v>0</v>
      </c>
      <c r="E422" s="303">
        <v>0</v>
      </c>
      <c r="F422" s="303">
        <v>0</v>
      </c>
      <c r="G422" s="303">
        <v>0</v>
      </c>
      <c r="H422" s="303">
        <v>1</v>
      </c>
      <c r="I422" s="303">
        <v>0</v>
      </c>
      <c r="J422" s="303">
        <v>0</v>
      </c>
      <c r="K422" s="303">
        <v>0</v>
      </c>
      <c r="L422" s="303">
        <v>0</v>
      </c>
      <c r="M422" s="303">
        <v>0</v>
      </c>
      <c r="N422" s="303">
        <v>1</v>
      </c>
      <c r="O422" s="581">
        <v>3.0248033877797946E-4</v>
      </c>
      <c r="P422" s="582"/>
    </row>
    <row r="423" spans="1:16" ht="15" customHeight="1" x14ac:dyDescent="0.25">
      <c r="A423" s="21" t="s">
        <v>3075</v>
      </c>
      <c r="B423" s="303">
        <v>14</v>
      </c>
      <c r="C423" s="303">
        <v>3</v>
      </c>
      <c r="D423" s="303">
        <v>1</v>
      </c>
      <c r="E423" s="303">
        <v>4</v>
      </c>
      <c r="F423" s="303">
        <v>0</v>
      </c>
      <c r="G423" s="303">
        <v>1</v>
      </c>
      <c r="H423" s="303">
        <v>63</v>
      </c>
      <c r="I423" s="303">
        <v>1</v>
      </c>
      <c r="J423" s="303">
        <v>4</v>
      </c>
      <c r="K423" s="303">
        <v>7</v>
      </c>
      <c r="L423" s="303">
        <v>1</v>
      </c>
      <c r="M423" s="303">
        <v>1</v>
      </c>
      <c r="N423" s="303">
        <v>108</v>
      </c>
      <c r="O423" s="581">
        <v>3.2667876588021776E-2</v>
      </c>
      <c r="P423" s="582"/>
    </row>
    <row r="424" spans="1:16" ht="15" customHeight="1" x14ac:dyDescent="0.25">
      <c r="A424" s="21" t="s">
        <v>3076</v>
      </c>
      <c r="B424" s="303">
        <v>51</v>
      </c>
      <c r="C424" s="303">
        <v>7</v>
      </c>
      <c r="D424" s="303">
        <v>3</v>
      </c>
      <c r="E424" s="303">
        <v>7</v>
      </c>
      <c r="F424" s="303">
        <v>1</v>
      </c>
      <c r="G424" s="303">
        <v>2</v>
      </c>
      <c r="H424" s="303">
        <v>235</v>
      </c>
      <c r="I424" s="303">
        <v>3</v>
      </c>
      <c r="J424" s="303">
        <v>14</v>
      </c>
      <c r="K424" s="303">
        <v>10</v>
      </c>
      <c r="L424" s="303">
        <v>0</v>
      </c>
      <c r="M424" s="303">
        <v>2</v>
      </c>
      <c r="N424" s="303">
        <v>326</v>
      </c>
      <c r="O424" s="581">
        <v>9.8608590441621291E-2</v>
      </c>
      <c r="P424" s="582"/>
    </row>
    <row r="425" spans="1:16" ht="15" customHeight="1" x14ac:dyDescent="0.25">
      <c r="A425" s="21" t="s">
        <v>3077</v>
      </c>
      <c r="B425" s="303">
        <v>50</v>
      </c>
      <c r="C425" s="303">
        <v>3</v>
      </c>
      <c r="D425" s="303">
        <v>5</v>
      </c>
      <c r="E425" s="303">
        <v>4</v>
      </c>
      <c r="F425" s="303">
        <v>3</v>
      </c>
      <c r="G425" s="303">
        <v>0</v>
      </c>
      <c r="H425" s="303">
        <v>93</v>
      </c>
      <c r="I425" s="303">
        <v>2</v>
      </c>
      <c r="J425" s="303">
        <v>4</v>
      </c>
      <c r="K425" s="303">
        <v>2</v>
      </c>
      <c r="L425" s="303">
        <v>0</v>
      </c>
      <c r="M425" s="303">
        <v>1</v>
      </c>
      <c r="N425" s="303">
        <v>120</v>
      </c>
      <c r="O425" s="581">
        <v>3.6297640653357534E-2</v>
      </c>
      <c r="P425" s="582"/>
    </row>
    <row r="426" spans="1:16" ht="15" customHeight="1" x14ac:dyDescent="0.25">
      <c r="A426" s="21" t="s">
        <v>3078</v>
      </c>
      <c r="B426" s="303">
        <v>6</v>
      </c>
      <c r="C426" s="303">
        <v>0</v>
      </c>
      <c r="D426" s="303">
        <v>0</v>
      </c>
      <c r="E426" s="303">
        <v>1</v>
      </c>
      <c r="F426" s="303">
        <v>0</v>
      </c>
      <c r="G426" s="303">
        <v>0</v>
      </c>
      <c r="H426" s="303">
        <v>2</v>
      </c>
      <c r="I426" s="303">
        <v>0</v>
      </c>
      <c r="J426" s="303">
        <v>5</v>
      </c>
      <c r="K426" s="303">
        <v>0</v>
      </c>
      <c r="L426" s="303">
        <v>0</v>
      </c>
      <c r="M426" s="303">
        <v>0</v>
      </c>
      <c r="N426" s="303">
        <v>8</v>
      </c>
      <c r="O426" s="581">
        <v>2.4198427102238356E-3</v>
      </c>
      <c r="P426" s="582"/>
    </row>
    <row r="427" spans="1:16" ht="15" customHeight="1" x14ac:dyDescent="0.25">
      <c r="A427" s="21" t="s">
        <v>3079</v>
      </c>
      <c r="B427" s="303">
        <v>9</v>
      </c>
      <c r="C427" s="303">
        <v>0</v>
      </c>
      <c r="D427" s="303">
        <v>0</v>
      </c>
      <c r="E427" s="303">
        <v>0</v>
      </c>
      <c r="F427" s="303">
        <v>0</v>
      </c>
      <c r="G427" s="303">
        <v>0</v>
      </c>
      <c r="H427" s="303">
        <v>7</v>
      </c>
      <c r="I427" s="303">
        <v>0</v>
      </c>
      <c r="J427" s="303">
        <v>7</v>
      </c>
      <c r="K427" s="303">
        <v>0</v>
      </c>
      <c r="L427" s="303">
        <v>0</v>
      </c>
      <c r="M427" s="303">
        <v>0</v>
      </c>
      <c r="N427" s="303">
        <v>16</v>
      </c>
      <c r="O427" s="581">
        <v>4.8396854204476713E-3</v>
      </c>
      <c r="P427" s="582"/>
    </row>
    <row r="428" spans="1:16" ht="15" customHeight="1" x14ac:dyDescent="0.25">
      <c r="A428" s="21" t="s">
        <v>3080</v>
      </c>
      <c r="B428" s="303">
        <v>23</v>
      </c>
      <c r="C428" s="303">
        <v>2</v>
      </c>
      <c r="D428" s="303">
        <v>3</v>
      </c>
      <c r="E428" s="303">
        <v>3</v>
      </c>
      <c r="F428" s="303">
        <v>2</v>
      </c>
      <c r="G428" s="303">
        <v>0</v>
      </c>
      <c r="H428" s="303">
        <v>123</v>
      </c>
      <c r="I428" s="303">
        <v>7</v>
      </c>
      <c r="J428" s="303">
        <v>10</v>
      </c>
      <c r="K428" s="303">
        <v>13</v>
      </c>
      <c r="L428" s="303">
        <v>3</v>
      </c>
      <c r="M428" s="303">
        <v>4</v>
      </c>
      <c r="N428" s="303">
        <v>221</v>
      </c>
      <c r="O428" s="581">
        <v>6.6848154869933452E-2</v>
      </c>
      <c r="P428" s="582"/>
    </row>
    <row r="429" spans="1:16" ht="15" customHeight="1" x14ac:dyDescent="0.25">
      <c r="A429" s="21" t="s">
        <v>3081</v>
      </c>
      <c r="B429" s="303">
        <v>72</v>
      </c>
      <c r="C429" s="303">
        <v>9</v>
      </c>
      <c r="D429" s="303">
        <v>10</v>
      </c>
      <c r="E429" s="303">
        <v>10</v>
      </c>
      <c r="F429" s="303">
        <v>6</v>
      </c>
      <c r="G429" s="303">
        <v>4</v>
      </c>
      <c r="H429" s="303">
        <v>434</v>
      </c>
      <c r="I429" s="303">
        <v>11</v>
      </c>
      <c r="J429" s="303">
        <v>19</v>
      </c>
      <c r="K429" s="303">
        <v>6</v>
      </c>
      <c r="L429" s="303">
        <v>7</v>
      </c>
      <c r="M429" s="303">
        <v>11</v>
      </c>
      <c r="N429" s="303">
        <v>621</v>
      </c>
      <c r="O429" s="581">
        <v>0.18784029038112524</v>
      </c>
      <c r="P429" s="582"/>
    </row>
    <row r="430" spans="1:16" ht="15" customHeight="1" x14ac:dyDescent="0.25">
      <c r="A430" s="21" t="s">
        <v>3082</v>
      </c>
      <c r="B430" s="303">
        <v>17</v>
      </c>
      <c r="C430" s="303">
        <v>0</v>
      </c>
      <c r="D430" s="303">
        <v>3</v>
      </c>
      <c r="E430" s="303">
        <v>0</v>
      </c>
      <c r="F430" s="303">
        <v>6</v>
      </c>
      <c r="G430" s="303">
        <v>0</v>
      </c>
      <c r="H430" s="303">
        <v>50</v>
      </c>
      <c r="I430" s="303">
        <v>3</v>
      </c>
      <c r="J430" s="303">
        <v>7</v>
      </c>
      <c r="K430" s="303">
        <v>2</v>
      </c>
      <c r="L430" s="303">
        <v>2</v>
      </c>
      <c r="M430" s="303">
        <v>0</v>
      </c>
      <c r="N430" s="303">
        <v>73</v>
      </c>
      <c r="O430" s="581">
        <v>2.2081064730792497E-2</v>
      </c>
      <c r="P430" s="582"/>
    </row>
    <row r="431" spans="1:16" ht="15" customHeight="1" x14ac:dyDescent="0.25">
      <c r="A431" s="21" t="s">
        <v>3083</v>
      </c>
      <c r="B431" s="303">
        <v>9</v>
      </c>
      <c r="C431" s="303">
        <v>2</v>
      </c>
      <c r="D431" s="303">
        <v>0</v>
      </c>
      <c r="E431" s="303">
        <v>2</v>
      </c>
      <c r="F431" s="303">
        <v>0</v>
      </c>
      <c r="G431" s="303">
        <v>0</v>
      </c>
      <c r="H431" s="303">
        <v>18</v>
      </c>
      <c r="I431" s="303">
        <v>0</v>
      </c>
      <c r="J431" s="303">
        <v>2</v>
      </c>
      <c r="K431" s="303">
        <v>0</v>
      </c>
      <c r="L431" s="303">
        <v>0</v>
      </c>
      <c r="M431" s="303">
        <v>0</v>
      </c>
      <c r="N431" s="303">
        <v>26</v>
      </c>
      <c r="O431" s="581">
        <v>7.8644888082274652E-3</v>
      </c>
      <c r="P431" s="582"/>
    </row>
    <row r="432" spans="1:16" ht="15" customHeight="1" x14ac:dyDescent="0.25">
      <c r="A432" s="21" t="s">
        <v>3084</v>
      </c>
      <c r="B432" s="303">
        <v>0</v>
      </c>
      <c r="C432" s="303">
        <v>0</v>
      </c>
      <c r="D432" s="303">
        <v>0</v>
      </c>
      <c r="E432" s="303">
        <v>0</v>
      </c>
      <c r="F432" s="303">
        <v>0</v>
      </c>
      <c r="G432" s="303">
        <v>0</v>
      </c>
      <c r="H432" s="303">
        <v>1</v>
      </c>
      <c r="I432" s="303">
        <v>0</v>
      </c>
      <c r="J432" s="303">
        <v>0</v>
      </c>
      <c r="K432" s="303">
        <v>0</v>
      </c>
      <c r="L432" s="303">
        <v>0</v>
      </c>
      <c r="M432" s="303">
        <v>0</v>
      </c>
      <c r="N432" s="303">
        <v>1</v>
      </c>
      <c r="O432" s="581">
        <v>3.0248033877797946E-4</v>
      </c>
      <c r="P432" s="582"/>
    </row>
    <row r="433" spans="1:16" ht="15" customHeight="1" x14ac:dyDescent="0.25">
      <c r="A433" s="21" t="s">
        <v>3085</v>
      </c>
      <c r="B433" s="303">
        <v>1</v>
      </c>
      <c r="C433" s="303">
        <v>0</v>
      </c>
      <c r="D433" s="303">
        <v>0</v>
      </c>
      <c r="E433" s="303">
        <v>0</v>
      </c>
      <c r="F433" s="303">
        <v>0</v>
      </c>
      <c r="G433" s="303">
        <v>0</v>
      </c>
      <c r="H433" s="303">
        <v>0</v>
      </c>
      <c r="I433" s="303">
        <v>0</v>
      </c>
      <c r="J433" s="303">
        <v>1</v>
      </c>
      <c r="K433" s="303">
        <v>0</v>
      </c>
      <c r="L433" s="303">
        <v>0</v>
      </c>
      <c r="M433" s="303">
        <v>0</v>
      </c>
      <c r="N433" s="303">
        <v>1</v>
      </c>
      <c r="O433" s="581">
        <v>3.0248033877797946E-4</v>
      </c>
      <c r="P433" s="582"/>
    </row>
    <row r="434" spans="1:16" ht="15" customHeight="1" x14ac:dyDescent="0.25">
      <c r="A434" s="21" t="s">
        <v>3086</v>
      </c>
      <c r="B434" s="303">
        <v>3</v>
      </c>
      <c r="C434" s="303">
        <v>0</v>
      </c>
      <c r="D434" s="303">
        <v>0</v>
      </c>
      <c r="E434" s="303">
        <v>0</v>
      </c>
      <c r="F434" s="303">
        <v>0</v>
      </c>
      <c r="G434" s="303">
        <v>1</v>
      </c>
      <c r="H434" s="303">
        <v>1</v>
      </c>
      <c r="I434" s="303">
        <v>0</v>
      </c>
      <c r="J434" s="303">
        <v>2</v>
      </c>
      <c r="K434" s="303">
        <v>0</v>
      </c>
      <c r="L434" s="303">
        <v>0</v>
      </c>
      <c r="M434" s="303">
        <v>0</v>
      </c>
      <c r="N434" s="303">
        <v>6</v>
      </c>
      <c r="O434" s="581">
        <v>1.8148820326678765E-3</v>
      </c>
      <c r="P434" s="582"/>
    </row>
    <row r="435" spans="1:16" ht="15" customHeight="1" x14ac:dyDescent="0.25">
      <c r="A435" s="21" t="s">
        <v>3087</v>
      </c>
      <c r="B435" s="303">
        <v>3</v>
      </c>
      <c r="C435" s="303">
        <v>1</v>
      </c>
      <c r="D435" s="303">
        <v>0</v>
      </c>
      <c r="E435" s="303">
        <v>1</v>
      </c>
      <c r="F435" s="303">
        <v>0</v>
      </c>
      <c r="G435" s="303">
        <v>0</v>
      </c>
      <c r="H435" s="303">
        <v>7</v>
      </c>
      <c r="I435" s="303">
        <v>0</v>
      </c>
      <c r="J435" s="303">
        <v>1</v>
      </c>
      <c r="K435" s="303">
        <v>0</v>
      </c>
      <c r="L435" s="303">
        <v>0</v>
      </c>
      <c r="M435" s="303">
        <v>0</v>
      </c>
      <c r="N435" s="303">
        <v>10</v>
      </c>
      <c r="O435" s="581">
        <v>3.0248033877797943E-3</v>
      </c>
      <c r="P435" s="582"/>
    </row>
    <row r="436" spans="1:16" ht="15" customHeight="1" x14ac:dyDescent="0.25">
      <c r="A436" s="21" t="s">
        <v>3088</v>
      </c>
      <c r="B436" s="303">
        <v>3</v>
      </c>
      <c r="C436" s="303">
        <v>0</v>
      </c>
      <c r="D436" s="303">
        <v>0</v>
      </c>
      <c r="E436" s="303">
        <v>0</v>
      </c>
      <c r="F436" s="303">
        <v>1</v>
      </c>
      <c r="G436" s="303">
        <v>0</v>
      </c>
      <c r="H436" s="303">
        <v>7</v>
      </c>
      <c r="I436" s="303">
        <v>0</v>
      </c>
      <c r="J436" s="303">
        <v>0</v>
      </c>
      <c r="K436" s="303">
        <v>2</v>
      </c>
      <c r="L436" s="303">
        <v>0</v>
      </c>
      <c r="M436" s="303">
        <v>1</v>
      </c>
      <c r="N436" s="303">
        <v>24</v>
      </c>
      <c r="O436" s="581">
        <v>7.2595281306715061E-3</v>
      </c>
      <c r="P436" s="582"/>
    </row>
    <row r="437" spans="1:16" ht="15" customHeight="1" x14ac:dyDescent="0.25">
      <c r="A437" s="21" t="s">
        <v>3089</v>
      </c>
      <c r="B437" s="303">
        <v>11</v>
      </c>
      <c r="C437" s="303">
        <v>2</v>
      </c>
      <c r="D437" s="303">
        <v>2</v>
      </c>
      <c r="E437" s="303">
        <v>2</v>
      </c>
      <c r="F437" s="303">
        <v>0</v>
      </c>
      <c r="G437" s="303">
        <v>2</v>
      </c>
      <c r="H437" s="303">
        <v>41</v>
      </c>
      <c r="I437" s="303">
        <v>1</v>
      </c>
      <c r="J437" s="303">
        <v>5</v>
      </c>
      <c r="K437" s="303">
        <v>1</v>
      </c>
      <c r="L437" s="303">
        <v>0</v>
      </c>
      <c r="M437" s="303">
        <v>1</v>
      </c>
      <c r="N437" s="303">
        <v>57</v>
      </c>
      <c r="O437" s="581">
        <v>1.7241379310344827E-2</v>
      </c>
      <c r="P437" s="582"/>
    </row>
    <row r="438" spans="1:16" ht="15" customHeight="1" x14ac:dyDescent="0.25">
      <c r="A438" s="21" t="s">
        <v>3090</v>
      </c>
      <c r="B438" s="303">
        <v>10</v>
      </c>
      <c r="C438" s="303">
        <v>0</v>
      </c>
      <c r="D438" s="303">
        <v>1</v>
      </c>
      <c r="E438" s="303">
        <v>0</v>
      </c>
      <c r="F438" s="303">
        <v>1</v>
      </c>
      <c r="G438" s="303">
        <v>0</v>
      </c>
      <c r="H438" s="303">
        <v>24</v>
      </c>
      <c r="I438" s="303">
        <v>1</v>
      </c>
      <c r="J438" s="303">
        <v>7</v>
      </c>
      <c r="K438" s="303">
        <v>0</v>
      </c>
      <c r="L438" s="303">
        <v>2</v>
      </c>
      <c r="M438" s="303">
        <v>0</v>
      </c>
      <c r="N438" s="303">
        <v>40</v>
      </c>
      <c r="O438" s="581">
        <v>1.2099213551119177E-2</v>
      </c>
      <c r="P438" s="582"/>
    </row>
    <row r="439" spans="1:16" ht="15" customHeight="1" x14ac:dyDescent="0.25">
      <c r="A439" s="21" t="s">
        <v>3091</v>
      </c>
      <c r="B439" s="303">
        <v>4</v>
      </c>
      <c r="C439" s="303">
        <v>0</v>
      </c>
      <c r="D439" s="303">
        <v>1</v>
      </c>
      <c r="E439" s="303">
        <v>0</v>
      </c>
      <c r="F439" s="303">
        <v>0</v>
      </c>
      <c r="G439" s="303">
        <v>0</v>
      </c>
      <c r="H439" s="303">
        <v>4</v>
      </c>
      <c r="I439" s="303">
        <v>0</v>
      </c>
      <c r="J439" s="303">
        <v>3</v>
      </c>
      <c r="K439" s="303">
        <v>0</v>
      </c>
      <c r="L439" s="303">
        <v>0</v>
      </c>
      <c r="M439" s="303">
        <v>0</v>
      </c>
      <c r="N439" s="303">
        <v>10</v>
      </c>
      <c r="O439" s="581">
        <v>3.0248033877797943E-3</v>
      </c>
      <c r="P439" s="582"/>
    </row>
    <row r="440" spans="1:16" ht="15" customHeight="1" x14ac:dyDescent="0.25">
      <c r="A440" s="21" t="s">
        <v>3092</v>
      </c>
      <c r="B440" s="303">
        <v>2</v>
      </c>
      <c r="C440" s="303">
        <v>0</v>
      </c>
      <c r="D440" s="303">
        <v>0</v>
      </c>
      <c r="E440" s="303">
        <v>0</v>
      </c>
      <c r="F440" s="303">
        <v>0</v>
      </c>
      <c r="G440" s="303">
        <v>0</v>
      </c>
      <c r="H440" s="303">
        <v>0</v>
      </c>
      <c r="I440" s="303">
        <v>0</v>
      </c>
      <c r="J440" s="303">
        <v>0</v>
      </c>
      <c r="K440" s="303">
        <v>0</v>
      </c>
      <c r="L440" s="303">
        <v>0</v>
      </c>
      <c r="M440" s="303">
        <v>0</v>
      </c>
      <c r="N440" s="303">
        <v>2</v>
      </c>
      <c r="O440" s="581">
        <v>6.0496067755595891E-4</v>
      </c>
      <c r="P440" s="582"/>
    </row>
    <row r="441" spans="1:16" ht="15" customHeight="1" x14ac:dyDescent="0.25">
      <c r="A441" s="21" t="s">
        <v>3093</v>
      </c>
      <c r="B441" s="303">
        <v>3</v>
      </c>
      <c r="C441" s="303">
        <v>2</v>
      </c>
      <c r="D441" s="303">
        <v>0</v>
      </c>
      <c r="E441" s="303">
        <v>2</v>
      </c>
      <c r="F441" s="303">
        <v>0</v>
      </c>
      <c r="G441" s="303">
        <v>0</v>
      </c>
      <c r="H441" s="303">
        <v>14</v>
      </c>
      <c r="I441" s="303">
        <v>0</v>
      </c>
      <c r="J441" s="303">
        <v>0</v>
      </c>
      <c r="K441" s="303">
        <v>0</v>
      </c>
      <c r="L441" s="303">
        <v>1</v>
      </c>
      <c r="M441" s="303">
        <v>0</v>
      </c>
      <c r="N441" s="303">
        <v>16</v>
      </c>
      <c r="O441" s="581">
        <v>4.8396854204476713E-3</v>
      </c>
      <c r="P441" s="582"/>
    </row>
    <row r="442" spans="1:16" ht="15" customHeight="1" x14ac:dyDescent="0.25">
      <c r="A442" s="21" t="s">
        <v>3094</v>
      </c>
      <c r="B442" s="303">
        <v>25</v>
      </c>
      <c r="C442" s="303">
        <v>7</v>
      </c>
      <c r="D442" s="303">
        <v>2</v>
      </c>
      <c r="E442" s="303">
        <v>7</v>
      </c>
      <c r="F442" s="303">
        <v>3</v>
      </c>
      <c r="G442" s="303">
        <v>2</v>
      </c>
      <c r="H442" s="303">
        <v>62</v>
      </c>
      <c r="I442" s="303">
        <v>1</v>
      </c>
      <c r="J442" s="303">
        <v>5</v>
      </c>
      <c r="K442" s="303">
        <v>2</v>
      </c>
      <c r="L442" s="303">
        <v>3</v>
      </c>
      <c r="M442" s="303">
        <v>1</v>
      </c>
      <c r="N442" s="303">
        <v>96</v>
      </c>
      <c r="O442" s="581">
        <v>2.9038112522686024E-2</v>
      </c>
      <c r="P442" s="582"/>
    </row>
    <row r="443" spans="1:16" ht="15" customHeight="1" x14ac:dyDescent="0.25">
      <c r="A443" s="21" t="s">
        <v>3095</v>
      </c>
      <c r="B443" s="303">
        <v>6</v>
      </c>
      <c r="C443" s="303">
        <v>0</v>
      </c>
      <c r="D443" s="303">
        <v>0</v>
      </c>
      <c r="E443" s="303">
        <v>0</v>
      </c>
      <c r="F443" s="303">
        <v>0</v>
      </c>
      <c r="G443" s="303">
        <v>0</v>
      </c>
      <c r="H443" s="303">
        <v>5</v>
      </c>
      <c r="I443" s="303">
        <v>0</v>
      </c>
      <c r="J443" s="303">
        <v>0</v>
      </c>
      <c r="K443" s="303">
        <v>0</v>
      </c>
      <c r="L443" s="303">
        <v>0</v>
      </c>
      <c r="M443" s="303">
        <v>0</v>
      </c>
      <c r="N443" s="303">
        <v>9</v>
      </c>
      <c r="O443" s="581">
        <v>2.7223230490018148E-3</v>
      </c>
      <c r="P443" s="582"/>
    </row>
    <row r="444" spans="1:16" ht="15" customHeight="1" x14ac:dyDescent="0.25">
      <c r="A444" s="21" t="s">
        <v>3096</v>
      </c>
      <c r="B444" s="303">
        <v>7</v>
      </c>
      <c r="C444" s="303">
        <v>1</v>
      </c>
      <c r="D444" s="303">
        <v>1</v>
      </c>
      <c r="E444" s="303">
        <v>0</v>
      </c>
      <c r="F444" s="303">
        <v>0</v>
      </c>
      <c r="G444" s="303">
        <v>2</v>
      </c>
      <c r="H444" s="303">
        <v>18</v>
      </c>
      <c r="I444" s="303">
        <v>1</v>
      </c>
      <c r="J444" s="303">
        <v>1</v>
      </c>
      <c r="K444" s="303">
        <v>1</v>
      </c>
      <c r="L444" s="303">
        <v>0</v>
      </c>
      <c r="M444" s="303">
        <v>0</v>
      </c>
      <c r="N444" s="303">
        <v>24</v>
      </c>
      <c r="O444" s="581">
        <v>7.2595281306715061E-3</v>
      </c>
      <c r="P444" s="582"/>
    </row>
    <row r="445" spans="1:16" ht="15" customHeight="1" x14ac:dyDescent="0.25">
      <c r="A445" s="21" t="s">
        <v>3097</v>
      </c>
      <c r="B445" s="303">
        <v>15</v>
      </c>
      <c r="C445" s="303">
        <v>1</v>
      </c>
      <c r="D445" s="303">
        <v>3</v>
      </c>
      <c r="E445" s="303">
        <v>1</v>
      </c>
      <c r="F445" s="303">
        <v>2</v>
      </c>
      <c r="G445" s="303">
        <v>0</v>
      </c>
      <c r="H445" s="303">
        <v>30</v>
      </c>
      <c r="I445" s="303">
        <v>1</v>
      </c>
      <c r="J445" s="303">
        <v>3</v>
      </c>
      <c r="K445" s="303">
        <v>0</v>
      </c>
      <c r="L445" s="303">
        <v>0</v>
      </c>
      <c r="M445" s="303">
        <v>0</v>
      </c>
      <c r="N445" s="303">
        <v>40</v>
      </c>
      <c r="O445" s="581">
        <v>1.2099213551119177E-2</v>
      </c>
      <c r="P445" s="582"/>
    </row>
    <row r="446" spans="1:16" ht="15" customHeight="1" x14ac:dyDescent="0.25">
      <c r="A446" s="21" t="s">
        <v>3098</v>
      </c>
      <c r="B446" s="303">
        <v>1</v>
      </c>
      <c r="C446" s="303">
        <v>1</v>
      </c>
      <c r="D446" s="303">
        <v>0</v>
      </c>
      <c r="E446" s="303">
        <v>1</v>
      </c>
      <c r="F446" s="303">
        <v>0</v>
      </c>
      <c r="G446" s="303">
        <v>0</v>
      </c>
      <c r="H446" s="303">
        <v>2</v>
      </c>
      <c r="I446" s="303">
        <v>0</v>
      </c>
      <c r="J446" s="303">
        <v>1</v>
      </c>
      <c r="K446" s="303">
        <v>0</v>
      </c>
      <c r="L446" s="303">
        <v>1</v>
      </c>
      <c r="M446" s="303">
        <v>0</v>
      </c>
      <c r="N446" s="303">
        <v>4</v>
      </c>
      <c r="O446" s="581">
        <v>1.2099213551119178E-3</v>
      </c>
      <c r="P446" s="582"/>
    </row>
    <row r="447" spans="1:16" ht="15" customHeight="1" x14ac:dyDescent="0.25">
      <c r="A447" s="21" t="s">
        <v>3099</v>
      </c>
      <c r="B447" s="303">
        <v>1</v>
      </c>
      <c r="C447" s="303">
        <v>0</v>
      </c>
      <c r="D447" s="303">
        <v>0</v>
      </c>
      <c r="E447" s="303">
        <v>0</v>
      </c>
      <c r="F447" s="303">
        <v>0</v>
      </c>
      <c r="G447" s="303">
        <v>0</v>
      </c>
      <c r="H447" s="303">
        <v>0</v>
      </c>
      <c r="I447" s="303">
        <v>0</v>
      </c>
      <c r="J447" s="303">
        <v>1</v>
      </c>
      <c r="K447" s="303">
        <v>0</v>
      </c>
      <c r="L447" s="303">
        <v>0</v>
      </c>
      <c r="M447" s="303">
        <v>0</v>
      </c>
      <c r="N447" s="303">
        <v>1</v>
      </c>
      <c r="O447" s="581">
        <v>3.0248033877797946E-4</v>
      </c>
      <c r="P447" s="582"/>
    </row>
    <row r="448" spans="1:16" ht="15" customHeight="1" x14ac:dyDescent="0.25">
      <c r="A448" s="21" t="s">
        <v>3100</v>
      </c>
      <c r="B448" s="303">
        <v>8</v>
      </c>
      <c r="C448" s="303">
        <v>1</v>
      </c>
      <c r="D448" s="303">
        <v>0</v>
      </c>
      <c r="E448" s="303">
        <v>1</v>
      </c>
      <c r="F448" s="303">
        <v>0</v>
      </c>
      <c r="G448" s="303">
        <v>0</v>
      </c>
      <c r="H448" s="303">
        <v>9</v>
      </c>
      <c r="I448" s="303">
        <v>0</v>
      </c>
      <c r="J448" s="303">
        <v>1</v>
      </c>
      <c r="K448" s="303">
        <v>0</v>
      </c>
      <c r="L448" s="303">
        <v>1</v>
      </c>
      <c r="M448" s="303">
        <v>0</v>
      </c>
      <c r="N448" s="303">
        <v>17</v>
      </c>
      <c r="O448" s="581">
        <v>5.14216575922565E-3</v>
      </c>
      <c r="P448" s="582"/>
    </row>
    <row r="449" spans="1:16" ht="15" customHeight="1" x14ac:dyDescent="0.25">
      <c r="A449" s="21" t="s">
        <v>3101</v>
      </c>
      <c r="B449" s="303">
        <v>31</v>
      </c>
      <c r="C449" s="303">
        <v>6</v>
      </c>
      <c r="D449" s="303">
        <v>0</v>
      </c>
      <c r="E449" s="303">
        <v>5</v>
      </c>
      <c r="F449" s="303">
        <v>2</v>
      </c>
      <c r="G449" s="303">
        <v>3</v>
      </c>
      <c r="H449" s="303">
        <v>71</v>
      </c>
      <c r="I449" s="303">
        <v>1</v>
      </c>
      <c r="J449" s="303">
        <v>9</v>
      </c>
      <c r="K449" s="303">
        <v>0</v>
      </c>
      <c r="L449" s="303">
        <v>0</v>
      </c>
      <c r="M449" s="303">
        <v>0</v>
      </c>
      <c r="N449" s="303">
        <v>96</v>
      </c>
      <c r="O449" s="581">
        <v>2.9038112522686024E-2</v>
      </c>
      <c r="P449" s="582"/>
    </row>
    <row r="450" spans="1:16" ht="15" customHeight="1" x14ac:dyDescent="0.25">
      <c r="A450" s="21" t="s">
        <v>3102</v>
      </c>
      <c r="B450" s="303">
        <v>9</v>
      </c>
      <c r="C450" s="303">
        <v>0</v>
      </c>
      <c r="D450" s="303">
        <v>1</v>
      </c>
      <c r="E450" s="303">
        <v>0</v>
      </c>
      <c r="F450" s="303">
        <v>0</v>
      </c>
      <c r="G450" s="303">
        <v>1</v>
      </c>
      <c r="H450" s="303">
        <v>15</v>
      </c>
      <c r="I450" s="303">
        <v>1</v>
      </c>
      <c r="J450" s="303">
        <v>1</v>
      </c>
      <c r="K450" s="303">
        <v>0</v>
      </c>
      <c r="L450" s="303">
        <v>1</v>
      </c>
      <c r="M450" s="303">
        <v>0</v>
      </c>
      <c r="N450" s="303">
        <v>18</v>
      </c>
      <c r="O450" s="581">
        <v>5.4446460980036296E-3</v>
      </c>
      <c r="P450" s="582"/>
    </row>
    <row r="451" spans="1:16" ht="15" customHeight="1" x14ac:dyDescent="0.25">
      <c r="A451" s="21" t="s">
        <v>3103</v>
      </c>
      <c r="B451" s="303">
        <v>11</v>
      </c>
      <c r="C451" s="303">
        <v>0</v>
      </c>
      <c r="D451" s="303">
        <v>0</v>
      </c>
      <c r="E451" s="303">
        <v>0</v>
      </c>
      <c r="F451" s="303">
        <v>1</v>
      </c>
      <c r="G451" s="303">
        <v>0</v>
      </c>
      <c r="H451" s="303">
        <v>26</v>
      </c>
      <c r="I451" s="303">
        <v>1</v>
      </c>
      <c r="J451" s="303">
        <v>4</v>
      </c>
      <c r="K451" s="303">
        <v>0</v>
      </c>
      <c r="L451" s="303">
        <v>0</v>
      </c>
      <c r="M451" s="303">
        <v>0</v>
      </c>
      <c r="N451" s="303">
        <v>36</v>
      </c>
      <c r="O451" s="581">
        <v>1.0889292196007259E-2</v>
      </c>
      <c r="P451" s="582"/>
    </row>
    <row r="452" spans="1:16" ht="15" customHeight="1" x14ac:dyDescent="0.25">
      <c r="A452" s="21" t="s">
        <v>3104</v>
      </c>
      <c r="B452" s="303">
        <v>1</v>
      </c>
      <c r="C452" s="303">
        <v>0</v>
      </c>
      <c r="D452" s="303">
        <v>0</v>
      </c>
      <c r="E452" s="303">
        <v>0</v>
      </c>
      <c r="F452" s="303">
        <v>0</v>
      </c>
      <c r="G452" s="303">
        <v>0</v>
      </c>
      <c r="H452" s="303">
        <v>0</v>
      </c>
      <c r="I452" s="303">
        <v>0</v>
      </c>
      <c r="J452" s="303">
        <v>0</v>
      </c>
      <c r="K452" s="303">
        <v>0</v>
      </c>
      <c r="L452" s="303">
        <v>0</v>
      </c>
      <c r="M452" s="303">
        <v>0</v>
      </c>
      <c r="N452" s="303">
        <v>1</v>
      </c>
      <c r="O452" s="581">
        <v>3.0248033877797946E-4</v>
      </c>
      <c r="P452" s="582"/>
    </row>
    <row r="453" spans="1:16" ht="15" customHeight="1" x14ac:dyDescent="0.25">
      <c r="A453" s="21" t="s">
        <v>3105</v>
      </c>
      <c r="B453" s="303">
        <v>22</v>
      </c>
      <c r="C453" s="303">
        <v>3</v>
      </c>
      <c r="D453" s="303">
        <v>3</v>
      </c>
      <c r="E453" s="303">
        <v>3</v>
      </c>
      <c r="F453" s="303">
        <v>2</v>
      </c>
      <c r="G453" s="303">
        <v>0</v>
      </c>
      <c r="H453" s="303">
        <v>69</v>
      </c>
      <c r="I453" s="303">
        <v>3</v>
      </c>
      <c r="J453" s="303">
        <v>3</v>
      </c>
      <c r="K453" s="303">
        <v>0</v>
      </c>
      <c r="L453" s="303">
        <v>1</v>
      </c>
      <c r="M453" s="303">
        <v>0</v>
      </c>
      <c r="N453" s="303">
        <v>85</v>
      </c>
      <c r="O453" s="581">
        <v>2.5710828796128252E-2</v>
      </c>
      <c r="P453" s="582"/>
    </row>
    <row r="454" spans="1:16" ht="15" customHeight="1" x14ac:dyDescent="0.25">
      <c r="A454" s="21" t="s">
        <v>3106</v>
      </c>
      <c r="B454" s="303">
        <v>41</v>
      </c>
      <c r="C454" s="303">
        <v>4</v>
      </c>
      <c r="D454" s="303">
        <v>1</v>
      </c>
      <c r="E454" s="303">
        <v>3</v>
      </c>
      <c r="F454" s="303">
        <v>2</v>
      </c>
      <c r="G454" s="303">
        <v>2</v>
      </c>
      <c r="H454" s="303">
        <v>84</v>
      </c>
      <c r="I454" s="303">
        <v>3</v>
      </c>
      <c r="J454" s="303">
        <v>12</v>
      </c>
      <c r="K454" s="303">
        <v>2</v>
      </c>
      <c r="L454" s="303">
        <v>2</v>
      </c>
      <c r="M454" s="303">
        <v>0</v>
      </c>
      <c r="N454" s="303">
        <v>123</v>
      </c>
      <c r="O454" s="581">
        <v>3.720508166969147E-2</v>
      </c>
      <c r="P454" s="582"/>
    </row>
    <row r="455" spans="1:16" ht="15" customHeight="1" x14ac:dyDescent="0.25">
      <c r="A455" s="21" t="s">
        <v>3107</v>
      </c>
      <c r="B455" s="303">
        <v>14</v>
      </c>
      <c r="C455" s="303">
        <v>2</v>
      </c>
      <c r="D455" s="303">
        <v>2</v>
      </c>
      <c r="E455" s="303">
        <v>2</v>
      </c>
      <c r="F455" s="303">
        <v>0</v>
      </c>
      <c r="G455" s="303">
        <v>0</v>
      </c>
      <c r="H455" s="303">
        <v>26</v>
      </c>
      <c r="I455" s="303">
        <v>0</v>
      </c>
      <c r="J455" s="303">
        <v>0</v>
      </c>
      <c r="K455" s="303">
        <v>0</v>
      </c>
      <c r="L455" s="303">
        <v>0</v>
      </c>
      <c r="M455" s="303">
        <v>0</v>
      </c>
      <c r="N455" s="303">
        <v>32</v>
      </c>
      <c r="O455" s="581">
        <v>9.6793708408953426E-3</v>
      </c>
      <c r="P455" s="582"/>
    </row>
    <row r="456" spans="1:16" ht="15" customHeight="1" x14ac:dyDescent="0.25">
      <c r="A456" s="21" t="s">
        <v>3108</v>
      </c>
      <c r="B456" s="303">
        <v>8</v>
      </c>
      <c r="C456" s="303">
        <v>1</v>
      </c>
      <c r="D456" s="303">
        <v>0</v>
      </c>
      <c r="E456" s="303">
        <v>1</v>
      </c>
      <c r="F456" s="303">
        <v>0</v>
      </c>
      <c r="G456" s="303">
        <v>0</v>
      </c>
      <c r="H456" s="303">
        <v>14</v>
      </c>
      <c r="I456" s="303">
        <v>0</v>
      </c>
      <c r="J456" s="303">
        <v>0</v>
      </c>
      <c r="K456" s="303">
        <v>0</v>
      </c>
      <c r="L456" s="303">
        <v>0</v>
      </c>
      <c r="M456" s="303">
        <v>0</v>
      </c>
      <c r="N456" s="303">
        <v>19</v>
      </c>
      <c r="O456" s="581">
        <v>5.7471264367816091E-3</v>
      </c>
      <c r="P456" s="582"/>
    </row>
    <row r="457" spans="1:16" ht="15" customHeight="1" x14ac:dyDescent="0.25">
      <c r="A457" s="21" t="s">
        <v>3109</v>
      </c>
      <c r="B457" s="303">
        <v>2</v>
      </c>
      <c r="C457" s="303">
        <v>0</v>
      </c>
      <c r="D457" s="303">
        <v>0</v>
      </c>
      <c r="E457" s="303">
        <v>0</v>
      </c>
      <c r="F457" s="303">
        <v>1</v>
      </c>
      <c r="G457" s="303">
        <v>0</v>
      </c>
      <c r="H457" s="303">
        <v>9</v>
      </c>
      <c r="I457" s="303">
        <v>0</v>
      </c>
      <c r="J457" s="303">
        <v>0</v>
      </c>
      <c r="K457" s="303">
        <v>0</v>
      </c>
      <c r="L457" s="303">
        <v>0</v>
      </c>
      <c r="M457" s="303">
        <v>0</v>
      </c>
      <c r="N457" s="303">
        <v>10</v>
      </c>
      <c r="O457" s="581">
        <v>3.0248033877797943E-3</v>
      </c>
      <c r="P457" s="582"/>
    </row>
    <row r="458" spans="1:16" ht="15" customHeight="1" x14ac:dyDescent="0.25">
      <c r="A458" s="21" t="s">
        <v>3110</v>
      </c>
      <c r="B458" s="303">
        <v>1</v>
      </c>
      <c r="C458" s="303">
        <v>0</v>
      </c>
      <c r="D458" s="303">
        <v>0</v>
      </c>
      <c r="E458" s="303">
        <v>0</v>
      </c>
      <c r="F458" s="303">
        <v>0</v>
      </c>
      <c r="G458" s="303">
        <v>0</v>
      </c>
      <c r="H458" s="303">
        <v>1</v>
      </c>
      <c r="I458" s="303">
        <v>0</v>
      </c>
      <c r="J458" s="303">
        <v>0</v>
      </c>
      <c r="K458" s="303">
        <v>0</v>
      </c>
      <c r="L458" s="303">
        <v>0</v>
      </c>
      <c r="M458" s="303">
        <v>0</v>
      </c>
      <c r="N458" s="303">
        <v>1</v>
      </c>
      <c r="O458" s="581">
        <v>3.0248033877797946E-4</v>
      </c>
      <c r="P458" s="582"/>
    </row>
    <row r="459" spans="1:16" ht="15" customHeight="1" x14ac:dyDescent="0.25">
      <c r="A459" s="21" t="s">
        <v>3111</v>
      </c>
      <c r="B459" s="303">
        <v>0</v>
      </c>
      <c r="C459" s="303">
        <v>0</v>
      </c>
      <c r="D459" s="303">
        <v>0</v>
      </c>
      <c r="E459" s="303">
        <v>0</v>
      </c>
      <c r="F459" s="303">
        <v>0</v>
      </c>
      <c r="G459" s="303">
        <v>0</v>
      </c>
      <c r="H459" s="303">
        <v>2</v>
      </c>
      <c r="I459" s="303">
        <v>0</v>
      </c>
      <c r="J459" s="303">
        <v>0</v>
      </c>
      <c r="K459" s="303">
        <v>0</v>
      </c>
      <c r="L459" s="303">
        <v>0</v>
      </c>
      <c r="M459" s="303">
        <v>0</v>
      </c>
      <c r="N459" s="303">
        <v>2</v>
      </c>
      <c r="O459" s="581">
        <v>6.0496067755595891E-4</v>
      </c>
      <c r="P459" s="582"/>
    </row>
    <row r="460" spans="1:16" ht="15" customHeight="1" x14ac:dyDescent="0.25">
      <c r="A460" s="21" t="s">
        <v>3112</v>
      </c>
      <c r="B460" s="303">
        <v>48</v>
      </c>
      <c r="C460" s="303">
        <v>11</v>
      </c>
      <c r="D460" s="303">
        <v>2</v>
      </c>
      <c r="E460" s="303">
        <v>12</v>
      </c>
      <c r="F460" s="303">
        <v>1</v>
      </c>
      <c r="G460" s="303">
        <v>3</v>
      </c>
      <c r="H460" s="303">
        <v>106</v>
      </c>
      <c r="I460" s="303">
        <v>6</v>
      </c>
      <c r="J460" s="303">
        <v>6</v>
      </c>
      <c r="K460" s="303">
        <v>1</v>
      </c>
      <c r="L460" s="303">
        <v>2</v>
      </c>
      <c r="M460" s="303">
        <v>0</v>
      </c>
      <c r="N460" s="303">
        <v>134</v>
      </c>
      <c r="O460" s="581">
        <v>4.0532365396249243E-2</v>
      </c>
      <c r="P460" s="582"/>
    </row>
    <row r="461" spans="1:16" ht="15" customHeight="1" x14ac:dyDescent="0.25">
      <c r="A461" s="21" t="s">
        <v>3113</v>
      </c>
      <c r="B461" s="303">
        <v>29</v>
      </c>
      <c r="C461" s="303">
        <v>4</v>
      </c>
      <c r="D461" s="303">
        <v>0</v>
      </c>
      <c r="E461" s="303">
        <v>4</v>
      </c>
      <c r="F461" s="303">
        <v>0</v>
      </c>
      <c r="G461" s="303">
        <v>0</v>
      </c>
      <c r="H461" s="303">
        <v>65</v>
      </c>
      <c r="I461" s="303">
        <v>2</v>
      </c>
      <c r="J461" s="303">
        <v>3</v>
      </c>
      <c r="K461" s="303">
        <v>0</v>
      </c>
      <c r="L461" s="303">
        <v>2</v>
      </c>
      <c r="M461" s="303">
        <v>1</v>
      </c>
      <c r="N461" s="303">
        <v>81</v>
      </c>
      <c r="O461" s="581">
        <v>2.4500907441016333E-2</v>
      </c>
      <c r="P461" s="582"/>
    </row>
    <row r="462" spans="1:16" ht="15" customHeight="1" x14ac:dyDescent="0.25">
      <c r="A462" s="21" t="s">
        <v>3114</v>
      </c>
      <c r="B462" s="303">
        <v>3</v>
      </c>
      <c r="C462" s="303">
        <v>0</v>
      </c>
      <c r="D462" s="303">
        <v>0</v>
      </c>
      <c r="E462" s="303">
        <v>0</v>
      </c>
      <c r="F462" s="303">
        <v>1</v>
      </c>
      <c r="G462" s="303">
        <v>0</v>
      </c>
      <c r="H462" s="303">
        <v>1</v>
      </c>
      <c r="I462" s="303">
        <v>0</v>
      </c>
      <c r="J462" s="303">
        <v>4</v>
      </c>
      <c r="K462" s="303">
        <v>0</v>
      </c>
      <c r="L462" s="303">
        <v>0</v>
      </c>
      <c r="M462" s="303">
        <v>0</v>
      </c>
      <c r="N462" s="303">
        <v>5</v>
      </c>
      <c r="O462" s="581">
        <v>1.5124016938898972E-3</v>
      </c>
      <c r="P462" s="582"/>
    </row>
    <row r="463" spans="1:16" ht="15" customHeight="1" x14ac:dyDescent="0.25">
      <c r="A463" s="21" t="s">
        <v>3115</v>
      </c>
      <c r="B463" s="303">
        <v>1</v>
      </c>
      <c r="C463" s="303">
        <v>0</v>
      </c>
      <c r="D463" s="303">
        <v>0</v>
      </c>
      <c r="E463" s="303">
        <v>0</v>
      </c>
      <c r="F463" s="303">
        <v>0</v>
      </c>
      <c r="G463" s="303">
        <v>0</v>
      </c>
      <c r="H463" s="303">
        <v>1</v>
      </c>
      <c r="I463" s="303">
        <v>0</v>
      </c>
      <c r="J463" s="303">
        <v>0</v>
      </c>
      <c r="K463" s="303">
        <v>0</v>
      </c>
      <c r="L463" s="303">
        <v>0</v>
      </c>
      <c r="M463" s="303">
        <v>0</v>
      </c>
      <c r="N463" s="303">
        <v>2</v>
      </c>
      <c r="O463" s="581">
        <v>6.0496067755595891E-4</v>
      </c>
      <c r="P463" s="582"/>
    </row>
    <row r="464" spans="1:16" ht="15" customHeight="1" x14ac:dyDescent="0.25">
      <c r="A464" s="21" t="s">
        <v>3116</v>
      </c>
      <c r="B464" s="303">
        <v>5</v>
      </c>
      <c r="C464" s="303">
        <v>1</v>
      </c>
      <c r="D464" s="303">
        <v>0</v>
      </c>
      <c r="E464" s="303">
        <v>1</v>
      </c>
      <c r="F464" s="303">
        <v>0</v>
      </c>
      <c r="G464" s="303">
        <v>0</v>
      </c>
      <c r="H464" s="303">
        <v>12</v>
      </c>
      <c r="I464" s="303">
        <v>1</v>
      </c>
      <c r="J464" s="303">
        <v>0</v>
      </c>
      <c r="K464" s="303">
        <v>0</v>
      </c>
      <c r="L464" s="303">
        <v>0</v>
      </c>
      <c r="M464" s="303">
        <v>0</v>
      </c>
      <c r="N464" s="303">
        <v>16</v>
      </c>
      <c r="O464" s="581">
        <v>4.8396854204476713E-3</v>
      </c>
      <c r="P464" s="582"/>
    </row>
    <row r="465" spans="1:16" ht="15" customHeight="1" x14ac:dyDescent="0.25">
      <c r="A465" s="21" t="s">
        <v>3117</v>
      </c>
      <c r="B465" s="303">
        <v>1</v>
      </c>
      <c r="C465" s="303">
        <v>0</v>
      </c>
      <c r="D465" s="303">
        <v>0</v>
      </c>
      <c r="E465" s="303">
        <v>0</v>
      </c>
      <c r="F465" s="303">
        <v>0</v>
      </c>
      <c r="G465" s="303">
        <v>0</v>
      </c>
      <c r="H465" s="303">
        <v>1</v>
      </c>
      <c r="I465" s="303">
        <v>0</v>
      </c>
      <c r="J465" s="303">
        <v>1</v>
      </c>
      <c r="K465" s="303">
        <v>0</v>
      </c>
      <c r="L465" s="303">
        <v>0</v>
      </c>
      <c r="M465" s="303">
        <v>0</v>
      </c>
      <c r="N465" s="303">
        <v>2</v>
      </c>
      <c r="O465" s="581">
        <v>6.0496067755595891E-4</v>
      </c>
      <c r="P465" s="582"/>
    </row>
    <row r="466" spans="1:16" ht="15" customHeight="1" x14ac:dyDescent="0.25">
      <c r="A466" s="21" t="s">
        <v>3118</v>
      </c>
      <c r="B466" s="303">
        <v>1</v>
      </c>
      <c r="C466" s="303">
        <v>0</v>
      </c>
      <c r="D466" s="303">
        <v>0</v>
      </c>
      <c r="E466" s="303">
        <v>0</v>
      </c>
      <c r="F466" s="303">
        <v>0</v>
      </c>
      <c r="G466" s="303">
        <v>0</v>
      </c>
      <c r="H466" s="303">
        <v>0</v>
      </c>
      <c r="I466" s="303">
        <v>0</v>
      </c>
      <c r="J466" s="303">
        <v>1</v>
      </c>
      <c r="K466" s="303">
        <v>0</v>
      </c>
      <c r="L466" s="303">
        <v>0</v>
      </c>
      <c r="M466" s="303">
        <v>0</v>
      </c>
      <c r="N466" s="303">
        <v>1</v>
      </c>
      <c r="O466" s="581">
        <v>3.0248033877797946E-4</v>
      </c>
      <c r="P466" s="582"/>
    </row>
    <row r="467" spans="1:16" ht="15" customHeight="1" x14ac:dyDescent="0.25">
      <c r="A467" s="21" t="s">
        <v>3119</v>
      </c>
      <c r="B467" s="303">
        <v>1</v>
      </c>
      <c r="C467" s="303">
        <v>0</v>
      </c>
      <c r="D467" s="303">
        <v>0</v>
      </c>
      <c r="E467" s="303">
        <v>0</v>
      </c>
      <c r="F467" s="303">
        <v>0</v>
      </c>
      <c r="G467" s="303">
        <v>0</v>
      </c>
      <c r="H467" s="303">
        <v>0</v>
      </c>
      <c r="I467" s="303">
        <v>0</v>
      </c>
      <c r="J467" s="303">
        <v>1</v>
      </c>
      <c r="K467" s="303">
        <v>0</v>
      </c>
      <c r="L467" s="303">
        <v>0</v>
      </c>
      <c r="M467" s="303">
        <v>0</v>
      </c>
      <c r="N467" s="303">
        <v>1</v>
      </c>
      <c r="O467" s="581">
        <v>3.0248033877797946E-4</v>
      </c>
      <c r="P467" s="582"/>
    </row>
    <row r="468" spans="1:16" ht="15" customHeight="1" x14ac:dyDescent="0.25">
      <c r="A468" s="21" t="s">
        <v>3120</v>
      </c>
      <c r="B468" s="303">
        <v>1</v>
      </c>
      <c r="C468" s="303">
        <v>0</v>
      </c>
      <c r="D468" s="303">
        <v>0</v>
      </c>
      <c r="E468" s="303">
        <v>0</v>
      </c>
      <c r="F468" s="303">
        <v>0</v>
      </c>
      <c r="G468" s="303">
        <v>0</v>
      </c>
      <c r="H468" s="303">
        <v>1</v>
      </c>
      <c r="I468" s="303">
        <v>0</v>
      </c>
      <c r="J468" s="303">
        <v>0</v>
      </c>
      <c r="K468" s="303">
        <v>0</v>
      </c>
      <c r="L468" s="303">
        <v>0</v>
      </c>
      <c r="M468" s="303">
        <v>0</v>
      </c>
      <c r="N468" s="303">
        <v>1</v>
      </c>
      <c r="O468" s="581">
        <v>3.0248033877797946E-4</v>
      </c>
      <c r="P468" s="582"/>
    </row>
    <row r="469" spans="1:16" ht="15" customHeight="1" x14ac:dyDescent="0.25">
      <c r="A469" s="21" t="s">
        <v>3121</v>
      </c>
      <c r="B469" s="303">
        <v>0</v>
      </c>
      <c r="C469" s="303">
        <v>0</v>
      </c>
      <c r="D469" s="303">
        <v>0</v>
      </c>
      <c r="E469" s="303">
        <v>0</v>
      </c>
      <c r="F469" s="303">
        <v>0</v>
      </c>
      <c r="G469" s="303">
        <v>0</v>
      </c>
      <c r="H469" s="303">
        <v>2</v>
      </c>
      <c r="I469" s="303">
        <v>1</v>
      </c>
      <c r="J469" s="303">
        <v>0</v>
      </c>
      <c r="K469" s="303">
        <v>0</v>
      </c>
      <c r="L469" s="303">
        <v>0</v>
      </c>
      <c r="M469" s="303">
        <v>0</v>
      </c>
      <c r="N469" s="303">
        <v>2</v>
      </c>
      <c r="O469" s="581">
        <v>6.0496067755595891E-4</v>
      </c>
      <c r="P469" s="582"/>
    </row>
    <row r="470" spans="1:16" ht="15" customHeight="1" x14ac:dyDescent="0.25">
      <c r="A470" s="21" t="s">
        <v>3122</v>
      </c>
      <c r="B470" s="303">
        <v>1</v>
      </c>
      <c r="C470" s="303">
        <v>0</v>
      </c>
      <c r="D470" s="303">
        <v>0</v>
      </c>
      <c r="E470" s="303">
        <v>0</v>
      </c>
      <c r="F470" s="303">
        <v>0</v>
      </c>
      <c r="G470" s="303">
        <v>0</v>
      </c>
      <c r="H470" s="303">
        <v>1</v>
      </c>
      <c r="I470" s="303">
        <v>0</v>
      </c>
      <c r="J470" s="303">
        <v>0</v>
      </c>
      <c r="K470" s="303">
        <v>0</v>
      </c>
      <c r="L470" s="303">
        <v>0</v>
      </c>
      <c r="M470" s="303">
        <v>0</v>
      </c>
      <c r="N470" s="303">
        <v>1</v>
      </c>
      <c r="O470" s="581">
        <v>3.0248033877797946E-4</v>
      </c>
      <c r="P470" s="582"/>
    </row>
    <row r="471" spans="1:16" ht="15" customHeight="1" x14ac:dyDescent="0.25">
      <c r="A471" s="21" t="s">
        <v>3123</v>
      </c>
      <c r="B471" s="303">
        <v>3</v>
      </c>
      <c r="C471" s="303">
        <v>0</v>
      </c>
      <c r="D471" s="303">
        <v>0</v>
      </c>
      <c r="E471" s="303">
        <v>0</v>
      </c>
      <c r="F471" s="303">
        <v>0</v>
      </c>
      <c r="G471" s="303">
        <v>0</v>
      </c>
      <c r="H471" s="303">
        <v>6</v>
      </c>
      <c r="I471" s="303">
        <v>0</v>
      </c>
      <c r="J471" s="303">
        <v>0</v>
      </c>
      <c r="K471" s="303">
        <v>0</v>
      </c>
      <c r="L471" s="303">
        <v>0</v>
      </c>
      <c r="M471" s="303">
        <v>0</v>
      </c>
      <c r="N471" s="303">
        <v>8</v>
      </c>
      <c r="O471" s="581">
        <v>2.4198427102238356E-3</v>
      </c>
      <c r="P471" s="582"/>
    </row>
    <row r="472" spans="1:16" ht="15" customHeight="1" x14ac:dyDescent="0.25">
      <c r="A472" s="21" t="s">
        <v>3124</v>
      </c>
      <c r="B472" s="303">
        <v>0</v>
      </c>
      <c r="C472" s="303">
        <v>0</v>
      </c>
      <c r="D472" s="303">
        <v>0</v>
      </c>
      <c r="E472" s="303">
        <v>0</v>
      </c>
      <c r="F472" s="303">
        <v>0</v>
      </c>
      <c r="G472" s="303">
        <v>0</v>
      </c>
      <c r="H472" s="303">
        <v>3</v>
      </c>
      <c r="I472" s="303">
        <v>0</v>
      </c>
      <c r="J472" s="303">
        <v>0</v>
      </c>
      <c r="K472" s="303">
        <v>0</v>
      </c>
      <c r="L472" s="303">
        <v>2</v>
      </c>
      <c r="M472" s="303">
        <v>0</v>
      </c>
      <c r="N472" s="303">
        <v>4</v>
      </c>
      <c r="O472" s="581">
        <v>1.2099213551119178E-3</v>
      </c>
      <c r="P472" s="582"/>
    </row>
    <row r="473" spans="1:16" ht="15" customHeight="1" x14ac:dyDescent="0.25">
      <c r="A473" s="21" t="s">
        <v>3125</v>
      </c>
      <c r="B473" s="303">
        <v>0</v>
      </c>
      <c r="C473" s="303">
        <v>0</v>
      </c>
      <c r="D473" s="303">
        <v>0</v>
      </c>
      <c r="E473" s="303">
        <v>0</v>
      </c>
      <c r="F473" s="303">
        <v>0</v>
      </c>
      <c r="G473" s="303">
        <v>0</v>
      </c>
      <c r="H473" s="303">
        <v>2</v>
      </c>
      <c r="I473" s="303">
        <v>0</v>
      </c>
      <c r="J473" s="303">
        <v>0</v>
      </c>
      <c r="K473" s="303">
        <v>0</v>
      </c>
      <c r="L473" s="303">
        <v>0</v>
      </c>
      <c r="M473" s="303">
        <v>0</v>
      </c>
      <c r="N473" s="303">
        <v>2</v>
      </c>
      <c r="O473" s="581">
        <v>6.0496067755595891E-4</v>
      </c>
      <c r="P473" s="582"/>
    </row>
    <row r="474" spans="1:16" ht="15" customHeight="1" x14ac:dyDescent="0.25">
      <c r="A474" s="21" t="s">
        <v>3126</v>
      </c>
      <c r="B474" s="303">
        <v>1</v>
      </c>
      <c r="C474" s="303">
        <v>0</v>
      </c>
      <c r="D474" s="303">
        <v>0</v>
      </c>
      <c r="E474" s="303">
        <v>0</v>
      </c>
      <c r="F474" s="303">
        <v>0</v>
      </c>
      <c r="G474" s="303">
        <v>0</v>
      </c>
      <c r="H474" s="303">
        <v>1</v>
      </c>
      <c r="I474" s="303">
        <v>0</v>
      </c>
      <c r="J474" s="303">
        <v>0</v>
      </c>
      <c r="K474" s="303">
        <v>0</v>
      </c>
      <c r="L474" s="303">
        <v>0</v>
      </c>
      <c r="M474" s="303">
        <v>0</v>
      </c>
      <c r="N474" s="303">
        <v>1</v>
      </c>
      <c r="O474" s="581">
        <v>3.0248033877797946E-4</v>
      </c>
      <c r="P474" s="582"/>
    </row>
    <row r="475" spans="1:16" ht="15" customHeight="1" x14ac:dyDescent="0.25">
      <c r="A475" s="21" t="s">
        <v>3127</v>
      </c>
      <c r="B475" s="303">
        <v>5</v>
      </c>
      <c r="C475" s="303">
        <v>0</v>
      </c>
      <c r="D475" s="303">
        <v>0</v>
      </c>
      <c r="E475" s="303">
        <v>0</v>
      </c>
      <c r="F475" s="303">
        <v>0</v>
      </c>
      <c r="G475" s="303">
        <v>0</v>
      </c>
      <c r="H475" s="303">
        <v>4</v>
      </c>
      <c r="I475" s="303">
        <v>1</v>
      </c>
      <c r="J475" s="303">
        <v>2</v>
      </c>
      <c r="K475" s="303">
        <v>0</v>
      </c>
      <c r="L475" s="303">
        <v>0</v>
      </c>
      <c r="M475" s="303">
        <v>0</v>
      </c>
      <c r="N475" s="303">
        <v>6</v>
      </c>
      <c r="O475" s="581">
        <v>1.8148820326678765E-3</v>
      </c>
      <c r="P475" s="582"/>
    </row>
    <row r="476" spans="1:16" ht="15" customHeight="1" x14ac:dyDescent="0.25">
      <c r="A476" s="21" t="s">
        <v>3128</v>
      </c>
      <c r="B476" s="303">
        <v>2</v>
      </c>
      <c r="C476" s="303">
        <v>0</v>
      </c>
      <c r="D476" s="303">
        <v>0</v>
      </c>
      <c r="E476" s="303">
        <v>0</v>
      </c>
      <c r="F476" s="303">
        <v>0</v>
      </c>
      <c r="G476" s="303">
        <v>0</v>
      </c>
      <c r="H476" s="303">
        <v>1</v>
      </c>
      <c r="I476" s="303">
        <v>0</v>
      </c>
      <c r="J476" s="303">
        <v>2</v>
      </c>
      <c r="K476" s="303">
        <v>0</v>
      </c>
      <c r="L476" s="303">
        <v>0</v>
      </c>
      <c r="M476" s="303">
        <v>0</v>
      </c>
      <c r="N476" s="303">
        <v>3</v>
      </c>
      <c r="O476" s="581">
        <v>9.0744101633393826E-4</v>
      </c>
      <c r="P476" s="582"/>
    </row>
    <row r="477" spans="1:16" ht="15" customHeight="1" x14ac:dyDescent="0.25">
      <c r="A477" s="21" t="s">
        <v>3129</v>
      </c>
      <c r="B477" s="303">
        <v>7</v>
      </c>
      <c r="C477" s="303">
        <v>0</v>
      </c>
      <c r="D477" s="303">
        <v>0</v>
      </c>
      <c r="E477" s="303">
        <v>0</v>
      </c>
      <c r="F477" s="303">
        <v>0</v>
      </c>
      <c r="G477" s="303">
        <v>0</v>
      </c>
      <c r="H477" s="303">
        <v>6</v>
      </c>
      <c r="I477" s="303">
        <v>1</v>
      </c>
      <c r="J477" s="303">
        <v>3</v>
      </c>
      <c r="K477" s="303">
        <v>1</v>
      </c>
      <c r="L477" s="303">
        <v>0</v>
      </c>
      <c r="M477" s="303">
        <v>0</v>
      </c>
      <c r="N477" s="303">
        <v>11</v>
      </c>
      <c r="O477" s="581">
        <v>3.3272837265577739E-3</v>
      </c>
      <c r="P477" s="582"/>
    </row>
    <row r="478" spans="1:16" ht="15" customHeight="1" x14ac:dyDescent="0.25">
      <c r="A478" s="525" t="s">
        <v>3130</v>
      </c>
      <c r="B478" s="528">
        <v>2</v>
      </c>
      <c r="C478" s="528">
        <v>0</v>
      </c>
      <c r="D478" s="528">
        <v>0</v>
      </c>
      <c r="E478" s="528">
        <v>0</v>
      </c>
      <c r="F478" s="528">
        <v>0</v>
      </c>
      <c r="G478" s="528">
        <v>1</v>
      </c>
      <c r="H478" s="528">
        <v>3</v>
      </c>
      <c r="I478" s="528">
        <v>0</v>
      </c>
      <c r="J478" s="528">
        <v>0</v>
      </c>
      <c r="K478" s="528">
        <v>0</v>
      </c>
      <c r="L478" s="528">
        <v>0</v>
      </c>
      <c r="M478" s="528">
        <v>0</v>
      </c>
      <c r="N478" s="528">
        <v>4</v>
      </c>
      <c r="O478" s="583">
        <v>1.2099213551119178E-3</v>
      </c>
      <c r="P478" s="582"/>
    </row>
    <row r="479" spans="1:16" ht="15" customHeight="1" x14ac:dyDescent="0.25">
      <c r="A479" s="298" t="s">
        <v>3131</v>
      </c>
      <c r="B479" s="312">
        <v>880</v>
      </c>
      <c r="C479" s="312">
        <v>93</v>
      </c>
      <c r="D479" s="312">
        <v>58</v>
      </c>
      <c r="E479" s="312">
        <v>95</v>
      </c>
      <c r="F479" s="312">
        <v>52</v>
      </c>
      <c r="G479" s="312">
        <v>29</v>
      </c>
      <c r="H479" s="312">
        <v>2284</v>
      </c>
      <c r="I479" s="312">
        <v>66</v>
      </c>
      <c r="J479" s="312">
        <v>249</v>
      </c>
      <c r="K479" s="312">
        <v>55</v>
      </c>
      <c r="L479" s="312">
        <v>34</v>
      </c>
      <c r="M479" s="312">
        <v>25</v>
      </c>
      <c r="N479" s="312">
        <v>3306</v>
      </c>
      <c r="O479" s="581">
        <v>1.0000000000000004</v>
      </c>
      <c r="P479" s="582"/>
    </row>
    <row r="480" spans="1:16" ht="15" customHeight="1" x14ac:dyDescent="0.25">
      <c r="A480" s="530" t="s">
        <v>3132</v>
      </c>
      <c r="B480" s="532">
        <v>270</v>
      </c>
      <c r="C480" s="532">
        <v>20</v>
      </c>
      <c r="D480" s="532">
        <v>14</v>
      </c>
      <c r="E480" s="532">
        <v>20</v>
      </c>
      <c r="F480" s="532">
        <v>8</v>
      </c>
      <c r="G480" s="532">
        <v>6</v>
      </c>
      <c r="H480" s="532">
        <v>421</v>
      </c>
      <c r="I480" s="532">
        <v>14</v>
      </c>
      <c r="J480" s="532">
        <v>94</v>
      </c>
      <c r="K480" s="532">
        <v>4</v>
      </c>
      <c r="L480" s="532">
        <v>8</v>
      </c>
      <c r="M480" s="532">
        <v>1</v>
      </c>
      <c r="N480" s="532">
        <v>656</v>
      </c>
      <c r="O480" s="532">
        <v>880</v>
      </c>
      <c r="P480" s="582"/>
    </row>
    <row r="481" spans="1:14" ht="15" customHeight="1" x14ac:dyDescent="0.25">
      <c r="A481" s="539"/>
      <c r="B481" s="540"/>
      <c r="C481" s="540"/>
      <c r="D481" s="540"/>
      <c r="E481" s="540"/>
      <c r="F481" s="540"/>
      <c r="G481" s="540"/>
      <c r="H481" s="540"/>
      <c r="I481" s="540"/>
      <c r="J481" s="540"/>
      <c r="K481" s="540"/>
      <c r="L481" s="540"/>
      <c r="M481" s="540"/>
      <c r="N481" s="538"/>
    </row>
    <row r="482" spans="1:14" ht="15" customHeight="1" x14ac:dyDescent="0.25">
      <c r="A482" s="915" t="s">
        <v>3161</v>
      </c>
      <c r="B482" s="915"/>
      <c r="C482" s="915"/>
      <c r="D482" s="915"/>
      <c r="E482" s="915"/>
      <c r="F482" s="915"/>
      <c r="G482" s="915"/>
      <c r="H482" s="915"/>
      <c r="I482" s="915"/>
      <c r="J482" s="915"/>
      <c r="K482" s="915"/>
      <c r="L482" s="915"/>
      <c r="M482" s="915"/>
      <c r="N482" s="915"/>
    </row>
    <row r="483" spans="1:14" ht="15" customHeight="1" x14ac:dyDescent="0.25">
      <c r="A483" s="296"/>
      <c r="B483" s="537"/>
      <c r="C483" s="537"/>
      <c r="D483" s="537"/>
      <c r="E483" s="537"/>
      <c r="F483" s="537"/>
      <c r="G483" s="537"/>
      <c r="H483" s="537"/>
      <c r="I483" s="537"/>
      <c r="J483" s="537"/>
      <c r="K483" s="537"/>
      <c r="L483" s="537"/>
    </row>
    <row r="484" spans="1:14" ht="15" customHeight="1" x14ac:dyDescent="0.25">
      <c r="A484" s="302" t="s">
        <v>3036</v>
      </c>
      <c r="B484" s="302" t="s">
        <v>3037</v>
      </c>
      <c r="C484" s="302" t="s">
        <v>3038</v>
      </c>
      <c r="D484" s="302" t="s">
        <v>3039</v>
      </c>
      <c r="E484" s="302" t="s">
        <v>3040</v>
      </c>
      <c r="F484" s="302" t="s">
        <v>2152</v>
      </c>
      <c r="G484" s="302" t="s">
        <v>2186</v>
      </c>
      <c r="H484" s="302" t="s">
        <v>3042</v>
      </c>
      <c r="I484" s="302" t="s">
        <v>2210</v>
      </c>
      <c r="J484" s="302" t="s">
        <v>3043</v>
      </c>
      <c r="K484" s="302" t="s">
        <v>3044</v>
      </c>
      <c r="L484" s="302" t="s">
        <v>2223</v>
      </c>
      <c r="M484" s="302" t="s">
        <v>3045</v>
      </c>
      <c r="N484" s="302" t="s">
        <v>2462</v>
      </c>
    </row>
    <row r="485" spans="1:14" ht="15" customHeight="1" x14ac:dyDescent="0.25">
      <c r="A485" s="21" t="s">
        <v>3047</v>
      </c>
      <c r="B485" s="584">
        <v>0</v>
      </c>
      <c r="C485" s="584">
        <v>0</v>
      </c>
      <c r="D485" s="584">
        <v>0</v>
      </c>
      <c r="E485" s="584">
        <v>0</v>
      </c>
      <c r="F485" s="584">
        <v>0</v>
      </c>
      <c r="G485" s="584">
        <v>0</v>
      </c>
      <c r="H485" s="584">
        <v>0</v>
      </c>
      <c r="I485" s="584">
        <v>0</v>
      </c>
      <c r="J485" s="584">
        <v>0</v>
      </c>
      <c r="K485" s="584">
        <v>0</v>
      </c>
      <c r="L485" s="584">
        <v>0</v>
      </c>
      <c r="M485" s="584">
        <v>0</v>
      </c>
      <c r="N485" s="585">
        <v>0</v>
      </c>
    </row>
    <row r="486" spans="1:14" ht="15" customHeight="1" x14ac:dyDescent="0.25">
      <c r="A486" s="21" t="s">
        <v>3048</v>
      </c>
      <c r="B486" s="584">
        <v>335818.35063829011</v>
      </c>
      <c r="C486" s="584">
        <v>0</v>
      </c>
      <c r="D486" s="584">
        <v>0</v>
      </c>
      <c r="E486" s="584">
        <v>0</v>
      </c>
      <c r="F486" s="584">
        <v>0</v>
      </c>
      <c r="G486" s="584">
        <v>0</v>
      </c>
      <c r="H486" s="584">
        <v>0</v>
      </c>
      <c r="I486" s="584">
        <v>0</v>
      </c>
      <c r="J486" s="584">
        <v>0</v>
      </c>
      <c r="K486" s="584">
        <v>0</v>
      </c>
      <c r="L486" s="584">
        <v>0</v>
      </c>
      <c r="M486" s="584">
        <v>0</v>
      </c>
      <c r="N486" s="585">
        <v>335818.35063829011</v>
      </c>
    </row>
    <row r="487" spans="1:14" ht="15" customHeight="1" x14ac:dyDescent="0.25">
      <c r="A487" s="21" t="s">
        <v>3049</v>
      </c>
      <c r="B487" s="584">
        <v>111939.45021276336</v>
      </c>
      <c r="C487" s="584">
        <v>0</v>
      </c>
      <c r="D487" s="584">
        <v>0</v>
      </c>
      <c r="E487" s="584">
        <v>0</v>
      </c>
      <c r="F487" s="584">
        <v>0</v>
      </c>
      <c r="G487" s="584">
        <v>0</v>
      </c>
      <c r="H487" s="584">
        <v>734340.65934065939</v>
      </c>
      <c r="I487" s="584">
        <v>0</v>
      </c>
      <c r="J487" s="584">
        <v>0</v>
      </c>
      <c r="K487" s="584">
        <v>0</v>
      </c>
      <c r="L487" s="584">
        <v>0</v>
      </c>
      <c r="M487" s="584">
        <v>0</v>
      </c>
      <c r="N487" s="585">
        <v>846280.10955342278</v>
      </c>
    </row>
    <row r="488" spans="1:14" ht="15" customHeight="1" x14ac:dyDescent="0.25">
      <c r="A488" s="21" t="s">
        <v>3050</v>
      </c>
      <c r="B488" s="584">
        <v>447757.80085105344</v>
      </c>
      <c r="C488" s="584">
        <v>0</v>
      </c>
      <c r="D488" s="584">
        <v>0</v>
      </c>
      <c r="E488" s="584">
        <v>0</v>
      </c>
      <c r="F488" s="584">
        <v>0</v>
      </c>
      <c r="G488" s="584">
        <v>0</v>
      </c>
      <c r="H488" s="584">
        <v>0</v>
      </c>
      <c r="I488" s="584">
        <v>0</v>
      </c>
      <c r="J488" s="584">
        <v>74175.824175824178</v>
      </c>
      <c r="K488" s="584">
        <v>0</v>
      </c>
      <c r="L488" s="584">
        <v>0</v>
      </c>
      <c r="M488" s="584">
        <v>0</v>
      </c>
      <c r="N488" s="585">
        <v>521933.62502687762</v>
      </c>
    </row>
    <row r="489" spans="1:14" ht="15" customHeight="1" x14ac:dyDescent="0.25">
      <c r="A489" s="21" t="s">
        <v>3051</v>
      </c>
      <c r="B489" s="584">
        <v>261192.05049644783</v>
      </c>
      <c r="C489" s="584">
        <v>0</v>
      </c>
      <c r="D489" s="584">
        <v>0</v>
      </c>
      <c r="E489" s="584">
        <v>0</v>
      </c>
      <c r="F489" s="584">
        <v>0</v>
      </c>
      <c r="G489" s="584">
        <v>0</v>
      </c>
      <c r="H489" s="584">
        <v>395604.3956043956</v>
      </c>
      <c r="I489" s="584">
        <v>0</v>
      </c>
      <c r="J489" s="584">
        <v>222527.47252747254</v>
      </c>
      <c r="K489" s="584">
        <v>0</v>
      </c>
      <c r="L489" s="584">
        <v>0</v>
      </c>
      <c r="M489" s="584">
        <v>0</v>
      </c>
      <c r="N489" s="585">
        <v>879323.91862831602</v>
      </c>
    </row>
    <row r="490" spans="1:14" ht="15" customHeight="1" x14ac:dyDescent="0.25">
      <c r="A490" s="21" t="s">
        <v>3052</v>
      </c>
      <c r="B490" s="584">
        <v>0</v>
      </c>
      <c r="C490" s="584">
        <v>0</v>
      </c>
      <c r="D490" s="584">
        <v>0</v>
      </c>
      <c r="E490" s="584">
        <v>0</v>
      </c>
      <c r="F490" s="584">
        <v>447757.80085105344</v>
      </c>
      <c r="G490" s="584">
        <v>0</v>
      </c>
      <c r="H490" s="584">
        <v>593406.59340659343</v>
      </c>
      <c r="I490" s="584">
        <v>0</v>
      </c>
      <c r="J490" s="584">
        <v>0</v>
      </c>
      <c r="K490" s="584">
        <v>0</v>
      </c>
      <c r="L490" s="584">
        <v>0</v>
      </c>
      <c r="M490" s="584">
        <v>0</v>
      </c>
      <c r="N490" s="585">
        <v>1041164.3942576469</v>
      </c>
    </row>
    <row r="491" spans="1:14" ht="15" customHeight="1" x14ac:dyDescent="0.25">
      <c r="A491" s="21" t="s">
        <v>3053</v>
      </c>
      <c r="B491" s="584">
        <v>291042.57055318472</v>
      </c>
      <c r="C491" s="584">
        <v>0</v>
      </c>
      <c r="D491" s="584">
        <v>0</v>
      </c>
      <c r="E491" s="584">
        <v>0</v>
      </c>
      <c r="F491" s="584">
        <v>0</v>
      </c>
      <c r="G491" s="584">
        <v>0</v>
      </c>
      <c r="H491" s="584">
        <v>133516.48351648351</v>
      </c>
      <c r="I491" s="584">
        <v>0</v>
      </c>
      <c r="J491" s="584">
        <v>25219.780219780219</v>
      </c>
      <c r="K491" s="584">
        <v>0</v>
      </c>
      <c r="L491" s="584">
        <v>0</v>
      </c>
      <c r="M491" s="584">
        <v>0</v>
      </c>
      <c r="N491" s="585">
        <v>449778.83428944845</v>
      </c>
    </row>
    <row r="492" spans="1:14" ht="15" customHeight="1" x14ac:dyDescent="0.25">
      <c r="A492" s="21" t="s">
        <v>3054</v>
      </c>
      <c r="B492" s="584">
        <v>139924.31276595421</v>
      </c>
      <c r="C492" s="584">
        <v>0</v>
      </c>
      <c r="D492" s="584">
        <v>0</v>
      </c>
      <c r="E492" s="584">
        <v>0</v>
      </c>
      <c r="F492" s="584">
        <v>0</v>
      </c>
      <c r="G492" s="584">
        <v>0</v>
      </c>
      <c r="H492" s="584">
        <v>111263.73626373627</v>
      </c>
      <c r="I492" s="584">
        <v>9271.9780219780223</v>
      </c>
      <c r="J492" s="584">
        <v>101991.75824175825</v>
      </c>
      <c r="K492" s="584">
        <v>0</v>
      </c>
      <c r="L492" s="584">
        <v>0</v>
      </c>
      <c r="M492" s="584">
        <v>0</v>
      </c>
      <c r="N492" s="585">
        <v>362451.78529342671</v>
      </c>
    </row>
    <row r="493" spans="1:14" ht="15" customHeight="1" x14ac:dyDescent="0.25">
      <c r="A493" s="21" t="s">
        <v>3055</v>
      </c>
      <c r="B493" s="584">
        <v>179103.12034042139</v>
      </c>
      <c r="C493" s="584">
        <v>0</v>
      </c>
      <c r="D493" s="584">
        <v>0</v>
      </c>
      <c r="E493" s="584">
        <v>0</v>
      </c>
      <c r="F493" s="584">
        <v>0</v>
      </c>
      <c r="G493" s="584">
        <v>0</v>
      </c>
      <c r="H493" s="584">
        <v>271978.02197802201</v>
      </c>
      <c r="I493" s="584">
        <v>0</v>
      </c>
      <c r="J493" s="584">
        <v>52912.087912087911</v>
      </c>
      <c r="K493" s="584">
        <v>0</v>
      </c>
      <c r="L493" s="584">
        <v>0</v>
      </c>
      <c r="M493" s="584">
        <v>0</v>
      </c>
      <c r="N493" s="585">
        <v>503993.23023053125</v>
      </c>
    </row>
    <row r="494" spans="1:14" ht="15" customHeight="1" x14ac:dyDescent="0.25">
      <c r="A494" s="21" t="s">
        <v>3056</v>
      </c>
      <c r="B494" s="584">
        <v>0</v>
      </c>
      <c r="C494" s="584">
        <v>0</v>
      </c>
      <c r="D494" s="584">
        <v>0</v>
      </c>
      <c r="E494" s="584">
        <v>0</v>
      </c>
      <c r="F494" s="584">
        <v>0</v>
      </c>
      <c r="G494" s="584">
        <v>0</v>
      </c>
      <c r="H494" s="584">
        <v>0</v>
      </c>
      <c r="I494" s="584">
        <v>0</v>
      </c>
      <c r="J494" s="584">
        <v>0</v>
      </c>
      <c r="K494" s="584">
        <v>0</v>
      </c>
      <c r="L494" s="584">
        <v>0</v>
      </c>
      <c r="M494" s="584">
        <v>0</v>
      </c>
      <c r="N494" s="585">
        <v>0</v>
      </c>
    </row>
    <row r="495" spans="1:14" ht="15" customHeight="1" x14ac:dyDescent="0.25">
      <c r="A495" s="21" t="s">
        <v>3057</v>
      </c>
      <c r="B495" s="584">
        <v>74626.300141842235</v>
      </c>
      <c r="C495" s="584">
        <v>0</v>
      </c>
      <c r="D495" s="584">
        <v>0</v>
      </c>
      <c r="E495" s="584">
        <v>0</v>
      </c>
      <c r="F495" s="584">
        <v>0</v>
      </c>
      <c r="G495" s="584">
        <v>0</v>
      </c>
      <c r="H495" s="584">
        <v>370879.12087912089</v>
      </c>
      <c r="I495" s="584">
        <v>0</v>
      </c>
      <c r="J495" s="584">
        <v>148351.64835164836</v>
      </c>
      <c r="K495" s="584">
        <v>0</v>
      </c>
      <c r="L495" s="584">
        <v>0</v>
      </c>
      <c r="M495" s="584">
        <v>0</v>
      </c>
      <c r="N495" s="585">
        <v>593857.06937261147</v>
      </c>
    </row>
    <row r="496" spans="1:14" ht="15" customHeight="1" x14ac:dyDescent="0.25">
      <c r="A496" s="21" t="s">
        <v>3058</v>
      </c>
      <c r="B496" s="584">
        <v>252448.5213007245</v>
      </c>
      <c r="C496" s="584">
        <v>10496.965720846318</v>
      </c>
      <c r="D496" s="584">
        <v>0</v>
      </c>
      <c r="E496" s="584">
        <v>10496.965720846318</v>
      </c>
      <c r="F496" s="584">
        <v>5012.2141886311947</v>
      </c>
      <c r="G496" s="584">
        <v>4722.2041684958331</v>
      </c>
      <c r="H496" s="584">
        <v>339370.433608138</v>
      </c>
      <c r="I496" s="584">
        <v>221.42037067410203</v>
      </c>
      <c r="J496" s="584">
        <v>52310.5625717566</v>
      </c>
      <c r="K496" s="584">
        <v>1330.2080322438915</v>
      </c>
      <c r="L496" s="584">
        <v>0</v>
      </c>
      <c r="M496" s="584">
        <v>11715.363527730266</v>
      </c>
      <c r="N496" s="585">
        <v>688124.85921008699</v>
      </c>
    </row>
    <row r="497" spans="1:14" ht="15" customHeight="1" x14ac:dyDescent="0.25">
      <c r="A497" s="21" t="s">
        <v>3059</v>
      </c>
      <c r="B497" s="584">
        <v>219881.06291792804</v>
      </c>
      <c r="C497" s="584">
        <v>0</v>
      </c>
      <c r="D497" s="584">
        <v>15991.350030394766</v>
      </c>
      <c r="E497" s="584">
        <v>0</v>
      </c>
      <c r="F497" s="584">
        <v>0</v>
      </c>
      <c r="G497" s="584">
        <v>0</v>
      </c>
      <c r="H497" s="584">
        <v>307079.08163265308</v>
      </c>
      <c r="I497" s="584">
        <v>283.93746813590639</v>
      </c>
      <c r="J497" s="584">
        <v>72287.640012720396</v>
      </c>
      <c r="K497" s="584">
        <v>0</v>
      </c>
      <c r="L497" s="584">
        <v>0</v>
      </c>
      <c r="M497" s="584">
        <v>0</v>
      </c>
      <c r="N497" s="585">
        <v>615523.07206183218</v>
      </c>
    </row>
    <row r="498" spans="1:14" ht="15" customHeight="1" x14ac:dyDescent="0.25">
      <c r="A498" s="21" t="s">
        <v>3060</v>
      </c>
      <c r="B498" s="584">
        <v>159779.01647341682</v>
      </c>
      <c r="C498" s="584">
        <v>0</v>
      </c>
      <c r="D498" s="584">
        <v>0</v>
      </c>
      <c r="E498" s="584">
        <v>0</v>
      </c>
      <c r="F498" s="584">
        <v>0</v>
      </c>
      <c r="G498" s="584">
        <v>0</v>
      </c>
      <c r="H498" s="584">
        <v>529093.14139771939</v>
      </c>
      <c r="I498" s="584">
        <v>0</v>
      </c>
      <c r="J498" s="584">
        <v>61813.18681318681</v>
      </c>
      <c r="K498" s="584">
        <v>0</v>
      </c>
      <c r="L498" s="584">
        <v>0</v>
      </c>
      <c r="M498" s="584">
        <v>0</v>
      </c>
      <c r="N498" s="585">
        <v>750685.34468432306</v>
      </c>
    </row>
    <row r="499" spans="1:14" ht="15" customHeight="1" x14ac:dyDescent="0.25">
      <c r="A499" s="21" t="s">
        <v>3061</v>
      </c>
      <c r="B499" s="584">
        <v>335818.35063829005</v>
      </c>
      <c r="C499" s="584">
        <v>0</v>
      </c>
      <c r="D499" s="584">
        <v>0</v>
      </c>
      <c r="E499" s="584">
        <v>0</v>
      </c>
      <c r="F499" s="584">
        <v>0</v>
      </c>
      <c r="G499" s="584">
        <v>0</v>
      </c>
      <c r="H499" s="584">
        <v>0</v>
      </c>
      <c r="I499" s="584">
        <v>0</v>
      </c>
      <c r="J499" s="584">
        <v>185439.56043956045</v>
      </c>
      <c r="K499" s="584">
        <v>0</v>
      </c>
      <c r="L499" s="584">
        <v>0</v>
      </c>
      <c r="M499" s="584">
        <v>0</v>
      </c>
      <c r="N499" s="585">
        <v>521257.91107785044</v>
      </c>
    </row>
    <row r="500" spans="1:14" ht="15" customHeight="1" x14ac:dyDescent="0.25">
      <c r="A500" s="21" t="s">
        <v>3062</v>
      </c>
      <c r="B500" s="584">
        <v>298505.200567369</v>
      </c>
      <c r="C500" s="584">
        <v>0</v>
      </c>
      <c r="D500" s="584">
        <v>0</v>
      </c>
      <c r="E500" s="584">
        <v>0</v>
      </c>
      <c r="F500" s="584">
        <v>0</v>
      </c>
      <c r="G500" s="584">
        <v>10546.25597630736</v>
      </c>
      <c r="H500" s="584">
        <v>557554.94505494507</v>
      </c>
      <c r="I500" s="584">
        <v>0</v>
      </c>
      <c r="J500" s="584">
        <v>13351.648351648351</v>
      </c>
      <c r="K500" s="584">
        <v>0</v>
      </c>
      <c r="L500" s="584">
        <v>0</v>
      </c>
      <c r="M500" s="584">
        <v>0</v>
      </c>
      <c r="N500" s="585">
        <v>879958.04995026975</v>
      </c>
    </row>
    <row r="501" spans="1:14" ht="15" customHeight="1" x14ac:dyDescent="0.25">
      <c r="A501" s="21" t="s">
        <v>3063</v>
      </c>
      <c r="B501" s="584">
        <v>0</v>
      </c>
      <c r="C501" s="584">
        <v>0</v>
      </c>
      <c r="D501" s="584">
        <v>0</v>
      </c>
      <c r="E501" s="584">
        <v>0</v>
      </c>
      <c r="F501" s="584">
        <v>0</v>
      </c>
      <c r="G501" s="584">
        <v>0</v>
      </c>
      <c r="H501" s="584">
        <v>407967.03296703298</v>
      </c>
      <c r="I501" s="584">
        <v>0</v>
      </c>
      <c r="J501" s="584">
        <v>55631.868131868134</v>
      </c>
      <c r="K501" s="584">
        <v>0</v>
      </c>
      <c r="L501" s="584">
        <v>0</v>
      </c>
      <c r="M501" s="584">
        <v>0</v>
      </c>
      <c r="N501" s="585">
        <v>463598.90109890111</v>
      </c>
    </row>
    <row r="502" spans="1:14" ht="15" customHeight="1" x14ac:dyDescent="0.25">
      <c r="A502" s="21" t="s">
        <v>3064</v>
      </c>
      <c r="B502" s="584">
        <v>69479.658752749674</v>
      </c>
      <c r="C502" s="584">
        <v>18431.223948465329</v>
      </c>
      <c r="D502" s="584">
        <v>38599.810418194262</v>
      </c>
      <c r="E502" s="584">
        <v>18431.223948465329</v>
      </c>
      <c r="F502" s="584">
        <v>0</v>
      </c>
      <c r="G502" s="584">
        <v>10909.919975490373</v>
      </c>
      <c r="H502" s="584">
        <v>558741.20395535021</v>
      </c>
      <c r="I502" s="584">
        <v>12916.824554755589</v>
      </c>
      <c r="J502" s="584">
        <v>21996.968548692686</v>
      </c>
      <c r="K502" s="584">
        <v>0</v>
      </c>
      <c r="L502" s="584">
        <v>0</v>
      </c>
      <c r="M502" s="584">
        <v>0</v>
      </c>
      <c r="N502" s="585">
        <v>749506.83410216344</v>
      </c>
    </row>
    <row r="503" spans="1:14" ht="15" customHeight="1" x14ac:dyDescent="0.25">
      <c r="A503" s="21" t="s">
        <v>3065</v>
      </c>
      <c r="B503" s="584">
        <v>86223.630569290704</v>
      </c>
      <c r="C503" s="584">
        <v>14256.014256014256</v>
      </c>
      <c r="D503" s="584">
        <v>9076.1716388727054</v>
      </c>
      <c r="E503" s="584">
        <v>14256.014256014256</v>
      </c>
      <c r="F503" s="584">
        <v>3025.3905462909015</v>
      </c>
      <c r="G503" s="584">
        <v>14964.282128544228</v>
      </c>
      <c r="H503" s="584">
        <v>519180.58227672568</v>
      </c>
      <c r="I503" s="584">
        <v>2995.8324511746878</v>
      </c>
      <c r="J503" s="584">
        <v>24959.16245916246</v>
      </c>
      <c r="K503" s="584">
        <v>1766.4203959707172</v>
      </c>
      <c r="L503" s="584">
        <v>0</v>
      </c>
      <c r="M503" s="584">
        <v>0</v>
      </c>
      <c r="N503" s="585">
        <v>690703.50097806053</v>
      </c>
    </row>
    <row r="504" spans="1:14" ht="15" customHeight="1" x14ac:dyDescent="0.25">
      <c r="A504" s="21" t="s">
        <v>3066</v>
      </c>
      <c r="B504" s="584">
        <v>79956.750151973829</v>
      </c>
      <c r="C504" s="584">
        <v>14819.466248037677</v>
      </c>
      <c r="D504" s="584">
        <v>0</v>
      </c>
      <c r="E504" s="584">
        <v>14819.466248037677</v>
      </c>
      <c r="F504" s="584">
        <v>0</v>
      </c>
      <c r="G504" s="584">
        <v>0</v>
      </c>
      <c r="H504" s="584">
        <v>437133.90460757149</v>
      </c>
      <c r="I504" s="584">
        <v>105.96546310832025</v>
      </c>
      <c r="J504" s="584">
        <v>23728.415302708217</v>
      </c>
      <c r="K504" s="584">
        <v>0</v>
      </c>
      <c r="L504" s="584">
        <v>0</v>
      </c>
      <c r="M504" s="584">
        <v>0</v>
      </c>
      <c r="N504" s="585">
        <v>570563.96802143718</v>
      </c>
    </row>
    <row r="505" spans="1:14" ht="15" customHeight="1" x14ac:dyDescent="0.25">
      <c r="A505" s="21" t="s">
        <v>3067</v>
      </c>
      <c r="B505" s="584">
        <v>259495.9982204969</v>
      </c>
      <c r="C505" s="584">
        <v>0</v>
      </c>
      <c r="D505" s="584">
        <v>10176.313655705761</v>
      </c>
      <c r="E505" s="584">
        <v>0</v>
      </c>
      <c r="F505" s="584">
        <v>0</v>
      </c>
      <c r="G505" s="584">
        <v>0</v>
      </c>
      <c r="H505" s="584">
        <v>151723.27672327674</v>
      </c>
      <c r="I505" s="584">
        <v>0</v>
      </c>
      <c r="J505" s="584">
        <v>47202.797202797206</v>
      </c>
      <c r="K505" s="584">
        <v>0</v>
      </c>
      <c r="L505" s="584">
        <v>0</v>
      </c>
      <c r="M505" s="584">
        <v>0</v>
      </c>
      <c r="N505" s="585">
        <v>468598.38580227661</v>
      </c>
    </row>
    <row r="506" spans="1:14" ht="15" customHeight="1" x14ac:dyDescent="0.25">
      <c r="A506" s="21" t="s">
        <v>3068</v>
      </c>
      <c r="B506" s="584">
        <v>188697.93035865822</v>
      </c>
      <c r="C506" s="584">
        <v>0</v>
      </c>
      <c r="D506" s="584">
        <v>0</v>
      </c>
      <c r="E506" s="584">
        <v>0</v>
      </c>
      <c r="F506" s="584">
        <v>0</v>
      </c>
      <c r="G506" s="584">
        <v>0</v>
      </c>
      <c r="H506" s="584">
        <v>469914.442700157</v>
      </c>
      <c r="I506" s="584">
        <v>0</v>
      </c>
      <c r="J506" s="584">
        <v>38253.532182103612</v>
      </c>
      <c r="K506" s="584">
        <v>0</v>
      </c>
      <c r="L506" s="584">
        <v>0</v>
      </c>
      <c r="M506" s="584">
        <v>0</v>
      </c>
      <c r="N506" s="585">
        <v>696865.90524091886</v>
      </c>
    </row>
    <row r="507" spans="1:14" ht="15" customHeight="1" x14ac:dyDescent="0.25">
      <c r="A507" s="21" t="s">
        <v>3069</v>
      </c>
      <c r="B507" s="584">
        <v>169996.18201802706</v>
      </c>
      <c r="C507" s="584">
        <v>7954.9906551659906</v>
      </c>
      <c r="D507" s="584">
        <v>9486.3940858274036</v>
      </c>
      <c r="E507" s="584">
        <v>7954.9906551659906</v>
      </c>
      <c r="F507" s="584">
        <v>11383.672902992885</v>
      </c>
      <c r="G507" s="584">
        <v>16087.509116401059</v>
      </c>
      <c r="H507" s="584">
        <v>511702.98371769337</v>
      </c>
      <c r="I507" s="584">
        <v>0</v>
      </c>
      <c r="J507" s="584">
        <v>14583.721363382379</v>
      </c>
      <c r="K507" s="584">
        <v>0</v>
      </c>
      <c r="L507" s="584">
        <v>22648.537902775191</v>
      </c>
      <c r="M507" s="584">
        <v>0</v>
      </c>
      <c r="N507" s="585">
        <v>771798.98241743131</v>
      </c>
    </row>
    <row r="508" spans="1:14" ht="15" customHeight="1" x14ac:dyDescent="0.25">
      <c r="A508" s="21" t="s">
        <v>3070</v>
      </c>
      <c r="B508" s="584">
        <v>52132.481238319</v>
      </c>
      <c r="C508" s="584">
        <v>1542.3173317910159</v>
      </c>
      <c r="D508" s="584">
        <v>0</v>
      </c>
      <c r="E508" s="584">
        <v>1542.3173317910159</v>
      </c>
      <c r="F508" s="584">
        <v>8625.5372712965236</v>
      </c>
      <c r="G508" s="584">
        <v>3700.4406934411791</v>
      </c>
      <c r="H508" s="584">
        <v>537441.29613598983</v>
      </c>
      <c r="I508" s="584">
        <v>10952.862926547137</v>
      </c>
      <c r="J508" s="584">
        <v>7742.9149797570853</v>
      </c>
      <c r="K508" s="584">
        <v>6254.311449848472</v>
      </c>
      <c r="L508" s="584">
        <v>488.40048840048843</v>
      </c>
      <c r="M508" s="584">
        <v>4590.2301541399293</v>
      </c>
      <c r="N508" s="585">
        <v>635013.11000132165</v>
      </c>
    </row>
    <row r="509" spans="1:14" ht="15" customHeight="1" x14ac:dyDescent="0.25">
      <c r="A509" s="21" t="s">
        <v>3071</v>
      </c>
      <c r="B509" s="584">
        <v>115652.71255184125</v>
      </c>
      <c r="C509" s="584">
        <v>14819.466248037677</v>
      </c>
      <c r="D509" s="584">
        <v>15914.245678854857</v>
      </c>
      <c r="E509" s="584">
        <v>8791.2087912087918</v>
      </c>
      <c r="F509" s="584">
        <v>7595.8912644375132</v>
      </c>
      <c r="G509" s="584">
        <v>0</v>
      </c>
      <c r="H509" s="584">
        <v>443411.34026814939</v>
      </c>
      <c r="I509" s="584">
        <v>3708.7912087912086</v>
      </c>
      <c r="J509" s="584">
        <v>17855.180533751962</v>
      </c>
      <c r="K509" s="584">
        <v>0</v>
      </c>
      <c r="L509" s="584">
        <v>0</v>
      </c>
      <c r="M509" s="584">
        <v>0</v>
      </c>
      <c r="N509" s="585">
        <v>627748.83654507261</v>
      </c>
    </row>
    <row r="510" spans="1:14" ht="15" customHeight="1" x14ac:dyDescent="0.25">
      <c r="A510" s="21" t="s">
        <v>3072</v>
      </c>
      <c r="B510" s="584">
        <v>144862.81792239964</v>
      </c>
      <c r="C510" s="584">
        <v>3878.4744667097607</v>
      </c>
      <c r="D510" s="584">
        <v>4938.5051564454425</v>
      </c>
      <c r="E510" s="584">
        <v>3878.4744667097607</v>
      </c>
      <c r="F510" s="584">
        <v>3292.3367709636282</v>
      </c>
      <c r="G510" s="584">
        <v>2326.3799947736825</v>
      </c>
      <c r="H510" s="584">
        <v>377932.93252442189</v>
      </c>
      <c r="I510" s="584">
        <v>2999.7575953458309</v>
      </c>
      <c r="J510" s="584">
        <v>53013.897866839041</v>
      </c>
      <c r="K510" s="584">
        <v>0</v>
      </c>
      <c r="L510" s="584">
        <v>0</v>
      </c>
      <c r="M510" s="584">
        <v>0</v>
      </c>
      <c r="N510" s="585">
        <v>597123.57676460873</v>
      </c>
    </row>
    <row r="511" spans="1:14" ht="15" customHeight="1" x14ac:dyDescent="0.25">
      <c r="A511" s="21" t="s">
        <v>3073</v>
      </c>
      <c r="B511" s="584">
        <v>313430.46059573739</v>
      </c>
      <c r="C511" s="584">
        <v>0</v>
      </c>
      <c r="D511" s="584">
        <v>0</v>
      </c>
      <c r="E511" s="584">
        <v>0</v>
      </c>
      <c r="F511" s="584">
        <v>0</v>
      </c>
      <c r="G511" s="584">
        <v>0</v>
      </c>
      <c r="H511" s="584">
        <v>624560.43956043955</v>
      </c>
      <c r="I511" s="584">
        <v>0</v>
      </c>
      <c r="J511" s="584">
        <v>0</v>
      </c>
      <c r="K511" s="584">
        <v>0</v>
      </c>
      <c r="L511" s="584">
        <v>0</v>
      </c>
      <c r="M511" s="584">
        <v>0</v>
      </c>
      <c r="N511" s="585">
        <v>937990.900156177</v>
      </c>
    </row>
    <row r="512" spans="1:14" ht="15" customHeight="1" x14ac:dyDescent="0.25">
      <c r="A512" s="21" t="s">
        <v>3074</v>
      </c>
      <c r="B512" s="584">
        <v>783576.15148934349</v>
      </c>
      <c r="C512" s="584">
        <v>0</v>
      </c>
      <c r="D512" s="584">
        <v>0</v>
      </c>
      <c r="E512" s="584">
        <v>0</v>
      </c>
      <c r="F512" s="584">
        <v>0</v>
      </c>
      <c r="G512" s="584">
        <v>0</v>
      </c>
      <c r="H512" s="584">
        <v>667582.41758241761</v>
      </c>
      <c r="I512" s="584">
        <v>0</v>
      </c>
      <c r="J512" s="584">
        <v>0</v>
      </c>
      <c r="K512" s="584">
        <v>0</v>
      </c>
      <c r="L512" s="584">
        <v>0</v>
      </c>
      <c r="M512" s="584">
        <v>0</v>
      </c>
      <c r="N512" s="585">
        <v>1451158.5690717611</v>
      </c>
    </row>
    <row r="513" spans="1:14" ht="15" customHeight="1" x14ac:dyDescent="0.25">
      <c r="A513" s="21" t="s">
        <v>3075</v>
      </c>
      <c r="B513" s="584">
        <v>79394.091539793284</v>
      </c>
      <c r="C513" s="584">
        <v>6284.0862840862837</v>
      </c>
      <c r="D513" s="584">
        <v>1036.47639085892</v>
      </c>
      <c r="E513" s="584">
        <v>11168.091168091169</v>
      </c>
      <c r="F513" s="584">
        <v>0</v>
      </c>
      <c r="G513" s="584">
        <v>5859.0310979485339</v>
      </c>
      <c r="H513" s="584">
        <v>381982.12321800546</v>
      </c>
      <c r="I513" s="584">
        <v>6.8681318681318677</v>
      </c>
      <c r="J513" s="584">
        <v>11881.868131868132</v>
      </c>
      <c r="K513" s="584">
        <v>45222.14639987659</v>
      </c>
      <c r="L513" s="584">
        <v>2319.90231990232</v>
      </c>
      <c r="M513" s="584">
        <v>2422.6214702405177</v>
      </c>
      <c r="N513" s="585">
        <v>547577.30615253933</v>
      </c>
    </row>
    <row r="514" spans="1:14" ht="15" customHeight="1" x14ac:dyDescent="0.25">
      <c r="A514" s="21" t="s">
        <v>3076</v>
      </c>
      <c r="B514" s="584">
        <v>62459.46623834865</v>
      </c>
      <c r="C514" s="584">
        <v>3532.6636553630419</v>
      </c>
      <c r="D514" s="584">
        <v>2746.9803733193462</v>
      </c>
      <c r="E514" s="584">
        <v>3397.8291647003302</v>
      </c>
      <c r="F514" s="584">
        <v>1716.8627333245915</v>
      </c>
      <c r="G514" s="584">
        <v>3396.8002377677085</v>
      </c>
      <c r="H514" s="584">
        <v>515441.91960602941</v>
      </c>
      <c r="I514" s="584">
        <v>2347.2040474720525</v>
      </c>
      <c r="J514" s="584">
        <v>7597.3336479471445</v>
      </c>
      <c r="K514" s="584">
        <v>23875.738034774302</v>
      </c>
      <c r="L514" s="584">
        <v>0</v>
      </c>
      <c r="M514" s="584">
        <v>10433.62130128125</v>
      </c>
      <c r="N514" s="585">
        <v>636946.41904032789</v>
      </c>
    </row>
    <row r="515" spans="1:14" ht="15" customHeight="1" x14ac:dyDescent="0.25">
      <c r="A515" s="21" t="s">
        <v>3077</v>
      </c>
      <c r="B515" s="584">
        <v>160258.01411315188</v>
      </c>
      <c r="C515" s="584">
        <v>5373.5213685359104</v>
      </c>
      <c r="D515" s="584">
        <v>13992.43127659542</v>
      </c>
      <c r="E515" s="584">
        <v>6289.272284286827</v>
      </c>
      <c r="F515" s="584">
        <v>9794.7018936167951</v>
      </c>
      <c r="G515" s="584">
        <v>5273.1279881536802</v>
      </c>
      <c r="H515" s="584">
        <v>514539.30484822881</v>
      </c>
      <c r="I515" s="584">
        <v>401.78571428571428</v>
      </c>
      <c r="J515" s="584">
        <v>11780.679127946009</v>
      </c>
      <c r="K515" s="584">
        <v>3564.9575264136288</v>
      </c>
      <c r="L515" s="584">
        <v>0</v>
      </c>
      <c r="M515" s="584">
        <v>32705.389848246996</v>
      </c>
      <c r="N515" s="585">
        <v>763973.18598946161</v>
      </c>
    </row>
    <row r="516" spans="1:14" ht="15" customHeight="1" x14ac:dyDescent="0.25">
      <c r="A516" s="21" t="s">
        <v>3078</v>
      </c>
      <c r="B516" s="584">
        <v>181901.60659574045</v>
      </c>
      <c r="C516" s="584">
        <v>0</v>
      </c>
      <c r="D516" s="584">
        <v>0</v>
      </c>
      <c r="E516" s="584">
        <v>18681.31868131868</v>
      </c>
      <c r="F516" s="584">
        <v>0</v>
      </c>
      <c r="G516" s="584">
        <v>19774.229955576302</v>
      </c>
      <c r="H516" s="584">
        <v>152987.63736263735</v>
      </c>
      <c r="I516" s="584">
        <v>0</v>
      </c>
      <c r="J516" s="584">
        <v>69539.835164835167</v>
      </c>
      <c r="K516" s="584">
        <v>0</v>
      </c>
      <c r="L516" s="584">
        <v>0</v>
      </c>
      <c r="M516" s="584">
        <v>0</v>
      </c>
      <c r="N516" s="585">
        <v>442884.62776010804</v>
      </c>
    </row>
    <row r="517" spans="1:14" ht="15" customHeight="1" x14ac:dyDescent="0.25">
      <c r="A517" s="21" t="s">
        <v>3079</v>
      </c>
      <c r="B517" s="584">
        <v>167909.17531914503</v>
      </c>
      <c r="C517" s="584">
        <v>0</v>
      </c>
      <c r="D517" s="584">
        <v>0</v>
      </c>
      <c r="E517" s="584">
        <v>0</v>
      </c>
      <c r="F517" s="584">
        <v>0</v>
      </c>
      <c r="G517" s="584">
        <v>0</v>
      </c>
      <c r="H517" s="584">
        <v>255906.5934065934</v>
      </c>
      <c r="I517" s="584">
        <v>0</v>
      </c>
      <c r="J517" s="584">
        <v>81593.406593406587</v>
      </c>
      <c r="K517" s="584">
        <v>0</v>
      </c>
      <c r="L517" s="584">
        <v>0</v>
      </c>
      <c r="M517" s="584">
        <v>0</v>
      </c>
      <c r="N517" s="585">
        <v>505409.17531914503</v>
      </c>
    </row>
    <row r="518" spans="1:14" ht="15" customHeight="1" x14ac:dyDescent="0.25">
      <c r="A518" s="21" t="s">
        <v>3080</v>
      </c>
      <c r="B518" s="584">
        <v>41094.61983123605</v>
      </c>
      <c r="C518" s="584">
        <v>5171.2992889463476</v>
      </c>
      <c r="D518" s="584">
        <v>4052.1067950321576</v>
      </c>
      <c r="E518" s="584">
        <v>5469.6434786932523</v>
      </c>
      <c r="F518" s="584">
        <v>1013.0266987580394</v>
      </c>
      <c r="G518" s="584">
        <v>2147.4276874833995</v>
      </c>
      <c r="H518" s="584">
        <v>357513.45387012779</v>
      </c>
      <c r="I518" s="584">
        <v>12137.310579816203</v>
      </c>
      <c r="J518" s="584">
        <v>11495.574561185422</v>
      </c>
      <c r="K518" s="584">
        <v>34337.584862258576</v>
      </c>
      <c r="L518" s="584">
        <v>803.0431107354184</v>
      </c>
      <c r="M518" s="584">
        <v>9518.6003395441021</v>
      </c>
      <c r="N518" s="585">
        <v>484753.69110381685</v>
      </c>
    </row>
    <row r="519" spans="1:14" ht="15" customHeight="1" x14ac:dyDescent="0.25">
      <c r="A519" s="21" t="s">
        <v>3081</v>
      </c>
      <c r="B519" s="584">
        <v>40985.305531117752</v>
      </c>
      <c r="C519" s="584">
        <v>3057.8117534639273</v>
      </c>
      <c r="D519" s="584">
        <v>2884.1082180422118</v>
      </c>
      <c r="E519" s="584">
        <v>3057.8825361434056</v>
      </c>
      <c r="F519" s="584">
        <v>2937.1249132268113</v>
      </c>
      <c r="G519" s="584">
        <v>1273.7024125975072</v>
      </c>
      <c r="H519" s="584">
        <v>460395.75847626867</v>
      </c>
      <c r="I519" s="584">
        <v>1469.9575320992908</v>
      </c>
      <c r="J519" s="584">
        <v>9997.6110845676067</v>
      </c>
      <c r="K519" s="584">
        <v>3999.3350672058427</v>
      </c>
      <c r="L519" s="584">
        <v>2280.9010635097593</v>
      </c>
      <c r="M519" s="584">
        <v>14703.846111713607</v>
      </c>
      <c r="N519" s="585">
        <v>547043.34469995636</v>
      </c>
    </row>
    <row r="520" spans="1:14" ht="15" customHeight="1" x14ac:dyDescent="0.25">
      <c r="A520" s="21" t="s">
        <v>3082</v>
      </c>
      <c r="B520" s="584">
        <v>93469.511267892551</v>
      </c>
      <c r="C520" s="584">
        <v>0</v>
      </c>
      <c r="D520" s="584">
        <v>4600.2513786067129</v>
      </c>
      <c r="E520" s="584">
        <v>0</v>
      </c>
      <c r="F520" s="584">
        <v>20394.447778489761</v>
      </c>
      <c r="G520" s="584">
        <v>13002.233395447432</v>
      </c>
      <c r="H520" s="584">
        <v>414613.79466603935</v>
      </c>
      <c r="I520" s="584">
        <v>1249.8118320036128</v>
      </c>
      <c r="J520" s="584">
        <v>40441.065783531536</v>
      </c>
      <c r="K520" s="584">
        <v>6755.5131208294788</v>
      </c>
      <c r="L520" s="584">
        <v>16588.890561493303</v>
      </c>
      <c r="M520" s="584">
        <v>0</v>
      </c>
      <c r="N520" s="585">
        <v>611115.51978433377</v>
      </c>
    </row>
    <row r="521" spans="1:14" ht="15" customHeight="1" x14ac:dyDescent="0.25">
      <c r="A521" s="21" t="s">
        <v>3083</v>
      </c>
      <c r="B521" s="584">
        <v>118397.49541734584</v>
      </c>
      <c r="C521" s="584">
        <v>19273.034657650041</v>
      </c>
      <c r="D521" s="584">
        <v>0</v>
      </c>
      <c r="E521" s="584">
        <v>19273.034657650041</v>
      </c>
      <c r="F521" s="584">
        <v>0</v>
      </c>
      <c r="G521" s="584">
        <v>12168.756895739263</v>
      </c>
      <c r="H521" s="584">
        <v>380573.21419953328</v>
      </c>
      <c r="I521" s="584">
        <v>0</v>
      </c>
      <c r="J521" s="584">
        <v>17117.497886728655</v>
      </c>
      <c r="K521" s="584">
        <v>0</v>
      </c>
      <c r="L521" s="584">
        <v>0</v>
      </c>
      <c r="M521" s="584">
        <v>0</v>
      </c>
      <c r="N521" s="585">
        <v>566803.03371464717</v>
      </c>
    </row>
    <row r="522" spans="1:14" ht="15" customHeight="1" x14ac:dyDescent="0.25">
      <c r="A522" s="21" t="s">
        <v>3084</v>
      </c>
      <c r="B522" s="584">
        <v>0</v>
      </c>
      <c r="C522" s="584">
        <v>0</v>
      </c>
      <c r="D522" s="584">
        <v>0</v>
      </c>
      <c r="E522" s="584">
        <v>0</v>
      </c>
      <c r="F522" s="584">
        <v>0</v>
      </c>
      <c r="G522" s="584">
        <v>158193.83964461042</v>
      </c>
      <c r="H522" s="584">
        <v>519230.76923076925</v>
      </c>
      <c r="I522" s="584">
        <v>0</v>
      </c>
      <c r="J522" s="584">
        <v>0</v>
      </c>
      <c r="K522" s="584">
        <v>0</v>
      </c>
      <c r="L522" s="584">
        <v>0</v>
      </c>
      <c r="M522" s="584">
        <v>0</v>
      </c>
      <c r="N522" s="585">
        <v>677424.60887537966</v>
      </c>
    </row>
    <row r="523" spans="1:14" ht="15" customHeight="1" x14ac:dyDescent="0.25">
      <c r="A523" s="21" t="s">
        <v>3085</v>
      </c>
      <c r="B523" s="584">
        <v>111939.45021276336</v>
      </c>
      <c r="C523" s="584">
        <v>0</v>
      </c>
      <c r="D523" s="584">
        <v>0</v>
      </c>
      <c r="E523" s="584">
        <v>0</v>
      </c>
      <c r="F523" s="584">
        <v>0</v>
      </c>
      <c r="G523" s="584">
        <v>0</v>
      </c>
      <c r="H523" s="584">
        <v>0</v>
      </c>
      <c r="I523" s="584">
        <v>0</v>
      </c>
      <c r="J523" s="584">
        <v>370879.12087912089</v>
      </c>
      <c r="K523" s="584">
        <v>0</v>
      </c>
      <c r="L523" s="584">
        <v>0</v>
      </c>
      <c r="M523" s="584">
        <v>0</v>
      </c>
      <c r="N523" s="585">
        <v>482818.57109188428</v>
      </c>
    </row>
    <row r="524" spans="1:14" ht="15" customHeight="1" x14ac:dyDescent="0.25">
      <c r="A524" s="21" t="s">
        <v>3086</v>
      </c>
      <c r="B524" s="584">
        <v>244418.24908841908</v>
      </c>
      <c r="C524" s="584">
        <v>0</v>
      </c>
      <c r="D524" s="584">
        <v>0</v>
      </c>
      <c r="E524" s="584">
        <v>0</v>
      </c>
      <c r="F524" s="584">
        <v>0</v>
      </c>
      <c r="G524" s="584">
        <v>0</v>
      </c>
      <c r="H524" s="584">
        <v>74175.824175824178</v>
      </c>
      <c r="I524" s="584">
        <v>0</v>
      </c>
      <c r="J524" s="584">
        <v>86538.461538461532</v>
      </c>
      <c r="K524" s="584">
        <v>0</v>
      </c>
      <c r="L524" s="584">
        <v>0</v>
      </c>
      <c r="M524" s="584">
        <v>0</v>
      </c>
      <c r="N524" s="585">
        <v>405132.53480270482</v>
      </c>
    </row>
    <row r="525" spans="1:14" ht="15" customHeight="1" x14ac:dyDescent="0.25">
      <c r="A525" s="21" t="s">
        <v>3087</v>
      </c>
      <c r="B525" s="584">
        <v>134327.340255316</v>
      </c>
      <c r="C525" s="584">
        <v>8791.2087912087918</v>
      </c>
      <c r="D525" s="584">
        <v>0</v>
      </c>
      <c r="E525" s="584">
        <v>8791.2087912087918</v>
      </c>
      <c r="F525" s="584">
        <v>0</v>
      </c>
      <c r="G525" s="584">
        <v>0</v>
      </c>
      <c r="H525" s="584">
        <v>203241.75824175825</v>
      </c>
      <c r="I525" s="584">
        <v>0</v>
      </c>
      <c r="J525" s="584">
        <v>29670.329670329669</v>
      </c>
      <c r="K525" s="584">
        <v>0</v>
      </c>
      <c r="L525" s="584">
        <v>0</v>
      </c>
      <c r="M525" s="584">
        <v>0</v>
      </c>
      <c r="N525" s="585">
        <v>384821.84574982151</v>
      </c>
    </row>
    <row r="526" spans="1:14" ht="15" customHeight="1" x14ac:dyDescent="0.25">
      <c r="A526" s="21" t="s">
        <v>3088</v>
      </c>
      <c r="B526" s="584">
        <v>51305.581347516534</v>
      </c>
      <c r="C526" s="584">
        <v>0</v>
      </c>
      <c r="D526" s="584">
        <v>0</v>
      </c>
      <c r="E526" s="584">
        <v>0</v>
      </c>
      <c r="F526" s="584">
        <v>18656.575035460559</v>
      </c>
      <c r="G526" s="584">
        <v>0</v>
      </c>
      <c r="H526" s="584">
        <v>153717.28788762534</v>
      </c>
      <c r="I526" s="584">
        <v>0</v>
      </c>
      <c r="J526" s="584">
        <v>0</v>
      </c>
      <c r="K526" s="584">
        <v>37134.974233475295</v>
      </c>
      <c r="L526" s="584">
        <v>0</v>
      </c>
      <c r="M526" s="584">
        <v>17442.87458573173</v>
      </c>
      <c r="N526" s="585">
        <v>278257.29308980942</v>
      </c>
    </row>
    <row r="527" spans="1:14" ht="15" customHeight="1" x14ac:dyDescent="0.25">
      <c r="A527" s="21" t="s">
        <v>3089</v>
      </c>
      <c r="B527" s="584">
        <v>43990.240083612262</v>
      </c>
      <c r="C527" s="584">
        <v>16657.027183342972</v>
      </c>
      <c r="D527" s="584">
        <v>19638.500037326907</v>
      </c>
      <c r="E527" s="584">
        <v>16657.027183342972</v>
      </c>
      <c r="F527" s="584">
        <v>0</v>
      </c>
      <c r="G527" s="584">
        <v>13876.652600404421</v>
      </c>
      <c r="H527" s="584">
        <v>426877.31710097857</v>
      </c>
      <c r="I527" s="584">
        <v>65.066512434933486</v>
      </c>
      <c r="J527" s="584">
        <v>21797.281665702718</v>
      </c>
      <c r="K527" s="584">
        <v>2918.6786765959532</v>
      </c>
      <c r="L527" s="584">
        <v>0</v>
      </c>
      <c r="M527" s="584">
        <v>1836.0920616559715</v>
      </c>
      <c r="N527" s="585">
        <v>564313.88310539757</v>
      </c>
    </row>
    <row r="528" spans="1:14" ht="15" customHeight="1" x14ac:dyDescent="0.25">
      <c r="A528" s="21" t="s">
        <v>3090</v>
      </c>
      <c r="B528" s="584">
        <v>117536.42272340153</v>
      </c>
      <c r="C528" s="584">
        <v>0</v>
      </c>
      <c r="D528" s="584">
        <v>11193.945021276335</v>
      </c>
      <c r="E528" s="584">
        <v>0</v>
      </c>
      <c r="F528" s="584">
        <v>8395.4587659572517</v>
      </c>
      <c r="G528" s="584">
        <v>3954.8459911152604</v>
      </c>
      <c r="H528" s="584">
        <v>454485.93977783271</v>
      </c>
      <c r="I528" s="584">
        <v>11126.373626373626</v>
      </c>
      <c r="J528" s="584">
        <v>86322.11538461539</v>
      </c>
      <c r="K528" s="584">
        <v>0</v>
      </c>
      <c r="L528" s="584">
        <v>2714.2857142857142</v>
      </c>
      <c r="M528" s="584">
        <v>0</v>
      </c>
      <c r="N528" s="585">
        <v>695729.38700485777</v>
      </c>
    </row>
    <row r="529" spans="1:14" ht="15" customHeight="1" x14ac:dyDescent="0.25">
      <c r="A529" s="21" t="s">
        <v>3091</v>
      </c>
      <c r="B529" s="584">
        <v>226117.68942978198</v>
      </c>
      <c r="C529" s="584">
        <v>0</v>
      </c>
      <c r="D529" s="584">
        <v>44775.78008510534</v>
      </c>
      <c r="E529" s="584">
        <v>0</v>
      </c>
      <c r="F529" s="584">
        <v>0</v>
      </c>
      <c r="G529" s="584">
        <v>0</v>
      </c>
      <c r="H529" s="584">
        <v>363461.53846153844</v>
      </c>
      <c r="I529" s="584">
        <v>0</v>
      </c>
      <c r="J529" s="584">
        <v>52182.64933212789</v>
      </c>
      <c r="K529" s="584">
        <v>0</v>
      </c>
      <c r="L529" s="584">
        <v>0</v>
      </c>
      <c r="M529" s="584">
        <v>0</v>
      </c>
      <c r="N529" s="585">
        <v>686537.65730855369</v>
      </c>
    </row>
    <row r="530" spans="1:14" ht="15" customHeight="1" x14ac:dyDescent="0.25">
      <c r="A530" s="21" t="s">
        <v>3092</v>
      </c>
      <c r="B530" s="584">
        <v>559697.25106381683</v>
      </c>
      <c r="C530" s="584">
        <v>0</v>
      </c>
      <c r="D530" s="584">
        <v>0</v>
      </c>
      <c r="E530" s="584">
        <v>0</v>
      </c>
      <c r="F530" s="584">
        <v>0</v>
      </c>
      <c r="G530" s="584">
        <v>79096.919822305208</v>
      </c>
      <c r="H530" s="584">
        <v>0</v>
      </c>
      <c r="I530" s="584">
        <v>0</v>
      </c>
      <c r="J530" s="584">
        <v>0</v>
      </c>
      <c r="K530" s="584">
        <v>0</v>
      </c>
      <c r="L530" s="584">
        <v>0</v>
      </c>
      <c r="M530" s="584">
        <v>0</v>
      </c>
      <c r="N530" s="585">
        <v>638794.17088612204</v>
      </c>
    </row>
    <row r="531" spans="1:14" ht="15" customHeight="1" x14ac:dyDescent="0.25">
      <c r="A531" s="21" t="s">
        <v>3093</v>
      </c>
      <c r="B531" s="584">
        <v>97947.018936167951</v>
      </c>
      <c r="C531" s="584">
        <v>30219.780219780219</v>
      </c>
      <c r="D531" s="584">
        <v>0</v>
      </c>
      <c r="E531" s="584">
        <v>30219.780219780219</v>
      </c>
      <c r="F531" s="584">
        <v>0</v>
      </c>
      <c r="G531" s="584">
        <v>19774.229955576302</v>
      </c>
      <c r="H531" s="584">
        <v>382932.69230769231</v>
      </c>
      <c r="I531" s="584">
        <v>0</v>
      </c>
      <c r="J531" s="584">
        <v>0</v>
      </c>
      <c r="K531" s="584">
        <v>0</v>
      </c>
      <c r="L531" s="584">
        <v>31318.68131868132</v>
      </c>
      <c r="M531" s="584">
        <v>0</v>
      </c>
      <c r="N531" s="585">
        <v>592412.18295767833</v>
      </c>
    </row>
    <row r="532" spans="1:14" ht="15" customHeight="1" x14ac:dyDescent="0.25">
      <c r="A532" s="21" t="s">
        <v>3094</v>
      </c>
      <c r="B532" s="584">
        <v>104826.63098049401</v>
      </c>
      <c r="C532" s="584">
        <v>12191.802450423142</v>
      </c>
      <c r="D532" s="584">
        <v>10494.323457446566</v>
      </c>
      <c r="E532" s="584">
        <v>12191.802450423142</v>
      </c>
      <c r="F532" s="584">
        <v>4664.1437588651397</v>
      </c>
      <c r="G532" s="584">
        <v>16478.524962980249</v>
      </c>
      <c r="H532" s="584">
        <v>495409.84469159867</v>
      </c>
      <c r="I532" s="584">
        <v>1790.648517183859</v>
      </c>
      <c r="J532" s="584">
        <v>17574.025652803786</v>
      </c>
      <c r="K532" s="584">
        <v>3713.4974233475305</v>
      </c>
      <c r="L532" s="584">
        <v>16529.304029304029</v>
      </c>
      <c r="M532" s="584">
        <v>2136.7521367521367</v>
      </c>
      <c r="N532" s="585">
        <v>698001.30051162234</v>
      </c>
    </row>
    <row r="533" spans="1:14" ht="15" customHeight="1" x14ac:dyDescent="0.25">
      <c r="A533" s="21" t="s">
        <v>3095</v>
      </c>
      <c r="B533" s="584">
        <v>294695.26790210471</v>
      </c>
      <c r="C533" s="584">
        <v>0</v>
      </c>
      <c r="D533" s="584">
        <v>0</v>
      </c>
      <c r="E533" s="584">
        <v>0</v>
      </c>
      <c r="F533" s="584">
        <v>0</v>
      </c>
      <c r="G533" s="584">
        <v>0</v>
      </c>
      <c r="H533" s="584">
        <v>267857.14285714284</v>
      </c>
      <c r="I533" s="584">
        <v>0</v>
      </c>
      <c r="J533" s="584">
        <v>0</v>
      </c>
      <c r="K533" s="584">
        <v>0</v>
      </c>
      <c r="L533" s="584">
        <v>0</v>
      </c>
      <c r="M533" s="584">
        <v>0</v>
      </c>
      <c r="N533" s="585">
        <v>562552.41075924761</v>
      </c>
    </row>
    <row r="534" spans="1:14" ht="15" customHeight="1" x14ac:dyDescent="0.25">
      <c r="A534" s="21" t="s">
        <v>3096</v>
      </c>
      <c r="B534" s="584">
        <v>97014.190184394916</v>
      </c>
      <c r="C534" s="584">
        <v>7326.0073260073259</v>
      </c>
      <c r="D534" s="584">
        <v>4664.1437588651397</v>
      </c>
      <c r="E534" s="584">
        <v>0</v>
      </c>
      <c r="F534" s="584">
        <v>0</v>
      </c>
      <c r="G534" s="584">
        <v>13182.8199703842</v>
      </c>
      <c r="H534" s="584">
        <v>403598.56876993977</v>
      </c>
      <c r="I534" s="584">
        <v>1236.2637362637363</v>
      </c>
      <c r="J534" s="584">
        <v>15453.296703296703</v>
      </c>
      <c r="K534" s="584">
        <v>23766.383509424195</v>
      </c>
      <c r="L534" s="584">
        <v>0</v>
      </c>
      <c r="M534" s="584">
        <v>0</v>
      </c>
      <c r="N534" s="585">
        <v>566241.67395857594</v>
      </c>
    </row>
    <row r="535" spans="1:14" ht="15" customHeight="1" x14ac:dyDescent="0.25">
      <c r="A535" s="21" t="s">
        <v>3097</v>
      </c>
      <c r="B535" s="584">
        <v>163764.58928267908</v>
      </c>
      <c r="C535" s="584">
        <v>2197.802197802198</v>
      </c>
      <c r="D535" s="584">
        <v>30783.348808509927</v>
      </c>
      <c r="E535" s="584">
        <v>2197.802197802198</v>
      </c>
      <c r="F535" s="584">
        <v>11893.566585106106</v>
      </c>
      <c r="G535" s="584">
        <v>0</v>
      </c>
      <c r="H535" s="584">
        <v>440139.78952451097</v>
      </c>
      <c r="I535" s="584">
        <v>5563.1868131868132</v>
      </c>
      <c r="J535" s="584">
        <v>31988.324175824175</v>
      </c>
      <c r="K535" s="584">
        <v>0</v>
      </c>
      <c r="L535" s="584">
        <v>0</v>
      </c>
      <c r="M535" s="584">
        <v>0</v>
      </c>
      <c r="N535" s="585">
        <v>688528.40958542144</v>
      </c>
    </row>
    <row r="536" spans="1:14" ht="15" customHeight="1" x14ac:dyDescent="0.25">
      <c r="A536" s="21" t="s">
        <v>3098</v>
      </c>
      <c r="B536" s="584">
        <v>111939.45021276336</v>
      </c>
      <c r="C536" s="584">
        <v>13186.813186813188</v>
      </c>
      <c r="D536" s="584">
        <v>0</v>
      </c>
      <c r="E536" s="584">
        <v>13186.813186813188</v>
      </c>
      <c r="F536" s="584">
        <v>0</v>
      </c>
      <c r="G536" s="584">
        <v>0</v>
      </c>
      <c r="H536" s="584">
        <v>778846.15384615387</v>
      </c>
      <c r="I536" s="584">
        <v>0</v>
      </c>
      <c r="J536" s="584">
        <v>111263.73626373627</v>
      </c>
      <c r="K536" s="584">
        <v>0</v>
      </c>
      <c r="L536" s="584">
        <v>417582.41758241761</v>
      </c>
      <c r="M536" s="584">
        <v>0</v>
      </c>
      <c r="N536" s="585">
        <v>1446005.3842786974</v>
      </c>
    </row>
    <row r="537" spans="1:14" ht="15" customHeight="1" x14ac:dyDescent="0.25">
      <c r="A537" s="21" t="s">
        <v>3099</v>
      </c>
      <c r="B537" s="584">
        <v>447757.80085105344</v>
      </c>
      <c r="C537" s="584">
        <v>0</v>
      </c>
      <c r="D537" s="584">
        <v>0</v>
      </c>
      <c r="E537" s="584">
        <v>0</v>
      </c>
      <c r="F537" s="584">
        <v>0</v>
      </c>
      <c r="G537" s="584">
        <v>0</v>
      </c>
      <c r="H537" s="584">
        <v>0</v>
      </c>
      <c r="I537" s="584">
        <v>0</v>
      </c>
      <c r="J537" s="584">
        <v>59340.659340659338</v>
      </c>
      <c r="K537" s="584">
        <v>0</v>
      </c>
      <c r="L537" s="584">
        <v>0</v>
      </c>
      <c r="M537" s="584">
        <v>0</v>
      </c>
      <c r="N537" s="585">
        <v>507098.46019171277</v>
      </c>
    </row>
    <row r="538" spans="1:14" ht="15" customHeight="1" x14ac:dyDescent="0.25">
      <c r="A538" s="21" t="s">
        <v>3100</v>
      </c>
      <c r="B538" s="584">
        <v>230463.57396745399</v>
      </c>
      <c r="C538" s="584">
        <v>20685.19715578539</v>
      </c>
      <c r="D538" s="584">
        <v>0</v>
      </c>
      <c r="E538" s="584">
        <v>20685.19715578539</v>
      </c>
      <c r="F538" s="584">
        <v>0</v>
      </c>
      <c r="G538" s="584">
        <v>37222.07991637892</v>
      </c>
      <c r="H538" s="584">
        <v>309793.14802844217</v>
      </c>
      <c r="I538" s="584">
        <v>0</v>
      </c>
      <c r="J538" s="584">
        <v>1090.8209437621201</v>
      </c>
      <c r="K538" s="584">
        <v>0</v>
      </c>
      <c r="L538" s="584">
        <v>4421.4608920491273</v>
      </c>
      <c r="M538" s="584">
        <v>0</v>
      </c>
      <c r="N538" s="585">
        <v>624361.47805965715</v>
      </c>
    </row>
    <row r="539" spans="1:14" ht="15" customHeight="1" x14ac:dyDescent="0.25">
      <c r="A539" s="21" t="s">
        <v>3101</v>
      </c>
      <c r="B539" s="584">
        <v>118505.66253801387</v>
      </c>
      <c r="C539" s="584">
        <v>27089.519774545592</v>
      </c>
      <c r="D539" s="584">
        <v>0</v>
      </c>
      <c r="E539" s="584">
        <v>24342.267027292844</v>
      </c>
      <c r="F539" s="584">
        <v>5830.1796985814253</v>
      </c>
      <c r="G539" s="584">
        <v>23069.934948172351</v>
      </c>
      <c r="H539" s="584">
        <v>477611.08263708523</v>
      </c>
      <c r="I539" s="584">
        <v>231.79945054945054</v>
      </c>
      <c r="J539" s="584">
        <v>25495.078152372444</v>
      </c>
      <c r="K539" s="584">
        <v>0</v>
      </c>
      <c r="L539" s="584">
        <v>0</v>
      </c>
      <c r="M539" s="584">
        <v>0</v>
      </c>
      <c r="N539" s="585">
        <v>702175.52422661323</v>
      </c>
    </row>
    <row r="540" spans="1:14" ht="15" customHeight="1" x14ac:dyDescent="0.25">
      <c r="A540" s="21" t="s">
        <v>3102</v>
      </c>
      <c r="B540" s="584">
        <v>230097.75877068023</v>
      </c>
      <c r="C540" s="584">
        <v>0</v>
      </c>
      <c r="D540" s="584">
        <v>6218.8583451535196</v>
      </c>
      <c r="E540" s="584">
        <v>0</v>
      </c>
      <c r="F540" s="584">
        <v>0</v>
      </c>
      <c r="G540" s="584">
        <v>43942.733234613996</v>
      </c>
      <c r="H540" s="584">
        <v>393646.01978164597</v>
      </c>
      <c r="I540" s="584">
        <v>329.67032967032969</v>
      </c>
      <c r="J540" s="584">
        <v>12362.637362637362</v>
      </c>
      <c r="K540" s="584">
        <v>0</v>
      </c>
      <c r="L540" s="584">
        <v>18559.21855921856</v>
      </c>
      <c r="M540" s="584">
        <v>0</v>
      </c>
      <c r="N540" s="585">
        <v>705156.89638361998</v>
      </c>
    </row>
    <row r="541" spans="1:14" ht="15" customHeight="1" x14ac:dyDescent="0.25">
      <c r="A541" s="21" t="s">
        <v>3103</v>
      </c>
      <c r="B541" s="584">
        <v>130596.02524822393</v>
      </c>
      <c r="C541" s="584">
        <v>0</v>
      </c>
      <c r="D541" s="584">
        <v>0</v>
      </c>
      <c r="E541" s="584">
        <v>0</v>
      </c>
      <c r="F541" s="584">
        <v>6218.8583451535196</v>
      </c>
      <c r="G541" s="584">
        <v>13182.819970384202</v>
      </c>
      <c r="H541" s="584">
        <v>434475.32125132933</v>
      </c>
      <c r="I541" s="584">
        <v>6181.3186813186812</v>
      </c>
      <c r="J541" s="584">
        <v>26270.604395604394</v>
      </c>
      <c r="K541" s="584">
        <v>0</v>
      </c>
      <c r="L541" s="584">
        <v>0</v>
      </c>
      <c r="M541" s="584">
        <v>0</v>
      </c>
      <c r="N541" s="585">
        <v>616924.94789201405</v>
      </c>
    </row>
    <row r="542" spans="1:14" ht="15" customHeight="1" x14ac:dyDescent="0.25">
      <c r="A542" s="21" t="s">
        <v>3104</v>
      </c>
      <c r="B542" s="584">
        <v>1007455.0519148703</v>
      </c>
      <c r="C542" s="584">
        <v>0</v>
      </c>
      <c r="D542" s="584">
        <v>0</v>
      </c>
      <c r="E542" s="584">
        <v>0</v>
      </c>
      <c r="F542" s="584">
        <v>0</v>
      </c>
      <c r="G542" s="584">
        <v>0</v>
      </c>
      <c r="H542" s="584">
        <v>0</v>
      </c>
      <c r="I542" s="584">
        <v>0</v>
      </c>
      <c r="J542" s="584">
        <v>0</v>
      </c>
      <c r="K542" s="584">
        <v>0</v>
      </c>
      <c r="L542" s="584">
        <v>0</v>
      </c>
      <c r="M542" s="584">
        <v>0</v>
      </c>
      <c r="N542" s="585">
        <v>1007455.0519148703</v>
      </c>
    </row>
    <row r="543" spans="1:14" ht="15" customHeight="1" x14ac:dyDescent="0.25">
      <c r="A543" s="21" t="s">
        <v>3105</v>
      </c>
      <c r="B543" s="584">
        <v>118524.1237546906</v>
      </c>
      <c r="C543" s="584">
        <v>4447.3173884938587</v>
      </c>
      <c r="D543" s="584">
        <v>11457.331962953425</v>
      </c>
      <c r="E543" s="584">
        <v>4447.3173884938587</v>
      </c>
      <c r="F543" s="584">
        <v>6913.9072190236193</v>
      </c>
      <c r="G543" s="584">
        <v>9305.5199790947281</v>
      </c>
      <c r="H543" s="584">
        <v>485676.98867440544</v>
      </c>
      <c r="I543" s="584">
        <v>445.05494505494505</v>
      </c>
      <c r="J543" s="584">
        <v>10384.615384615385</v>
      </c>
      <c r="K543" s="584">
        <v>0</v>
      </c>
      <c r="L543" s="584">
        <v>17685.843568196509</v>
      </c>
      <c r="M543" s="584">
        <v>0</v>
      </c>
      <c r="N543" s="585">
        <v>669288.02026502229</v>
      </c>
    </row>
    <row r="544" spans="1:14" ht="15" customHeight="1" x14ac:dyDescent="0.25">
      <c r="A544" s="21" t="s">
        <v>3106</v>
      </c>
      <c r="B544" s="584">
        <v>194943.86825406548</v>
      </c>
      <c r="C544" s="584">
        <v>6718.484767265255</v>
      </c>
      <c r="D544" s="584">
        <v>2730.2304929942284</v>
      </c>
      <c r="E544" s="584">
        <v>4574.2875011167698</v>
      </c>
      <c r="F544" s="584">
        <v>2730.2304929942284</v>
      </c>
      <c r="G544" s="584">
        <v>25722.57555196917</v>
      </c>
      <c r="H544" s="584">
        <v>489023.66671034932</v>
      </c>
      <c r="I544" s="584">
        <v>7274.5999083528577</v>
      </c>
      <c r="J544" s="584">
        <v>21617.677919170139</v>
      </c>
      <c r="K544" s="584">
        <v>4830.5657539480062</v>
      </c>
      <c r="L544" s="584">
        <v>18332.886625569554</v>
      </c>
      <c r="M544" s="584">
        <v>0</v>
      </c>
      <c r="N544" s="585">
        <v>778499.07397779508</v>
      </c>
    </row>
    <row r="545" spans="1:14" ht="15" customHeight="1" x14ac:dyDescent="0.25">
      <c r="A545" s="21" t="s">
        <v>3107</v>
      </c>
      <c r="B545" s="584">
        <v>146920.52840425191</v>
      </c>
      <c r="C545" s="584">
        <v>10373.24744221296</v>
      </c>
      <c r="D545" s="584">
        <v>27984.86255319084</v>
      </c>
      <c r="E545" s="584">
        <v>10373.24744221296</v>
      </c>
      <c r="F545" s="584">
        <v>0</v>
      </c>
      <c r="G545" s="584">
        <v>4943.5574888940755</v>
      </c>
      <c r="H545" s="584">
        <v>506056.6181871341</v>
      </c>
      <c r="I545" s="584">
        <v>0</v>
      </c>
      <c r="J545" s="584">
        <v>0</v>
      </c>
      <c r="K545" s="584">
        <v>0</v>
      </c>
      <c r="L545" s="584">
        <v>0</v>
      </c>
      <c r="M545" s="584">
        <v>0</v>
      </c>
      <c r="N545" s="585">
        <v>706652.06151789695</v>
      </c>
    </row>
    <row r="546" spans="1:14" ht="15" customHeight="1" x14ac:dyDescent="0.25">
      <c r="A546" s="21" t="s">
        <v>3108</v>
      </c>
      <c r="B546" s="584">
        <v>187940.44535721847</v>
      </c>
      <c r="C546" s="584">
        <v>22209.369577790629</v>
      </c>
      <c r="D546" s="584">
        <v>0</v>
      </c>
      <c r="E546" s="584">
        <v>22209.369577790629</v>
      </c>
      <c r="F546" s="584">
        <v>0</v>
      </c>
      <c r="G546" s="584">
        <v>24977.974680727959</v>
      </c>
      <c r="H546" s="584">
        <v>284315.16941061668</v>
      </c>
      <c r="I546" s="584">
        <v>0</v>
      </c>
      <c r="J546" s="584">
        <v>0</v>
      </c>
      <c r="K546" s="584">
        <v>0</v>
      </c>
      <c r="L546" s="584">
        <v>0</v>
      </c>
      <c r="M546" s="584">
        <v>0</v>
      </c>
      <c r="N546" s="585">
        <v>541652.32860414439</v>
      </c>
    </row>
    <row r="547" spans="1:14" ht="15" customHeight="1" x14ac:dyDescent="0.25">
      <c r="A547" s="21" t="s">
        <v>3109</v>
      </c>
      <c r="B547" s="584">
        <v>55969.72510638168</v>
      </c>
      <c r="C547" s="584">
        <v>0</v>
      </c>
      <c r="D547" s="584">
        <v>0</v>
      </c>
      <c r="E547" s="584">
        <v>0</v>
      </c>
      <c r="F547" s="584">
        <v>44775.78008510534</v>
      </c>
      <c r="G547" s="584">
        <v>0</v>
      </c>
      <c r="H547" s="584">
        <v>845604.39560439566</v>
      </c>
      <c r="I547" s="584">
        <v>0</v>
      </c>
      <c r="J547" s="584">
        <v>0</v>
      </c>
      <c r="K547" s="584">
        <v>0</v>
      </c>
      <c r="L547" s="584">
        <v>0</v>
      </c>
      <c r="M547" s="584">
        <v>0</v>
      </c>
      <c r="N547" s="585">
        <v>946349.90079588257</v>
      </c>
    </row>
    <row r="548" spans="1:14" ht="15" customHeight="1" x14ac:dyDescent="0.25">
      <c r="A548" s="21" t="s">
        <v>3110</v>
      </c>
      <c r="B548" s="584">
        <v>111939.45021276336</v>
      </c>
      <c r="C548" s="584">
        <v>0</v>
      </c>
      <c r="D548" s="584">
        <v>0</v>
      </c>
      <c r="E548" s="584">
        <v>0</v>
      </c>
      <c r="F548" s="584">
        <v>0</v>
      </c>
      <c r="G548" s="584">
        <v>0</v>
      </c>
      <c r="H548" s="584">
        <v>370879.12087912089</v>
      </c>
      <c r="I548" s="584">
        <v>0</v>
      </c>
      <c r="J548" s="584">
        <v>0</v>
      </c>
      <c r="K548" s="584">
        <v>0</v>
      </c>
      <c r="L548" s="584">
        <v>0</v>
      </c>
      <c r="M548" s="584">
        <v>0</v>
      </c>
      <c r="N548" s="585">
        <v>482818.57109188428</v>
      </c>
    </row>
    <row r="549" spans="1:14" ht="15" customHeight="1" x14ac:dyDescent="0.25">
      <c r="A549" s="21" t="s">
        <v>3111</v>
      </c>
      <c r="B549" s="584">
        <v>0</v>
      </c>
      <c r="C549" s="584">
        <v>0</v>
      </c>
      <c r="D549" s="584">
        <v>0</v>
      </c>
      <c r="E549" s="584">
        <v>0</v>
      </c>
      <c r="F549" s="584">
        <v>0</v>
      </c>
      <c r="G549" s="584">
        <v>0</v>
      </c>
      <c r="H549" s="584">
        <v>741758.24175824178</v>
      </c>
      <c r="I549" s="584">
        <v>0</v>
      </c>
      <c r="J549" s="584">
        <v>0</v>
      </c>
      <c r="K549" s="584">
        <v>0</v>
      </c>
      <c r="L549" s="584">
        <v>0</v>
      </c>
      <c r="M549" s="584">
        <v>0</v>
      </c>
      <c r="N549" s="585">
        <v>741758.24175824178</v>
      </c>
    </row>
    <row r="550" spans="1:14" ht="15" customHeight="1" x14ac:dyDescent="0.25">
      <c r="A550" s="21" t="s">
        <v>3112</v>
      </c>
      <c r="B550" s="584">
        <v>184257.76697979376</v>
      </c>
      <c r="C550" s="584">
        <v>16467.11497457766</v>
      </c>
      <c r="D550" s="584">
        <v>5680.5094137820215</v>
      </c>
      <c r="E550" s="584">
        <v>31818.927341315401</v>
      </c>
      <c r="F550" s="584">
        <v>5638.7409622100949</v>
      </c>
      <c r="G550" s="584">
        <v>28333.225010974998</v>
      </c>
      <c r="H550" s="584">
        <v>503215.00468912884</v>
      </c>
      <c r="I550" s="584">
        <v>7323.478760045924</v>
      </c>
      <c r="J550" s="584">
        <v>8967.5250123011319</v>
      </c>
      <c r="K550" s="584">
        <v>5320.8321289755659</v>
      </c>
      <c r="L550" s="584">
        <v>1745.1205510907002</v>
      </c>
      <c r="M550" s="584">
        <v>0</v>
      </c>
      <c r="N550" s="585">
        <v>798768.24582419614</v>
      </c>
    </row>
    <row r="551" spans="1:14" ht="15" customHeight="1" x14ac:dyDescent="0.25">
      <c r="A551" s="21" t="s">
        <v>3113</v>
      </c>
      <c r="B551" s="584">
        <v>172469.67143892427</v>
      </c>
      <c r="C551" s="584">
        <v>15954.415954415954</v>
      </c>
      <c r="D551" s="584">
        <v>0</v>
      </c>
      <c r="E551" s="584">
        <v>15954.415954415954</v>
      </c>
      <c r="F551" s="584">
        <v>0</v>
      </c>
      <c r="G551" s="584">
        <v>15624.082927862757</v>
      </c>
      <c r="H551" s="584">
        <v>593921.90754681046</v>
      </c>
      <c r="I551" s="584">
        <v>2014.6520146520147</v>
      </c>
      <c r="J551" s="584">
        <v>7097.069597069597</v>
      </c>
      <c r="K551" s="584">
        <v>0</v>
      </c>
      <c r="L551" s="584">
        <v>7217.4738841405506</v>
      </c>
      <c r="M551" s="584">
        <v>2907.1457642886212</v>
      </c>
      <c r="N551" s="585">
        <v>833160.83508258034</v>
      </c>
    </row>
    <row r="552" spans="1:14" ht="15" customHeight="1" x14ac:dyDescent="0.25">
      <c r="A552" s="21" t="s">
        <v>3114</v>
      </c>
      <c r="B552" s="584">
        <v>268654.68051063205</v>
      </c>
      <c r="C552" s="584">
        <v>0</v>
      </c>
      <c r="D552" s="584">
        <v>0</v>
      </c>
      <c r="E552" s="584">
        <v>0</v>
      </c>
      <c r="F552" s="584">
        <v>22387.89004255267</v>
      </c>
      <c r="G552" s="584">
        <v>0</v>
      </c>
      <c r="H552" s="584">
        <v>89010.989010989011</v>
      </c>
      <c r="I552" s="584">
        <v>0</v>
      </c>
      <c r="J552" s="584">
        <v>308382.21264266281</v>
      </c>
      <c r="K552" s="584">
        <v>0</v>
      </c>
      <c r="L552" s="584">
        <v>0</v>
      </c>
      <c r="M552" s="584">
        <v>0</v>
      </c>
      <c r="N552" s="585">
        <v>688435.7722068365</v>
      </c>
    </row>
    <row r="553" spans="1:14" ht="15" customHeight="1" x14ac:dyDescent="0.25">
      <c r="A553" s="21" t="s">
        <v>3115</v>
      </c>
      <c r="B553" s="584">
        <v>335818.35063829005</v>
      </c>
      <c r="C553" s="584">
        <v>0</v>
      </c>
      <c r="D553" s="584">
        <v>0</v>
      </c>
      <c r="E553" s="584">
        <v>0</v>
      </c>
      <c r="F553" s="584">
        <v>0</v>
      </c>
      <c r="G553" s="584">
        <v>79096.919822305208</v>
      </c>
      <c r="H553" s="584">
        <v>519230.76923076925</v>
      </c>
      <c r="I553" s="584">
        <v>0</v>
      </c>
      <c r="J553" s="584">
        <v>0</v>
      </c>
      <c r="K553" s="584">
        <v>0</v>
      </c>
      <c r="L553" s="584">
        <v>0</v>
      </c>
      <c r="M553" s="584">
        <v>0</v>
      </c>
      <c r="N553" s="585">
        <v>934146.03969136451</v>
      </c>
    </row>
    <row r="554" spans="1:14" ht="15" customHeight="1" x14ac:dyDescent="0.25">
      <c r="A554" s="21" t="s">
        <v>3116</v>
      </c>
      <c r="B554" s="584">
        <v>139924.31276595421</v>
      </c>
      <c r="C554" s="584">
        <v>27472.527472527472</v>
      </c>
      <c r="D554" s="584">
        <v>0</v>
      </c>
      <c r="E554" s="584">
        <v>27472.527472527472</v>
      </c>
      <c r="F554" s="584">
        <v>0</v>
      </c>
      <c r="G554" s="584">
        <v>69209.804844517057</v>
      </c>
      <c r="H554" s="584">
        <v>413669.6587216183</v>
      </c>
      <c r="I554" s="584">
        <v>927.19780219780216</v>
      </c>
      <c r="J554" s="584">
        <v>0</v>
      </c>
      <c r="K554" s="584">
        <v>0</v>
      </c>
      <c r="L554" s="584">
        <v>0</v>
      </c>
      <c r="M554" s="584">
        <v>0</v>
      </c>
      <c r="N554" s="585">
        <v>678676.02907934226</v>
      </c>
    </row>
    <row r="555" spans="1:14" ht="15" customHeight="1" x14ac:dyDescent="0.25">
      <c r="A555" s="21" t="s">
        <v>3117</v>
      </c>
      <c r="B555" s="584">
        <v>111939.45021276336</v>
      </c>
      <c r="C555" s="584">
        <v>0</v>
      </c>
      <c r="D555" s="584">
        <v>0</v>
      </c>
      <c r="E555" s="584">
        <v>0</v>
      </c>
      <c r="F555" s="584">
        <v>0</v>
      </c>
      <c r="G555" s="584">
        <v>0</v>
      </c>
      <c r="H555" s="584">
        <v>445054.94505494507</v>
      </c>
      <c r="I555" s="584">
        <v>0</v>
      </c>
      <c r="J555" s="584">
        <v>92719.780219780223</v>
      </c>
      <c r="K555" s="584">
        <v>0</v>
      </c>
      <c r="L555" s="584">
        <v>0</v>
      </c>
      <c r="M555" s="584">
        <v>0</v>
      </c>
      <c r="N555" s="585">
        <v>649714.17548748862</v>
      </c>
    </row>
    <row r="556" spans="1:14" ht="15" customHeight="1" x14ac:dyDescent="0.25">
      <c r="A556" s="21" t="s">
        <v>3118</v>
      </c>
      <c r="B556" s="584">
        <v>559697.25106381683</v>
      </c>
      <c r="C556" s="584">
        <v>0</v>
      </c>
      <c r="D556" s="584">
        <v>0</v>
      </c>
      <c r="E556" s="584">
        <v>0</v>
      </c>
      <c r="F556" s="584">
        <v>0</v>
      </c>
      <c r="G556" s="584">
        <v>0</v>
      </c>
      <c r="H556" s="584">
        <v>0</v>
      </c>
      <c r="I556" s="584">
        <v>0</v>
      </c>
      <c r="J556" s="584">
        <v>37087.912087912089</v>
      </c>
      <c r="K556" s="584">
        <v>0</v>
      </c>
      <c r="L556" s="584">
        <v>0</v>
      </c>
      <c r="M556" s="584">
        <v>0</v>
      </c>
      <c r="N556" s="585">
        <v>596785.16315172892</v>
      </c>
    </row>
    <row r="557" spans="1:14" ht="15" customHeight="1" x14ac:dyDescent="0.25">
      <c r="A557" s="21" t="s">
        <v>3119</v>
      </c>
      <c r="B557" s="584">
        <v>559697.25106381683</v>
      </c>
      <c r="C557" s="584">
        <v>0</v>
      </c>
      <c r="D557" s="584">
        <v>0</v>
      </c>
      <c r="E557" s="584">
        <v>0</v>
      </c>
      <c r="F557" s="584">
        <v>0</v>
      </c>
      <c r="G557" s="584">
        <v>0</v>
      </c>
      <c r="H557" s="584">
        <v>0</v>
      </c>
      <c r="I557" s="584">
        <v>0</v>
      </c>
      <c r="J557" s="584">
        <v>445054.94505494507</v>
      </c>
      <c r="K557" s="584">
        <v>0</v>
      </c>
      <c r="L557" s="584">
        <v>0</v>
      </c>
      <c r="M557" s="584">
        <v>0</v>
      </c>
      <c r="N557" s="585">
        <v>1004752.1961187619</v>
      </c>
    </row>
    <row r="558" spans="1:14" ht="15" customHeight="1" x14ac:dyDescent="0.25">
      <c r="A558" s="21" t="s">
        <v>3120</v>
      </c>
      <c r="B558" s="584">
        <v>559697.25106381683</v>
      </c>
      <c r="C558" s="584">
        <v>0</v>
      </c>
      <c r="D558" s="584">
        <v>0</v>
      </c>
      <c r="E558" s="584">
        <v>0</v>
      </c>
      <c r="F558" s="584">
        <v>0</v>
      </c>
      <c r="G558" s="584">
        <v>0</v>
      </c>
      <c r="H558" s="584">
        <v>445054.94505494507</v>
      </c>
      <c r="I558" s="584">
        <v>0</v>
      </c>
      <c r="J558" s="584">
        <v>0</v>
      </c>
      <c r="K558" s="584">
        <v>0</v>
      </c>
      <c r="L558" s="584">
        <v>0</v>
      </c>
      <c r="M558" s="584">
        <v>0</v>
      </c>
      <c r="N558" s="585">
        <v>1004752.1961187619</v>
      </c>
    </row>
    <row r="559" spans="1:14" ht="15" customHeight="1" x14ac:dyDescent="0.25">
      <c r="A559" s="21" t="s">
        <v>3121</v>
      </c>
      <c r="B559" s="584">
        <v>0</v>
      </c>
      <c r="C559" s="584">
        <v>0</v>
      </c>
      <c r="D559" s="584">
        <v>0</v>
      </c>
      <c r="E559" s="584">
        <v>0</v>
      </c>
      <c r="F559" s="584">
        <v>0</v>
      </c>
      <c r="G559" s="584">
        <v>0</v>
      </c>
      <c r="H559" s="584">
        <v>834478.02197802195</v>
      </c>
      <c r="I559" s="584">
        <v>43632.83775048481</v>
      </c>
      <c r="J559" s="584">
        <v>0</v>
      </c>
      <c r="K559" s="584">
        <v>0</v>
      </c>
      <c r="L559" s="584">
        <v>0</v>
      </c>
      <c r="M559" s="584">
        <v>0</v>
      </c>
      <c r="N559" s="585">
        <v>878110.85972850677</v>
      </c>
    </row>
    <row r="560" spans="1:14" ht="15" customHeight="1" x14ac:dyDescent="0.25">
      <c r="A560" s="21" t="s">
        <v>3122</v>
      </c>
      <c r="B560" s="584">
        <v>783576.15148934349</v>
      </c>
      <c r="C560" s="584">
        <v>0</v>
      </c>
      <c r="D560" s="584">
        <v>0</v>
      </c>
      <c r="E560" s="584">
        <v>0</v>
      </c>
      <c r="F560" s="584">
        <v>0</v>
      </c>
      <c r="G560" s="584">
        <v>0</v>
      </c>
      <c r="H560" s="584">
        <v>163186.81318681317</v>
      </c>
      <c r="I560" s="584">
        <v>0</v>
      </c>
      <c r="J560" s="584">
        <v>0</v>
      </c>
      <c r="K560" s="584">
        <v>0</v>
      </c>
      <c r="L560" s="584">
        <v>0</v>
      </c>
      <c r="M560" s="584">
        <v>0</v>
      </c>
      <c r="N560" s="585">
        <v>946762.96467615664</v>
      </c>
    </row>
    <row r="561" spans="1:14" ht="15" customHeight="1" x14ac:dyDescent="0.25">
      <c r="A561" s="21" t="s">
        <v>3123</v>
      </c>
      <c r="B561" s="584">
        <v>195894.03787233587</v>
      </c>
      <c r="C561" s="584">
        <v>0</v>
      </c>
      <c r="D561" s="584">
        <v>0</v>
      </c>
      <c r="E561" s="584">
        <v>0</v>
      </c>
      <c r="F561" s="584">
        <v>0</v>
      </c>
      <c r="G561" s="584">
        <v>0</v>
      </c>
      <c r="H561" s="584">
        <v>434625.34846844384</v>
      </c>
      <c r="I561" s="584">
        <v>0</v>
      </c>
      <c r="J561" s="584">
        <v>0</v>
      </c>
      <c r="K561" s="584">
        <v>0</v>
      </c>
      <c r="L561" s="584">
        <v>0</v>
      </c>
      <c r="M561" s="584">
        <v>0</v>
      </c>
      <c r="N561" s="585">
        <v>630519.38634077972</v>
      </c>
    </row>
    <row r="562" spans="1:14" ht="15" customHeight="1" x14ac:dyDescent="0.25">
      <c r="A562" s="21" t="s">
        <v>3124</v>
      </c>
      <c r="B562" s="584">
        <v>0</v>
      </c>
      <c r="C562" s="584">
        <v>0</v>
      </c>
      <c r="D562" s="584">
        <v>0</v>
      </c>
      <c r="E562" s="584">
        <v>0</v>
      </c>
      <c r="F562" s="584">
        <v>0</v>
      </c>
      <c r="G562" s="584">
        <v>39548.459911152604</v>
      </c>
      <c r="H562" s="584">
        <v>203983.51648351649</v>
      </c>
      <c r="I562" s="584">
        <v>0</v>
      </c>
      <c r="J562" s="584">
        <v>0</v>
      </c>
      <c r="K562" s="584">
        <v>0</v>
      </c>
      <c r="L562" s="584">
        <v>861263.73626373627</v>
      </c>
      <c r="M562" s="584">
        <v>0</v>
      </c>
      <c r="N562" s="585">
        <v>1104795.7126584053</v>
      </c>
    </row>
    <row r="563" spans="1:14" ht="15" customHeight="1" x14ac:dyDescent="0.25">
      <c r="A563" s="21" t="s">
        <v>3125</v>
      </c>
      <c r="B563" s="584">
        <v>0</v>
      </c>
      <c r="C563" s="584">
        <v>0</v>
      </c>
      <c r="D563" s="584">
        <v>0</v>
      </c>
      <c r="E563" s="584">
        <v>0</v>
      </c>
      <c r="F563" s="584">
        <v>0</v>
      </c>
      <c r="G563" s="584">
        <v>0</v>
      </c>
      <c r="H563" s="584">
        <v>1686901.8078695501</v>
      </c>
      <c r="I563" s="584">
        <v>0</v>
      </c>
      <c r="J563" s="584">
        <v>0</v>
      </c>
      <c r="K563" s="584">
        <v>0</v>
      </c>
      <c r="L563" s="584">
        <v>0</v>
      </c>
      <c r="M563" s="584">
        <v>0</v>
      </c>
      <c r="N563" s="585">
        <v>1686901.8078695501</v>
      </c>
    </row>
    <row r="564" spans="1:14" ht="15" customHeight="1" x14ac:dyDescent="0.25">
      <c r="A564" s="21" t="s">
        <v>3126</v>
      </c>
      <c r="B564" s="584">
        <v>335818.35063829005</v>
      </c>
      <c r="C564" s="584">
        <v>0</v>
      </c>
      <c r="D564" s="584">
        <v>0</v>
      </c>
      <c r="E564" s="584">
        <v>0</v>
      </c>
      <c r="F564" s="584">
        <v>0</v>
      </c>
      <c r="G564" s="584">
        <v>0</v>
      </c>
      <c r="H564" s="584">
        <v>770157.81104035478</v>
      </c>
      <c r="I564" s="584">
        <v>0</v>
      </c>
      <c r="J564" s="584">
        <v>0</v>
      </c>
      <c r="K564" s="584">
        <v>0</v>
      </c>
      <c r="L564" s="584">
        <v>0</v>
      </c>
      <c r="M564" s="584">
        <v>0</v>
      </c>
      <c r="N564" s="585">
        <v>1105976.1616786448</v>
      </c>
    </row>
    <row r="565" spans="1:14" ht="15" customHeight="1" x14ac:dyDescent="0.25">
      <c r="A565" s="21" t="s">
        <v>3127</v>
      </c>
      <c r="B565" s="584">
        <v>578353.82609927736</v>
      </c>
      <c r="C565" s="584">
        <v>0</v>
      </c>
      <c r="D565" s="584">
        <v>0</v>
      </c>
      <c r="E565" s="584">
        <v>0</v>
      </c>
      <c r="F565" s="584">
        <v>0</v>
      </c>
      <c r="G565" s="584">
        <v>0</v>
      </c>
      <c r="H565" s="584">
        <v>401785.71428571426</v>
      </c>
      <c r="I565" s="584">
        <v>9271.9780219780223</v>
      </c>
      <c r="J565" s="584">
        <v>81960.836049090445</v>
      </c>
      <c r="K565" s="584">
        <v>0</v>
      </c>
      <c r="L565" s="584">
        <v>0</v>
      </c>
      <c r="M565" s="584">
        <v>0</v>
      </c>
      <c r="N565" s="585">
        <v>1071372.3544560601</v>
      </c>
    </row>
    <row r="566" spans="1:14" ht="15" customHeight="1" x14ac:dyDescent="0.25">
      <c r="A566" s="21" t="s">
        <v>3128</v>
      </c>
      <c r="B566" s="584">
        <v>261192.05049644783</v>
      </c>
      <c r="C566" s="584">
        <v>0</v>
      </c>
      <c r="D566" s="584">
        <v>0</v>
      </c>
      <c r="E566" s="584">
        <v>0</v>
      </c>
      <c r="F566" s="584">
        <v>0</v>
      </c>
      <c r="G566" s="584">
        <v>0</v>
      </c>
      <c r="H566" s="584">
        <v>247252.74725274724</v>
      </c>
      <c r="I566" s="584">
        <v>0</v>
      </c>
      <c r="J566" s="584">
        <v>197802.1978021978</v>
      </c>
      <c r="K566" s="584">
        <v>0</v>
      </c>
      <c r="L566" s="584">
        <v>0</v>
      </c>
      <c r="M566" s="584">
        <v>0</v>
      </c>
      <c r="N566" s="585">
        <v>706246.9955513929</v>
      </c>
    </row>
    <row r="567" spans="1:14" ht="15" customHeight="1" x14ac:dyDescent="0.25">
      <c r="A567" s="21" t="s">
        <v>3129</v>
      </c>
      <c r="B567" s="584">
        <v>150609.44210444525</v>
      </c>
      <c r="C567" s="584">
        <v>0</v>
      </c>
      <c r="D567" s="584">
        <v>0</v>
      </c>
      <c r="E567" s="584">
        <v>0</v>
      </c>
      <c r="F567" s="584">
        <v>0</v>
      </c>
      <c r="G567" s="584">
        <v>0</v>
      </c>
      <c r="H567" s="584">
        <v>280114.88511488511</v>
      </c>
      <c r="I567" s="584">
        <v>2697.3026973026972</v>
      </c>
      <c r="J567" s="584">
        <v>155094.90509490509</v>
      </c>
      <c r="K567" s="584">
        <v>864.23212761542516</v>
      </c>
      <c r="L567" s="584">
        <v>0</v>
      </c>
      <c r="M567" s="584">
        <v>0</v>
      </c>
      <c r="N567" s="585">
        <v>589380.76713915356</v>
      </c>
    </row>
    <row r="568" spans="1:14" ht="15" customHeight="1" x14ac:dyDescent="0.25">
      <c r="A568" s="525" t="s">
        <v>3130</v>
      </c>
      <c r="B568" s="586">
        <v>335818.35063829011</v>
      </c>
      <c r="C568" s="586">
        <v>0</v>
      </c>
      <c r="D568" s="586">
        <v>0</v>
      </c>
      <c r="E568" s="586">
        <v>0</v>
      </c>
      <c r="F568" s="586">
        <v>0</v>
      </c>
      <c r="G568" s="586">
        <v>39548.459911152604</v>
      </c>
      <c r="H568" s="586">
        <v>537774.72527472524</v>
      </c>
      <c r="I568" s="586">
        <v>0</v>
      </c>
      <c r="J568" s="586">
        <v>0</v>
      </c>
      <c r="K568" s="586">
        <v>0</v>
      </c>
      <c r="L568" s="586">
        <v>0</v>
      </c>
      <c r="M568" s="586">
        <v>0</v>
      </c>
      <c r="N568" s="587">
        <v>913141.53582416801</v>
      </c>
    </row>
    <row r="569" spans="1:14" ht="15" customHeight="1" x14ac:dyDescent="0.25">
      <c r="A569" s="298" t="s">
        <v>3131</v>
      </c>
      <c r="B569" s="585">
        <v>107506.12734206524</v>
      </c>
      <c r="C569" s="585">
        <v>6872.4786956816752</v>
      </c>
      <c r="D569" s="585">
        <v>5297.3764832697125</v>
      </c>
      <c r="E569" s="585">
        <v>7399.0072185804347</v>
      </c>
      <c r="F569" s="585">
        <v>4207.7378477542416</v>
      </c>
      <c r="G569" s="585">
        <v>8325.9915602426499</v>
      </c>
      <c r="H569" s="585">
        <v>453091.90154335974</v>
      </c>
      <c r="I569" s="585">
        <v>3292.5256294761211</v>
      </c>
      <c r="J569" s="585">
        <v>19623.654692059888</v>
      </c>
      <c r="K569" s="585">
        <v>8545.4023223389413</v>
      </c>
      <c r="L569" s="585">
        <v>5073.5126942023489</v>
      </c>
      <c r="M569" s="585">
        <v>6459.8008219994235</v>
      </c>
      <c r="N569" s="585">
        <v>635695.51685103017</v>
      </c>
    </row>
    <row r="570" spans="1:14" ht="15" customHeight="1" x14ac:dyDescent="0.25">
      <c r="A570" s="530" t="s">
        <v>3132</v>
      </c>
      <c r="B570" s="588">
        <v>166227.01665087778</v>
      </c>
      <c r="C570" s="588">
        <v>6078.2447157552288</v>
      </c>
      <c r="D570" s="588">
        <v>7508.1338557341269</v>
      </c>
      <c r="E570" s="588">
        <v>6038.0410170149444</v>
      </c>
      <c r="F570" s="588">
        <v>3796.7267793200981</v>
      </c>
      <c r="G570" s="588">
        <v>9404.8166861887275</v>
      </c>
      <c r="H570" s="588">
        <v>391775.33408822294</v>
      </c>
      <c r="I570" s="588">
        <v>2342.1527261357296</v>
      </c>
      <c r="J570" s="588">
        <v>37979.548774105286</v>
      </c>
      <c r="K570" s="588">
        <v>2242.5901512703622</v>
      </c>
      <c r="L570" s="588">
        <v>9351.0452961672472</v>
      </c>
      <c r="M570" s="588">
        <v>638.15394825847795</v>
      </c>
      <c r="N570" s="588">
        <v>643381.80468905088</v>
      </c>
    </row>
    <row r="571" spans="1:14" ht="15" customHeight="1" x14ac:dyDescent="0.25">
      <c r="A571" s="539"/>
      <c r="B571" s="589"/>
      <c r="C571" s="589"/>
      <c r="D571" s="589"/>
      <c r="E571" s="589"/>
      <c r="F571" s="589"/>
      <c r="G571" s="589"/>
      <c r="H571" s="589"/>
      <c r="I571" s="589"/>
      <c r="J571" s="589"/>
      <c r="K571" s="589"/>
      <c r="L571" s="589"/>
      <c r="M571" s="589"/>
      <c r="N571" s="589"/>
    </row>
    <row r="572" spans="1:14" ht="15" customHeight="1" x14ac:dyDescent="0.25">
      <c r="A572" s="296"/>
      <c r="B572" s="537"/>
      <c r="C572" s="537"/>
      <c r="D572" s="537"/>
      <c r="E572" s="537"/>
      <c r="F572" s="537"/>
      <c r="G572" s="537"/>
      <c r="H572" s="537"/>
      <c r="I572" s="537"/>
      <c r="J572" s="537"/>
      <c r="K572" s="537"/>
      <c r="L572" s="537"/>
    </row>
    <row r="573" spans="1:14" ht="15" customHeight="1" x14ac:dyDescent="0.25">
      <c r="A573" s="296"/>
      <c r="B573" s="537"/>
      <c r="C573" s="537"/>
      <c r="D573" s="537"/>
      <c r="E573" s="537"/>
      <c r="F573" s="537"/>
      <c r="G573" s="537"/>
      <c r="H573" s="537"/>
      <c r="I573" s="537"/>
      <c r="J573" s="537"/>
      <c r="K573" s="537"/>
      <c r="L573" s="537"/>
    </row>
    <row r="574" spans="1:14" ht="15" customHeight="1" x14ac:dyDescent="0.25">
      <c r="A574" s="915" t="s">
        <v>3162</v>
      </c>
      <c r="B574" s="915"/>
      <c r="C574" s="915"/>
      <c r="D574" s="915"/>
      <c r="E574" s="915"/>
      <c r="F574" s="915"/>
      <c r="G574" s="915"/>
      <c r="H574" s="915"/>
      <c r="I574" s="915"/>
      <c r="J574" s="915"/>
      <c r="K574" s="915"/>
      <c r="L574" s="915"/>
      <c r="M574" s="915"/>
      <c r="N574" s="915"/>
    </row>
    <row r="576" spans="1:14" ht="15" customHeight="1" x14ac:dyDescent="0.25">
      <c r="A576" s="302" t="s">
        <v>3036</v>
      </c>
      <c r="B576" s="302" t="s">
        <v>3037</v>
      </c>
      <c r="C576" s="302" t="s">
        <v>3038</v>
      </c>
      <c r="D576" s="302" t="s">
        <v>3039</v>
      </c>
      <c r="E576" s="302" t="s">
        <v>3040</v>
      </c>
      <c r="F576" s="302" t="s">
        <v>2152</v>
      </c>
      <c r="G576" s="302" t="s">
        <v>2186</v>
      </c>
      <c r="H576" s="302" t="s">
        <v>3042</v>
      </c>
      <c r="I576" s="302" t="s">
        <v>2210</v>
      </c>
      <c r="J576" s="302" t="s">
        <v>3043</v>
      </c>
      <c r="K576" s="302" t="s">
        <v>3044</v>
      </c>
      <c r="L576" s="302" t="s">
        <v>2223</v>
      </c>
      <c r="M576" s="302" t="s">
        <v>3045</v>
      </c>
      <c r="N576" s="302" t="s">
        <v>2462</v>
      </c>
    </row>
    <row r="577" spans="1:14" ht="15" customHeight="1" x14ac:dyDescent="0.25">
      <c r="A577" s="21" t="s">
        <v>3047</v>
      </c>
      <c r="B577" s="584" t="s">
        <v>65</v>
      </c>
      <c r="C577" s="584" t="s">
        <v>65</v>
      </c>
      <c r="D577" s="584" t="s">
        <v>65</v>
      </c>
      <c r="E577" s="584" t="s">
        <v>65</v>
      </c>
      <c r="F577" s="584" t="s">
        <v>65</v>
      </c>
      <c r="G577" s="584" t="s">
        <v>65</v>
      </c>
      <c r="H577" s="584" t="s">
        <v>65</v>
      </c>
      <c r="I577" s="584" t="s">
        <v>65</v>
      </c>
      <c r="J577" s="584" t="s">
        <v>65</v>
      </c>
      <c r="K577" s="584" t="s">
        <v>65</v>
      </c>
      <c r="L577" s="584" t="s">
        <v>65</v>
      </c>
      <c r="M577" s="584" t="s">
        <v>65</v>
      </c>
      <c r="N577" s="585">
        <v>0</v>
      </c>
    </row>
    <row r="578" spans="1:14" ht="15" customHeight="1" x14ac:dyDescent="0.25">
      <c r="A578" s="21" t="s">
        <v>3048</v>
      </c>
      <c r="B578" s="584">
        <v>335818.35063829011</v>
      </c>
      <c r="C578" s="584" t="s">
        <v>65</v>
      </c>
      <c r="D578" s="584" t="s">
        <v>65</v>
      </c>
      <c r="E578" s="584" t="s">
        <v>65</v>
      </c>
      <c r="F578" s="584" t="s">
        <v>65</v>
      </c>
      <c r="G578" s="584" t="s">
        <v>65</v>
      </c>
      <c r="H578" s="584" t="s">
        <v>65</v>
      </c>
      <c r="I578" s="584" t="s">
        <v>65</v>
      </c>
      <c r="J578" s="584" t="s">
        <v>65</v>
      </c>
      <c r="K578" s="584" t="s">
        <v>65</v>
      </c>
      <c r="L578" s="584" t="s">
        <v>65</v>
      </c>
      <c r="M578" s="584" t="s">
        <v>65</v>
      </c>
      <c r="N578" s="585">
        <v>335818.35063829011</v>
      </c>
    </row>
    <row r="579" spans="1:14" ht="15" customHeight="1" x14ac:dyDescent="0.25">
      <c r="A579" s="21" t="s">
        <v>3049</v>
      </c>
      <c r="B579" s="584">
        <v>111939.45021276336</v>
      </c>
      <c r="C579" s="584" t="s">
        <v>65</v>
      </c>
      <c r="D579" s="584" t="s">
        <v>65</v>
      </c>
      <c r="E579" s="584" t="s">
        <v>65</v>
      </c>
      <c r="F579" s="584" t="s">
        <v>65</v>
      </c>
      <c r="G579" s="584" t="s">
        <v>65</v>
      </c>
      <c r="H579" s="584">
        <v>734340.65934065939</v>
      </c>
      <c r="I579" s="584" t="s">
        <v>65</v>
      </c>
      <c r="J579" s="584" t="s">
        <v>65</v>
      </c>
      <c r="K579" s="584" t="s">
        <v>65</v>
      </c>
      <c r="L579" s="584" t="s">
        <v>65</v>
      </c>
      <c r="M579" s="584" t="s">
        <v>65</v>
      </c>
      <c r="N579" s="585">
        <v>846280.10955342278</v>
      </c>
    </row>
    <row r="580" spans="1:14" ht="15" customHeight="1" x14ac:dyDescent="0.25">
      <c r="A580" s="21" t="s">
        <v>3050</v>
      </c>
      <c r="B580" s="584">
        <v>447757.80085105344</v>
      </c>
      <c r="C580" s="584" t="s">
        <v>65</v>
      </c>
      <c r="D580" s="584" t="s">
        <v>65</v>
      </c>
      <c r="E580" s="584" t="s">
        <v>65</v>
      </c>
      <c r="F580" s="584" t="s">
        <v>65</v>
      </c>
      <c r="G580" s="584" t="s">
        <v>65</v>
      </c>
      <c r="H580" s="584" t="s">
        <v>65</v>
      </c>
      <c r="I580" s="584" t="s">
        <v>65</v>
      </c>
      <c r="J580" s="584">
        <v>74175.824175824178</v>
      </c>
      <c r="K580" s="584" t="s">
        <v>65</v>
      </c>
      <c r="L580" s="584" t="s">
        <v>65</v>
      </c>
      <c r="M580" s="584" t="s">
        <v>65</v>
      </c>
      <c r="N580" s="585">
        <v>521933.62502687762</v>
      </c>
    </row>
    <row r="581" spans="1:14" ht="15" customHeight="1" x14ac:dyDescent="0.25">
      <c r="A581" s="21" t="s">
        <v>3051</v>
      </c>
      <c r="B581" s="584">
        <v>391788.07574467175</v>
      </c>
      <c r="C581" s="584" t="s">
        <v>65</v>
      </c>
      <c r="D581" s="584" t="s">
        <v>65</v>
      </c>
      <c r="E581" s="584" t="s">
        <v>65</v>
      </c>
      <c r="F581" s="584" t="s">
        <v>65</v>
      </c>
      <c r="G581" s="584" t="s">
        <v>65</v>
      </c>
      <c r="H581" s="584">
        <v>1186813.1868131869</v>
      </c>
      <c r="I581" s="584" t="s">
        <v>65</v>
      </c>
      <c r="J581" s="584">
        <v>333791.2087912088</v>
      </c>
      <c r="K581" s="584" t="s">
        <v>65</v>
      </c>
      <c r="L581" s="584" t="s">
        <v>65</v>
      </c>
      <c r="M581" s="584" t="s">
        <v>65</v>
      </c>
      <c r="N581" s="585">
        <v>879323.91862831602</v>
      </c>
    </row>
    <row r="582" spans="1:14" ht="15" customHeight="1" x14ac:dyDescent="0.25">
      <c r="A582" s="21" t="s">
        <v>3052</v>
      </c>
      <c r="B582" s="584" t="s">
        <v>65</v>
      </c>
      <c r="C582" s="584" t="s">
        <v>65</v>
      </c>
      <c r="D582" s="584" t="s">
        <v>65</v>
      </c>
      <c r="E582" s="584" t="s">
        <v>65</v>
      </c>
      <c r="F582" s="584">
        <v>447757.80085105344</v>
      </c>
      <c r="G582" s="584" t="s">
        <v>65</v>
      </c>
      <c r="H582" s="584">
        <v>593406.59340659343</v>
      </c>
      <c r="I582" s="584" t="s">
        <v>65</v>
      </c>
      <c r="J582" s="584" t="s">
        <v>65</v>
      </c>
      <c r="K582" s="584" t="s">
        <v>65</v>
      </c>
      <c r="L582" s="584" t="s">
        <v>65</v>
      </c>
      <c r="M582" s="584" t="s">
        <v>65</v>
      </c>
      <c r="N582" s="585">
        <v>1041164.3942576469</v>
      </c>
    </row>
    <row r="583" spans="1:14" ht="15" customHeight="1" x14ac:dyDescent="0.25">
      <c r="A583" s="21" t="s">
        <v>3053</v>
      </c>
      <c r="B583" s="584">
        <v>363803.2131914809</v>
      </c>
      <c r="C583" s="584" t="s">
        <v>65</v>
      </c>
      <c r="D583" s="584" t="s">
        <v>65</v>
      </c>
      <c r="E583" s="584" t="s">
        <v>65</v>
      </c>
      <c r="F583" s="584" t="s">
        <v>65</v>
      </c>
      <c r="G583" s="584" t="s">
        <v>65</v>
      </c>
      <c r="H583" s="584">
        <v>667582.41758241761</v>
      </c>
      <c r="I583" s="584" t="s">
        <v>65</v>
      </c>
      <c r="J583" s="584">
        <v>42032.967032967033</v>
      </c>
      <c r="K583" s="584" t="s">
        <v>65</v>
      </c>
      <c r="L583" s="584" t="s">
        <v>65</v>
      </c>
      <c r="M583" s="584" t="s">
        <v>65</v>
      </c>
      <c r="N583" s="585">
        <v>449778.83428944845</v>
      </c>
    </row>
    <row r="584" spans="1:14" ht="15" customHeight="1" x14ac:dyDescent="0.25">
      <c r="A584" s="21" t="s">
        <v>3054</v>
      </c>
      <c r="B584" s="584">
        <v>279848.62553190842</v>
      </c>
      <c r="C584" s="584" t="s">
        <v>65</v>
      </c>
      <c r="D584" s="584" t="s">
        <v>65</v>
      </c>
      <c r="E584" s="584" t="s">
        <v>65</v>
      </c>
      <c r="F584" s="584" t="s">
        <v>65</v>
      </c>
      <c r="G584" s="584" t="s">
        <v>65</v>
      </c>
      <c r="H584" s="584">
        <v>445054.94505494507</v>
      </c>
      <c r="I584" s="584">
        <v>37087.912087912089</v>
      </c>
      <c r="J584" s="584">
        <v>203983.51648351649</v>
      </c>
      <c r="K584" s="584" t="s">
        <v>65</v>
      </c>
      <c r="L584" s="584" t="s">
        <v>65</v>
      </c>
      <c r="M584" s="584" t="s">
        <v>65</v>
      </c>
      <c r="N584" s="585">
        <v>362451.78529342671</v>
      </c>
    </row>
    <row r="585" spans="1:14" ht="15" customHeight="1" x14ac:dyDescent="0.25">
      <c r="A585" s="21" t="s">
        <v>3055</v>
      </c>
      <c r="B585" s="584">
        <v>298505.200567369</v>
      </c>
      <c r="C585" s="584" t="s">
        <v>65</v>
      </c>
      <c r="D585" s="584" t="s">
        <v>65</v>
      </c>
      <c r="E585" s="584" t="s">
        <v>65</v>
      </c>
      <c r="F585" s="584" t="s">
        <v>65</v>
      </c>
      <c r="G585" s="584" t="s">
        <v>65</v>
      </c>
      <c r="H585" s="584">
        <v>453296.70329670329</v>
      </c>
      <c r="I585" s="584" t="s">
        <v>65</v>
      </c>
      <c r="J585" s="584">
        <v>198420.32967032967</v>
      </c>
      <c r="K585" s="584" t="s">
        <v>65</v>
      </c>
      <c r="L585" s="584" t="s">
        <v>65</v>
      </c>
      <c r="M585" s="584" t="s">
        <v>65</v>
      </c>
      <c r="N585" s="585">
        <v>503993.23023053125</v>
      </c>
    </row>
    <row r="586" spans="1:14" ht="15" customHeight="1" x14ac:dyDescent="0.25">
      <c r="A586" s="21" t="s">
        <v>3056</v>
      </c>
      <c r="B586" s="584" t="s">
        <v>65</v>
      </c>
      <c r="C586" s="584" t="s">
        <v>65</v>
      </c>
      <c r="D586" s="584" t="s">
        <v>65</v>
      </c>
      <c r="E586" s="584" t="s">
        <v>65</v>
      </c>
      <c r="F586" s="584" t="s">
        <v>65</v>
      </c>
      <c r="G586" s="584" t="s">
        <v>65</v>
      </c>
      <c r="H586" s="584" t="s">
        <v>65</v>
      </c>
      <c r="I586" s="584" t="s">
        <v>65</v>
      </c>
      <c r="J586" s="584" t="s">
        <v>65</v>
      </c>
      <c r="K586" s="584" t="s">
        <v>65</v>
      </c>
      <c r="L586" s="584" t="s">
        <v>65</v>
      </c>
      <c r="M586" s="584" t="s">
        <v>65</v>
      </c>
      <c r="N586" s="585">
        <v>0</v>
      </c>
    </row>
    <row r="587" spans="1:14" ht="15" customHeight="1" x14ac:dyDescent="0.25">
      <c r="A587" s="21" t="s">
        <v>3057</v>
      </c>
      <c r="B587" s="584">
        <v>223878.90042552672</v>
      </c>
      <c r="C587" s="584" t="s">
        <v>65</v>
      </c>
      <c r="D587" s="584" t="s">
        <v>65</v>
      </c>
      <c r="E587" s="584" t="s">
        <v>65</v>
      </c>
      <c r="F587" s="584" t="s">
        <v>65</v>
      </c>
      <c r="G587" s="584" t="s">
        <v>65</v>
      </c>
      <c r="H587" s="584">
        <v>556318.68131868134</v>
      </c>
      <c r="I587" s="584" t="s">
        <v>65</v>
      </c>
      <c r="J587" s="584">
        <v>445054.94505494507</v>
      </c>
      <c r="K587" s="584" t="s">
        <v>65</v>
      </c>
      <c r="L587" s="584" t="s">
        <v>65</v>
      </c>
      <c r="M587" s="584" t="s">
        <v>65</v>
      </c>
      <c r="N587" s="585">
        <v>593857.06937261147</v>
      </c>
    </row>
    <row r="588" spans="1:14" ht="15" customHeight="1" x14ac:dyDescent="0.25">
      <c r="A588" s="21" t="s">
        <v>3058</v>
      </c>
      <c r="B588" s="584">
        <v>422851.27317871351</v>
      </c>
      <c r="C588" s="584">
        <v>351648.35164835164</v>
      </c>
      <c r="D588" s="584" t="s">
        <v>65</v>
      </c>
      <c r="E588" s="584">
        <v>351648.35164835164</v>
      </c>
      <c r="F588" s="584">
        <v>167909.17531914503</v>
      </c>
      <c r="G588" s="584" t="s">
        <v>65</v>
      </c>
      <c r="H588" s="584">
        <v>528786.48957547091</v>
      </c>
      <c r="I588" s="584">
        <v>14835.164835164835</v>
      </c>
      <c r="J588" s="584">
        <v>250343.4065934066</v>
      </c>
      <c r="K588" s="584">
        <v>89123.938160340724</v>
      </c>
      <c r="L588" s="584" t="s">
        <v>65</v>
      </c>
      <c r="M588" s="584">
        <v>784929.35635792778</v>
      </c>
      <c r="N588" s="585">
        <v>688124.85921008699</v>
      </c>
    </row>
    <row r="589" spans="1:14" ht="15" customHeight="1" x14ac:dyDescent="0.25">
      <c r="A589" s="21" t="s">
        <v>3059</v>
      </c>
      <c r="B589" s="584">
        <v>513055.8134751654</v>
      </c>
      <c r="C589" s="584" t="s">
        <v>65</v>
      </c>
      <c r="D589" s="584">
        <v>223878.90042552672</v>
      </c>
      <c r="E589" s="584" t="s">
        <v>65</v>
      </c>
      <c r="F589" s="584" t="s">
        <v>65</v>
      </c>
      <c r="G589" s="584" t="s">
        <v>65</v>
      </c>
      <c r="H589" s="584">
        <v>452537.59398496238</v>
      </c>
      <c r="I589" s="584">
        <v>7950.249107805379</v>
      </c>
      <c r="J589" s="584">
        <v>506013.4800890428</v>
      </c>
      <c r="K589" s="584" t="s">
        <v>65</v>
      </c>
      <c r="L589" s="584" t="s">
        <v>65</v>
      </c>
      <c r="M589" s="584" t="s">
        <v>65</v>
      </c>
      <c r="N589" s="585">
        <v>615523.07206183218</v>
      </c>
    </row>
    <row r="590" spans="1:14" ht="15" customHeight="1" x14ac:dyDescent="0.25">
      <c r="A590" s="21" t="s">
        <v>3060</v>
      </c>
      <c r="B590" s="584">
        <v>239668.52471012523</v>
      </c>
      <c r="C590" s="584" t="s">
        <v>65</v>
      </c>
      <c r="D590" s="584" t="s">
        <v>65</v>
      </c>
      <c r="E590" s="584" t="s">
        <v>65</v>
      </c>
      <c r="F590" s="584" t="s">
        <v>65</v>
      </c>
      <c r="G590" s="584" t="s">
        <v>65</v>
      </c>
      <c r="H590" s="584">
        <v>793639.71209657914</v>
      </c>
      <c r="I590" s="584" t="s">
        <v>65</v>
      </c>
      <c r="J590" s="584">
        <v>247252.74725274724</v>
      </c>
      <c r="K590" s="584" t="s">
        <v>65</v>
      </c>
      <c r="L590" s="584" t="s">
        <v>65</v>
      </c>
      <c r="M590" s="584" t="s">
        <v>65</v>
      </c>
      <c r="N590" s="585">
        <v>750685.34468432306</v>
      </c>
    </row>
    <row r="591" spans="1:14" ht="15" customHeight="1" x14ac:dyDescent="0.25">
      <c r="A591" s="21" t="s">
        <v>3061</v>
      </c>
      <c r="B591" s="584">
        <v>335818.35063829005</v>
      </c>
      <c r="C591" s="584" t="s">
        <v>65</v>
      </c>
      <c r="D591" s="584" t="s">
        <v>65</v>
      </c>
      <c r="E591" s="584" t="s">
        <v>65</v>
      </c>
      <c r="F591" s="584" t="s">
        <v>65</v>
      </c>
      <c r="G591" s="584" t="s">
        <v>65</v>
      </c>
      <c r="H591" s="584" t="s">
        <v>65</v>
      </c>
      <c r="I591" s="584" t="s">
        <v>65</v>
      </c>
      <c r="J591" s="584">
        <v>185439.56043956045</v>
      </c>
      <c r="K591" s="584" t="s">
        <v>65</v>
      </c>
      <c r="L591" s="584" t="s">
        <v>65</v>
      </c>
      <c r="M591" s="584" t="s">
        <v>65</v>
      </c>
      <c r="N591" s="585">
        <v>521257.91107785044</v>
      </c>
    </row>
    <row r="592" spans="1:14" ht="15" customHeight="1" x14ac:dyDescent="0.25">
      <c r="A592" s="21" t="s">
        <v>3062</v>
      </c>
      <c r="B592" s="584">
        <v>407052.54622823041</v>
      </c>
      <c r="C592" s="584" t="s">
        <v>65</v>
      </c>
      <c r="D592" s="584" t="s">
        <v>65</v>
      </c>
      <c r="E592" s="584" t="s">
        <v>65</v>
      </c>
      <c r="F592" s="584" t="s">
        <v>65</v>
      </c>
      <c r="G592" s="584" t="s">
        <v>65</v>
      </c>
      <c r="H592" s="584">
        <v>696943.68131868134</v>
      </c>
      <c r="I592" s="584" t="s">
        <v>65</v>
      </c>
      <c r="J592" s="584">
        <v>100137.36263736263</v>
      </c>
      <c r="K592" s="584" t="s">
        <v>65</v>
      </c>
      <c r="L592" s="584" t="s">
        <v>65</v>
      </c>
      <c r="M592" s="584" t="s">
        <v>65</v>
      </c>
      <c r="N592" s="585">
        <v>879958.04995026975</v>
      </c>
    </row>
    <row r="593" spans="1:14" ht="15" customHeight="1" x14ac:dyDescent="0.25">
      <c r="A593" s="21" t="s">
        <v>3063</v>
      </c>
      <c r="B593" s="584" t="s">
        <v>65</v>
      </c>
      <c r="C593" s="584" t="s">
        <v>65</v>
      </c>
      <c r="D593" s="584" t="s">
        <v>65</v>
      </c>
      <c r="E593" s="584" t="s">
        <v>65</v>
      </c>
      <c r="F593" s="584" t="s">
        <v>65</v>
      </c>
      <c r="G593" s="584" t="s">
        <v>65</v>
      </c>
      <c r="H593" s="584">
        <v>815934.06593406596</v>
      </c>
      <c r="I593" s="584" t="s">
        <v>65</v>
      </c>
      <c r="J593" s="584">
        <v>111263.73626373627</v>
      </c>
      <c r="K593" s="584" t="s">
        <v>65</v>
      </c>
      <c r="L593" s="584" t="s">
        <v>65</v>
      </c>
      <c r="M593" s="584" t="s">
        <v>65</v>
      </c>
      <c r="N593" s="585">
        <v>463598.90109890111</v>
      </c>
    </row>
    <row r="594" spans="1:14" ht="15" customHeight="1" x14ac:dyDescent="0.25">
      <c r="A594" s="21" t="s">
        <v>3064</v>
      </c>
      <c r="B594" s="584">
        <v>251863.76297871757</v>
      </c>
      <c r="C594" s="584">
        <v>178168.49816849816</v>
      </c>
      <c r="D594" s="584">
        <v>559697.25106381683</v>
      </c>
      <c r="E594" s="584">
        <v>178168.49816849816</v>
      </c>
      <c r="F594" s="584" t="s">
        <v>65</v>
      </c>
      <c r="G594" s="584" t="s">
        <v>65</v>
      </c>
      <c r="H594" s="584">
        <v>771594.99593834078</v>
      </c>
      <c r="I594" s="584">
        <v>187293.95604395604</v>
      </c>
      <c r="J594" s="584">
        <v>318956.04395604396</v>
      </c>
      <c r="K594" s="584" t="s">
        <v>65</v>
      </c>
      <c r="L594" s="584" t="s">
        <v>65</v>
      </c>
      <c r="M594" s="584" t="s">
        <v>65</v>
      </c>
      <c r="N594" s="585">
        <v>749506.83410216344</v>
      </c>
    </row>
    <row r="595" spans="1:14" ht="15" customHeight="1" x14ac:dyDescent="0.25">
      <c r="A595" s="21" t="s">
        <v>3065</v>
      </c>
      <c r="B595" s="584">
        <v>335818.35063829011</v>
      </c>
      <c r="C595" s="584">
        <v>351648.35164835164</v>
      </c>
      <c r="D595" s="584">
        <v>223878.90042552675</v>
      </c>
      <c r="E595" s="584">
        <v>351648.35164835164</v>
      </c>
      <c r="F595" s="584">
        <v>111939.45021276336</v>
      </c>
      <c r="G595" s="584" t="s">
        <v>65</v>
      </c>
      <c r="H595" s="584">
        <v>711469.68682366109</v>
      </c>
      <c r="I595" s="584">
        <v>221691.60138692689</v>
      </c>
      <c r="J595" s="584">
        <v>307829.67032967031</v>
      </c>
      <c r="K595" s="584">
        <v>65357.554650916536</v>
      </c>
      <c r="L595" s="584" t="s">
        <v>65</v>
      </c>
      <c r="M595" s="584" t="s">
        <v>65</v>
      </c>
      <c r="N595" s="585">
        <v>690703.50097806053</v>
      </c>
    </row>
    <row r="596" spans="1:14" ht="15" customHeight="1" x14ac:dyDescent="0.25">
      <c r="A596" s="21" t="s">
        <v>3066</v>
      </c>
      <c r="B596" s="584">
        <v>310942.91725767596</v>
      </c>
      <c r="C596" s="584">
        <v>129670.32967032967</v>
      </c>
      <c r="D596" s="584" t="s">
        <v>65</v>
      </c>
      <c r="E596" s="584">
        <v>129670.32967032967</v>
      </c>
      <c r="F596" s="584" t="s">
        <v>65</v>
      </c>
      <c r="G596" s="584" t="s">
        <v>65</v>
      </c>
      <c r="H596" s="584">
        <v>637486.94421937503</v>
      </c>
      <c r="I596" s="584">
        <v>3708.7912087912086</v>
      </c>
      <c r="J596" s="584">
        <v>166098.90711895752</v>
      </c>
      <c r="K596" s="584" t="s">
        <v>65</v>
      </c>
      <c r="L596" s="584" t="s">
        <v>65</v>
      </c>
      <c r="M596" s="584" t="s">
        <v>65</v>
      </c>
      <c r="N596" s="585">
        <v>570563.96802143718</v>
      </c>
    </row>
    <row r="597" spans="1:14" ht="15" customHeight="1" x14ac:dyDescent="0.25">
      <c r="A597" s="21" t="s">
        <v>3067</v>
      </c>
      <c r="B597" s="584">
        <v>475742.66340424429</v>
      </c>
      <c r="C597" s="584" t="s">
        <v>65</v>
      </c>
      <c r="D597" s="584">
        <v>111939.45021276336</v>
      </c>
      <c r="E597" s="584" t="s">
        <v>65</v>
      </c>
      <c r="F597" s="584" t="s">
        <v>65</v>
      </c>
      <c r="G597" s="584" t="s">
        <v>65</v>
      </c>
      <c r="H597" s="584">
        <v>417239.01098901097</v>
      </c>
      <c r="I597" s="584" t="s">
        <v>65</v>
      </c>
      <c r="J597" s="584">
        <v>259615.38461538462</v>
      </c>
      <c r="K597" s="584" t="s">
        <v>65</v>
      </c>
      <c r="L597" s="584" t="s">
        <v>65</v>
      </c>
      <c r="M597" s="584" t="s">
        <v>65</v>
      </c>
      <c r="N597" s="585">
        <v>468598.38580227661</v>
      </c>
    </row>
    <row r="598" spans="1:14" ht="15" customHeight="1" x14ac:dyDescent="0.25">
      <c r="A598" s="21" t="s">
        <v>3068</v>
      </c>
      <c r="B598" s="584">
        <v>412776.72265956487</v>
      </c>
      <c r="C598" s="584" t="s">
        <v>65</v>
      </c>
      <c r="D598" s="584" t="s">
        <v>65</v>
      </c>
      <c r="E598" s="584" t="s">
        <v>65</v>
      </c>
      <c r="F598" s="584" t="s">
        <v>65</v>
      </c>
      <c r="G598" s="584">
        <v>0</v>
      </c>
      <c r="H598" s="584">
        <v>715087.19541328237</v>
      </c>
      <c r="I598" s="584" t="s">
        <v>65</v>
      </c>
      <c r="J598" s="584">
        <v>191267.66091051805</v>
      </c>
      <c r="K598" s="584" t="s">
        <v>65</v>
      </c>
      <c r="L598" s="584" t="s">
        <v>65</v>
      </c>
      <c r="M598" s="584" t="s">
        <v>65</v>
      </c>
      <c r="N598" s="585">
        <v>696865.90524091886</v>
      </c>
    </row>
    <row r="599" spans="1:14" ht="15" customHeight="1" x14ac:dyDescent="0.25">
      <c r="A599" s="21" t="s">
        <v>3069</v>
      </c>
      <c r="B599" s="584">
        <v>401190.98956254381</v>
      </c>
      <c r="C599" s="584">
        <v>234672.22432739672</v>
      </c>
      <c r="D599" s="584">
        <v>559697.25106381683</v>
      </c>
      <c r="E599" s="584">
        <v>234672.22432739672</v>
      </c>
      <c r="F599" s="584">
        <v>335818.35063829011</v>
      </c>
      <c r="G599" s="584" t="s">
        <v>65</v>
      </c>
      <c r="H599" s="584">
        <v>642350.55402859382</v>
      </c>
      <c r="I599" s="584" t="s">
        <v>65</v>
      </c>
      <c r="J599" s="584">
        <v>286813.1868131868</v>
      </c>
      <c r="K599" s="584" t="s">
        <v>65</v>
      </c>
      <c r="L599" s="584">
        <v>668131.86813186808</v>
      </c>
      <c r="M599" s="584" t="s">
        <v>65</v>
      </c>
      <c r="N599" s="585">
        <v>771798.98241743131</v>
      </c>
    </row>
    <row r="600" spans="1:14" ht="15" customHeight="1" x14ac:dyDescent="0.25">
      <c r="A600" s="21" t="s">
        <v>3070</v>
      </c>
      <c r="B600" s="584">
        <v>262195.71446331026</v>
      </c>
      <c r="C600" s="584">
        <v>263736.26373626373</v>
      </c>
      <c r="D600" s="584" t="s">
        <v>65</v>
      </c>
      <c r="E600" s="584">
        <v>263736.26373626373</v>
      </c>
      <c r="F600" s="584">
        <v>294993.37467834109</v>
      </c>
      <c r="G600" s="584">
        <v>210925.1195261472</v>
      </c>
      <c r="H600" s="584">
        <v>696230.76999435038</v>
      </c>
      <c r="I600" s="584">
        <v>468234.89010989008</v>
      </c>
      <c r="J600" s="584">
        <v>189148.35164835164</v>
      </c>
      <c r="K600" s="584">
        <v>534743.62896204437</v>
      </c>
      <c r="L600" s="584">
        <v>83516.483516483509</v>
      </c>
      <c r="M600" s="584">
        <v>784929.35635792778</v>
      </c>
      <c r="N600" s="585">
        <v>635013.11000132165</v>
      </c>
    </row>
    <row r="601" spans="1:14" ht="15" customHeight="1" x14ac:dyDescent="0.25">
      <c r="A601" s="21" t="s">
        <v>3071</v>
      </c>
      <c r="B601" s="584">
        <v>279161.71995272028</v>
      </c>
      <c r="C601" s="584">
        <v>345787.54578754579</v>
      </c>
      <c r="D601" s="584">
        <v>278499.29937995999</v>
      </c>
      <c r="E601" s="584">
        <v>307692.30769230769</v>
      </c>
      <c r="F601" s="584">
        <v>177237.46283687532</v>
      </c>
      <c r="G601" s="584" t="s">
        <v>65</v>
      </c>
      <c r="H601" s="584">
        <v>608603.80036804813</v>
      </c>
      <c r="I601" s="584">
        <v>259615.38461538462</v>
      </c>
      <c r="J601" s="584">
        <v>178551.80533751962</v>
      </c>
      <c r="K601" s="584" t="s">
        <v>65</v>
      </c>
      <c r="L601" s="584" t="s">
        <v>65</v>
      </c>
      <c r="M601" s="584" t="s">
        <v>65</v>
      </c>
      <c r="N601" s="585">
        <v>627748.83654507261</v>
      </c>
    </row>
    <row r="602" spans="1:14" ht="15" customHeight="1" x14ac:dyDescent="0.25">
      <c r="A602" s="21" t="s">
        <v>3072</v>
      </c>
      <c r="B602" s="584">
        <v>339678.33168010955</v>
      </c>
      <c r="C602" s="584">
        <v>263736.26373626373</v>
      </c>
      <c r="D602" s="584">
        <v>335818.35063829005</v>
      </c>
      <c r="E602" s="584">
        <v>263736.26373626373</v>
      </c>
      <c r="F602" s="584">
        <v>111939.45021276336</v>
      </c>
      <c r="G602" s="584">
        <v>158193.83964461042</v>
      </c>
      <c r="H602" s="584">
        <v>642485.98529151722</v>
      </c>
      <c r="I602" s="584">
        <v>203983.51648351649</v>
      </c>
      <c r="J602" s="584">
        <v>212055.59146735616</v>
      </c>
      <c r="K602" s="584" t="s">
        <v>65</v>
      </c>
      <c r="L602" s="584" t="s">
        <v>65</v>
      </c>
      <c r="M602" s="584" t="s">
        <v>65</v>
      </c>
      <c r="N602" s="585">
        <v>597123.57676460873</v>
      </c>
    </row>
    <row r="603" spans="1:14" ht="15" customHeight="1" x14ac:dyDescent="0.25">
      <c r="A603" s="21" t="s">
        <v>3073</v>
      </c>
      <c r="B603" s="584">
        <v>391788.07574467175</v>
      </c>
      <c r="C603" s="584" t="s">
        <v>65</v>
      </c>
      <c r="D603" s="584" t="s">
        <v>65</v>
      </c>
      <c r="E603" s="584" t="s">
        <v>65</v>
      </c>
      <c r="F603" s="584" t="s">
        <v>65</v>
      </c>
      <c r="G603" s="584" t="s">
        <v>65</v>
      </c>
      <c r="H603" s="584">
        <v>624560.43956043955</v>
      </c>
      <c r="I603" s="584" t="s">
        <v>65</v>
      </c>
      <c r="J603" s="584" t="s">
        <v>65</v>
      </c>
      <c r="K603" s="584" t="s">
        <v>65</v>
      </c>
      <c r="L603" s="584" t="s">
        <v>65</v>
      </c>
      <c r="M603" s="584" t="s">
        <v>65</v>
      </c>
      <c r="N603" s="585">
        <v>937990.900156177</v>
      </c>
    </row>
    <row r="604" spans="1:14" ht="15" customHeight="1" x14ac:dyDescent="0.25">
      <c r="A604" s="21" t="s">
        <v>3074</v>
      </c>
      <c r="B604" s="584">
        <v>783576.15148934349</v>
      </c>
      <c r="C604" s="584" t="s">
        <v>65</v>
      </c>
      <c r="D604" s="584" t="s">
        <v>65</v>
      </c>
      <c r="E604" s="584" t="s">
        <v>65</v>
      </c>
      <c r="F604" s="584" t="s">
        <v>65</v>
      </c>
      <c r="G604" s="584" t="s">
        <v>65</v>
      </c>
      <c r="H604" s="584">
        <v>667582.41758241761</v>
      </c>
      <c r="I604" s="584" t="s">
        <v>65</v>
      </c>
      <c r="J604" s="584" t="s">
        <v>65</v>
      </c>
      <c r="K604" s="584" t="s">
        <v>65</v>
      </c>
      <c r="L604" s="584" t="s">
        <v>65</v>
      </c>
      <c r="M604" s="584" t="s">
        <v>65</v>
      </c>
      <c r="N604" s="585">
        <v>1451158.5690717611</v>
      </c>
    </row>
    <row r="605" spans="1:14" ht="15" customHeight="1" x14ac:dyDescent="0.25">
      <c r="A605" s="21" t="s">
        <v>3075</v>
      </c>
      <c r="B605" s="584">
        <v>612468.70616411953</v>
      </c>
      <c r="C605" s="584">
        <v>226227.10622710624</v>
      </c>
      <c r="D605" s="584">
        <v>111939.45021276336</v>
      </c>
      <c r="E605" s="584">
        <v>301538.46153846156</v>
      </c>
      <c r="F605" s="584" t="s">
        <v>65</v>
      </c>
      <c r="G605" s="584">
        <v>632775.35857844166</v>
      </c>
      <c r="H605" s="584">
        <v>654826.49694515218</v>
      </c>
      <c r="I605" s="584">
        <v>741.75824175824175</v>
      </c>
      <c r="J605" s="584">
        <v>320810.43956043955</v>
      </c>
      <c r="K605" s="584">
        <v>697713.11588381033</v>
      </c>
      <c r="L605" s="584">
        <v>250549.45054945056</v>
      </c>
      <c r="M605" s="584">
        <v>261643.11878597594</v>
      </c>
      <c r="N605" s="585">
        <v>547577.30615253933</v>
      </c>
    </row>
    <row r="606" spans="1:14" ht="15" customHeight="1" x14ac:dyDescent="0.25">
      <c r="A606" s="21" t="s">
        <v>3076</v>
      </c>
      <c r="B606" s="584">
        <v>399250.70575885609</v>
      </c>
      <c r="C606" s="584">
        <v>164521.19309262166</v>
      </c>
      <c r="D606" s="584">
        <v>298505.20056736894</v>
      </c>
      <c r="E606" s="584">
        <v>158241.75824175825</v>
      </c>
      <c r="F606" s="584">
        <v>559697.25106381683</v>
      </c>
      <c r="G606" s="584">
        <v>553678.43875613646</v>
      </c>
      <c r="H606" s="584">
        <v>715038.57783644937</v>
      </c>
      <c r="I606" s="584">
        <v>255062.83982529637</v>
      </c>
      <c r="J606" s="584">
        <v>176909.34065934067</v>
      </c>
      <c r="K606" s="584">
        <v>778349.05993364227</v>
      </c>
      <c r="L606" s="584" t="s">
        <v>65</v>
      </c>
      <c r="M606" s="584">
        <v>1700680.2721088438</v>
      </c>
      <c r="N606" s="585">
        <v>636946.41904032789</v>
      </c>
    </row>
    <row r="607" spans="1:14" ht="15" customHeight="1" x14ac:dyDescent="0.25">
      <c r="A607" s="21" t="s">
        <v>3077</v>
      </c>
      <c r="B607" s="584">
        <v>384619.2338715645</v>
      </c>
      <c r="C607" s="584">
        <v>214940.8547414364</v>
      </c>
      <c r="D607" s="584">
        <v>335818.35063829011</v>
      </c>
      <c r="E607" s="584">
        <v>188678.16852860482</v>
      </c>
      <c r="F607" s="584">
        <v>391788.07574467181</v>
      </c>
      <c r="G607" s="584" t="s">
        <v>65</v>
      </c>
      <c r="H607" s="584">
        <v>663921.68367513397</v>
      </c>
      <c r="I607" s="584">
        <v>24107.142857142859</v>
      </c>
      <c r="J607" s="584">
        <v>353420.37383838027</v>
      </c>
      <c r="K607" s="584">
        <v>213897.45158481773</v>
      </c>
      <c r="L607" s="584" t="s">
        <v>65</v>
      </c>
      <c r="M607" s="584">
        <v>3924646.7817896395</v>
      </c>
      <c r="N607" s="585">
        <v>763973.18598946161</v>
      </c>
    </row>
    <row r="608" spans="1:14" ht="15" customHeight="1" x14ac:dyDescent="0.25">
      <c r="A608" s="21" t="s">
        <v>3078</v>
      </c>
      <c r="B608" s="584">
        <v>242535.47546098728</v>
      </c>
      <c r="C608" s="584" t="s">
        <v>65</v>
      </c>
      <c r="D608" s="584" t="s">
        <v>65</v>
      </c>
      <c r="E608" s="584">
        <v>149450.54945054944</v>
      </c>
      <c r="F608" s="584" t="s">
        <v>65</v>
      </c>
      <c r="G608" s="584" t="s">
        <v>65</v>
      </c>
      <c r="H608" s="584">
        <v>611950.54945054941</v>
      </c>
      <c r="I608" s="584" t="s">
        <v>65</v>
      </c>
      <c r="J608" s="584">
        <v>111263.73626373627</v>
      </c>
      <c r="K608" s="584" t="s">
        <v>65</v>
      </c>
      <c r="L608" s="584" t="s">
        <v>65</v>
      </c>
      <c r="M608" s="584" t="s">
        <v>65</v>
      </c>
      <c r="N608" s="585">
        <v>442884.62776010804</v>
      </c>
    </row>
    <row r="609" spans="1:14" ht="15" customHeight="1" x14ac:dyDescent="0.25">
      <c r="A609" s="21" t="s">
        <v>3079</v>
      </c>
      <c r="B609" s="584">
        <v>298505.20056736894</v>
      </c>
      <c r="C609" s="584" t="s">
        <v>65</v>
      </c>
      <c r="D609" s="584" t="s">
        <v>65</v>
      </c>
      <c r="E609" s="584" t="s">
        <v>65</v>
      </c>
      <c r="F609" s="584" t="s">
        <v>65</v>
      </c>
      <c r="G609" s="584" t="s">
        <v>65</v>
      </c>
      <c r="H609" s="584">
        <v>584929.35635792778</v>
      </c>
      <c r="I609" s="584" t="s">
        <v>65</v>
      </c>
      <c r="J609" s="584">
        <v>186499.21507064364</v>
      </c>
      <c r="K609" s="584" t="s">
        <v>65</v>
      </c>
      <c r="L609" s="584" t="s">
        <v>65</v>
      </c>
      <c r="M609" s="584" t="s">
        <v>65</v>
      </c>
      <c r="N609" s="585">
        <v>505409.17531914503</v>
      </c>
    </row>
    <row r="610" spans="1:14" ht="15" customHeight="1" x14ac:dyDescent="0.25">
      <c r="A610" s="21" t="s">
        <v>3080</v>
      </c>
      <c r="B610" s="584">
        <v>394865.69490013772</v>
      </c>
      <c r="C610" s="584">
        <v>571428.57142857148</v>
      </c>
      <c r="D610" s="584">
        <v>298505.20056736894</v>
      </c>
      <c r="E610" s="584">
        <v>402930.40293040295</v>
      </c>
      <c r="F610" s="584">
        <v>111939.45021276336</v>
      </c>
      <c r="G610" s="584" t="s">
        <v>65</v>
      </c>
      <c r="H610" s="584">
        <v>642361.57158779062</v>
      </c>
      <c r="I610" s="584">
        <v>383192.23401991156</v>
      </c>
      <c r="J610" s="584">
        <v>254052.1978021978</v>
      </c>
      <c r="K610" s="584">
        <v>583738.94265839574</v>
      </c>
      <c r="L610" s="584">
        <v>59157.509157509157</v>
      </c>
      <c r="M610" s="584">
        <v>525902.66875981167</v>
      </c>
      <c r="N610" s="585">
        <v>484753.69110381685</v>
      </c>
    </row>
    <row r="611" spans="1:14" ht="15" customHeight="1" x14ac:dyDescent="0.25">
      <c r="A611" s="21" t="s">
        <v>3081</v>
      </c>
      <c r="B611" s="584">
        <v>353498.26020589058</v>
      </c>
      <c r="C611" s="584">
        <v>210989.010989011</v>
      </c>
      <c r="D611" s="584">
        <v>179103.12034042133</v>
      </c>
      <c r="E611" s="584">
        <v>189894.50549450549</v>
      </c>
      <c r="F611" s="584">
        <v>303992.42851897498</v>
      </c>
      <c r="G611" s="584">
        <v>197742.29955576299</v>
      </c>
      <c r="H611" s="584">
        <v>658769.04611466092</v>
      </c>
      <c r="I611" s="584">
        <v>82985.784312150878</v>
      </c>
      <c r="J611" s="584">
        <v>326764.02544823597</v>
      </c>
      <c r="K611" s="584">
        <v>413931.17945580475</v>
      </c>
      <c r="L611" s="584">
        <v>202348.50863422293</v>
      </c>
      <c r="M611" s="584">
        <v>830098.94867037726</v>
      </c>
      <c r="N611" s="585">
        <v>547043.34469995636</v>
      </c>
    </row>
    <row r="612" spans="1:14" ht="15" customHeight="1" x14ac:dyDescent="0.25">
      <c r="A612" s="21" t="s">
        <v>3082</v>
      </c>
      <c r="B612" s="584">
        <v>401369.07779742096</v>
      </c>
      <c r="C612" s="584" t="s">
        <v>65</v>
      </c>
      <c r="D612" s="584">
        <v>111939.45021276336</v>
      </c>
      <c r="E612" s="584" t="s">
        <v>65</v>
      </c>
      <c r="F612" s="584">
        <v>248132.44797162543</v>
      </c>
      <c r="G612" s="584" t="s">
        <v>65</v>
      </c>
      <c r="H612" s="584">
        <v>605336.14021241746</v>
      </c>
      <c r="I612" s="584">
        <v>30412.087912087911</v>
      </c>
      <c r="J612" s="584">
        <v>421742.54317111458</v>
      </c>
      <c r="K612" s="584">
        <v>246576.228910276</v>
      </c>
      <c r="L612" s="584">
        <v>605494.50549450552</v>
      </c>
      <c r="M612" s="584" t="s">
        <v>65</v>
      </c>
      <c r="N612" s="585">
        <v>611115.51978433377</v>
      </c>
    </row>
    <row r="613" spans="1:14" ht="15" customHeight="1" x14ac:dyDescent="0.25">
      <c r="A613" s="21" t="s">
        <v>3083</v>
      </c>
      <c r="B613" s="584">
        <v>342037.2089834435</v>
      </c>
      <c r="C613" s="584">
        <v>250549.45054945056</v>
      </c>
      <c r="D613" s="584" t="s">
        <v>65</v>
      </c>
      <c r="E613" s="584">
        <v>250549.45054945056</v>
      </c>
      <c r="F613" s="584" t="s">
        <v>65</v>
      </c>
      <c r="G613" s="584" t="s">
        <v>65</v>
      </c>
      <c r="H613" s="584">
        <v>549716.86495488137</v>
      </c>
      <c r="I613" s="584" t="s">
        <v>65</v>
      </c>
      <c r="J613" s="584">
        <v>222527.47252747254</v>
      </c>
      <c r="K613" s="584" t="s">
        <v>65</v>
      </c>
      <c r="L613" s="584" t="s">
        <v>65</v>
      </c>
      <c r="M613" s="584" t="s">
        <v>65</v>
      </c>
      <c r="N613" s="585">
        <v>566803.03371464717</v>
      </c>
    </row>
    <row r="614" spans="1:14" ht="15" customHeight="1" x14ac:dyDescent="0.25">
      <c r="A614" s="21" t="s">
        <v>3084</v>
      </c>
      <c r="B614" s="584" t="s">
        <v>65</v>
      </c>
      <c r="C614" s="584" t="s">
        <v>65</v>
      </c>
      <c r="D614" s="584" t="s">
        <v>65</v>
      </c>
      <c r="E614" s="584" t="s">
        <v>65</v>
      </c>
      <c r="F614" s="584" t="s">
        <v>65</v>
      </c>
      <c r="G614" s="584" t="s">
        <v>65</v>
      </c>
      <c r="H614" s="584">
        <v>519230.76923076925</v>
      </c>
      <c r="I614" s="584" t="s">
        <v>65</v>
      </c>
      <c r="J614" s="584" t="s">
        <v>65</v>
      </c>
      <c r="K614" s="584" t="s">
        <v>65</v>
      </c>
      <c r="L614" s="584" t="s">
        <v>65</v>
      </c>
      <c r="M614" s="584" t="s">
        <v>65</v>
      </c>
      <c r="N614" s="585">
        <v>677424.60887537966</v>
      </c>
    </row>
    <row r="615" spans="1:14" ht="15" customHeight="1" x14ac:dyDescent="0.25">
      <c r="A615" s="21" t="s">
        <v>3085</v>
      </c>
      <c r="B615" s="584">
        <v>111939.45021276336</v>
      </c>
      <c r="C615" s="584" t="s">
        <v>65</v>
      </c>
      <c r="D615" s="584" t="s">
        <v>65</v>
      </c>
      <c r="E615" s="584" t="s">
        <v>65</v>
      </c>
      <c r="F615" s="584" t="s">
        <v>65</v>
      </c>
      <c r="G615" s="584" t="s">
        <v>65</v>
      </c>
      <c r="H615" s="584" t="s">
        <v>65</v>
      </c>
      <c r="I615" s="584" t="s">
        <v>65</v>
      </c>
      <c r="J615" s="584">
        <v>370879.12087912089</v>
      </c>
      <c r="K615" s="584" t="s">
        <v>65</v>
      </c>
      <c r="L615" s="584" t="s">
        <v>65</v>
      </c>
      <c r="M615" s="584" t="s">
        <v>65</v>
      </c>
      <c r="N615" s="585">
        <v>482818.57109188428</v>
      </c>
    </row>
    <row r="616" spans="1:14" ht="15" customHeight="1" x14ac:dyDescent="0.25">
      <c r="A616" s="21" t="s">
        <v>3086</v>
      </c>
      <c r="B616" s="584">
        <v>488836.49817683815</v>
      </c>
      <c r="C616" s="584" t="s">
        <v>65</v>
      </c>
      <c r="D616" s="584" t="s">
        <v>65</v>
      </c>
      <c r="E616" s="584" t="s">
        <v>65</v>
      </c>
      <c r="F616" s="584" t="s">
        <v>65</v>
      </c>
      <c r="G616" s="584">
        <v>0</v>
      </c>
      <c r="H616" s="584">
        <v>445054.94505494507</v>
      </c>
      <c r="I616" s="584" t="s">
        <v>65</v>
      </c>
      <c r="J616" s="584">
        <v>259615.38461538462</v>
      </c>
      <c r="K616" s="584" t="s">
        <v>65</v>
      </c>
      <c r="L616" s="584" t="s">
        <v>65</v>
      </c>
      <c r="M616" s="584" t="s">
        <v>65</v>
      </c>
      <c r="N616" s="585">
        <v>405132.53480270482</v>
      </c>
    </row>
    <row r="617" spans="1:14" ht="15" customHeight="1" x14ac:dyDescent="0.25">
      <c r="A617" s="21" t="s">
        <v>3087</v>
      </c>
      <c r="B617" s="584">
        <v>447757.80085105338</v>
      </c>
      <c r="C617" s="584">
        <v>87912.087912087911</v>
      </c>
      <c r="D617" s="584" t="s">
        <v>65</v>
      </c>
      <c r="E617" s="584">
        <v>87912.087912087911</v>
      </c>
      <c r="F617" s="584" t="s">
        <v>65</v>
      </c>
      <c r="G617" s="584" t="s">
        <v>65</v>
      </c>
      <c r="H617" s="584">
        <v>290345.36891679751</v>
      </c>
      <c r="I617" s="584" t="s">
        <v>65</v>
      </c>
      <c r="J617" s="584">
        <v>296703.29670329671</v>
      </c>
      <c r="K617" s="584" t="s">
        <v>65</v>
      </c>
      <c r="L617" s="584" t="s">
        <v>65</v>
      </c>
      <c r="M617" s="584" t="s">
        <v>65</v>
      </c>
      <c r="N617" s="585">
        <v>384821.84574982151</v>
      </c>
    </row>
    <row r="618" spans="1:14" ht="15" customHeight="1" x14ac:dyDescent="0.25">
      <c r="A618" s="21" t="s">
        <v>3088</v>
      </c>
      <c r="B618" s="584">
        <v>410444.65078013227</v>
      </c>
      <c r="C618" s="584" t="s">
        <v>65</v>
      </c>
      <c r="D618" s="584" t="s">
        <v>65</v>
      </c>
      <c r="E618" s="584" t="s">
        <v>65</v>
      </c>
      <c r="F618" s="584">
        <v>447757.80085105344</v>
      </c>
      <c r="G618" s="584" t="s">
        <v>65</v>
      </c>
      <c r="H618" s="584">
        <v>527030.70132900123</v>
      </c>
      <c r="I618" s="584" t="s">
        <v>65</v>
      </c>
      <c r="J618" s="584" t="s">
        <v>65</v>
      </c>
      <c r="K618" s="584">
        <v>445619.6908017036</v>
      </c>
      <c r="L618" s="584" t="s">
        <v>65</v>
      </c>
      <c r="M618" s="584">
        <v>418628.99005756149</v>
      </c>
      <c r="N618" s="585">
        <v>278257.29308980942</v>
      </c>
    </row>
    <row r="619" spans="1:14" ht="15" customHeight="1" x14ac:dyDescent="0.25">
      <c r="A619" s="21" t="s">
        <v>3089</v>
      </c>
      <c r="B619" s="584">
        <v>227949.42588780899</v>
      </c>
      <c r="C619" s="584">
        <v>474725.27472527471</v>
      </c>
      <c r="D619" s="584">
        <v>559697.25106381683</v>
      </c>
      <c r="E619" s="584">
        <v>474725.27472527471</v>
      </c>
      <c r="F619" s="584" t="s">
        <v>65</v>
      </c>
      <c r="G619" s="584">
        <v>395484.59911152598</v>
      </c>
      <c r="H619" s="584">
        <v>593463.58718916529</v>
      </c>
      <c r="I619" s="584">
        <v>3708.7912087912086</v>
      </c>
      <c r="J619" s="584">
        <v>248489.010989011</v>
      </c>
      <c r="K619" s="584">
        <v>166364.68456596934</v>
      </c>
      <c r="L619" s="584" t="s">
        <v>65</v>
      </c>
      <c r="M619" s="584">
        <v>104657.24751439037</v>
      </c>
      <c r="N619" s="585">
        <v>564313.88310539757</v>
      </c>
    </row>
    <row r="620" spans="1:14" ht="15" customHeight="1" x14ac:dyDescent="0.25">
      <c r="A620" s="21" t="s">
        <v>3090</v>
      </c>
      <c r="B620" s="584">
        <v>470145.69089360611</v>
      </c>
      <c r="C620" s="584" t="s">
        <v>65</v>
      </c>
      <c r="D620" s="584">
        <v>447757.80085105344</v>
      </c>
      <c r="E620" s="584" t="s">
        <v>65</v>
      </c>
      <c r="F620" s="584">
        <v>335818.35063829005</v>
      </c>
      <c r="G620" s="584" t="s">
        <v>65</v>
      </c>
      <c r="H620" s="584">
        <v>757476.56629638781</v>
      </c>
      <c r="I620" s="584">
        <v>445054.94505494507</v>
      </c>
      <c r="J620" s="584">
        <v>493269.23076923075</v>
      </c>
      <c r="K620" s="584" t="s">
        <v>65</v>
      </c>
      <c r="L620" s="584">
        <v>54285.714285714283</v>
      </c>
      <c r="M620" s="584" t="s">
        <v>65</v>
      </c>
      <c r="N620" s="585">
        <v>695729.38700485777</v>
      </c>
    </row>
    <row r="621" spans="1:14" ht="15" customHeight="1" x14ac:dyDescent="0.25">
      <c r="A621" s="21" t="s">
        <v>3091</v>
      </c>
      <c r="B621" s="584">
        <v>565294.22357445501</v>
      </c>
      <c r="C621" s="584" t="s">
        <v>65</v>
      </c>
      <c r="D621" s="584">
        <v>447757.80085105344</v>
      </c>
      <c r="E621" s="584" t="s">
        <v>65</v>
      </c>
      <c r="F621" s="584" t="s">
        <v>65</v>
      </c>
      <c r="G621" s="584" t="s">
        <v>65</v>
      </c>
      <c r="H621" s="584">
        <v>908653.84615384613</v>
      </c>
      <c r="I621" s="584" t="s">
        <v>65</v>
      </c>
      <c r="J621" s="584">
        <v>173942.16444042631</v>
      </c>
      <c r="K621" s="584" t="s">
        <v>65</v>
      </c>
      <c r="L621" s="584" t="s">
        <v>65</v>
      </c>
      <c r="M621" s="584" t="s">
        <v>65</v>
      </c>
      <c r="N621" s="585">
        <v>686537.65730855369</v>
      </c>
    </row>
    <row r="622" spans="1:14" ht="15" customHeight="1" x14ac:dyDescent="0.25">
      <c r="A622" s="21" t="s">
        <v>3092</v>
      </c>
      <c r="B622" s="584">
        <v>559697.25106381683</v>
      </c>
      <c r="C622" s="584" t="s">
        <v>65</v>
      </c>
      <c r="D622" s="584" t="s">
        <v>65</v>
      </c>
      <c r="E622" s="584" t="s">
        <v>65</v>
      </c>
      <c r="F622" s="584" t="s">
        <v>65</v>
      </c>
      <c r="G622" s="584" t="s">
        <v>65</v>
      </c>
      <c r="H622" s="584" t="s">
        <v>65</v>
      </c>
      <c r="I622" s="584" t="s">
        <v>65</v>
      </c>
      <c r="J622" s="584" t="s">
        <v>65</v>
      </c>
      <c r="K622" s="584" t="s">
        <v>65</v>
      </c>
      <c r="L622" s="584" t="s">
        <v>65</v>
      </c>
      <c r="M622" s="584" t="s">
        <v>65</v>
      </c>
      <c r="N622" s="585">
        <v>638794.17088612204</v>
      </c>
    </row>
    <row r="623" spans="1:14" ht="15" customHeight="1" x14ac:dyDescent="0.25">
      <c r="A623" s="21" t="s">
        <v>3093</v>
      </c>
      <c r="B623" s="584">
        <v>522384.10099289572</v>
      </c>
      <c r="C623" s="584">
        <v>241758.24175824175</v>
      </c>
      <c r="D623" s="584" t="s">
        <v>65</v>
      </c>
      <c r="E623" s="584">
        <v>241758.24175824175</v>
      </c>
      <c r="F623" s="584" t="s">
        <v>65</v>
      </c>
      <c r="G623" s="584" t="s">
        <v>65</v>
      </c>
      <c r="H623" s="584">
        <v>437637.36263736262</v>
      </c>
      <c r="I623" s="584" t="s">
        <v>65</v>
      </c>
      <c r="J623" s="584" t="s">
        <v>65</v>
      </c>
      <c r="K623" s="584" t="s">
        <v>65</v>
      </c>
      <c r="L623" s="584">
        <v>501098.90109890111</v>
      </c>
      <c r="M623" s="584" t="s">
        <v>65</v>
      </c>
      <c r="N623" s="585">
        <v>592412.18295767833</v>
      </c>
    </row>
    <row r="624" spans="1:14" ht="15" customHeight="1" x14ac:dyDescent="0.25">
      <c r="A624" s="21" t="s">
        <v>3094</v>
      </c>
      <c r="B624" s="584">
        <v>402534.26296509703</v>
      </c>
      <c r="C624" s="584">
        <v>167201.86217723164</v>
      </c>
      <c r="D624" s="584">
        <v>503727.52595743514</v>
      </c>
      <c r="E624" s="584">
        <v>167201.86217723164</v>
      </c>
      <c r="F624" s="584">
        <v>149252.60028368447</v>
      </c>
      <c r="G624" s="584">
        <v>790969.19822305196</v>
      </c>
      <c r="H624" s="584">
        <v>767086.21113537857</v>
      </c>
      <c r="I624" s="584">
        <v>171902.25764965048</v>
      </c>
      <c r="J624" s="584">
        <v>337421.29253383272</v>
      </c>
      <c r="K624" s="584">
        <v>178247.87632068148</v>
      </c>
      <c r="L624" s="584">
        <v>528937.72893772891</v>
      </c>
      <c r="M624" s="584">
        <v>205128.20512820515</v>
      </c>
      <c r="N624" s="585">
        <v>698001.30051162234</v>
      </c>
    </row>
    <row r="625" spans="1:14" ht="15" customHeight="1" x14ac:dyDescent="0.25">
      <c r="A625" s="21" t="s">
        <v>3095</v>
      </c>
      <c r="B625" s="584">
        <v>442042.90185315703</v>
      </c>
      <c r="C625" s="584" t="s">
        <v>65</v>
      </c>
      <c r="D625" s="584" t="s">
        <v>65</v>
      </c>
      <c r="E625" s="584" t="s">
        <v>65</v>
      </c>
      <c r="F625" s="584" t="s">
        <v>65</v>
      </c>
      <c r="G625" s="584" t="s">
        <v>65</v>
      </c>
      <c r="H625" s="584">
        <v>482142.85714285716</v>
      </c>
      <c r="I625" s="584" t="s">
        <v>65</v>
      </c>
      <c r="J625" s="584" t="s">
        <v>65</v>
      </c>
      <c r="K625" s="584" t="s">
        <v>65</v>
      </c>
      <c r="L625" s="584" t="s">
        <v>65</v>
      </c>
      <c r="M625" s="584" t="s">
        <v>65</v>
      </c>
      <c r="N625" s="585">
        <v>562552.41075924761</v>
      </c>
    </row>
    <row r="626" spans="1:14" ht="15" customHeight="1" x14ac:dyDescent="0.25">
      <c r="A626" s="21" t="s">
        <v>3096</v>
      </c>
      <c r="B626" s="584">
        <v>332620.08063221112</v>
      </c>
      <c r="C626" s="584">
        <v>175824.17582417582</v>
      </c>
      <c r="D626" s="584">
        <v>111939.45021276336</v>
      </c>
      <c r="E626" s="584" t="s">
        <v>65</v>
      </c>
      <c r="F626" s="584" t="s">
        <v>65</v>
      </c>
      <c r="G626" s="584">
        <v>158193.83964461042</v>
      </c>
      <c r="H626" s="584">
        <v>538131.4250265864</v>
      </c>
      <c r="I626" s="584">
        <v>29670.329670329669</v>
      </c>
      <c r="J626" s="584">
        <v>370879.12087912089</v>
      </c>
      <c r="K626" s="584">
        <v>570393.20422618068</v>
      </c>
      <c r="L626" s="584" t="s">
        <v>65</v>
      </c>
      <c r="M626" s="584" t="s">
        <v>65</v>
      </c>
      <c r="N626" s="585">
        <v>566241.67395857594</v>
      </c>
    </row>
    <row r="627" spans="1:14" ht="15" customHeight="1" x14ac:dyDescent="0.25">
      <c r="A627" s="21" t="s">
        <v>3097</v>
      </c>
      <c r="B627" s="584">
        <v>436705.57142047753</v>
      </c>
      <c r="C627" s="584">
        <v>87912.087912087911</v>
      </c>
      <c r="D627" s="584">
        <v>410444.65078013233</v>
      </c>
      <c r="E627" s="584">
        <v>87912.087912087911</v>
      </c>
      <c r="F627" s="584">
        <v>237871.33170212212</v>
      </c>
      <c r="G627" s="584" t="s">
        <v>65</v>
      </c>
      <c r="H627" s="584">
        <v>586853.05269934796</v>
      </c>
      <c r="I627" s="584">
        <v>222527.47252747254</v>
      </c>
      <c r="J627" s="584">
        <v>426510.98901098903</v>
      </c>
      <c r="K627" s="584" t="s">
        <v>65</v>
      </c>
      <c r="L627" s="584" t="s">
        <v>65</v>
      </c>
      <c r="M627" s="584" t="s">
        <v>65</v>
      </c>
      <c r="N627" s="585">
        <v>688528.40958542144</v>
      </c>
    </row>
    <row r="628" spans="1:14" ht="15" customHeight="1" x14ac:dyDescent="0.25">
      <c r="A628" s="21" t="s">
        <v>3098</v>
      </c>
      <c r="B628" s="584">
        <v>447757.80085105344</v>
      </c>
      <c r="C628" s="584">
        <v>52747.252747252751</v>
      </c>
      <c r="D628" s="584" t="s">
        <v>65</v>
      </c>
      <c r="E628" s="584">
        <v>52747.252747252751</v>
      </c>
      <c r="F628" s="584" t="s">
        <v>65</v>
      </c>
      <c r="G628" s="584" t="s">
        <v>65</v>
      </c>
      <c r="H628" s="584">
        <v>1557692.3076923077</v>
      </c>
      <c r="I628" s="584" t="s">
        <v>65</v>
      </c>
      <c r="J628" s="584">
        <v>445054.94505494507</v>
      </c>
      <c r="K628" s="584" t="s">
        <v>65</v>
      </c>
      <c r="L628" s="584">
        <v>1670329.6703296704</v>
      </c>
      <c r="M628" s="584" t="s">
        <v>65</v>
      </c>
      <c r="N628" s="585">
        <v>1446005.3842786974</v>
      </c>
    </row>
    <row r="629" spans="1:14" ht="15" customHeight="1" x14ac:dyDescent="0.25">
      <c r="A629" s="21" t="s">
        <v>3099</v>
      </c>
      <c r="B629" s="584">
        <v>447757.80085105344</v>
      </c>
      <c r="C629" s="584" t="s">
        <v>65</v>
      </c>
      <c r="D629" s="584" t="s">
        <v>65</v>
      </c>
      <c r="E629" s="584" t="s">
        <v>65</v>
      </c>
      <c r="F629" s="584" t="s">
        <v>65</v>
      </c>
      <c r="G629" s="584" t="s">
        <v>65</v>
      </c>
      <c r="H629" s="584" t="s">
        <v>65</v>
      </c>
      <c r="I629" s="584" t="s">
        <v>65</v>
      </c>
      <c r="J629" s="584">
        <v>59340.659340659338</v>
      </c>
      <c r="K629" s="584" t="s">
        <v>65</v>
      </c>
      <c r="L629" s="584" t="s">
        <v>65</v>
      </c>
      <c r="M629" s="584" t="s">
        <v>65</v>
      </c>
      <c r="N629" s="585">
        <v>507098.46019171277</v>
      </c>
    </row>
    <row r="630" spans="1:14" ht="15" customHeight="1" x14ac:dyDescent="0.25">
      <c r="A630" s="21" t="s">
        <v>3100</v>
      </c>
      <c r="B630" s="584">
        <v>489735.09468083974</v>
      </c>
      <c r="C630" s="584">
        <v>351648.35164835164</v>
      </c>
      <c r="D630" s="584" t="s">
        <v>65</v>
      </c>
      <c r="E630" s="584">
        <v>351648.35164835164</v>
      </c>
      <c r="F630" s="584" t="s">
        <v>65</v>
      </c>
      <c r="G630" s="584" t="s">
        <v>65</v>
      </c>
      <c r="H630" s="584">
        <v>585164.83516483521</v>
      </c>
      <c r="I630" s="584" t="s">
        <v>65</v>
      </c>
      <c r="J630" s="584">
        <v>18543.956043956045</v>
      </c>
      <c r="K630" s="584" t="s">
        <v>65</v>
      </c>
      <c r="L630" s="584">
        <v>75164.835164835167</v>
      </c>
      <c r="M630" s="584" t="s">
        <v>65</v>
      </c>
      <c r="N630" s="585">
        <v>624361.47805965715</v>
      </c>
    </row>
    <row r="631" spans="1:14" ht="15" customHeight="1" x14ac:dyDescent="0.25">
      <c r="A631" s="21" t="s">
        <v>3101</v>
      </c>
      <c r="B631" s="584">
        <v>366985.27753707522</v>
      </c>
      <c r="C631" s="584">
        <v>433432.31639272947</v>
      </c>
      <c r="D631" s="584" t="s">
        <v>65</v>
      </c>
      <c r="E631" s="584">
        <v>467371.52692402259</v>
      </c>
      <c r="F631" s="584">
        <v>279848.62553190842</v>
      </c>
      <c r="G631" s="584">
        <v>738237.91834151524</v>
      </c>
      <c r="H631" s="584">
        <v>645783.99905859411</v>
      </c>
      <c r="I631" s="584">
        <v>22252.747252747253</v>
      </c>
      <c r="J631" s="584">
        <v>271947.50029197271</v>
      </c>
      <c r="K631" s="584" t="s">
        <v>65</v>
      </c>
      <c r="L631" s="584" t="s">
        <v>65</v>
      </c>
      <c r="M631" s="584" t="s">
        <v>65</v>
      </c>
      <c r="N631" s="585">
        <v>702175.52422661323</v>
      </c>
    </row>
    <row r="632" spans="1:14" ht="15" customHeight="1" x14ac:dyDescent="0.25">
      <c r="A632" s="21" t="s">
        <v>3102</v>
      </c>
      <c r="B632" s="584">
        <v>460195.51754136046</v>
      </c>
      <c r="C632" s="584" t="s">
        <v>65</v>
      </c>
      <c r="D632" s="584">
        <v>111939.45021276336</v>
      </c>
      <c r="E632" s="584" t="s">
        <v>65</v>
      </c>
      <c r="F632" s="584" t="s">
        <v>65</v>
      </c>
      <c r="G632" s="584">
        <v>790969.19822305196</v>
      </c>
      <c r="H632" s="584">
        <v>472375.22373797518</v>
      </c>
      <c r="I632" s="584">
        <v>5934.065934065934</v>
      </c>
      <c r="J632" s="584">
        <v>222527.47252747254</v>
      </c>
      <c r="K632" s="584" t="s">
        <v>65</v>
      </c>
      <c r="L632" s="584">
        <v>334065.93406593404</v>
      </c>
      <c r="M632" s="584" t="s">
        <v>65</v>
      </c>
      <c r="N632" s="585">
        <v>705156.89638361998</v>
      </c>
    </row>
    <row r="633" spans="1:14" ht="15" customHeight="1" x14ac:dyDescent="0.25">
      <c r="A633" s="21" t="s">
        <v>3103</v>
      </c>
      <c r="B633" s="584">
        <v>427405.17353964195</v>
      </c>
      <c r="C633" s="584" t="s">
        <v>65</v>
      </c>
      <c r="D633" s="584" t="s">
        <v>65</v>
      </c>
      <c r="E633" s="584" t="s">
        <v>65</v>
      </c>
      <c r="F633" s="584">
        <v>223878.90042552672</v>
      </c>
      <c r="G633" s="584" t="s">
        <v>65</v>
      </c>
      <c r="H633" s="584">
        <v>601581.21404030221</v>
      </c>
      <c r="I633" s="584">
        <v>222527.47252747254</v>
      </c>
      <c r="J633" s="584">
        <v>236435.43956043955</v>
      </c>
      <c r="K633" s="584" t="s">
        <v>65</v>
      </c>
      <c r="L633" s="584" t="s">
        <v>65</v>
      </c>
      <c r="M633" s="584" t="s">
        <v>65</v>
      </c>
      <c r="N633" s="585">
        <v>616924.94789201405</v>
      </c>
    </row>
    <row r="634" spans="1:14" ht="15" customHeight="1" x14ac:dyDescent="0.25">
      <c r="A634" s="21" t="s">
        <v>3104</v>
      </c>
      <c r="B634" s="584">
        <v>1007455.0519148703</v>
      </c>
      <c r="C634" s="584" t="s">
        <v>65</v>
      </c>
      <c r="D634" s="584" t="s">
        <v>65</v>
      </c>
      <c r="E634" s="584" t="s">
        <v>65</v>
      </c>
      <c r="F634" s="584" t="s">
        <v>65</v>
      </c>
      <c r="G634" s="584" t="s">
        <v>65</v>
      </c>
      <c r="H634" s="584" t="s">
        <v>65</v>
      </c>
      <c r="I634" s="584" t="s">
        <v>65</v>
      </c>
      <c r="J634" s="584" t="s">
        <v>65</v>
      </c>
      <c r="K634" s="584" t="s">
        <v>65</v>
      </c>
      <c r="L634" s="584" t="s">
        <v>65</v>
      </c>
      <c r="M634" s="584" t="s">
        <v>65</v>
      </c>
      <c r="N634" s="585">
        <v>1007455.0519148703</v>
      </c>
    </row>
    <row r="635" spans="1:14" ht="15" customHeight="1" x14ac:dyDescent="0.25">
      <c r="A635" s="21" t="s">
        <v>3105</v>
      </c>
      <c r="B635" s="584">
        <v>457934.11450675916</v>
      </c>
      <c r="C635" s="584">
        <v>126007.326007326</v>
      </c>
      <c r="D635" s="584">
        <v>324624.40561701375</v>
      </c>
      <c r="E635" s="584">
        <v>126007.326007326</v>
      </c>
      <c r="F635" s="584">
        <v>293841.05680850381</v>
      </c>
      <c r="G635" s="584" t="s">
        <v>65</v>
      </c>
      <c r="H635" s="584">
        <v>598297.73967136897</v>
      </c>
      <c r="I635" s="584">
        <v>12609.89010989011</v>
      </c>
      <c r="J635" s="584">
        <v>294230.76923076925</v>
      </c>
      <c r="K635" s="584" t="s">
        <v>65</v>
      </c>
      <c r="L635" s="584">
        <v>1503296.7032967033</v>
      </c>
      <c r="M635" s="584" t="s">
        <v>65</v>
      </c>
      <c r="N635" s="585">
        <v>669288.02026502229</v>
      </c>
    </row>
    <row r="636" spans="1:14" ht="15" customHeight="1" x14ac:dyDescent="0.25">
      <c r="A636" s="21" t="s">
        <v>3106</v>
      </c>
      <c r="B636" s="584">
        <v>584831.60476219642</v>
      </c>
      <c r="C636" s="584">
        <v>206593.4065934066</v>
      </c>
      <c r="D636" s="584">
        <v>335818.35063829005</v>
      </c>
      <c r="E636" s="584">
        <v>187545.78754578755</v>
      </c>
      <c r="F636" s="584">
        <v>167909.17531914503</v>
      </c>
      <c r="G636" s="584">
        <v>1581938.3964461039</v>
      </c>
      <c r="H636" s="584">
        <v>716070.36911158299</v>
      </c>
      <c r="I636" s="584">
        <v>298258.59624246717</v>
      </c>
      <c r="J636" s="584">
        <v>221581.19867149394</v>
      </c>
      <c r="K636" s="584">
        <v>297079.79386780236</v>
      </c>
      <c r="L636" s="584">
        <v>1127472.5274725275</v>
      </c>
      <c r="M636" s="584" t="s">
        <v>65</v>
      </c>
      <c r="N636" s="585">
        <v>778499.07397779508</v>
      </c>
    </row>
    <row r="637" spans="1:14" ht="15" customHeight="1" x14ac:dyDescent="0.25">
      <c r="A637" s="21" t="s">
        <v>3107</v>
      </c>
      <c r="B637" s="584">
        <v>335818.35063829005</v>
      </c>
      <c r="C637" s="584">
        <v>165971.95907540736</v>
      </c>
      <c r="D637" s="584">
        <v>447757.80085105344</v>
      </c>
      <c r="E637" s="584">
        <v>165971.95907540736</v>
      </c>
      <c r="F637" s="584" t="s">
        <v>65</v>
      </c>
      <c r="G637" s="584" t="s">
        <v>65</v>
      </c>
      <c r="H637" s="584">
        <v>622838.9146918573</v>
      </c>
      <c r="I637" s="584" t="s">
        <v>65</v>
      </c>
      <c r="J637" s="584" t="s">
        <v>65</v>
      </c>
      <c r="K637" s="584" t="s">
        <v>65</v>
      </c>
      <c r="L637" s="584" t="s">
        <v>65</v>
      </c>
      <c r="M637" s="584" t="s">
        <v>65</v>
      </c>
      <c r="N637" s="585">
        <v>706652.06151789695</v>
      </c>
    </row>
    <row r="638" spans="1:14" ht="15" customHeight="1" x14ac:dyDescent="0.25">
      <c r="A638" s="21" t="s">
        <v>3108</v>
      </c>
      <c r="B638" s="584">
        <v>446358.5577233939</v>
      </c>
      <c r="C638" s="584">
        <v>421978.02197802201</v>
      </c>
      <c r="D638" s="584" t="s">
        <v>65</v>
      </c>
      <c r="E638" s="584">
        <v>421978.02197802201</v>
      </c>
      <c r="F638" s="584" t="s">
        <v>65</v>
      </c>
      <c r="G638" s="584" t="s">
        <v>65</v>
      </c>
      <c r="H638" s="584">
        <v>385856.30134297977</v>
      </c>
      <c r="I638" s="584" t="s">
        <v>65</v>
      </c>
      <c r="J638" s="584" t="s">
        <v>65</v>
      </c>
      <c r="K638" s="584" t="s">
        <v>65</v>
      </c>
      <c r="L638" s="584" t="s">
        <v>65</v>
      </c>
      <c r="M638" s="584" t="s">
        <v>65</v>
      </c>
      <c r="N638" s="585">
        <v>541652.32860414439</v>
      </c>
    </row>
    <row r="639" spans="1:14" ht="15" customHeight="1" x14ac:dyDescent="0.25">
      <c r="A639" s="21" t="s">
        <v>3109</v>
      </c>
      <c r="B639" s="584">
        <v>279848.62553190842</v>
      </c>
      <c r="C639" s="584" t="s">
        <v>65</v>
      </c>
      <c r="D639" s="584" t="s">
        <v>65</v>
      </c>
      <c r="E639" s="584" t="s">
        <v>65</v>
      </c>
      <c r="F639" s="584">
        <v>447757.80085105344</v>
      </c>
      <c r="G639" s="584" t="s">
        <v>65</v>
      </c>
      <c r="H639" s="584">
        <v>939560.43956043955</v>
      </c>
      <c r="I639" s="584" t="s">
        <v>65</v>
      </c>
      <c r="J639" s="584" t="s">
        <v>65</v>
      </c>
      <c r="K639" s="584" t="s">
        <v>65</v>
      </c>
      <c r="L639" s="584" t="s">
        <v>65</v>
      </c>
      <c r="M639" s="584" t="s">
        <v>65</v>
      </c>
      <c r="N639" s="585">
        <v>946349.90079588257</v>
      </c>
    </row>
    <row r="640" spans="1:14" ht="15" customHeight="1" x14ac:dyDescent="0.25">
      <c r="A640" s="21" t="s">
        <v>3110</v>
      </c>
      <c r="B640" s="584">
        <v>111939.45021276336</v>
      </c>
      <c r="C640" s="584" t="s">
        <v>65</v>
      </c>
      <c r="D640" s="584" t="s">
        <v>65</v>
      </c>
      <c r="E640" s="584" t="s">
        <v>65</v>
      </c>
      <c r="F640" s="584" t="s">
        <v>65</v>
      </c>
      <c r="G640" s="584" t="s">
        <v>65</v>
      </c>
      <c r="H640" s="584">
        <v>370879.12087912089</v>
      </c>
      <c r="I640" s="584" t="s">
        <v>65</v>
      </c>
      <c r="J640" s="584" t="s">
        <v>65</v>
      </c>
      <c r="K640" s="584" t="s">
        <v>65</v>
      </c>
      <c r="L640" s="584" t="s">
        <v>65</v>
      </c>
      <c r="M640" s="584" t="s">
        <v>65</v>
      </c>
      <c r="N640" s="585">
        <v>482818.57109188428</v>
      </c>
    </row>
    <row r="641" spans="1:14" ht="15" customHeight="1" x14ac:dyDescent="0.25">
      <c r="A641" s="21" t="s">
        <v>3111</v>
      </c>
      <c r="B641" s="584" t="s">
        <v>65</v>
      </c>
      <c r="C641" s="584" t="s">
        <v>65</v>
      </c>
      <c r="D641" s="584" t="s">
        <v>65</v>
      </c>
      <c r="E641" s="584" t="s">
        <v>65</v>
      </c>
      <c r="F641" s="584" t="s">
        <v>65</v>
      </c>
      <c r="G641" s="584" t="s">
        <v>65</v>
      </c>
      <c r="H641" s="584">
        <v>741758.24175824178</v>
      </c>
      <c r="I641" s="584" t="s">
        <v>65</v>
      </c>
      <c r="J641" s="584" t="s">
        <v>65</v>
      </c>
      <c r="K641" s="584" t="s">
        <v>65</v>
      </c>
      <c r="L641" s="584" t="s">
        <v>65</v>
      </c>
      <c r="M641" s="584" t="s">
        <v>65</v>
      </c>
      <c r="N641" s="585">
        <v>741758.24175824178</v>
      </c>
    </row>
    <row r="642" spans="1:14" ht="15" customHeight="1" x14ac:dyDescent="0.25">
      <c r="A642" s="21" t="s">
        <v>3112</v>
      </c>
      <c r="B642" s="584">
        <v>514386.26615192427</v>
      </c>
      <c r="C642" s="584">
        <v>200599.4005994006</v>
      </c>
      <c r="D642" s="584">
        <v>380594.13072339544</v>
      </c>
      <c r="E642" s="584">
        <v>355311.35531135532</v>
      </c>
      <c r="F642" s="584">
        <v>755591.2889361527</v>
      </c>
      <c r="G642" s="584">
        <v>1265550.7171568833</v>
      </c>
      <c r="H642" s="584">
        <v>636139.72290889872</v>
      </c>
      <c r="I642" s="584">
        <v>163557.69230769231</v>
      </c>
      <c r="J642" s="584">
        <v>200274.72527472526</v>
      </c>
      <c r="K642" s="584">
        <v>712991.50528272579</v>
      </c>
      <c r="L642" s="584">
        <v>116923.07692307692</v>
      </c>
      <c r="M642" s="584" t="s">
        <v>65</v>
      </c>
      <c r="N642" s="585">
        <v>798768.24582419614</v>
      </c>
    </row>
    <row r="643" spans="1:14" ht="15" customHeight="1" x14ac:dyDescent="0.25">
      <c r="A643" s="21" t="s">
        <v>3113</v>
      </c>
      <c r="B643" s="584">
        <v>481725.63401906431</v>
      </c>
      <c r="C643" s="584">
        <v>323076.92307692306</v>
      </c>
      <c r="D643" s="584" t="s">
        <v>65</v>
      </c>
      <c r="E643" s="584">
        <v>323076.92307692306</v>
      </c>
      <c r="F643" s="584" t="s">
        <v>65</v>
      </c>
      <c r="G643" s="584" t="s">
        <v>65</v>
      </c>
      <c r="H643" s="584">
        <v>740118.06940448692</v>
      </c>
      <c r="I643" s="584">
        <v>81593.406593406587</v>
      </c>
      <c r="J643" s="584">
        <v>191620.87912087911</v>
      </c>
      <c r="K643" s="584" t="s">
        <v>65</v>
      </c>
      <c r="L643" s="584">
        <v>292307.69230769231</v>
      </c>
      <c r="M643" s="584">
        <v>235478.80690737831</v>
      </c>
      <c r="N643" s="585">
        <v>833160.83508258034</v>
      </c>
    </row>
    <row r="644" spans="1:14" ht="15" customHeight="1" x14ac:dyDescent="0.25">
      <c r="A644" s="21" t="s">
        <v>3114</v>
      </c>
      <c r="B644" s="584">
        <v>447757.80085105344</v>
      </c>
      <c r="C644" s="584" t="s">
        <v>65</v>
      </c>
      <c r="D644" s="584" t="s">
        <v>65</v>
      </c>
      <c r="E644" s="584" t="s">
        <v>65</v>
      </c>
      <c r="F644" s="584">
        <v>111939.45021276336</v>
      </c>
      <c r="G644" s="584" t="s">
        <v>65</v>
      </c>
      <c r="H644" s="584">
        <v>445054.94505494507</v>
      </c>
      <c r="I644" s="584" t="s">
        <v>65</v>
      </c>
      <c r="J644" s="584">
        <v>385477.76580332848</v>
      </c>
      <c r="K644" s="584" t="s">
        <v>65</v>
      </c>
      <c r="L644" s="584" t="s">
        <v>65</v>
      </c>
      <c r="M644" s="584" t="s">
        <v>65</v>
      </c>
      <c r="N644" s="585">
        <v>688435.7722068365</v>
      </c>
    </row>
    <row r="645" spans="1:14" ht="15" customHeight="1" x14ac:dyDescent="0.25">
      <c r="A645" s="21" t="s">
        <v>3115</v>
      </c>
      <c r="B645" s="584">
        <v>671636.7012765801</v>
      </c>
      <c r="C645" s="584" t="s">
        <v>65</v>
      </c>
      <c r="D645" s="584" t="s">
        <v>65</v>
      </c>
      <c r="E645" s="584" t="s">
        <v>65</v>
      </c>
      <c r="F645" s="584" t="s">
        <v>65</v>
      </c>
      <c r="G645" s="584" t="s">
        <v>65</v>
      </c>
      <c r="H645" s="584">
        <v>1038461.5384615385</v>
      </c>
      <c r="I645" s="584" t="s">
        <v>65</v>
      </c>
      <c r="J645" s="584" t="s">
        <v>65</v>
      </c>
      <c r="K645" s="584" t="s">
        <v>65</v>
      </c>
      <c r="L645" s="584" t="s">
        <v>65</v>
      </c>
      <c r="M645" s="584" t="s">
        <v>65</v>
      </c>
      <c r="N645" s="585">
        <v>934146.03969136451</v>
      </c>
    </row>
    <row r="646" spans="1:14" ht="15" customHeight="1" x14ac:dyDescent="0.25">
      <c r="A646" s="21" t="s">
        <v>3116</v>
      </c>
      <c r="B646" s="584">
        <v>447757.80085105344</v>
      </c>
      <c r="C646" s="584">
        <v>439560.43956043955</v>
      </c>
      <c r="D646" s="584" t="s">
        <v>65</v>
      </c>
      <c r="E646" s="584">
        <v>439560.43956043955</v>
      </c>
      <c r="F646" s="584" t="s">
        <v>65</v>
      </c>
      <c r="G646" s="584" t="s">
        <v>65</v>
      </c>
      <c r="H646" s="584">
        <v>551559.54496215773</v>
      </c>
      <c r="I646" s="584">
        <v>14835.164835164835</v>
      </c>
      <c r="J646" s="584" t="s">
        <v>65</v>
      </c>
      <c r="K646" s="584" t="s">
        <v>65</v>
      </c>
      <c r="L646" s="584" t="s">
        <v>65</v>
      </c>
      <c r="M646" s="584" t="s">
        <v>65</v>
      </c>
      <c r="N646" s="585">
        <v>678676.02907934226</v>
      </c>
    </row>
    <row r="647" spans="1:14" ht="15" customHeight="1" x14ac:dyDescent="0.25">
      <c r="A647" s="21" t="s">
        <v>3117</v>
      </c>
      <c r="B647" s="584">
        <v>223878.90042552672</v>
      </c>
      <c r="C647" s="584" t="s">
        <v>65</v>
      </c>
      <c r="D647" s="584" t="s">
        <v>65</v>
      </c>
      <c r="E647" s="584" t="s">
        <v>65</v>
      </c>
      <c r="F647" s="584" t="s">
        <v>65</v>
      </c>
      <c r="G647" s="584" t="s">
        <v>65</v>
      </c>
      <c r="H647" s="584">
        <v>890109.89010989014</v>
      </c>
      <c r="I647" s="584" t="s">
        <v>65</v>
      </c>
      <c r="J647" s="584">
        <v>185439.56043956045</v>
      </c>
      <c r="K647" s="584" t="s">
        <v>65</v>
      </c>
      <c r="L647" s="584" t="s">
        <v>65</v>
      </c>
      <c r="M647" s="584" t="s">
        <v>65</v>
      </c>
      <c r="N647" s="585">
        <v>649714.17548748862</v>
      </c>
    </row>
    <row r="648" spans="1:14" ht="15" customHeight="1" x14ac:dyDescent="0.25">
      <c r="A648" s="21" t="s">
        <v>3118</v>
      </c>
      <c r="B648" s="584">
        <v>559697.25106381683</v>
      </c>
      <c r="C648" s="584" t="s">
        <v>65</v>
      </c>
      <c r="D648" s="584" t="s">
        <v>65</v>
      </c>
      <c r="E648" s="584" t="s">
        <v>65</v>
      </c>
      <c r="F648" s="584" t="s">
        <v>65</v>
      </c>
      <c r="G648" s="584" t="s">
        <v>65</v>
      </c>
      <c r="H648" s="584" t="s">
        <v>65</v>
      </c>
      <c r="I648" s="584" t="s">
        <v>65</v>
      </c>
      <c r="J648" s="584">
        <v>37087.912087912089</v>
      </c>
      <c r="K648" s="584" t="s">
        <v>65</v>
      </c>
      <c r="L648" s="584" t="s">
        <v>65</v>
      </c>
      <c r="M648" s="584" t="s">
        <v>65</v>
      </c>
      <c r="N648" s="585">
        <v>596785.16315172892</v>
      </c>
    </row>
    <row r="649" spans="1:14" ht="15" customHeight="1" x14ac:dyDescent="0.25">
      <c r="A649" s="21" t="s">
        <v>3119</v>
      </c>
      <c r="B649" s="584">
        <v>559697.25106381683</v>
      </c>
      <c r="C649" s="584" t="s">
        <v>65</v>
      </c>
      <c r="D649" s="584" t="s">
        <v>65</v>
      </c>
      <c r="E649" s="584" t="s">
        <v>65</v>
      </c>
      <c r="F649" s="584" t="s">
        <v>65</v>
      </c>
      <c r="G649" s="584" t="s">
        <v>65</v>
      </c>
      <c r="H649" s="584" t="s">
        <v>65</v>
      </c>
      <c r="I649" s="584" t="s">
        <v>65</v>
      </c>
      <c r="J649" s="584">
        <v>445054.94505494507</v>
      </c>
      <c r="K649" s="584" t="s">
        <v>65</v>
      </c>
      <c r="L649" s="584" t="s">
        <v>65</v>
      </c>
      <c r="M649" s="584" t="s">
        <v>65</v>
      </c>
      <c r="N649" s="585">
        <v>1004752.1961187619</v>
      </c>
    </row>
    <row r="650" spans="1:14" ht="15" customHeight="1" x14ac:dyDescent="0.25">
      <c r="A650" s="21" t="s">
        <v>3120</v>
      </c>
      <c r="B650" s="584">
        <v>559697.25106381683</v>
      </c>
      <c r="C650" s="584" t="s">
        <v>65</v>
      </c>
      <c r="D650" s="584" t="s">
        <v>65</v>
      </c>
      <c r="E650" s="584" t="s">
        <v>65</v>
      </c>
      <c r="F650" s="584" t="s">
        <v>65</v>
      </c>
      <c r="G650" s="584" t="s">
        <v>65</v>
      </c>
      <c r="H650" s="584">
        <v>445054.94505494507</v>
      </c>
      <c r="I650" s="584" t="s">
        <v>65</v>
      </c>
      <c r="J650" s="584" t="s">
        <v>65</v>
      </c>
      <c r="K650" s="584" t="s">
        <v>65</v>
      </c>
      <c r="L650" s="584" t="s">
        <v>65</v>
      </c>
      <c r="M650" s="584" t="s">
        <v>65</v>
      </c>
      <c r="N650" s="585">
        <v>1004752.1961187619</v>
      </c>
    </row>
    <row r="651" spans="1:14" ht="15" customHeight="1" x14ac:dyDescent="0.25">
      <c r="A651" s="21" t="s">
        <v>3121</v>
      </c>
      <c r="B651" s="584" t="s">
        <v>65</v>
      </c>
      <c r="C651" s="584" t="s">
        <v>65</v>
      </c>
      <c r="D651" s="584" t="s">
        <v>65</v>
      </c>
      <c r="E651" s="584" t="s">
        <v>65</v>
      </c>
      <c r="F651" s="584" t="s">
        <v>65</v>
      </c>
      <c r="G651" s="584" t="s">
        <v>65</v>
      </c>
      <c r="H651" s="584">
        <v>834478.02197802195</v>
      </c>
      <c r="I651" s="584">
        <v>87265.675500969621</v>
      </c>
      <c r="J651" s="584" t="s">
        <v>65</v>
      </c>
      <c r="K651" s="584" t="s">
        <v>65</v>
      </c>
      <c r="L651" s="584" t="s">
        <v>65</v>
      </c>
      <c r="M651" s="584" t="s">
        <v>65</v>
      </c>
      <c r="N651" s="585">
        <v>878110.85972850677</v>
      </c>
    </row>
    <row r="652" spans="1:14" ht="15" customHeight="1" x14ac:dyDescent="0.25">
      <c r="A652" s="21" t="s">
        <v>3122</v>
      </c>
      <c r="B652" s="584">
        <v>783576.15148934349</v>
      </c>
      <c r="C652" s="584" t="s">
        <v>65</v>
      </c>
      <c r="D652" s="584" t="s">
        <v>65</v>
      </c>
      <c r="E652" s="584" t="s">
        <v>65</v>
      </c>
      <c r="F652" s="584" t="s">
        <v>65</v>
      </c>
      <c r="G652" s="584" t="s">
        <v>65</v>
      </c>
      <c r="H652" s="584">
        <v>163186.81318681317</v>
      </c>
      <c r="I652" s="584" t="s">
        <v>65</v>
      </c>
      <c r="J652" s="584" t="s">
        <v>65</v>
      </c>
      <c r="K652" s="584" t="s">
        <v>65</v>
      </c>
      <c r="L652" s="584" t="s">
        <v>65</v>
      </c>
      <c r="M652" s="584" t="s">
        <v>65</v>
      </c>
      <c r="N652" s="585">
        <v>946762.96467615664</v>
      </c>
    </row>
    <row r="653" spans="1:14" ht="15" customHeight="1" x14ac:dyDescent="0.25">
      <c r="A653" s="21" t="s">
        <v>3123</v>
      </c>
      <c r="B653" s="584">
        <v>522384.10099289566</v>
      </c>
      <c r="C653" s="584" t="s">
        <v>65</v>
      </c>
      <c r="D653" s="584" t="s">
        <v>65</v>
      </c>
      <c r="E653" s="584" t="s">
        <v>65</v>
      </c>
      <c r="F653" s="584" t="s">
        <v>65</v>
      </c>
      <c r="G653" s="584" t="s">
        <v>65</v>
      </c>
      <c r="H653" s="584">
        <v>579500.46462459175</v>
      </c>
      <c r="I653" s="584" t="s">
        <v>65</v>
      </c>
      <c r="J653" s="584" t="s">
        <v>65</v>
      </c>
      <c r="K653" s="584" t="s">
        <v>65</v>
      </c>
      <c r="L653" s="584" t="s">
        <v>65</v>
      </c>
      <c r="M653" s="584" t="s">
        <v>65</v>
      </c>
      <c r="N653" s="585">
        <v>630519.38634077972</v>
      </c>
    </row>
    <row r="654" spans="1:14" ht="15" customHeight="1" x14ac:dyDescent="0.25">
      <c r="A654" s="21" t="s">
        <v>3124</v>
      </c>
      <c r="B654" s="584" t="s">
        <v>65</v>
      </c>
      <c r="C654" s="584" t="s">
        <v>65</v>
      </c>
      <c r="D654" s="584" t="s">
        <v>65</v>
      </c>
      <c r="E654" s="584" t="s">
        <v>65</v>
      </c>
      <c r="F654" s="584" t="s">
        <v>65</v>
      </c>
      <c r="G654" s="584" t="s">
        <v>65</v>
      </c>
      <c r="H654" s="584">
        <v>271978.02197802201</v>
      </c>
      <c r="I654" s="584" t="s">
        <v>65</v>
      </c>
      <c r="J654" s="584" t="s">
        <v>65</v>
      </c>
      <c r="K654" s="584" t="s">
        <v>65</v>
      </c>
      <c r="L654" s="584">
        <v>1722527.4725274725</v>
      </c>
      <c r="M654" s="584" t="s">
        <v>65</v>
      </c>
      <c r="N654" s="585">
        <v>1104795.7126584053</v>
      </c>
    </row>
    <row r="655" spans="1:14" ht="15" customHeight="1" x14ac:dyDescent="0.25">
      <c r="A655" s="21" t="s">
        <v>3125</v>
      </c>
      <c r="B655" s="584" t="s">
        <v>65</v>
      </c>
      <c r="C655" s="584" t="s">
        <v>65</v>
      </c>
      <c r="D655" s="584" t="s">
        <v>65</v>
      </c>
      <c r="E655" s="584" t="s">
        <v>65</v>
      </c>
      <c r="F655" s="584" t="s">
        <v>65</v>
      </c>
      <c r="G655" s="584" t="s">
        <v>65</v>
      </c>
      <c r="H655" s="584">
        <v>1686901.8078695501</v>
      </c>
      <c r="I655" s="584" t="s">
        <v>65</v>
      </c>
      <c r="J655" s="584" t="s">
        <v>65</v>
      </c>
      <c r="K655" s="584" t="s">
        <v>65</v>
      </c>
      <c r="L655" s="584" t="s">
        <v>65</v>
      </c>
      <c r="M655" s="584" t="s">
        <v>65</v>
      </c>
      <c r="N655" s="585">
        <v>1686901.8078695501</v>
      </c>
    </row>
    <row r="656" spans="1:14" ht="15" customHeight="1" x14ac:dyDescent="0.25">
      <c r="A656" s="21" t="s">
        <v>3126</v>
      </c>
      <c r="B656" s="584">
        <v>335818.35063829005</v>
      </c>
      <c r="C656" s="584" t="s">
        <v>65</v>
      </c>
      <c r="D656" s="584" t="s">
        <v>65</v>
      </c>
      <c r="E656" s="584" t="s">
        <v>65</v>
      </c>
      <c r="F656" s="584" t="s">
        <v>65</v>
      </c>
      <c r="G656" s="584" t="s">
        <v>65</v>
      </c>
      <c r="H656" s="584">
        <v>770157.81104035478</v>
      </c>
      <c r="I656" s="584" t="s">
        <v>65</v>
      </c>
      <c r="J656" s="584" t="s">
        <v>65</v>
      </c>
      <c r="K656" s="584" t="s">
        <v>65</v>
      </c>
      <c r="L656" s="584" t="s">
        <v>65</v>
      </c>
      <c r="M656" s="584" t="s">
        <v>65</v>
      </c>
      <c r="N656" s="585">
        <v>1105976.1616786448</v>
      </c>
    </row>
    <row r="657" spans="1:15" ht="15" customHeight="1" x14ac:dyDescent="0.25">
      <c r="A657" s="21" t="s">
        <v>3127</v>
      </c>
      <c r="B657" s="584">
        <v>694024.59131913271</v>
      </c>
      <c r="C657" s="584" t="s">
        <v>65</v>
      </c>
      <c r="D657" s="584" t="s">
        <v>65</v>
      </c>
      <c r="E657" s="584" t="s">
        <v>65</v>
      </c>
      <c r="F657" s="584" t="s">
        <v>65</v>
      </c>
      <c r="G657" s="584" t="s">
        <v>65</v>
      </c>
      <c r="H657" s="584">
        <v>602678.57142857148</v>
      </c>
      <c r="I657" s="584">
        <v>55631.868131868134</v>
      </c>
      <c r="J657" s="584">
        <v>245882.50814727132</v>
      </c>
      <c r="K657" s="584" t="s">
        <v>65</v>
      </c>
      <c r="L657" s="584" t="s">
        <v>65</v>
      </c>
      <c r="M657" s="584" t="s">
        <v>65</v>
      </c>
      <c r="N657" s="585">
        <v>1071372.3544560601</v>
      </c>
    </row>
    <row r="658" spans="1:15" ht="15" customHeight="1" x14ac:dyDescent="0.25">
      <c r="A658" s="21" t="s">
        <v>3128</v>
      </c>
      <c r="B658" s="584">
        <v>391788.07574467175</v>
      </c>
      <c r="C658" s="584" t="s">
        <v>65</v>
      </c>
      <c r="D658" s="584" t="s">
        <v>65</v>
      </c>
      <c r="E658" s="584" t="s">
        <v>65</v>
      </c>
      <c r="F658" s="584" t="s">
        <v>65</v>
      </c>
      <c r="G658" s="584" t="s">
        <v>65</v>
      </c>
      <c r="H658" s="584">
        <v>741758.24175824178</v>
      </c>
      <c r="I658" s="584" t="s">
        <v>65</v>
      </c>
      <c r="J658" s="584">
        <v>296703.29670329671</v>
      </c>
      <c r="K658" s="584" t="s">
        <v>65</v>
      </c>
      <c r="L658" s="584" t="s">
        <v>65</v>
      </c>
      <c r="M658" s="584" t="s">
        <v>65</v>
      </c>
      <c r="N658" s="585">
        <v>706246.9955513929</v>
      </c>
    </row>
    <row r="659" spans="1:15" ht="15" customHeight="1" x14ac:dyDescent="0.25">
      <c r="A659" s="21" t="s">
        <v>3129</v>
      </c>
      <c r="B659" s="584">
        <v>236671.98044984252</v>
      </c>
      <c r="C659" s="584" t="s">
        <v>65</v>
      </c>
      <c r="D659" s="584" t="s">
        <v>65</v>
      </c>
      <c r="E659" s="584" t="s">
        <v>65</v>
      </c>
      <c r="F659" s="584" t="s">
        <v>65</v>
      </c>
      <c r="G659" s="584" t="s">
        <v>65</v>
      </c>
      <c r="H659" s="584">
        <v>513543.95604395604</v>
      </c>
      <c r="I659" s="584">
        <v>29670.329670329669</v>
      </c>
      <c r="J659" s="584">
        <v>568681.31868131866</v>
      </c>
      <c r="K659" s="584">
        <v>9506.553403769678</v>
      </c>
      <c r="L659" s="584" t="s">
        <v>65</v>
      </c>
      <c r="M659" s="584" t="s">
        <v>65</v>
      </c>
      <c r="N659" s="585">
        <v>589380.76713915356</v>
      </c>
    </row>
    <row r="660" spans="1:15" ht="15" customHeight="1" x14ac:dyDescent="0.25">
      <c r="A660" s="525" t="s">
        <v>3130</v>
      </c>
      <c r="B660" s="586">
        <v>671636.70127658022</v>
      </c>
      <c r="C660" s="586" t="s">
        <v>65</v>
      </c>
      <c r="D660" s="586" t="s">
        <v>65</v>
      </c>
      <c r="E660" s="586" t="s">
        <v>65</v>
      </c>
      <c r="F660" s="586" t="s">
        <v>65</v>
      </c>
      <c r="G660" s="586">
        <v>158193.83964461042</v>
      </c>
      <c r="H660" s="586">
        <v>717032.96703296702</v>
      </c>
      <c r="I660" s="586" t="s">
        <v>65</v>
      </c>
      <c r="J660" s="586" t="s">
        <v>65</v>
      </c>
      <c r="K660" s="586" t="s">
        <v>65</v>
      </c>
      <c r="L660" s="586" t="s">
        <v>65</v>
      </c>
      <c r="M660" s="586" t="s">
        <v>65</v>
      </c>
      <c r="N660" s="587">
        <v>913141.53582416801</v>
      </c>
    </row>
    <row r="661" spans="1:15" ht="15" customHeight="1" x14ac:dyDescent="0.25">
      <c r="A661" s="298" t="s">
        <v>3131</v>
      </c>
      <c r="B661" s="585">
        <v>403880.97385553148</v>
      </c>
      <c r="C661" s="585">
        <v>244305.53298842601</v>
      </c>
      <c r="D661" s="585">
        <v>301950.45954637363</v>
      </c>
      <c r="E661" s="585">
        <v>257485.4512065991</v>
      </c>
      <c r="F661" s="585">
        <v>267515.02547452931</v>
      </c>
      <c r="G661" s="585">
        <v>949163.03786766203</v>
      </c>
      <c r="H661" s="585">
        <v>655832.67359997693</v>
      </c>
      <c r="I661" s="585">
        <v>164925.60198557662</v>
      </c>
      <c r="J661" s="585">
        <v>260545.39121265057</v>
      </c>
      <c r="K661" s="585">
        <v>513656.36504822795</v>
      </c>
      <c r="L661" s="585">
        <v>493324.49903038138</v>
      </c>
      <c r="M661" s="585">
        <v>854244.06070120377</v>
      </c>
      <c r="N661" s="585">
        <v>635695.51685103017</v>
      </c>
    </row>
    <row r="662" spans="1:15" ht="15" customHeight="1" x14ac:dyDescent="0.25">
      <c r="A662" s="530" t="s">
        <v>3132</v>
      </c>
      <c r="B662" s="588">
        <v>403870.08489991043</v>
      </c>
      <c r="C662" s="588">
        <v>199366.42667677152</v>
      </c>
      <c r="D662" s="588">
        <v>351809.70066868485</v>
      </c>
      <c r="E662" s="588">
        <v>198047.74535809018</v>
      </c>
      <c r="F662" s="588">
        <v>311331.59590424807</v>
      </c>
      <c r="G662" s="588">
        <v>1028259.9576899676</v>
      </c>
      <c r="H662" s="588">
        <v>610462.27829423815</v>
      </c>
      <c r="I662" s="588">
        <v>109746.58488178847</v>
      </c>
      <c r="J662" s="588">
        <v>265048.76591290493</v>
      </c>
      <c r="K662" s="588">
        <v>367784.78480833938</v>
      </c>
      <c r="L662" s="588">
        <v>766785.71428571432</v>
      </c>
      <c r="M662" s="588">
        <v>418628.99005756149</v>
      </c>
      <c r="N662" s="588">
        <v>643381.80468905088</v>
      </c>
    </row>
    <row r="663" spans="1:15" ht="15" customHeight="1" x14ac:dyDescent="0.25">
      <c r="A663" s="539"/>
      <c r="B663" s="589"/>
      <c r="C663" s="589"/>
      <c r="D663" s="589"/>
      <c r="E663" s="589"/>
      <c r="F663" s="589"/>
      <c r="G663" s="589"/>
      <c r="H663" s="589"/>
      <c r="I663" s="589"/>
      <c r="J663" s="589"/>
      <c r="K663" s="589"/>
      <c r="L663" s="589"/>
      <c r="M663" s="589"/>
      <c r="N663" s="589"/>
    </row>
    <row r="664" spans="1:15" ht="15" customHeight="1" x14ac:dyDescent="0.25">
      <c r="A664" s="296"/>
      <c r="B664" s="584"/>
      <c r="C664" s="584"/>
      <c r="D664" s="584"/>
      <c r="E664" s="584"/>
      <c r="F664" s="584"/>
      <c r="G664" s="584"/>
      <c r="H664" s="584"/>
      <c r="I664" s="584"/>
      <c r="J664" s="584"/>
      <c r="K664" s="584"/>
      <c r="L664" s="584"/>
    </row>
    <row r="666" spans="1:15" ht="15" customHeight="1" x14ac:dyDescent="0.25">
      <c r="A666" s="915" t="s">
        <v>3163</v>
      </c>
      <c r="B666" s="915"/>
      <c r="C666" s="915"/>
      <c r="D666" s="915"/>
      <c r="E666" s="915"/>
      <c r="F666" s="915"/>
      <c r="G666" s="915"/>
      <c r="H666" s="915"/>
      <c r="I666" s="915"/>
      <c r="J666" s="915"/>
      <c r="K666" s="915"/>
      <c r="L666" s="915"/>
      <c r="M666" s="915"/>
      <c r="O666" s="296" t="s">
        <v>3159</v>
      </c>
    </row>
    <row r="667" spans="1:15" ht="15" customHeight="1" x14ac:dyDescent="0.25">
      <c r="N667" s="296" t="s">
        <v>2977</v>
      </c>
      <c r="O667" s="296" t="s">
        <v>3160</v>
      </c>
    </row>
    <row r="668" spans="1:15" ht="15" customHeight="1" x14ac:dyDescent="0.25">
      <c r="A668" s="302" t="s">
        <v>3036</v>
      </c>
      <c r="B668" s="302" t="s">
        <v>3164</v>
      </c>
      <c r="C668" s="302" t="s">
        <v>3165</v>
      </c>
      <c r="D668" s="302" t="s">
        <v>3166</v>
      </c>
      <c r="E668" s="302" t="s">
        <v>3167</v>
      </c>
      <c r="F668" s="302" t="s">
        <v>3168</v>
      </c>
      <c r="G668" s="302" t="s">
        <v>3169</v>
      </c>
      <c r="H668" s="302" t="s">
        <v>3170</v>
      </c>
      <c r="I668" s="302" t="s">
        <v>3171</v>
      </c>
      <c r="J668" s="302" t="s">
        <v>3172</v>
      </c>
      <c r="K668" s="302" t="s">
        <v>3173</v>
      </c>
      <c r="L668" s="302" t="s">
        <v>3174</v>
      </c>
      <c r="M668" s="302" t="s">
        <v>3175</v>
      </c>
      <c r="N668" s="302" t="s">
        <v>2972</v>
      </c>
      <c r="O668" s="302" t="s">
        <v>3046</v>
      </c>
    </row>
    <row r="669" spans="1:15" ht="15" customHeight="1" x14ac:dyDescent="0.25">
      <c r="A669" s="21" t="s">
        <v>3047</v>
      </c>
      <c r="B669" s="590">
        <v>0</v>
      </c>
      <c r="C669" s="590">
        <v>0</v>
      </c>
      <c r="D669" s="590">
        <v>0</v>
      </c>
      <c r="E669" s="590">
        <v>0</v>
      </c>
      <c r="F669" s="590">
        <v>0</v>
      </c>
      <c r="G669" s="590">
        <v>0</v>
      </c>
      <c r="H669" s="591">
        <v>0</v>
      </c>
      <c r="I669" s="591">
        <v>0</v>
      </c>
      <c r="J669" s="591">
        <v>0</v>
      </c>
      <c r="K669" s="584">
        <v>0</v>
      </c>
      <c r="L669" s="590">
        <v>0</v>
      </c>
      <c r="M669" s="584">
        <v>0</v>
      </c>
      <c r="N669" s="303">
        <v>1</v>
      </c>
      <c r="O669" s="524">
        <v>3.0248033877797946E-4</v>
      </c>
    </row>
    <row r="670" spans="1:15" ht="15" customHeight="1" x14ac:dyDescent="0.25">
      <c r="A670" s="21" t="s">
        <v>3048</v>
      </c>
      <c r="B670" s="590">
        <v>5.0482666287953375</v>
      </c>
      <c r="C670" s="590">
        <v>0</v>
      </c>
      <c r="D670" s="590">
        <v>0</v>
      </c>
      <c r="E670" s="590">
        <v>0</v>
      </c>
      <c r="F670" s="590">
        <v>0</v>
      </c>
      <c r="G670" s="590">
        <v>0</v>
      </c>
      <c r="H670" s="591">
        <v>0</v>
      </c>
      <c r="I670" s="591">
        <v>0</v>
      </c>
      <c r="J670" s="591">
        <v>0</v>
      </c>
      <c r="K670" s="584">
        <v>0</v>
      </c>
      <c r="L670" s="590">
        <v>0</v>
      </c>
      <c r="M670" s="584">
        <v>0</v>
      </c>
      <c r="N670" s="303">
        <v>3</v>
      </c>
      <c r="O670" s="524">
        <v>9.0744101633393826E-4</v>
      </c>
    </row>
    <row r="671" spans="1:15" ht="15" customHeight="1" x14ac:dyDescent="0.25">
      <c r="A671" s="21" t="s">
        <v>3049</v>
      </c>
      <c r="B671" s="590">
        <v>1.6827555429317793</v>
      </c>
      <c r="C671" s="590">
        <v>0</v>
      </c>
      <c r="D671" s="590">
        <v>0</v>
      </c>
      <c r="E671" s="590">
        <v>0</v>
      </c>
      <c r="F671" s="590">
        <v>0</v>
      </c>
      <c r="G671" s="590">
        <v>0</v>
      </c>
      <c r="H671" s="591">
        <v>990</v>
      </c>
      <c r="I671" s="591">
        <v>0</v>
      </c>
      <c r="J671" s="591">
        <v>0</v>
      </c>
      <c r="K671" s="584">
        <v>0</v>
      </c>
      <c r="L671" s="590">
        <v>0</v>
      </c>
      <c r="M671" s="584">
        <v>0</v>
      </c>
      <c r="N671" s="303">
        <v>1</v>
      </c>
      <c r="O671" s="524">
        <v>3.0248033877797946E-4</v>
      </c>
    </row>
    <row r="672" spans="1:15" ht="15" customHeight="1" x14ac:dyDescent="0.25">
      <c r="A672" s="21" t="s">
        <v>3050</v>
      </c>
      <c r="B672" s="590">
        <v>6.7310221717271173</v>
      </c>
      <c r="C672" s="590">
        <v>0</v>
      </c>
      <c r="D672" s="590">
        <v>0</v>
      </c>
      <c r="E672" s="590">
        <v>0</v>
      </c>
      <c r="F672" s="590">
        <v>0</v>
      </c>
      <c r="G672" s="590">
        <v>0</v>
      </c>
      <c r="H672" s="591">
        <v>0</v>
      </c>
      <c r="I672" s="591">
        <v>0</v>
      </c>
      <c r="J672" s="591">
        <v>100</v>
      </c>
      <c r="K672" s="584">
        <v>0</v>
      </c>
      <c r="L672" s="590">
        <v>0</v>
      </c>
      <c r="M672" s="584">
        <v>0</v>
      </c>
      <c r="N672" s="303">
        <v>1</v>
      </c>
      <c r="O672" s="524">
        <v>3.0248033877797946E-4</v>
      </c>
    </row>
    <row r="673" spans="1:15" ht="15" customHeight="1" x14ac:dyDescent="0.25">
      <c r="A673" s="21" t="s">
        <v>3051</v>
      </c>
      <c r="B673" s="590">
        <v>5.8896444002612274</v>
      </c>
      <c r="C673" s="590">
        <v>0</v>
      </c>
      <c r="D673" s="590">
        <v>0</v>
      </c>
      <c r="E673" s="590">
        <v>0</v>
      </c>
      <c r="F673" s="590">
        <v>0</v>
      </c>
      <c r="G673" s="590">
        <v>0</v>
      </c>
      <c r="H673" s="591">
        <v>1600</v>
      </c>
      <c r="I673" s="591">
        <v>0</v>
      </c>
      <c r="J673" s="591">
        <v>450</v>
      </c>
      <c r="K673" s="584">
        <v>0</v>
      </c>
      <c r="L673" s="590">
        <v>0</v>
      </c>
      <c r="M673" s="584">
        <v>0</v>
      </c>
      <c r="N673" s="303">
        <v>3</v>
      </c>
      <c r="O673" s="524">
        <v>9.0744101633393826E-4</v>
      </c>
    </row>
    <row r="674" spans="1:15" ht="15" customHeight="1" x14ac:dyDescent="0.25">
      <c r="A674" s="21" t="s">
        <v>3052</v>
      </c>
      <c r="B674" s="590">
        <v>0</v>
      </c>
      <c r="C674" s="590">
        <v>0</v>
      </c>
      <c r="D674" s="590">
        <v>0</v>
      </c>
      <c r="E674" s="590">
        <v>0</v>
      </c>
      <c r="F674" s="590">
        <v>6.7310221717271173</v>
      </c>
      <c r="G674" s="590">
        <v>0</v>
      </c>
      <c r="H674" s="591">
        <v>800</v>
      </c>
      <c r="I674" s="591">
        <v>0</v>
      </c>
      <c r="J674" s="591">
        <v>0</v>
      </c>
      <c r="K674" s="584">
        <v>0</v>
      </c>
      <c r="L674" s="590">
        <v>0</v>
      </c>
      <c r="M674" s="584">
        <v>0</v>
      </c>
      <c r="N674" s="303">
        <v>1</v>
      </c>
      <c r="O674" s="524">
        <v>3.0248033877797946E-4</v>
      </c>
    </row>
    <row r="675" spans="1:15" ht="15" customHeight="1" x14ac:dyDescent="0.25">
      <c r="A675" s="21" t="s">
        <v>3053</v>
      </c>
      <c r="B675" s="590">
        <v>5.4689555145282824</v>
      </c>
      <c r="C675" s="590">
        <v>0</v>
      </c>
      <c r="D675" s="590">
        <v>0</v>
      </c>
      <c r="E675" s="590">
        <v>0</v>
      </c>
      <c r="F675" s="590">
        <v>0</v>
      </c>
      <c r="G675" s="590">
        <v>0</v>
      </c>
      <c r="H675" s="591">
        <v>900</v>
      </c>
      <c r="I675" s="591">
        <v>0</v>
      </c>
      <c r="J675" s="591">
        <v>56.666666666666664</v>
      </c>
      <c r="K675" s="584">
        <v>0</v>
      </c>
      <c r="L675" s="590">
        <v>0</v>
      </c>
      <c r="M675" s="584">
        <v>0</v>
      </c>
      <c r="N675" s="303">
        <v>5</v>
      </c>
      <c r="O675" s="524">
        <v>1.5124016938898972E-3</v>
      </c>
    </row>
    <row r="676" spans="1:15" ht="15" customHeight="1" x14ac:dyDescent="0.25">
      <c r="A676" s="21" t="s">
        <v>3054</v>
      </c>
      <c r="B676" s="590">
        <v>4.2068888573294485</v>
      </c>
      <c r="C676" s="590">
        <v>0</v>
      </c>
      <c r="D676" s="590">
        <v>0</v>
      </c>
      <c r="E676" s="590">
        <v>0</v>
      </c>
      <c r="F676" s="590">
        <v>0</v>
      </c>
      <c r="G676" s="590">
        <v>0</v>
      </c>
      <c r="H676" s="591">
        <v>600</v>
      </c>
      <c r="I676" s="591">
        <v>50</v>
      </c>
      <c r="J676" s="591">
        <v>275</v>
      </c>
      <c r="K676" s="584">
        <v>0</v>
      </c>
      <c r="L676" s="590">
        <v>0</v>
      </c>
      <c r="M676" s="584">
        <v>0</v>
      </c>
      <c r="N676" s="303">
        <v>4</v>
      </c>
      <c r="O676" s="524">
        <v>1.2099213551119178E-3</v>
      </c>
    </row>
    <row r="677" spans="1:15" ht="15" customHeight="1" x14ac:dyDescent="0.25">
      <c r="A677" s="21" t="s">
        <v>3055</v>
      </c>
      <c r="B677" s="590">
        <v>4.4873481144847451</v>
      </c>
      <c r="C677" s="590">
        <v>0</v>
      </c>
      <c r="D677" s="590">
        <v>0</v>
      </c>
      <c r="E677" s="590">
        <v>0</v>
      </c>
      <c r="F677" s="590">
        <v>0</v>
      </c>
      <c r="G677" s="590">
        <v>0</v>
      </c>
      <c r="H677" s="591">
        <v>611.11111111111109</v>
      </c>
      <c r="I677" s="591">
        <v>0</v>
      </c>
      <c r="J677" s="591">
        <v>300</v>
      </c>
      <c r="K677" s="584">
        <v>0</v>
      </c>
      <c r="L677" s="590">
        <v>0</v>
      </c>
      <c r="M677" s="584">
        <v>0</v>
      </c>
      <c r="N677" s="303">
        <v>15</v>
      </c>
      <c r="O677" s="524">
        <v>4.5372050816696917E-3</v>
      </c>
    </row>
    <row r="678" spans="1:15" ht="15" customHeight="1" x14ac:dyDescent="0.25">
      <c r="A678" s="21" t="s">
        <v>3056</v>
      </c>
      <c r="B678" s="590">
        <v>0</v>
      </c>
      <c r="C678" s="590">
        <v>0</v>
      </c>
      <c r="D678" s="590">
        <v>0</v>
      </c>
      <c r="E678" s="590">
        <v>0</v>
      </c>
      <c r="F678" s="590">
        <v>0</v>
      </c>
      <c r="G678" s="590">
        <v>0</v>
      </c>
      <c r="H678" s="591">
        <v>0</v>
      </c>
      <c r="I678" s="591">
        <v>0</v>
      </c>
      <c r="J678" s="591">
        <v>0</v>
      </c>
      <c r="K678" s="584">
        <v>0</v>
      </c>
      <c r="L678" s="590">
        <v>0</v>
      </c>
      <c r="M678" s="584">
        <v>0</v>
      </c>
      <c r="N678" s="303">
        <v>1</v>
      </c>
      <c r="O678" s="524">
        <v>3.0248033877797946E-4</v>
      </c>
    </row>
    <row r="679" spans="1:15" ht="15" customHeight="1" x14ac:dyDescent="0.25">
      <c r="A679" s="21" t="s">
        <v>3057</v>
      </c>
      <c r="B679" s="590">
        <v>3.3655110858635586</v>
      </c>
      <c r="C679" s="590">
        <v>0</v>
      </c>
      <c r="D679" s="590">
        <v>0</v>
      </c>
      <c r="E679" s="590">
        <v>0</v>
      </c>
      <c r="F679" s="590">
        <v>0</v>
      </c>
      <c r="G679" s="590">
        <v>0</v>
      </c>
      <c r="H679" s="591">
        <v>750</v>
      </c>
      <c r="I679" s="591">
        <v>0</v>
      </c>
      <c r="J679" s="591">
        <v>600</v>
      </c>
      <c r="K679" s="584">
        <v>0</v>
      </c>
      <c r="L679" s="590">
        <v>0</v>
      </c>
      <c r="M679" s="584">
        <v>0</v>
      </c>
      <c r="N679" s="303">
        <v>3</v>
      </c>
      <c r="O679" s="524">
        <v>9.0744101633393826E-4</v>
      </c>
    </row>
    <row r="680" spans="1:15" ht="15" customHeight="1" x14ac:dyDescent="0.25">
      <c r="A680" s="21" t="s">
        <v>3058</v>
      </c>
      <c r="B680" s="590">
        <v>6.3901563053383708</v>
      </c>
      <c r="C680" s="590">
        <v>3</v>
      </c>
      <c r="D680" s="590">
        <v>0</v>
      </c>
      <c r="E680" s="590">
        <v>0</v>
      </c>
      <c r="F680" s="590">
        <v>2.5241333143976687</v>
      </c>
      <c r="G680" s="590">
        <v>0</v>
      </c>
      <c r="H680" s="591">
        <v>712.88252668693121</v>
      </c>
      <c r="I680" s="591">
        <v>20</v>
      </c>
      <c r="J680" s="591">
        <v>337.5</v>
      </c>
      <c r="K680" s="584">
        <v>37499.999999999993</v>
      </c>
      <c r="L680" s="590">
        <v>0</v>
      </c>
      <c r="M680" s="584">
        <v>41856.766146247544</v>
      </c>
      <c r="N680" s="303">
        <v>67</v>
      </c>
      <c r="O680" s="524">
        <v>2.0266182698124621E-2</v>
      </c>
    </row>
    <row r="681" spans="1:15" ht="15" customHeight="1" x14ac:dyDescent="0.25">
      <c r="A681" s="21" t="s">
        <v>3059</v>
      </c>
      <c r="B681" s="590">
        <v>7.7126295717706554</v>
      </c>
      <c r="C681" s="590">
        <v>0</v>
      </c>
      <c r="D681" s="590">
        <v>0</v>
      </c>
      <c r="E681" s="590">
        <v>0</v>
      </c>
      <c r="F681" s="590">
        <v>0</v>
      </c>
      <c r="G681" s="590">
        <v>0</v>
      </c>
      <c r="H681" s="591">
        <v>610.08771929824559</v>
      </c>
      <c r="I681" s="591">
        <v>10.718113612004288</v>
      </c>
      <c r="J681" s="591">
        <v>682.18113612004288</v>
      </c>
      <c r="K681" s="584">
        <v>0</v>
      </c>
      <c r="L681" s="590">
        <v>0</v>
      </c>
      <c r="M681" s="584">
        <v>0</v>
      </c>
      <c r="N681" s="303">
        <v>28</v>
      </c>
      <c r="O681" s="524">
        <v>8.4694494857834243E-3</v>
      </c>
    </row>
    <row r="682" spans="1:15" ht="15" customHeight="1" x14ac:dyDescent="0.25">
      <c r="A682" s="21" t="s">
        <v>3060</v>
      </c>
      <c r="B682" s="590">
        <v>3.6028722461624225</v>
      </c>
      <c r="C682" s="590">
        <v>0</v>
      </c>
      <c r="D682" s="590">
        <v>0</v>
      </c>
      <c r="E682" s="590">
        <v>0</v>
      </c>
      <c r="F682" s="590">
        <v>0</v>
      </c>
      <c r="G682" s="590">
        <v>0</v>
      </c>
      <c r="H682" s="591">
        <v>1069.9439081598325</v>
      </c>
      <c r="I682" s="591">
        <v>0</v>
      </c>
      <c r="J682" s="591">
        <v>333.33333333333331</v>
      </c>
      <c r="K682" s="584">
        <v>0</v>
      </c>
      <c r="L682" s="590">
        <v>0</v>
      </c>
      <c r="M682" s="584">
        <v>0</v>
      </c>
      <c r="N682" s="303">
        <v>12</v>
      </c>
      <c r="O682" s="524">
        <v>3.629764065335753E-3</v>
      </c>
    </row>
    <row r="683" spans="1:15" ht="15" customHeight="1" x14ac:dyDescent="0.25">
      <c r="A683" s="21" t="s">
        <v>3061</v>
      </c>
      <c r="B683" s="590">
        <v>5.0482666287953375</v>
      </c>
      <c r="C683" s="590">
        <v>0</v>
      </c>
      <c r="D683" s="590">
        <v>0</v>
      </c>
      <c r="E683" s="590">
        <v>0</v>
      </c>
      <c r="F683" s="590">
        <v>0</v>
      </c>
      <c r="G683" s="590">
        <v>0</v>
      </c>
      <c r="H683" s="591">
        <v>0</v>
      </c>
      <c r="I683" s="591">
        <v>0</v>
      </c>
      <c r="J683" s="591">
        <v>250</v>
      </c>
      <c r="K683" s="584">
        <v>0</v>
      </c>
      <c r="L683" s="590">
        <v>0</v>
      </c>
      <c r="M683" s="584">
        <v>0</v>
      </c>
      <c r="N683" s="303">
        <v>1</v>
      </c>
      <c r="O683" s="524">
        <v>3.0248033877797946E-4</v>
      </c>
    </row>
    <row r="684" spans="1:15" ht="15" customHeight="1" x14ac:dyDescent="0.25">
      <c r="A684" s="21" t="s">
        <v>3062</v>
      </c>
      <c r="B684" s="590">
        <v>6.1191110652064706</v>
      </c>
      <c r="C684" s="590">
        <v>0</v>
      </c>
      <c r="D684" s="590">
        <v>0</v>
      </c>
      <c r="E684" s="590">
        <v>0</v>
      </c>
      <c r="F684" s="590">
        <v>0</v>
      </c>
      <c r="G684" s="590">
        <v>0</v>
      </c>
      <c r="H684" s="591">
        <v>939.58333333333337</v>
      </c>
      <c r="I684" s="591">
        <v>0</v>
      </c>
      <c r="J684" s="591">
        <v>135</v>
      </c>
      <c r="K684" s="584">
        <v>0</v>
      </c>
      <c r="L684" s="590">
        <v>0</v>
      </c>
      <c r="M684" s="584">
        <v>0</v>
      </c>
      <c r="N684" s="303">
        <v>15</v>
      </c>
      <c r="O684" s="524">
        <v>4.5372050816696917E-3</v>
      </c>
    </row>
    <row r="685" spans="1:15" ht="15" customHeight="1" x14ac:dyDescent="0.25">
      <c r="A685" s="21" t="s">
        <v>3063</v>
      </c>
      <c r="B685" s="590">
        <v>0</v>
      </c>
      <c r="C685" s="590">
        <v>0</v>
      </c>
      <c r="D685" s="590">
        <v>0</v>
      </c>
      <c r="E685" s="590">
        <v>0</v>
      </c>
      <c r="F685" s="590">
        <v>0</v>
      </c>
      <c r="G685" s="590">
        <v>0</v>
      </c>
      <c r="H685" s="591">
        <v>1100</v>
      </c>
      <c r="I685" s="591">
        <v>0</v>
      </c>
      <c r="J685" s="591">
        <v>150</v>
      </c>
      <c r="K685" s="584">
        <v>0</v>
      </c>
      <c r="L685" s="590">
        <v>0</v>
      </c>
      <c r="M685" s="584">
        <v>0</v>
      </c>
      <c r="N685" s="303">
        <v>2</v>
      </c>
      <c r="O685" s="524">
        <v>6.0496067755595891E-4</v>
      </c>
    </row>
    <row r="686" spans="1:15" ht="15" customHeight="1" x14ac:dyDescent="0.25">
      <c r="A686" s="21" t="s">
        <v>3064</v>
      </c>
      <c r="B686" s="590">
        <v>3.7861999715965036</v>
      </c>
      <c r="C686" s="590">
        <v>2.0266666666666668</v>
      </c>
      <c r="D686" s="590">
        <v>0</v>
      </c>
      <c r="E686" s="590">
        <v>0</v>
      </c>
      <c r="F686" s="590">
        <v>0</v>
      </c>
      <c r="G686" s="590">
        <v>0</v>
      </c>
      <c r="H686" s="591">
        <v>1040.2243648946519</v>
      </c>
      <c r="I686" s="591">
        <v>252.5</v>
      </c>
      <c r="J686" s="591">
        <v>430</v>
      </c>
      <c r="K686" s="584">
        <v>0</v>
      </c>
      <c r="L686" s="590">
        <v>0</v>
      </c>
      <c r="M686" s="584">
        <v>0</v>
      </c>
      <c r="N686" s="303">
        <v>29</v>
      </c>
      <c r="O686" s="524">
        <v>8.771929824561403E-3</v>
      </c>
    </row>
    <row r="687" spans="1:15" ht="15" customHeight="1" x14ac:dyDescent="0.25">
      <c r="A687" s="21" t="s">
        <v>3065</v>
      </c>
      <c r="B687" s="590">
        <v>5.2352394668988671</v>
      </c>
      <c r="C687" s="590">
        <v>5.5</v>
      </c>
      <c r="D687" s="590">
        <v>0</v>
      </c>
      <c r="E687" s="590">
        <v>0</v>
      </c>
      <c r="F687" s="590">
        <v>1.6827555429317793</v>
      </c>
      <c r="G687" s="590">
        <v>0</v>
      </c>
      <c r="H687" s="591">
        <v>959.16654075486167</v>
      </c>
      <c r="I687" s="591">
        <v>298.87312186978295</v>
      </c>
      <c r="J687" s="591">
        <v>415</v>
      </c>
      <c r="K687" s="584">
        <v>27500</v>
      </c>
      <c r="L687" s="590">
        <v>0</v>
      </c>
      <c r="M687" s="584">
        <v>0</v>
      </c>
      <c r="N687" s="303">
        <v>74</v>
      </c>
      <c r="O687" s="524">
        <v>2.2383545069570479E-2</v>
      </c>
    </row>
    <row r="688" spans="1:15" ht="15" customHeight="1" x14ac:dyDescent="0.25">
      <c r="A688" s="21" t="s">
        <v>3066</v>
      </c>
      <c r="B688" s="590">
        <v>4.6743209525882765</v>
      </c>
      <c r="C688" s="590">
        <v>1.4750000000000001</v>
      </c>
      <c r="D688" s="590">
        <v>0</v>
      </c>
      <c r="E688" s="590">
        <v>0</v>
      </c>
      <c r="F688" s="590">
        <v>0</v>
      </c>
      <c r="G688" s="590">
        <v>0</v>
      </c>
      <c r="H688" s="591">
        <v>859.42684331797227</v>
      </c>
      <c r="I688" s="591">
        <v>5</v>
      </c>
      <c r="J688" s="591">
        <v>223.92593404185382</v>
      </c>
      <c r="K688" s="584">
        <v>0</v>
      </c>
      <c r="L688" s="590">
        <v>0</v>
      </c>
      <c r="M688" s="584">
        <v>0</v>
      </c>
      <c r="N688" s="303">
        <v>35</v>
      </c>
      <c r="O688" s="524">
        <v>1.058681185722928E-2</v>
      </c>
    </row>
    <row r="689" spans="1:15" ht="15" customHeight="1" x14ac:dyDescent="0.25">
      <c r="A689" s="21" t="s">
        <v>3067</v>
      </c>
      <c r="B689" s="590">
        <v>7.1517110574600622</v>
      </c>
      <c r="C689" s="590">
        <v>0</v>
      </c>
      <c r="D689" s="590">
        <v>0</v>
      </c>
      <c r="E689" s="590">
        <v>0</v>
      </c>
      <c r="F689" s="590">
        <v>0</v>
      </c>
      <c r="G689" s="590">
        <v>0</v>
      </c>
      <c r="H689" s="591">
        <v>562.5</v>
      </c>
      <c r="I689" s="591">
        <v>0</v>
      </c>
      <c r="J689" s="591">
        <v>350</v>
      </c>
      <c r="K689" s="584">
        <v>0</v>
      </c>
      <c r="L689" s="590">
        <v>0</v>
      </c>
      <c r="M689" s="584">
        <v>0</v>
      </c>
      <c r="N689" s="303">
        <v>11</v>
      </c>
      <c r="O689" s="524">
        <v>3.3272837265577739E-3</v>
      </c>
    </row>
    <row r="690" spans="1:15" ht="15" customHeight="1" x14ac:dyDescent="0.25">
      <c r="A690" s="21" t="s">
        <v>3068</v>
      </c>
      <c r="B690" s="590">
        <v>6.2051610645609365</v>
      </c>
      <c r="C690" s="590">
        <v>0</v>
      </c>
      <c r="D690" s="590">
        <v>0</v>
      </c>
      <c r="E690" s="590">
        <v>0</v>
      </c>
      <c r="F690" s="590">
        <v>0</v>
      </c>
      <c r="G690" s="590">
        <v>4</v>
      </c>
      <c r="H690" s="591">
        <v>964.04347826086962</v>
      </c>
      <c r="I690" s="591">
        <v>0</v>
      </c>
      <c r="J690" s="591">
        <v>257.85714285714283</v>
      </c>
      <c r="K690" s="584">
        <v>0</v>
      </c>
      <c r="L690" s="590">
        <v>0</v>
      </c>
      <c r="M690" s="584">
        <v>0</v>
      </c>
      <c r="N690" s="303">
        <v>35</v>
      </c>
      <c r="O690" s="524">
        <v>1.058681185722928E-2</v>
      </c>
    </row>
    <row r="691" spans="1:15" ht="15" customHeight="1" x14ac:dyDescent="0.25">
      <c r="A691" s="21" t="s">
        <v>3069</v>
      </c>
      <c r="B691" s="590">
        <v>6.0309958658674967</v>
      </c>
      <c r="C691" s="590">
        <v>2.6693965517241374</v>
      </c>
      <c r="D691" s="590">
        <v>0</v>
      </c>
      <c r="E691" s="590">
        <v>0</v>
      </c>
      <c r="F691" s="590">
        <v>5.0482666287953384</v>
      </c>
      <c r="G691" s="590">
        <v>0</v>
      </c>
      <c r="H691" s="591">
        <v>878.28770356853306</v>
      </c>
      <c r="I691" s="591">
        <v>0</v>
      </c>
      <c r="J691" s="591">
        <v>386.66666666666669</v>
      </c>
      <c r="K691" s="584">
        <v>0</v>
      </c>
      <c r="L691" s="590">
        <v>8</v>
      </c>
      <c r="M691" s="584">
        <v>0</v>
      </c>
      <c r="N691" s="303">
        <v>59</v>
      </c>
      <c r="O691" s="524">
        <v>1.7846339987900785E-2</v>
      </c>
    </row>
    <row r="692" spans="1:15" ht="15" customHeight="1" x14ac:dyDescent="0.25">
      <c r="A692" s="21" t="s">
        <v>3070</v>
      </c>
      <c r="B692" s="590">
        <v>3.9415174097021444</v>
      </c>
      <c r="C692" s="590">
        <v>3</v>
      </c>
      <c r="D692" s="590">
        <v>0</v>
      </c>
      <c r="E692" s="590">
        <v>0</v>
      </c>
      <c r="F692" s="590">
        <v>4.4345557837260996</v>
      </c>
      <c r="G692" s="590">
        <v>38.142458973120334</v>
      </c>
      <c r="H692" s="591">
        <v>938.62222325164282</v>
      </c>
      <c r="I692" s="591">
        <v>631.25</v>
      </c>
      <c r="J692" s="591">
        <v>255</v>
      </c>
      <c r="K692" s="584">
        <v>225000</v>
      </c>
      <c r="L692" s="590">
        <v>1</v>
      </c>
      <c r="M692" s="584">
        <v>41856.766146247544</v>
      </c>
      <c r="N692" s="303">
        <v>171</v>
      </c>
      <c r="O692" s="524">
        <v>5.1724137931034482E-2</v>
      </c>
    </row>
    <row r="693" spans="1:15" ht="15" customHeight="1" x14ac:dyDescent="0.25">
      <c r="A693" s="21" t="s">
        <v>3071</v>
      </c>
      <c r="B693" s="590">
        <v>4.1965627911512362</v>
      </c>
      <c r="C693" s="590">
        <v>3.9333333333333336</v>
      </c>
      <c r="D693" s="590">
        <v>0</v>
      </c>
      <c r="E693" s="590">
        <v>0</v>
      </c>
      <c r="F693" s="590">
        <v>2.6643629429753171</v>
      </c>
      <c r="G693" s="590">
        <v>0</v>
      </c>
      <c r="H693" s="591">
        <v>820.4880864221094</v>
      </c>
      <c r="I693" s="591">
        <v>350</v>
      </c>
      <c r="J693" s="591">
        <v>240.71428571428572</v>
      </c>
      <c r="K693" s="584">
        <v>0</v>
      </c>
      <c r="L693" s="590">
        <v>0</v>
      </c>
      <c r="M693" s="584">
        <v>0</v>
      </c>
      <c r="N693" s="303">
        <v>70</v>
      </c>
      <c r="O693" s="524">
        <v>2.1173623714458561E-2</v>
      </c>
    </row>
    <row r="694" spans="1:15" ht="15" customHeight="1" x14ac:dyDescent="0.25">
      <c r="A694" s="21" t="s">
        <v>3072</v>
      </c>
      <c r="B694" s="590">
        <v>5.1062926819998804</v>
      </c>
      <c r="C694" s="590">
        <v>3</v>
      </c>
      <c r="D694" s="590">
        <v>0</v>
      </c>
      <c r="E694" s="590">
        <v>0</v>
      </c>
      <c r="F694" s="590">
        <v>1.6827555429317793</v>
      </c>
      <c r="G694" s="590">
        <v>42.06888857329448</v>
      </c>
      <c r="H694" s="591">
        <v>866.1662912818972</v>
      </c>
      <c r="I694" s="591">
        <v>275</v>
      </c>
      <c r="J694" s="591">
        <v>291.25</v>
      </c>
      <c r="K694" s="584">
        <v>0</v>
      </c>
      <c r="L694" s="590">
        <v>0</v>
      </c>
      <c r="M694" s="584">
        <v>0</v>
      </c>
      <c r="N694" s="303">
        <v>68</v>
      </c>
      <c r="O694" s="524">
        <v>2.05686630369026E-2</v>
      </c>
    </row>
    <row r="695" spans="1:15" ht="15" customHeight="1" x14ac:dyDescent="0.25">
      <c r="A695" s="21" t="s">
        <v>3073</v>
      </c>
      <c r="B695" s="590">
        <v>5.8896444002612274</v>
      </c>
      <c r="C695" s="590">
        <v>0</v>
      </c>
      <c r="D695" s="590">
        <v>0</v>
      </c>
      <c r="E695" s="590">
        <v>0</v>
      </c>
      <c r="F695" s="590">
        <v>0</v>
      </c>
      <c r="G695" s="590">
        <v>0</v>
      </c>
      <c r="H695" s="591">
        <v>842</v>
      </c>
      <c r="I695" s="591">
        <v>0</v>
      </c>
      <c r="J695" s="591">
        <v>0</v>
      </c>
      <c r="K695" s="584">
        <v>0</v>
      </c>
      <c r="L695" s="590">
        <v>0</v>
      </c>
      <c r="M695" s="584">
        <v>0</v>
      </c>
      <c r="N695" s="303">
        <v>5</v>
      </c>
      <c r="O695" s="524">
        <v>1.5124016938898972E-3</v>
      </c>
    </row>
    <row r="696" spans="1:15" ht="15" customHeight="1" x14ac:dyDescent="0.25">
      <c r="A696" s="21" t="s">
        <v>3074</v>
      </c>
      <c r="B696" s="590">
        <v>11.779288800522455</v>
      </c>
      <c r="C696" s="590">
        <v>0</v>
      </c>
      <c r="D696" s="590">
        <v>0</v>
      </c>
      <c r="E696" s="590">
        <v>0</v>
      </c>
      <c r="F696" s="590">
        <v>0</v>
      </c>
      <c r="G696" s="590">
        <v>0</v>
      </c>
      <c r="H696" s="591">
        <v>900</v>
      </c>
      <c r="I696" s="591">
        <v>0</v>
      </c>
      <c r="J696" s="591">
        <v>0</v>
      </c>
      <c r="K696" s="584">
        <v>0</v>
      </c>
      <c r="L696" s="590">
        <v>0</v>
      </c>
      <c r="M696" s="584">
        <v>0</v>
      </c>
      <c r="N696" s="303">
        <v>1</v>
      </c>
      <c r="O696" s="524">
        <v>3.0248033877797946E-4</v>
      </c>
    </row>
    <row r="697" spans="1:15" ht="15" customHeight="1" x14ac:dyDescent="0.25">
      <c r="A697" s="21" t="s">
        <v>3075</v>
      </c>
      <c r="B697" s="590">
        <v>9.2070767563267371</v>
      </c>
      <c r="C697" s="590">
        <v>2.5733333333333337</v>
      </c>
      <c r="D697" s="590">
        <v>0</v>
      </c>
      <c r="E697" s="590">
        <v>0</v>
      </c>
      <c r="F697" s="590">
        <v>0</v>
      </c>
      <c r="G697" s="590">
        <v>10.096533257590675</v>
      </c>
      <c r="H697" s="591">
        <v>882.80312921494601</v>
      </c>
      <c r="I697" s="591">
        <v>1</v>
      </c>
      <c r="J697" s="591">
        <v>432.5</v>
      </c>
      <c r="K697" s="584">
        <v>293571.42857142858</v>
      </c>
      <c r="L697" s="590">
        <v>3</v>
      </c>
      <c r="M697" s="584">
        <v>13952.255382082514</v>
      </c>
      <c r="N697" s="303">
        <v>108</v>
      </c>
      <c r="O697" s="524">
        <v>3.2667876588021776E-2</v>
      </c>
    </row>
    <row r="698" spans="1:15" ht="15" customHeight="1" x14ac:dyDescent="0.25">
      <c r="A698" s="21" t="s">
        <v>3076</v>
      </c>
      <c r="B698" s="590">
        <v>6.0018281031233425</v>
      </c>
      <c r="C698" s="590">
        <v>1.8714285714285714</v>
      </c>
      <c r="D698" s="590">
        <v>0</v>
      </c>
      <c r="E698" s="590">
        <v>0</v>
      </c>
      <c r="F698" s="590">
        <v>8.413777714658897</v>
      </c>
      <c r="G698" s="590">
        <v>8.6137777146588963</v>
      </c>
      <c r="H698" s="591">
        <v>965.74707103719345</v>
      </c>
      <c r="I698" s="591">
        <v>343.86249517188099</v>
      </c>
      <c r="J698" s="591">
        <v>238.5</v>
      </c>
      <c r="K698" s="584">
        <v>327500</v>
      </c>
      <c r="L698" s="590">
        <v>0</v>
      </c>
      <c r="M698" s="584">
        <v>90689.659983536345</v>
      </c>
      <c r="N698" s="303">
        <v>326</v>
      </c>
      <c r="O698" s="524">
        <v>9.8608590441621291E-2</v>
      </c>
    </row>
    <row r="699" spans="1:15" ht="15" customHeight="1" x14ac:dyDescent="0.25">
      <c r="A699" s="21" t="s">
        <v>3077</v>
      </c>
      <c r="B699" s="590">
        <v>5.7968487782198839</v>
      </c>
      <c r="C699" s="590">
        <v>2.8915662650602414</v>
      </c>
      <c r="D699" s="590">
        <v>0</v>
      </c>
      <c r="E699" s="590">
        <v>0</v>
      </c>
      <c r="F699" s="590">
        <v>5.8896444002612283</v>
      </c>
      <c r="G699" s="590">
        <v>0</v>
      </c>
      <c r="H699" s="591">
        <v>895.06478836203257</v>
      </c>
      <c r="I699" s="591">
        <v>32.5</v>
      </c>
      <c r="J699" s="591">
        <v>476.46302250803859</v>
      </c>
      <c r="K699" s="584">
        <v>90000</v>
      </c>
      <c r="L699" s="590">
        <v>0</v>
      </c>
      <c r="M699" s="584">
        <v>209283.83073123774</v>
      </c>
      <c r="N699" s="303">
        <v>120</v>
      </c>
      <c r="O699" s="524">
        <v>3.6297640653357534E-2</v>
      </c>
    </row>
    <row r="700" spans="1:15" ht="15" customHeight="1" x14ac:dyDescent="0.25">
      <c r="A700" s="21" t="s">
        <v>3078</v>
      </c>
      <c r="B700" s="590">
        <v>3.6459703430188548</v>
      </c>
      <c r="C700" s="590">
        <v>0</v>
      </c>
      <c r="D700" s="590">
        <v>0</v>
      </c>
      <c r="E700" s="590">
        <v>0</v>
      </c>
      <c r="F700" s="590">
        <v>0</v>
      </c>
      <c r="G700" s="590">
        <v>0</v>
      </c>
      <c r="H700" s="591">
        <v>825</v>
      </c>
      <c r="I700" s="591">
        <v>0</v>
      </c>
      <c r="J700" s="591">
        <v>150</v>
      </c>
      <c r="K700" s="584">
        <v>0</v>
      </c>
      <c r="L700" s="590">
        <v>0</v>
      </c>
      <c r="M700" s="584">
        <v>0</v>
      </c>
      <c r="N700" s="303">
        <v>8</v>
      </c>
      <c r="O700" s="524">
        <v>2.4198427102238356E-3</v>
      </c>
    </row>
    <row r="701" spans="1:15" ht="15" customHeight="1" x14ac:dyDescent="0.25">
      <c r="A701" s="21" t="s">
        <v>3079</v>
      </c>
      <c r="B701" s="590">
        <v>4.4873481144847451</v>
      </c>
      <c r="C701" s="590">
        <v>0</v>
      </c>
      <c r="D701" s="590">
        <v>0</v>
      </c>
      <c r="E701" s="590">
        <v>0</v>
      </c>
      <c r="F701" s="590">
        <v>0</v>
      </c>
      <c r="G701" s="590">
        <v>0</v>
      </c>
      <c r="H701" s="591">
        <v>788.57142857142856</v>
      </c>
      <c r="I701" s="591">
        <v>0</v>
      </c>
      <c r="J701" s="591">
        <v>251.42857142857142</v>
      </c>
      <c r="K701" s="584">
        <v>0</v>
      </c>
      <c r="L701" s="590">
        <v>0</v>
      </c>
      <c r="M701" s="584">
        <v>0</v>
      </c>
      <c r="N701" s="303">
        <v>16</v>
      </c>
      <c r="O701" s="524">
        <v>4.8396854204476713E-3</v>
      </c>
    </row>
    <row r="702" spans="1:15" ht="15" customHeight="1" x14ac:dyDescent="0.25">
      <c r="A702" s="21" t="s">
        <v>3080</v>
      </c>
      <c r="B702" s="590">
        <v>5.9359094183853101</v>
      </c>
      <c r="C702" s="590">
        <v>6.5</v>
      </c>
      <c r="D702" s="590">
        <v>0</v>
      </c>
      <c r="E702" s="590">
        <v>0</v>
      </c>
      <c r="F702" s="590">
        <v>1.6827555429317793</v>
      </c>
      <c r="G702" s="590">
        <v>0</v>
      </c>
      <c r="H702" s="591">
        <v>865.99856317761396</v>
      </c>
      <c r="I702" s="591">
        <v>516.59990067869558</v>
      </c>
      <c r="J702" s="591">
        <v>342.5</v>
      </c>
      <c r="K702" s="584">
        <v>245615.38461538462</v>
      </c>
      <c r="L702" s="590">
        <v>0.70833333333333337</v>
      </c>
      <c r="M702" s="584">
        <v>28044.033317985857</v>
      </c>
      <c r="N702" s="303">
        <v>221</v>
      </c>
      <c r="O702" s="524">
        <v>6.6848154869933452E-2</v>
      </c>
    </row>
    <row r="703" spans="1:15" ht="15" customHeight="1" x14ac:dyDescent="0.25">
      <c r="A703" s="21" t="s">
        <v>3081</v>
      </c>
      <c r="B703" s="590">
        <v>5.3414880622432657</v>
      </c>
      <c r="C703" s="590">
        <v>2.4</v>
      </c>
      <c r="D703" s="590">
        <v>0</v>
      </c>
      <c r="E703" s="590">
        <v>0</v>
      </c>
      <c r="F703" s="590">
        <v>4.5698361312951272</v>
      </c>
      <c r="G703" s="590">
        <v>3.4055110858635587</v>
      </c>
      <c r="H703" s="591">
        <v>888.11826957680205</v>
      </c>
      <c r="I703" s="591">
        <v>111.87713144304784</v>
      </c>
      <c r="J703" s="591">
        <v>462.77777777777777</v>
      </c>
      <c r="K703" s="584">
        <v>174166.66666666666</v>
      </c>
      <c r="L703" s="590">
        <v>2.422857142857143</v>
      </c>
      <c r="M703" s="584">
        <v>44265.458147673213</v>
      </c>
      <c r="N703" s="303">
        <v>621</v>
      </c>
      <c r="O703" s="524">
        <v>0.18784029038112524</v>
      </c>
    </row>
    <row r="704" spans="1:15" ht="15" customHeight="1" x14ac:dyDescent="0.25">
      <c r="A704" s="21" t="s">
        <v>3082</v>
      </c>
      <c r="B704" s="590">
        <v>6.0336730182369314</v>
      </c>
      <c r="C704" s="590">
        <v>0</v>
      </c>
      <c r="D704" s="590">
        <v>0</v>
      </c>
      <c r="E704" s="590">
        <v>0</v>
      </c>
      <c r="F704" s="590">
        <v>3.7301081201654438</v>
      </c>
      <c r="G704" s="590">
        <v>0</v>
      </c>
      <c r="H704" s="591">
        <v>816.0827964345184</v>
      </c>
      <c r="I704" s="591">
        <v>41</v>
      </c>
      <c r="J704" s="591">
        <v>568.57142857142856</v>
      </c>
      <c r="K704" s="584">
        <v>103750</v>
      </c>
      <c r="L704" s="590">
        <v>7.25</v>
      </c>
      <c r="M704" s="584">
        <v>0</v>
      </c>
      <c r="N704" s="303">
        <v>73</v>
      </c>
      <c r="O704" s="524">
        <v>2.2081064730792497E-2</v>
      </c>
    </row>
    <row r="705" spans="1:15" ht="15" customHeight="1" x14ac:dyDescent="0.25">
      <c r="A705" s="21" t="s">
        <v>3083</v>
      </c>
      <c r="B705" s="590">
        <v>5.1417530478471036</v>
      </c>
      <c r="C705" s="590">
        <v>2.85</v>
      </c>
      <c r="D705" s="590">
        <v>0</v>
      </c>
      <c r="E705" s="590">
        <v>0</v>
      </c>
      <c r="F705" s="590">
        <v>0</v>
      </c>
      <c r="G705" s="590">
        <v>0</v>
      </c>
      <c r="H705" s="591">
        <v>741.09977349472911</v>
      </c>
      <c r="I705" s="591">
        <v>0</v>
      </c>
      <c r="J705" s="591">
        <v>300</v>
      </c>
      <c r="K705" s="584">
        <v>0</v>
      </c>
      <c r="L705" s="590">
        <v>0</v>
      </c>
      <c r="M705" s="584">
        <v>0</v>
      </c>
      <c r="N705" s="303">
        <v>26</v>
      </c>
      <c r="O705" s="524">
        <v>7.8644888082274652E-3</v>
      </c>
    </row>
    <row r="706" spans="1:15" ht="15" customHeight="1" x14ac:dyDescent="0.25">
      <c r="A706" s="21" t="s">
        <v>3084</v>
      </c>
      <c r="B706" s="590">
        <v>0</v>
      </c>
      <c r="C706" s="590">
        <v>0</v>
      </c>
      <c r="D706" s="590">
        <v>0</v>
      </c>
      <c r="E706" s="590">
        <v>0</v>
      </c>
      <c r="F706" s="590">
        <v>0</v>
      </c>
      <c r="G706" s="590">
        <v>0</v>
      </c>
      <c r="H706" s="591">
        <v>700</v>
      </c>
      <c r="I706" s="591">
        <v>0</v>
      </c>
      <c r="J706" s="591">
        <v>0</v>
      </c>
      <c r="K706" s="584">
        <v>0</v>
      </c>
      <c r="L706" s="590">
        <v>0</v>
      </c>
      <c r="M706" s="584">
        <v>0</v>
      </c>
      <c r="N706" s="303">
        <v>1</v>
      </c>
      <c r="O706" s="524">
        <v>3.0248033877797946E-4</v>
      </c>
    </row>
    <row r="707" spans="1:15" ht="15" customHeight="1" x14ac:dyDescent="0.25">
      <c r="A707" s="21" t="s">
        <v>3085</v>
      </c>
      <c r="B707" s="590">
        <v>1.6827555429317793</v>
      </c>
      <c r="C707" s="590">
        <v>0</v>
      </c>
      <c r="D707" s="590">
        <v>0</v>
      </c>
      <c r="E707" s="590">
        <v>0</v>
      </c>
      <c r="F707" s="590">
        <v>0</v>
      </c>
      <c r="G707" s="590">
        <v>0</v>
      </c>
      <c r="H707" s="591">
        <v>0</v>
      </c>
      <c r="I707" s="591">
        <v>0</v>
      </c>
      <c r="J707" s="591">
        <v>500</v>
      </c>
      <c r="K707" s="584">
        <v>0</v>
      </c>
      <c r="L707" s="590">
        <v>0</v>
      </c>
      <c r="M707" s="584">
        <v>0</v>
      </c>
      <c r="N707" s="303">
        <v>1</v>
      </c>
      <c r="O707" s="524">
        <v>3.0248033877797946E-4</v>
      </c>
    </row>
    <row r="708" spans="1:15" ht="15" customHeight="1" x14ac:dyDescent="0.25">
      <c r="A708" s="21" t="s">
        <v>3086</v>
      </c>
      <c r="B708" s="590">
        <v>7.3485471416103394</v>
      </c>
      <c r="C708" s="590">
        <v>0</v>
      </c>
      <c r="D708" s="590">
        <v>0</v>
      </c>
      <c r="E708" s="590">
        <v>0</v>
      </c>
      <c r="F708" s="590">
        <v>0</v>
      </c>
      <c r="G708" s="590">
        <v>11.779288800522455</v>
      </c>
      <c r="H708" s="591">
        <v>600</v>
      </c>
      <c r="I708" s="591">
        <v>0</v>
      </c>
      <c r="J708" s="591">
        <v>350</v>
      </c>
      <c r="K708" s="584">
        <v>0</v>
      </c>
      <c r="L708" s="590">
        <v>0</v>
      </c>
      <c r="M708" s="584">
        <v>0</v>
      </c>
      <c r="N708" s="303">
        <v>6</v>
      </c>
      <c r="O708" s="524">
        <v>1.8148820326678765E-3</v>
      </c>
    </row>
    <row r="709" spans="1:15" ht="15" customHeight="1" x14ac:dyDescent="0.25">
      <c r="A709" s="21" t="s">
        <v>3087</v>
      </c>
      <c r="B709" s="590">
        <v>6.7310221717271164</v>
      </c>
      <c r="C709" s="590">
        <v>1</v>
      </c>
      <c r="D709" s="590">
        <v>0</v>
      </c>
      <c r="E709" s="590">
        <v>0</v>
      </c>
      <c r="F709" s="590">
        <v>0</v>
      </c>
      <c r="G709" s="590">
        <v>0</v>
      </c>
      <c r="H709" s="591">
        <v>391.42857142857144</v>
      </c>
      <c r="I709" s="591">
        <v>0</v>
      </c>
      <c r="J709" s="591">
        <v>400</v>
      </c>
      <c r="K709" s="584">
        <v>0</v>
      </c>
      <c r="L709" s="590">
        <v>0</v>
      </c>
      <c r="M709" s="584">
        <v>0</v>
      </c>
      <c r="N709" s="303">
        <v>10</v>
      </c>
      <c r="O709" s="524">
        <v>3.0248033877797943E-3</v>
      </c>
    </row>
    <row r="710" spans="1:15" ht="15" customHeight="1" x14ac:dyDescent="0.25">
      <c r="A710" s="21" t="s">
        <v>3088</v>
      </c>
      <c r="B710" s="590">
        <v>6.1701036574165231</v>
      </c>
      <c r="C710" s="590">
        <v>0</v>
      </c>
      <c r="D710" s="590">
        <v>0</v>
      </c>
      <c r="E710" s="590">
        <v>0</v>
      </c>
      <c r="F710" s="590">
        <v>6.7310221717271173</v>
      </c>
      <c r="G710" s="590">
        <v>0</v>
      </c>
      <c r="H710" s="591">
        <v>710.51546401391272</v>
      </c>
      <c r="I710" s="591">
        <v>0</v>
      </c>
      <c r="J710" s="591">
        <v>0</v>
      </c>
      <c r="K710" s="584">
        <v>187499.99999999997</v>
      </c>
      <c r="L710" s="590">
        <v>0</v>
      </c>
      <c r="M710" s="584">
        <v>22323.608611332023</v>
      </c>
      <c r="N710" s="303">
        <v>24</v>
      </c>
      <c r="O710" s="524">
        <v>7.2595281306715061E-3</v>
      </c>
    </row>
    <row r="711" spans="1:15" ht="15" customHeight="1" x14ac:dyDescent="0.25">
      <c r="A711" s="21" t="s">
        <v>3089</v>
      </c>
      <c r="B711" s="590">
        <v>3.4267021965156235</v>
      </c>
      <c r="C711" s="590">
        <v>5.4</v>
      </c>
      <c r="D711" s="590">
        <v>0</v>
      </c>
      <c r="E711" s="590">
        <v>0</v>
      </c>
      <c r="F711" s="590">
        <v>0</v>
      </c>
      <c r="G711" s="590">
        <v>12.620666571988345</v>
      </c>
      <c r="H711" s="591">
        <v>800.07683606243017</v>
      </c>
      <c r="I711" s="591">
        <v>5</v>
      </c>
      <c r="J711" s="591">
        <v>335</v>
      </c>
      <c r="K711" s="584">
        <v>69999.999999999985</v>
      </c>
      <c r="L711" s="590">
        <v>0</v>
      </c>
      <c r="M711" s="584">
        <v>5580.9021528330059</v>
      </c>
      <c r="N711" s="303">
        <v>57</v>
      </c>
      <c r="O711" s="524">
        <v>1.7241379310344827E-2</v>
      </c>
    </row>
    <row r="712" spans="1:15" ht="15" customHeight="1" x14ac:dyDescent="0.25">
      <c r="A712" s="21" t="s">
        <v>3090</v>
      </c>
      <c r="B712" s="590">
        <v>7.0675732803134732</v>
      </c>
      <c r="C712" s="590">
        <v>0</v>
      </c>
      <c r="D712" s="590">
        <v>0</v>
      </c>
      <c r="E712" s="590">
        <v>0</v>
      </c>
      <c r="F712" s="590">
        <v>5.0482666287953375</v>
      </c>
      <c r="G712" s="590">
        <v>0</v>
      </c>
      <c r="H712" s="591">
        <v>1021.1906301180933</v>
      </c>
      <c r="I712" s="591">
        <v>600</v>
      </c>
      <c r="J712" s="591">
        <v>665</v>
      </c>
      <c r="K712" s="584">
        <v>0</v>
      </c>
      <c r="L712" s="590">
        <v>0.65</v>
      </c>
      <c r="M712" s="584">
        <v>0</v>
      </c>
      <c r="N712" s="303">
        <v>40</v>
      </c>
      <c r="O712" s="524">
        <v>1.2099213551119177E-2</v>
      </c>
    </row>
    <row r="713" spans="1:15" ht="15" customHeight="1" x14ac:dyDescent="0.25">
      <c r="A713" s="21" t="s">
        <v>3091</v>
      </c>
      <c r="B713" s="590">
        <v>8.4979154918054842</v>
      </c>
      <c r="C713" s="590">
        <v>0</v>
      </c>
      <c r="D713" s="590">
        <v>0</v>
      </c>
      <c r="E713" s="590">
        <v>0</v>
      </c>
      <c r="F713" s="590">
        <v>0</v>
      </c>
      <c r="G713" s="590">
        <v>0</v>
      </c>
      <c r="H713" s="591">
        <v>1225</v>
      </c>
      <c r="I713" s="591">
        <v>0</v>
      </c>
      <c r="J713" s="591">
        <v>234.49980687524143</v>
      </c>
      <c r="K713" s="584">
        <v>0</v>
      </c>
      <c r="L713" s="590">
        <v>0</v>
      </c>
      <c r="M713" s="584">
        <v>0</v>
      </c>
      <c r="N713" s="303">
        <v>10</v>
      </c>
      <c r="O713" s="524">
        <v>3.0248033877797943E-3</v>
      </c>
    </row>
    <row r="714" spans="1:15" ht="15" customHeight="1" x14ac:dyDescent="0.25">
      <c r="A714" s="21" t="s">
        <v>3092</v>
      </c>
      <c r="B714" s="590">
        <v>8.413777714658897</v>
      </c>
      <c r="C714" s="590">
        <v>0</v>
      </c>
      <c r="D714" s="590">
        <v>0</v>
      </c>
      <c r="E714" s="590">
        <v>0</v>
      </c>
      <c r="F714" s="590">
        <v>0</v>
      </c>
      <c r="G714" s="590">
        <v>0</v>
      </c>
      <c r="H714" s="591">
        <v>0</v>
      </c>
      <c r="I714" s="591">
        <v>0</v>
      </c>
      <c r="J714" s="591">
        <v>0</v>
      </c>
      <c r="K714" s="584">
        <v>0</v>
      </c>
      <c r="L714" s="590">
        <v>0</v>
      </c>
      <c r="M714" s="584">
        <v>0</v>
      </c>
      <c r="N714" s="303">
        <v>2</v>
      </c>
      <c r="O714" s="524">
        <v>6.0496067755595891E-4</v>
      </c>
    </row>
    <row r="715" spans="1:15" ht="15" customHeight="1" x14ac:dyDescent="0.25">
      <c r="A715" s="21" t="s">
        <v>3093</v>
      </c>
      <c r="B715" s="590">
        <v>7.8528592003483029</v>
      </c>
      <c r="C715" s="590">
        <v>2.75</v>
      </c>
      <c r="D715" s="590">
        <v>0</v>
      </c>
      <c r="E715" s="590">
        <v>0</v>
      </c>
      <c r="F715" s="590">
        <v>0</v>
      </c>
      <c r="G715" s="590">
        <v>0</v>
      </c>
      <c r="H715" s="591">
        <v>590</v>
      </c>
      <c r="I715" s="591">
        <v>0</v>
      </c>
      <c r="J715" s="591">
        <v>0</v>
      </c>
      <c r="K715" s="584">
        <v>0</v>
      </c>
      <c r="L715" s="590">
        <v>6</v>
      </c>
      <c r="M715" s="584">
        <v>0</v>
      </c>
      <c r="N715" s="303">
        <v>16</v>
      </c>
      <c r="O715" s="524">
        <v>4.8396854204476713E-3</v>
      </c>
    </row>
    <row r="716" spans="1:15" ht="15" customHeight="1" x14ac:dyDescent="0.25">
      <c r="A716" s="21" t="s">
        <v>3094</v>
      </c>
      <c r="B716" s="590">
        <v>6.0511889323826757</v>
      </c>
      <c r="C716" s="590">
        <v>1.9019211822660098</v>
      </c>
      <c r="D716" s="590">
        <v>0</v>
      </c>
      <c r="E716" s="590">
        <v>0</v>
      </c>
      <c r="F716" s="590">
        <v>2.2436740572423726</v>
      </c>
      <c r="G716" s="590">
        <v>3.7655110858635585</v>
      </c>
      <c r="H716" s="591">
        <v>1034.1458550121401</v>
      </c>
      <c r="I716" s="591">
        <v>231.74971031286211</v>
      </c>
      <c r="J716" s="591">
        <v>454.89389067524115</v>
      </c>
      <c r="K716" s="584">
        <v>75000</v>
      </c>
      <c r="L716" s="590">
        <v>6.333333333333333</v>
      </c>
      <c r="M716" s="584">
        <v>10938.568219552692</v>
      </c>
      <c r="N716" s="303">
        <v>96</v>
      </c>
      <c r="O716" s="524">
        <v>2.9038112522686024E-2</v>
      </c>
    </row>
    <row r="717" spans="1:15" ht="15" customHeight="1" x14ac:dyDescent="0.25">
      <c r="A717" s="21" t="s">
        <v>3095</v>
      </c>
      <c r="B717" s="590">
        <v>6.6451116375255763</v>
      </c>
      <c r="C717" s="590">
        <v>0</v>
      </c>
      <c r="D717" s="590">
        <v>0</v>
      </c>
      <c r="E717" s="590">
        <v>0</v>
      </c>
      <c r="F717" s="590">
        <v>0</v>
      </c>
      <c r="G717" s="590">
        <v>0</v>
      </c>
      <c r="H717" s="591">
        <v>650</v>
      </c>
      <c r="I717" s="591">
        <v>0</v>
      </c>
      <c r="J717" s="591">
        <v>0</v>
      </c>
      <c r="K717" s="584">
        <v>0</v>
      </c>
      <c r="L717" s="590">
        <v>0</v>
      </c>
      <c r="M717" s="584">
        <v>0</v>
      </c>
      <c r="N717" s="303">
        <v>9</v>
      </c>
      <c r="O717" s="524">
        <v>2.7223230490018148E-3</v>
      </c>
    </row>
    <row r="718" spans="1:15" ht="15" customHeight="1" x14ac:dyDescent="0.25">
      <c r="A718" s="21" t="s">
        <v>3096</v>
      </c>
      <c r="B718" s="590">
        <v>5.0001878989972877</v>
      </c>
      <c r="C718" s="590">
        <v>2</v>
      </c>
      <c r="D718" s="590">
        <v>0</v>
      </c>
      <c r="E718" s="590">
        <v>0</v>
      </c>
      <c r="F718" s="590">
        <v>0</v>
      </c>
      <c r="G718" s="590">
        <v>13.462044343454235</v>
      </c>
      <c r="H718" s="591">
        <v>725.48088410991636</v>
      </c>
      <c r="I718" s="591">
        <v>40</v>
      </c>
      <c r="J718" s="591">
        <v>500</v>
      </c>
      <c r="K718" s="584">
        <v>240000</v>
      </c>
      <c r="L718" s="590">
        <v>0</v>
      </c>
      <c r="M718" s="584">
        <v>0</v>
      </c>
      <c r="N718" s="303">
        <v>24</v>
      </c>
      <c r="O718" s="524">
        <v>7.2595281306715061E-3</v>
      </c>
    </row>
    <row r="719" spans="1:15" ht="15" customHeight="1" x14ac:dyDescent="0.25">
      <c r="A719" s="21" t="s">
        <v>3097</v>
      </c>
      <c r="B719" s="590">
        <v>6.432812652160437</v>
      </c>
      <c r="C719" s="590">
        <v>1</v>
      </c>
      <c r="D719" s="590">
        <v>0</v>
      </c>
      <c r="E719" s="590">
        <v>0</v>
      </c>
      <c r="F719" s="590">
        <v>3.5758555287300311</v>
      </c>
      <c r="G719" s="590">
        <v>0</v>
      </c>
      <c r="H719" s="591">
        <v>791.16485623171366</v>
      </c>
      <c r="I719" s="591">
        <v>300</v>
      </c>
      <c r="J719" s="591">
        <v>575</v>
      </c>
      <c r="K719" s="584">
        <v>0</v>
      </c>
      <c r="L719" s="590">
        <v>0</v>
      </c>
      <c r="M719" s="584">
        <v>0</v>
      </c>
      <c r="N719" s="303">
        <v>40</v>
      </c>
      <c r="O719" s="524">
        <v>1.2099213551119177E-2</v>
      </c>
    </row>
    <row r="720" spans="1:15" ht="15" customHeight="1" x14ac:dyDescent="0.25">
      <c r="A720" s="21" t="s">
        <v>3098</v>
      </c>
      <c r="B720" s="590">
        <v>6.7310221717271173</v>
      </c>
      <c r="C720" s="590">
        <v>0.6</v>
      </c>
      <c r="D720" s="590">
        <v>0</v>
      </c>
      <c r="E720" s="590">
        <v>0</v>
      </c>
      <c r="F720" s="590">
        <v>0</v>
      </c>
      <c r="G720" s="590">
        <v>0</v>
      </c>
      <c r="H720" s="591">
        <v>2100</v>
      </c>
      <c r="I720" s="591">
        <v>0</v>
      </c>
      <c r="J720" s="591">
        <v>600</v>
      </c>
      <c r="K720" s="584">
        <v>0</v>
      </c>
      <c r="L720" s="590">
        <v>20</v>
      </c>
      <c r="M720" s="584">
        <v>0</v>
      </c>
      <c r="N720" s="303">
        <v>4</v>
      </c>
      <c r="O720" s="524">
        <v>1.2099213551119178E-3</v>
      </c>
    </row>
    <row r="721" spans="1:15" ht="15" customHeight="1" x14ac:dyDescent="0.25">
      <c r="A721" s="21" t="s">
        <v>3099</v>
      </c>
      <c r="B721" s="590">
        <v>6.7310221717271173</v>
      </c>
      <c r="C721" s="590">
        <v>0</v>
      </c>
      <c r="D721" s="590">
        <v>0</v>
      </c>
      <c r="E721" s="590">
        <v>0</v>
      </c>
      <c r="F721" s="590">
        <v>0</v>
      </c>
      <c r="G721" s="590">
        <v>0</v>
      </c>
      <c r="H721" s="591">
        <v>0</v>
      </c>
      <c r="I721" s="591">
        <v>0</v>
      </c>
      <c r="J721" s="591">
        <v>80</v>
      </c>
      <c r="K721" s="584">
        <v>0</v>
      </c>
      <c r="L721" s="590">
        <v>0</v>
      </c>
      <c r="M721" s="584">
        <v>0</v>
      </c>
      <c r="N721" s="303">
        <v>1</v>
      </c>
      <c r="O721" s="524">
        <v>3.0248033877797946E-4</v>
      </c>
    </row>
    <row r="722" spans="1:15" ht="15" customHeight="1" x14ac:dyDescent="0.25">
      <c r="A722" s="21" t="s">
        <v>3100</v>
      </c>
      <c r="B722" s="590">
        <v>7.3620555003265356</v>
      </c>
      <c r="C722" s="590">
        <v>4</v>
      </c>
      <c r="D722" s="590">
        <v>0</v>
      </c>
      <c r="E722" s="590">
        <v>0</v>
      </c>
      <c r="F722" s="590">
        <v>0</v>
      </c>
      <c r="G722" s="590">
        <v>0</v>
      </c>
      <c r="H722" s="591">
        <v>788.88888888888891</v>
      </c>
      <c r="I722" s="591">
        <v>0</v>
      </c>
      <c r="J722" s="591">
        <v>25</v>
      </c>
      <c r="K722" s="584">
        <v>0</v>
      </c>
      <c r="L722" s="590">
        <v>0.9</v>
      </c>
      <c r="M722" s="584">
        <v>0</v>
      </c>
      <c r="N722" s="303">
        <v>17</v>
      </c>
      <c r="O722" s="524">
        <v>5.14216575922565E-3</v>
      </c>
    </row>
    <row r="723" spans="1:15" ht="15" customHeight="1" x14ac:dyDescent="0.25">
      <c r="A723" s="21" t="s">
        <v>3101</v>
      </c>
      <c r="B723" s="590">
        <v>5.6819863661626435</v>
      </c>
      <c r="C723" s="590">
        <v>2.7163511187607576</v>
      </c>
      <c r="D723" s="590">
        <v>0</v>
      </c>
      <c r="E723" s="590">
        <v>0</v>
      </c>
      <c r="F723" s="590">
        <v>4.2068888573294476</v>
      </c>
      <c r="G723" s="590">
        <v>20.593066515181352</v>
      </c>
      <c r="H723" s="591">
        <v>870.61250243454924</v>
      </c>
      <c r="I723" s="591">
        <v>30</v>
      </c>
      <c r="J723" s="591">
        <v>366.62551891214099</v>
      </c>
      <c r="K723" s="584">
        <v>0</v>
      </c>
      <c r="L723" s="590">
        <v>0</v>
      </c>
      <c r="M723" s="584">
        <v>0</v>
      </c>
      <c r="N723" s="303">
        <v>96</v>
      </c>
      <c r="O723" s="524">
        <v>2.9038112522686024E-2</v>
      </c>
    </row>
    <row r="724" spans="1:15" ht="15" customHeight="1" x14ac:dyDescent="0.25">
      <c r="A724" s="21" t="s">
        <v>3102</v>
      </c>
      <c r="B724" s="590">
        <v>6.9179950098306495</v>
      </c>
      <c r="C724" s="590">
        <v>0</v>
      </c>
      <c r="D724" s="590">
        <v>0</v>
      </c>
      <c r="E724" s="590">
        <v>0</v>
      </c>
      <c r="F724" s="590">
        <v>0</v>
      </c>
      <c r="G724" s="590">
        <v>1.6827555429317793</v>
      </c>
      <c r="H724" s="591">
        <v>636.83178311341851</v>
      </c>
      <c r="I724" s="591">
        <v>8</v>
      </c>
      <c r="J724" s="591">
        <v>300</v>
      </c>
      <c r="K724" s="584">
        <v>0</v>
      </c>
      <c r="L724" s="590">
        <v>4</v>
      </c>
      <c r="M724" s="584">
        <v>0</v>
      </c>
      <c r="N724" s="303">
        <v>18</v>
      </c>
      <c r="O724" s="524">
        <v>5.4446460980036296E-3</v>
      </c>
    </row>
    <row r="725" spans="1:15" ht="15" customHeight="1" x14ac:dyDescent="0.25">
      <c r="A725" s="21" t="s">
        <v>3103</v>
      </c>
      <c r="B725" s="590">
        <v>6.4250666184667944</v>
      </c>
      <c r="C725" s="590">
        <v>0</v>
      </c>
      <c r="D725" s="590">
        <v>0</v>
      </c>
      <c r="E725" s="590">
        <v>0</v>
      </c>
      <c r="F725" s="590">
        <v>3.3655110858635586</v>
      </c>
      <c r="G725" s="590">
        <v>0</v>
      </c>
      <c r="H725" s="591">
        <v>811.02059966914805</v>
      </c>
      <c r="I725" s="591">
        <v>300</v>
      </c>
      <c r="J725" s="591">
        <v>318.75</v>
      </c>
      <c r="K725" s="584">
        <v>0</v>
      </c>
      <c r="L725" s="590">
        <v>0</v>
      </c>
      <c r="M725" s="584">
        <v>0</v>
      </c>
      <c r="N725" s="303">
        <v>36</v>
      </c>
      <c r="O725" s="524">
        <v>1.0889292196007259E-2</v>
      </c>
    </row>
    <row r="726" spans="1:15" ht="15" customHeight="1" x14ac:dyDescent="0.25">
      <c r="A726" s="21" t="s">
        <v>3104</v>
      </c>
      <c r="B726" s="590">
        <v>15.144799886386014</v>
      </c>
      <c r="C726" s="590">
        <v>0</v>
      </c>
      <c r="D726" s="590">
        <v>0</v>
      </c>
      <c r="E726" s="590">
        <v>0</v>
      </c>
      <c r="F726" s="590">
        <v>0</v>
      </c>
      <c r="G726" s="590">
        <v>0</v>
      </c>
      <c r="H726" s="591">
        <v>0</v>
      </c>
      <c r="I726" s="591">
        <v>0</v>
      </c>
      <c r="J726" s="591">
        <v>0</v>
      </c>
      <c r="K726" s="584">
        <v>0</v>
      </c>
      <c r="L726" s="590">
        <v>0</v>
      </c>
      <c r="M726" s="584">
        <v>0</v>
      </c>
      <c r="N726" s="303">
        <v>1</v>
      </c>
      <c r="O726" s="524">
        <v>3.0248033877797946E-4</v>
      </c>
    </row>
    <row r="727" spans="1:15" ht="15" customHeight="1" x14ac:dyDescent="0.25">
      <c r="A727" s="21" t="s">
        <v>3105</v>
      </c>
      <c r="B727" s="590">
        <v>6.8839999483572774</v>
      </c>
      <c r="C727" s="590">
        <v>1.4333333333333333</v>
      </c>
      <c r="D727" s="590">
        <v>0</v>
      </c>
      <c r="E727" s="590">
        <v>0</v>
      </c>
      <c r="F727" s="590">
        <v>4.417233300195921</v>
      </c>
      <c r="G727" s="590">
        <v>0</v>
      </c>
      <c r="H727" s="591">
        <v>806.59398977917886</v>
      </c>
      <c r="I727" s="591">
        <v>17</v>
      </c>
      <c r="J727" s="591">
        <v>396.66666666666669</v>
      </c>
      <c r="K727" s="584">
        <v>0</v>
      </c>
      <c r="L727" s="590">
        <v>18</v>
      </c>
      <c r="M727" s="584">
        <v>0</v>
      </c>
      <c r="N727" s="303">
        <v>85</v>
      </c>
      <c r="O727" s="524">
        <v>2.5710828796128252E-2</v>
      </c>
    </row>
    <row r="728" spans="1:15" ht="15" customHeight="1" x14ac:dyDescent="0.25">
      <c r="A728" s="21" t="s">
        <v>3106</v>
      </c>
      <c r="B728" s="590">
        <v>8.7916156701211268</v>
      </c>
      <c r="C728" s="590">
        <v>2.35</v>
      </c>
      <c r="D728" s="590">
        <v>0</v>
      </c>
      <c r="E728" s="590">
        <v>0</v>
      </c>
      <c r="F728" s="590">
        <v>2.5241333143976687</v>
      </c>
      <c r="G728" s="590">
        <v>9.2551554861247869</v>
      </c>
      <c r="H728" s="591">
        <v>965.36894206154159</v>
      </c>
      <c r="I728" s="591">
        <v>402.09677419354836</v>
      </c>
      <c r="J728" s="591">
        <v>298.72428265342148</v>
      </c>
      <c r="K728" s="584">
        <v>124999.99999999999</v>
      </c>
      <c r="L728" s="590">
        <v>13.5</v>
      </c>
      <c r="M728" s="584">
        <v>0</v>
      </c>
      <c r="N728" s="303">
        <v>123</v>
      </c>
      <c r="O728" s="524">
        <v>3.720508166969147E-2</v>
      </c>
    </row>
    <row r="729" spans="1:15" ht="15" customHeight="1" x14ac:dyDescent="0.25">
      <c r="A729" s="21" t="s">
        <v>3107</v>
      </c>
      <c r="B729" s="590">
        <v>5.0482666287953384</v>
      </c>
      <c r="C729" s="590">
        <v>1.8879310344827587</v>
      </c>
      <c r="D729" s="590">
        <v>0</v>
      </c>
      <c r="E729" s="590">
        <v>0</v>
      </c>
      <c r="F729" s="590">
        <v>0</v>
      </c>
      <c r="G729" s="590">
        <v>0</v>
      </c>
      <c r="H729" s="591">
        <v>862.30629461388719</v>
      </c>
      <c r="I729" s="591">
        <v>0</v>
      </c>
      <c r="J729" s="591">
        <v>0</v>
      </c>
      <c r="K729" s="584">
        <v>0</v>
      </c>
      <c r="L729" s="590">
        <v>0</v>
      </c>
      <c r="M729" s="584">
        <v>0</v>
      </c>
      <c r="N729" s="303">
        <v>32</v>
      </c>
      <c r="O729" s="524">
        <v>9.6793708408953426E-3</v>
      </c>
    </row>
    <row r="730" spans="1:15" ht="15" customHeight="1" x14ac:dyDescent="0.25">
      <c r="A730" s="21" t="s">
        <v>3108</v>
      </c>
      <c r="B730" s="590">
        <v>6.7099877274404705</v>
      </c>
      <c r="C730" s="590">
        <v>4.8</v>
      </c>
      <c r="D730" s="590">
        <v>0</v>
      </c>
      <c r="E730" s="590">
        <v>0</v>
      </c>
      <c r="F730" s="590">
        <v>0</v>
      </c>
      <c r="G730" s="590">
        <v>0</v>
      </c>
      <c r="H730" s="591">
        <v>520.19145810683199</v>
      </c>
      <c r="I730" s="591">
        <v>0</v>
      </c>
      <c r="J730" s="591">
        <v>0</v>
      </c>
      <c r="K730" s="584">
        <v>0</v>
      </c>
      <c r="L730" s="590">
        <v>0</v>
      </c>
      <c r="M730" s="584">
        <v>0</v>
      </c>
      <c r="N730" s="303">
        <v>19</v>
      </c>
      <c r="O730" s="524">
        <v>5.7471264367816091E-3</v>
      </c>
    </row>
    <row r="731" spans="1:15" ht="15" customHeight="1" x14ac:dyDescent="0.25">
      <c r="A731" s="21" t="s">
        <v>3109</v>
      </c>
      <c r="B731" s="590">
        <v>4.2068888573294476</v>
      </c>
      <c r="C731" s="590">
        <v>0</v>
      </c>
      <c r="D731" s="590">
        <v>0</v>
      </c>
      <c r="E731" s="590">
        <v>0</v>
      </c>
      <c r="F731" s="590">
        <v>6.7310221717271173</v>
      </c>
      <c r="G731" s="590">
        <v>0</v>
      </c>
      <c r="H731" s="591">
        <v>1266.6666666666667</v>
      </c>
      <c r="I731" s="591">
        <v>0</v>
      </c>
      <c r="J731" s="591">
        <v>0</v>
      </c>
      <c r="K731" s="584">
        <v>0</v>
      </c>
      <c r="L731" s="590">
        <v>0</v>
      </c>
      <c r="M731" s="584">
        <v>0</v>
      </c>
      <c r="N731" s="303">
        <v>10</v>
      </c>
      <c r="O731" s="524">
        <v>3.0248033877797943E-3</v>
      </c>
    </row>
    <row r="732" spans="1:15" ht="15" customHeight="1" x14ac:dyDescent="0.25">
      <c r="A732" s="21" t="s">
        <v>3110</v>
      </c>
      <c r="B732" s="590">
        <v>1.6827555429317793</v>
      </c>
      <c r="C732" s="590">
        <v>0</v>
      </c>
      <c r="D732" s="590">
        <v>0</v>
      </c>
      <c r="E732" s="590">
        <v>0</v>
      </c>
      <c r="F732" s="590">
        <v>0</v>
      </c>
      <c r="G732" s="590">
        <v>0</v>
      </c>
      <c r="H732" s="591">
        <v>500</v>
      </c>
      <c r="I732" s="591">
        <v>0</v>
      </c>
      <c r="J732" s="591">
        <v>0</v>
      </c>
      <c r="K732" s="584">
        <v>0</v>
      </c>
      <c r="L732" s="590">
        <v>0</v>
      </c>
      <c r="M732" s="584">
        <v>0</v>
      </c>
      <c r="N732" s="303">
        <v>1</v>
      </c>
      <c r="O732" s="524">
        <v>3.0248033877797946E-4</v>
      </c>
    </row>
    <row r="733" spans="1:15" ht="15" customHeight="1" x14ac:dyDescent="0.25">
      <c r="A733" s="21" t="s">
        <v>3111</v>
      </c>
      <c r="B733" s="590">
        <v>0</v>
      </c>
      <c r="C733" s="590">
        <v>0</v>
      </c>
      <c r="D733" s="590">
        <v>0</v>
      </c>
      <c r="E733" s="590">
        <v>0</v>
      </c>
      <c r="F733" s="590">
        <v>0</v>
      </c>
      <c r="G733" s="590">
        <v>0</v>
      </c>
      <c r="H733" s="591">
        <v>1000</v>
      </c>
      <c r="I733" s="591">
        <v>0</v>
      </c>
      <c r="J733" s="591">
        <v>0</v>
      </c>
      <c r="K733" s="584">
        <v>0</v>
      </c>
      <c r="L733" s="590">
        <v>0</v>
      </c>
      <c r="M733" s="584">
        <v>0</v>
      </c>
      <c r="N733" s="303">
        <v>2</v>
      </c>
      <c r="O733" s="524">
        <v>6.0496067755595891E-4</v>
      </c>
    </row>
    <row r="734" spans="1:15" ht="15" customHeight="1" x14ac:dyDescent="0.25">
      <c r="A734" s="21" t="s">
        <v>3112</v>
      </c>
      <c r="B734" s="590">
        <v>7.7326299077752445</v>
      </c>
      <c r="C734" s="590">
        <v>2.2818181818181817</v>
      </c>
      <c r="D734" s="590">
        <v>0</v>
      </c>
      <c r="E734" s="590">
        <v>0</v>
      </c>
      <c r="F734" s="590">
        <v>11.358599914789512</v>
      </c>
      <c r="G734" s="590">
        <v>10.65745177190127</v>
      </c>
      <c r="H734" s="591">
        <v>857.61058940310795</v>
      </c>
      <c r="I734" s="591">
        <v>220.5</v>
      </c>
      <c r="J734" s="591">
        <v>270</v>
      </c>
      <c r="K734" s="584">
        <v>299999.99999999994</v>
      </c>
      <c r="L734" s="590">
        <v>1.4</v>
      </c>
      <c r="M734" s="584">
        <v>0</v>
      </c>
      <c r="N734" s="303">
        <v>134</v>
      </c>
      <c r="O734" s="524">
        <v>4.0532365396249243E-2</v>
      </c>
    </row>
    <row r="735" spans="1:15" ht="15" customHeight="1" x14ac:dyDescent="0.25">
      <c r="A735" s="21" t="s">
        <v>3113</v>
      </c>
      <c r="B735" s="590">
        <v>7.2416514399271046</v>
      </c>
      <c r="C735" s="590">
        <v>3.6750000000000003</v>
      </c>
      <c r="D735" s="590">
        <v>0</v>
      </c>
      <c r="E735" s="590">
        <v>0</v>
      </c>
      <c r="F735" s="590">
        <v>0</v>
      </c>
      <c r="G735" s="590">
        <v>0</v>
      </c>
      <c r="H735" s="591">
        <v>997.78880467864178</v>
      </c>
      <c r="I735" s="591">
        <v>110</v>
      </c>
      <c r="J735" s="591">
        <v>258.33333333333331</v>
      </c>
      <c r="K735" s="584">
        <v>0</v>
      </c>
      <c r="L735" s="590">
        <v>3.5</v>
      </c>
      <c r="M735" s="584">
        <v>12557.029843874261</v>
      </c>
      <c r="N735" s="303">
        <v>81</v>
      </c>
      <c r="O735" s="524">
        <v>2.4500907441016333E-2</v>
      </c>
    </row>
    <row r="736" spans="1:15" ht="15" customHeight="1" x14ac:dyDescent="0.25">
      <c r="A736" s="21" t="s">
        <v>3114</v>
      </c>
      <c r="B736" s="590">
        <v>6.7310221717271164</v>
      </c>
      <c r="C736" s="590">
        <v>0</v>
      </c>
      <c r="D736" s="590">
        <v>0</v>
      </c>
      <c r="E736" s="590">
        <v>0</v>
      </c>
      <c r="F736" s="590">
        <v>1.6827555429317793</v>
      </c>
      <c r="G736" s="590">
        <v>0</v>
      </c>
      <c r="H736" s="591">
        <v>600</v>
      </c>
      <c r="I736" s="591">
        <v>0</v>
      </c>
      <c r="J736" s="591">
        <v>519.68113612004288</v>
      </c>
      <c r="K736" s="584">
        <v>0</v>
      </c>
      <c r="L736" s="590">
        <v>0</v>
      </c>
      <c r="M736" s="584">
        <v>0</v>
      </c>
      <c r="N736" s="303">
        <v>5</v>
      </c>
      <c r="O736" s="524">
        <v>1.5124016938898972E-3</v>
      </c>
    </row>
    <row r="737" spans="1:15" ht="15" customHeight="1" x14ac:dyDescent="0.25">
      <c r="A737" s="21" t="s">
        <v>3115</v>
      </c>
      <c r="B737" s="590">
        <v>10.096533257590675</v>
      </c>
      <c r="C737" s="590">
        <v>0</v>
      </c>
      <c r="D737" s="590">
        <v>0</v>
      </c>
      <c r="E737" s="590">
        <v>0</v>
      </c>
      <c r="F737" s="590">
        <v>0</v>
      </c>
      <c r="G737" s="590">
        <v>0</v>
      </c>
      <c r="H737" s="591">
        <v>1400</v>
      </c>
      <c r="I737" s="591">
        <v>0</v>
      </c>
      <c r="J737" s="591">
        <v>0</v>
      </c>
      <c r="K737" s="584">
        <v>0</v>
      </c>
      <c r="L737" s="590">
        <v>0</v>
      </c>
      <c r="M737" s="584">
        <v>0</v>
      </c>
      <c r="N737" s="303">
        <v>2</v>
      </c>
      <c r="O737" s="524">
        <v>6.0496067755595891E-4</v>
      </c>
    </row>
    <row r="738" spans="1:15" ht="15" customHeight="1" x14ac:dyDescent="0.25">
      <c r="A738" s="21" t="s">
        <v>3116</v>
      </c>
      <c r="B738" s="590">
        <v>6.7310221717271164</v>
      </c>
      <c r="C738" s="590">
        <v>5</v>
      </c>
      <c r="D738" s="590">
        <v>0</v>
      </c>
      <c r="E738" s="590">
        <v>0</v>
      </c>
      <c r="F738" s="590">
        <v>0</v>
      </c>
      <c r="G738" s="590">
        <v>0</v>
      </c>
      <c r="H738" s="591">
        <v>743.58397913416809</v>
      </c>
      <c r="I738" s="591">
        <v>20</v>
      </c>
      <c r="J738" s="591">
        <v>0</v>
      </c>
      <c r="K738" s="584">
        <v>0</v>
      </c>
      <c r="L738" s="590">
        <v>0</v>
      </c>
      <c r="M738" s="584">
        <v>0</v>
      </c>
      <c r="N738" s="303">
        <v>16</v>
      </c>
      <c r="O738" s="524">
        <v>4.8396854204476713E-3</v>
      </c>
    </row>
    <row r="739" spans="1:15" ht="15" customHeight="1" x14ac:dyDescent="0.25">
      <c r="A739" s="21" t="s">
        <v>3117</v>
      </c>
      <c r="B739" s="590">
        <v>3.3655110858635586</v>
      </c>
      <c r="C739" s="590">
        <v>0</v>
      </c>
      <c r="D739" s="590">
        <v>0</v>
      </c>
      <c r="E739" s="590">
        <v>0</v>
      </c>
      <c r="F739" s="590">
        <v>0</v>
      </c>
      <c r="G739" s="590">
        <v>0</v>
      </c>
      <c r="H739" s="591">
        <v>1200</v>
      </c>
      <c r="I739" s="591">
        <v>0</v>
      </c>
      <c r="J739" s="591">
        <v>250</v>
      </c>
      <c r="K739" s="584">
        <v>0</v>
      </c>
      <c r="L739" s="590">
        <v>0</v>
      </c>
      <c r="M739" s="584">
        <v>0</v>
      </c>
      <c r="N739" s="303">
        <v>2</v>
      </c>
      <c r="O739" s="524">
        <v>6.0496067755595891E-4</v>
      </c>
    </row>
    <row r="740" spans="1:15" ht="15" customHeight="1" x14ac:dyDescent="0.25">
      <c r="A740" s="21" t="s">
        <v>3118</v>
      </c>
      <c r="B740" s="590">
        <v>8.413777714658897</v>
      </c>
      <c r="C740" s="590">
        <v>0</v>
      </c>
      <c r="D740" s="590">
        <v>0</v>
      </c>
      <c r="E740" s="590">
        <v>0</v>
      </c>
      <c r="F740" s="590">
        <v>0</v>
      </c>
      <c r="G740" s="590">
        <v>0</v>
      </c>
      <c r="H740" s="591">
        <v>0</v>
      </c>
      <c r="I740" s="591">
        <v>0</v>
      </c>
      <c r="J740" s="591">
        <v>50</v>
      </c>
      <c r="K740" s="584">
        <v>0</v>
      </c>
      <c r="L740" s="590">
        <v>0</v>
      </c>
      <c r="M740" s="584">
        <v>0</v>
      </c>
      <c r="N740" s="303">
        <v>1</v>
      </c>
      <c r="O740" s="524">
        <v>3.0248033877797946E-4</v>
      </c>
    </row>
    <row r="741" spans="1:15" ht="15" customHeight="1" x14ac:dyDescent="0.25">
      <c r="A741" s="21" t="s">
        <v>3119</v>
      </c>
      <c r="B741" s="590">
        <v>8.413777714658897</v>
      </c>
      <c r="C741" s="590">
        <v>0</v>
      </c>
      <c r="D741" s="590">
        <v>0</v>
      </c>
      <c r="E741" s="590">
        <v>0</v>
      </c>
      <c r="F741" s="590">
        <v>0</v>
      </c>
      <c r="G741" s="590">
        <v>0</v>
      </c>
      <c r="H741" s="591">
        <v>0</v>
      </c>
      <c r="I741" s="591">
        <v>0</v>
      </c>
      <c r="J741" s="591">
        <v>600</v>
      </c>
      <c r="K741" s="584">
        <v>0</v>
      </c>
      <c r="L741" s="590">
        <v>0</v>
      </c>
      <c r="M741" s="584">
        <v>0</v>
      </c>
      <c r="N741" s="303">
        <v>1</v>
      </c>
      <c r="O741" s="524">
        <v>3.0248033877797946E-4</v>
      </c>
    </row>
    <row r="742" spans="1:15" ht="15" customHeight="1" x14ac:dyDescent="0.25">
      <c r="A742" s="21" t="s">
        <v>3120</v>
      </c>
      <c r="B742" s="590">
        <v>8.413777714658897</v>
      </c>
      <c r="C742" s="590">
        <v>0</v>
      </c>
      <c r="D742" s="590">
        <v>0</v>
      </c>
      <c r="E742" s="590">
        <v>0</v>
      </c>
      <c r="F742" s="590">
        <v>0</v>
      </c>
      <c r="G742" s="590">
        <v>0</v>
      </c>
      <c r="H742" s="591">
        <v>600</v>
      </c>
      <c r="I742" s="591">
        <v>0</v>
      </c>
      <c r="J742" s="591">
        <v>0</v>
      </c>
      <c r="K742" s="584">
        <v>0</v>
      </c>
      <c r="L742" s="590">
        <v>0</v>
      </c>
      <c r="M742" s="584">
        <v>0</v>
      </c>
      <c r="N742" s="303">
        <v>1</v>
      </c>
      <c r="O742" s="524">
        <v>3.0248033877797946E-4</v>
      </c>
    </row>
    <row r="743" spans="1:15" ht="15" customHeight="1" x14ac:dyDescent="0.25">
      <c r="A743" s="21" t="s">
        <v>3121</v>
      </c>
      <c r="B743" s="590">
        <v>0</v>
      </c>
      <c r="C743" s="590">
        <v>0</v>
      </c>
      <c r="D743" s="590">
        <v>0</v>
      </c>
      <c r="E743" s="590">
        <v>0</v>
      </c>
      <c r="F743" s="590">
        <v>0</v>
      </c>
      <c r="G743" s="590">
        <v>0</v>
      </c>
      <c r="H743" s="591">
        <v>1125</v>
      </c>
      <c r="I743" s="591">
        <v>117.64705882352942</v>
      </c>
      <c r="J743" s="591">
        <v>0</v>
      </c>
      <c r="K743" s="584">
        <v>0</v>
      </c>
      <c r="L743" s="590">
        <v>0</v>
      </c>
      <c r="M743" s="584">
        <v>0</v>
      </c>
      <c r="N743" s="303">
        <v>2</v>
      </c>
      <c r="O743" s="524">
        <v>6.0496067755595891E-4</v>
      </c>
    </row>
    <row r="744" spans="1:15" ht="15" customHeight="1" x14ac:dyDescent="0.25">
      <c r="A744" s="21" t="s">
        <v>3122</v>
      </c>
      <c r="B744" s="590">
        <v>11.779288800522455</v>
      </c>
      <c r="C744" s="590">
        <v>0</v>
      </c>
      <c r="D744" s="590">
        <v>0</v>
      </c>
      <c r="E744" s="590">
        <v>0</v>
      </c>
      <c r="F744" s="590">
        <v>0</v>
      </c>
      <c r="G744" s="590">
        <v>0</v>
      </c>
      <c r="H744" s="591">
        <v>220</v>
      </c>
      <c r="I744" s="591">
        <v>0</v>
      </c>
      <c r="J744" s="591">
        <v>0</v>
      </c>
      <c r="K744" s="584">
        <v>0</v>
      </c>
      <c r="L744" s="590">
        <v>0</v>
      </c>
      <c r="M744" s="584">
        <v>0</v>
      </c>
      <c r="N744" s="303">
        <v>1</v>
      </c>
      <c r="O744" s="524">
        <v>3.0248033877797946E-4</v>
      </c>
    </row>
    <row r="745" spans="1:15" ht="15" customHeight="1" x14ac:dyDescent="0.25">
      <c r="A745" s="21" t="s">
        <v>3123</v>
      </c>
      <c r="B745" s="590">
        <v>7.8528592003483029</v>
      </c>
      <c r="C745" s="590">
        <v>0</v>
      </c>
      <c r="D745" s="590">
        <v>0</v>
      </c>
      <c r="E745" s="590">
        <v>0</v>
      </c>
      <c r="F745" s="590">
        <v>0</v>
      </c>
      <c r="G745" s="590">
        <v>0</v>
      </c>
      <c r="H745" s="591">
        <v>781.25247823463496</v>
      </c>
      <c r="I745" s="591">
        <v>0</v>
      </c>
      <c r="J745" s="591">
        <v>0</v>
      </c>
      <c r="K745" s="584">
        <v>0</v>
      </c>
      <c r="L745" s="590">
        <v>0</v>
      </c>
      <c r="M745" s="584">
        <v>0</v>
      </c>
      <c r="N745" s="303">
        <v>8</v>
      </c>
      <c r="O745" s="524">
        <v>2.4198427102238356E-3</v>
      </c>
    </row>
    <row r="746" spans="1:15" ht="15" customHeight="1" x14ac:dyDescent="0.25">
      <c r="A746" s="21" t="s">
        <v>3124</v>
      </c>
      <c r="B746" s="590">
        <v>0</v>
      </c>
      <c r="C746" s="590">
        <v>0</v>
      </c>
      <c r="D746" s="590">
        <v>0</v>
      </c>
      <c r="E746" s="590">
        <v>0</v>
      </c>
      <c r="F746" s="590">
        <v>0</v>
      </c>
      <c r="G746" s="590">
        <v>0</v>
      </c>
      <c r="H746" s="591">
        <v>366.66666666666669</v>
      </c>
      <c r="I746" s="591">
        <v>0</v>
      </c>
      <c r="J746" s="591">
        <v>0</v>
      </c>
      <c r="K746" s="584">
        <v>0</v>
      </c>
      <c r="L746" s="590">
        <v>20.625</v>
      </c>
      <c r="M746" s="584">
        <v>0</v>
      </c>
      <c r="N746" s="303">
        <v>4</v>
      </c>
      <c r="O746" s="524">
        <v>1.2099213551119178E-3</v>
      </c>
    </row>
    <row r="747" spans="1:15" ht="15" customHeight="1" x14ac:dyDescent="0.25">
      <c r="A747" s="21" t="s">
        <v>3125</v>
      </c>
      <c r="B747" s="590">
        <v>0</v>
      </c>
      <c r="C747" s="590">
        <v>0</v>
      </c>
      <c r="D747" s="590">
        <v>0</v>
      </c>
      <c r="E747" s="590">
        <v>0</v>
      </c>
      <c r="F747" s="590">
        <v>0</v>
      </c>
      <c r="G747" s="590">
        <v>0</v>
      </c>
      <c r="H747" s="591">
        <v>2274.1935483870966</v>
      </c>
      <c r="I747" s="591">
        <v>0</v>
      </c>
      <c r="J747" s="591">
        <v>0</v>
      </c>
      <c r="K747" s="584">
        <v>0</v>
      </c>
      <c r="L747" s="590">
        <v>0</v>
      </c>
      <c r="M747" s="584">
        <v>0</v>
      </c>
      <c r="N747" s="303">
        <v>2</v>
      </c>
      <c r="O747" s="524">
        <v>6.0496067755595891E-4</v>
      </c>
    </row>
    <row r="748" spans="1:15" ht="15" customHeight="1" x14ac:dyDescent="0.25">
      <c r="A748" s="21" t="s">
        <v>3126</v>
      </c>
      <c r="B748" s="590">
        <v>5.0482666287953375</v>
      </c>
      <c r="C748" s="590">
        <v>0</v>
      </c>
      <c r="D748" s="590">
        <v>0</v>
      </c>
      <c r="E748" s="590">
        <v>0</v>
      </c>
      <c r="F748" s="590">
        <v>0</v>
      </c>
      <c r="G748" s="590">
        <v>0</v>
      </c>
      <c r="H748" s="591">
        <v>1038.2868267358858</v>
      </c>
      <c r="I748" s="591">
        <v>0</v>
      </c>
      <c r="J748" s="591">
        <v>0</v>
      </c>
      <c r="K748" s="584">
        <v>0</v>
      </c>
      <c r="L748" s="590">
        <v>0</v>
      </c>
      <c r="M748" s="584">
        <v>0</v>
      </c>
      <c r="N748" s="303">
        <v>1</v>
      </c>
      <c r="O748" s="524">
        <v>3.0248033877797946E-4</v>
      </c>
    </row>
    <row r="749" spans="1:15" ht="15" customHeight="1" x14ac:dyDescent="0.25">
      <c r="A749" s="21" t="s">
        <v>3127</v>
      </c>
      <c r="B749" s="590">
        <v>10.433084366177031</v>
      </c>
      <c r="C749" s="590">
        <v>0</v>
      </c>
      <c r="D749" s="590">
        <v>0</v>
      </c>
      <c r="E749" s="590">
        <v>0</v>
      </c>
      <c r="F749" s="590">
        <v>0</v>
      </c>
      <c r="G749" s="590">
        <v>0</v>
      </c>
      <c r="H749" s="591">
        <v>812.5</v>
      </c>
      <c r="I749" s="591">
        <v>75</v>
      </c>
      <c r="J749" s="591">
        <v>331.48604802076579</v>
      </c>
      <c r="K749" s="584">
        <v>0</v>
      </c>
      <c r="L749" s="590">
        <v>0</v>
      </c>
      <c r="M749" s="584">
        <v>0</v>
      </c>
      <c r="N749" s="303">
        <v>6</v>
      </c>
      <c r="O749" s="524">
        <v>1.8148820326678765E-3</v>
      </c>
    </row>
    <row r="750" spans="1:15" ht="15" customHeight="1" x14ac:dyDescent="0.25">
      <c r="A750" s="21" t="s">
        <v>3128</v>
      </c>
      <c r="B750" s="590">
        <v>5.8896444002612274</v>
      </c>
      <c r="C750" s="590">
        <v>0</v>
      </c>
      <c r="D750" s="590">
        <v>0</v>
      </c>
      <c r="E750" s="590">
        <v>0</v>
      </c>
      <c r="F750" s="590">
        <v>0</v>
      </c>
      <c r="G750" s="590">
        <v>0</v>
      </c>
      <c r="H750" s="591">
        <v>1000</v>
      </c>
      <c r="I750" s="591">
        <v>0</v>
      </c>
      <c r="J750" s="591">
        <v>400</v>
      </c>
      <c r="K750" s="584">
        <v>0</v>
      </c>
      <c r="L750" s="590">
        <v>0</v>
      </c>
      <c r="M750" s="584">
        <v>0</v>
      </c>
      <c r="N750" s="303">
        <v>3</v>
      </c>
      <c r="O750" s="524">
        <v>9.0744101633393826E-4</v>
      </c>
    </row>
    <row r="751" spans="1:15" ht="15" customHeight="1" x14ac:dyDescent="0.25">
      <c r="A751" s="21" t="s">
        <v>3129</v>
      </c>
      <c r="B751" s="590">
        <v>3.557826005055762</v>
      </c>
      <c r="C751" s="590">
        <v>0</v>
      </c>
      <c r="D751" s="590">
        <v>0</v>
      </c>
      <c r="E751" s="590">
        <v>0</v>
      </c>
      <c r="F751" s="590">
        <v>0</v>
      </c>
      <c r="G751" s="590">
        <v>0</v>
      </c>
      <c r="H751" s="591">
        <v>692.33333333333337</v>
      </c>
      <c r="I751" s="591">
        <v>40</v>
      </c>
      <c r="J751" s="591">
        <v>766.66666666666663</v>
      </c>
      <c r="K751" s="584">
        <v>3999.9999999999995</v>
      </c>
      <c r="L751" s="590">
        <v>0</v>
      </c>
      <c r="M751" s="584">
        <v>0</v>
      </c>
      <c r="N751" s="303">
        <v>11</v>
      </c>
      <c r="O751" s="524">
        <v>3.3272837265577739E-3</v>
      </c>
    </row>
    <row r="752" spans="1:15" ht="15" customHeight="1" x14ac:dyDescent="0.25">
      <c r="A752" s="525" t="s">
        <v>3130</v>
      </c>
      <c r="B752" s="592">
        <v>10.096533257590677</v>
      </c>
      <c r="C752" s="592">
        <v>0</v>
      </c>
      <c r="D752" s="592">
        <v>0</v>
      </c>
      <c r="E752" s="592">
        <v>0</v>
      </c>
      <c r="F752" s="592">
        <v>0</v>
      </c>
      <c r="G752" s="592">
        <v>26.924088686908469</v>
      </c>
      <c r="H752" s="593">
        <v>966.66666666666663</v>
      </c>
      <c r="I752" s="593">
        <v>0</v>
      </c>
      <c r="J752" s="593">
        <v>0</v>
      </c>
      <c r="K752" s="586">
        <v>0</v>
      </c>
      <c r="L752" s="592">
        <v>0</v>
      </c>
      <c r="M752" s="586">
        <v>0</v>
      </c>
      <c r="N752" s="528">
        <v>4</v>
      </c>
      <c r="O752" s="529">
        <v>1.2099213551119178E-3</v>
      </c>
    </row>
    <row r="753" spans="1:15" ht="15" customHeight="1" x14ac:dyDescent="0.25">
      <c r="A753" s="298" t="s">
        <v>3131</v>
      </c>
      <c r="B753" s="594">
        <v>6.0759756023078912</v>
      </c>
      <c r="C753" s="594">
        <v>2.6265211869382989</v>
      </c>
      <c r="D753" s="594">
        <v>0</v>
      </c>
      <c r="E753" s="594">
        <v>0</v>
      </c>
      <c r="F753" s="594">
        <v>3.9220400592795963</v>
      </c>
      <c r="G753" s="594">
        <v>15.496565541804053</v>
      </c>
      <c r="H753" s="595">
        <v>884.62163480241361</v>
      </c>
      <c r="I753" s="595">
        <v>225.62960082637676</v>
      </c>
      <c r="J753" s="595">
        <v>361.52961841284235</v>
      </c>
      <c r="K753" s="585">
        <v>210327.86885245901</v>
      </c>
      <c r="L753" s="594">
        <v>5.6712162162162159</v>
      </c>
      <c r="M753" s="585">
        <v>43118.733212189269</v>
      </c>
      <c r="N753" s="312">
        <v>3306</v>
      </c>
      <c r="O753" s="543">
        <v>1.0000000000000004</v>
      </c>
    </row>
    <row r="754" spans="1:15" ht="15" customHeight="1" x14ac:dyDescent="0.25">
      <c r="A754" s="530" t="s">
        <v>3132</v>
      </c>
      <c r="B754" s="596">
        <v>5.8962313691117316</v>
      </c>
      <c r="C754" s="596">
        <v>0.95809775371460615</v>
      </c>
      <c r="D754" s="596">
        <v>0</v>
      </c>
      <c r="E754" s="596">
        <v>0</v>
      </c>
      <c r="F754" s="596">
        <v>1.0825043279225774</v>
      </c>
      <c r="G754" s="596">
        <v>1.0240102920220158</v>
      </c>
      <c r="H754" s="597">
        <v>805.71461896724429</v>
      </c>
      <c r="I754" s="597">
        <v>87.419056857901182</v>
      </c>
      <c r="J754" s="597">
        <v>284.61939535034634</v>
      </c>
      <c r="K754" s="588">
        <v>15707.317073170732</v>
      </c>
      <c r="L754" s="596">
        <v>0.56676829268292694</v>
      </c>
      <c r="M754" s="588">
        <v>816.71738821946428</v>
      </c>
      <c r="N754" s="532">
        <v>656</v>
      </c>
      <c r="O754" s="598">
        <v>0.1984271022383545</v>
      </c>
    </row>
    <row r="756" spans="1:15" ht="15" customHeight="1" x14ac:dyDescent="0.25">
      <c r="A756" s="599" t="s">
        <v>3176</v>
      </c>
      <c r="B756" s="600">
        <v>3.3384481331362043E-2</v>
      </c>
      <c r="C756" s="600">
        <v>1.4431435093067577E-2</v>
      </c>
      <c r="D756" s="600">
        <v>0</v>
      </c>
      <c r="E756" s="600">
        <v>0</v>
      </c>
      <c r="F756" s="600">
        <v>2.1549670655382398E-2</v>
      </c>
      <c r="G756" s="601">
        <v>8.5145964515406888E-2</v>
      </c>
      <c r="H756" s="602">
        <v>4.8605584329802944</v>
      </c>
      <c r="I756" s="602">
        <v>1.2397230814636087</v>
      </c>
      <c r="J756" s="602">
        <v>1.9864264747958371</v>
      </c>
      <c r="K756" s="603">
        <v>1155.6476310574672</v>
      </c>
      <c r="L756" s="600">
        <v>3.1160528660528659E-2</v>
      </c>
      <c r="M756" s="604">
        <v>236.9161165504905</v>
      </c>
    </row>
  </sheetData>
  <mergeCells count="13">
    <mergeCell ref="N276:Y276"/>
    <mergeCell ref="A1:O1"/>
    <mergeCell ref="A4:N4"/>
    <mergeCell ref="A94:N94"/>
    <mergeCell ref="A186:E186"/>
    <mergeCell ref="I186:M186"/>
    <mergeCell ref="A666:M666"/>
    <mergeCell ref="A302:R302"/>
    <mergeCell ref="B303:G303"/>
    <mergeCell ref="M303:R303"/>
    <mergeCell ref="A392:N392"/>
    <mergeCell ref="A482:N482"/>
    <mergeCell ref="A574:N574"/>
  </mergeCells>
  <conditionalFormatting sqref="O7">
    <cfRule type="cellIs" dxfId="26" priority="11" operator="lessThan">
      <formula>$H$3</formula>
    </cfRule>
  </conditionalFormatting>
  <conditionalFormatting sqref="O8:O92">
    <cfRule type="cellIs" dxfId="25" priority="10" operator="lessThan">
      <formula>$H$3</formula>
    </cfRule>
  </conditionalFormatting>
  <conditionalFormatting sqref="O97">
    <cfRule type="cellIs" dxfId="24" priority="9" operator="lessThan">
      <formula>$H$3</formula>
    </cfRule>
  </conditionalFormatting>
  <conditionalFormatting sqref="F190:F276">
    <cfRule type="cellIs" dxfId="23" priority="7" operator="lessThan">
      <formula>$H$3</formula>
    </cfRule>
  </conditionalFormatting>
  <conditionalFormatting sqref="F189">
    <cfRule type="cellIs" dxfId="22" priority="8" operator="lessThan">
      <formula>$H$3</formula>
    </cfRule>
  </conditionalFormatting>
  <conditionalFormatting sqref="N669">
    <cfRule type="cellIs" dxfId="21" priority="6" operator="lessThan">
      <formula>$H$3</formula>
    </cfRule>
  </conditionalFormatting>
  <conditionalFormatting sqref="N670:N754">
    <cfRule type="cellIs" dxfId="20" priority="5" operator="lessThan">
      <formula>$H$3</formula>
    </cfRule>
  </conditionalFormatting>
  <conditionalFormatting sqref="S305">
    <cfRule type="cellIs" dxfId="19" priority="4" operator="lessThan">
      <formula>$H$3</formula>
    </cfRule>
  </conditionalFormatting>
  <conditionalFormatting sqref="S389:S390">
    <cfRule type="cellIs" dxfId="18" priority="3" operator="lessThan">
      <formula>$H$3</formula>
    </cfRule>
  </conditionalFormatting>
  <conditionalFormatting sqref="S306:S388">
    <cfRule type="cellIs" dxfId="17" priority="2" operator="lessThan">
      <formula>$H$3</formula>
    </cfRule>
  </conditionalFormatting>
  <conditionalFormatting sqref="B305:L388">
    <cfRule type="expression" dxfId="16" priority="1">
      <formula>$S305&lt;=$H$3</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U64"/>
  <sheetViews>
    <sheetView zoomScale="84" zoomScaleNormal="84" workbookViewId="0">
      <selection sqref="A1:E1"/>
    </sheetView>
  </sheetViews>
  <sheetFormatPr defaultColWidth="9.140625" defaultRowHeight="15" x14ac:dyDescent="0.25"/>
  <cols>
    <col min="1" max="1" width="48.85546875" customWidth="1"/>
    <col min="2" max="2" width="14.7109375" customWidth="1"/>
    <col min="3" max="4" width="11.85546875" customWidth="1"/>
    <col min="5" max="5" width="53.140625" customWidth="1"/>
    <col min="6" max="6" width="13.7109375" customWidth="1"/>
    <col min="7" max="7" width="12.5703125" customWidth="1"/>
    <col min="9" max="9" width="9.140625" customWidth="1"/>
    <col min="15" max="15" width="93.28515625" customWidth="1"/>
  </cols>
  <sheetData>
    <row r="1" spans="1:14" ht="15.75" x14ac:dyDescent="0.25">
      <c r="A1" s="932" t="s">
        <v>2069</v>
      </c>
      <c r="B1" s="932"/>
      <c r="C1" s="932"/>
      <c r="D1" s="932"/>
      <c r="E1" s="932"/>
      <c r="F1" s="83"/>
    </row>
    <row r="2" spans="1:14" ht="16.5" thickBot="1" x14ac:dyDescent="0.3">
      <c r="A2" s="15" t="s">
        <v>2070</v>
      </c>
      <c r="B2" s="15"/>
      <c r="C2" s="15" t="s">
        <v>2071</v>
      </c>
      <c r="D2" s="15" t="s">
        <v>2072</v>
      </c>
      <c r="E2" s="15" t="s">
        <v>20</v>
      </c>
      <c r="G2" s="933" t="s">
        <v>2073</v>
      </c>
      <c r="H2" s="933"/>
      <c r="I2" s="933"/>
      <c r="J2" s="933"/>
      <c r="K2" s="933"/>
      <c r="L2" s="933"/>
      <c r="M2" s="933"/>
      <c r="N2" s="933"/>
    </row>
    <row r="3" spans="1:14" ht="15.75" thickTop="1" x14ac:dyDescent="0.25">
      <c r="A3" s="2" t="s">
        <v>2074</v>
      </c>
      <c r="B3" s="2"/>
      <c r="C3" s="84">
        <v>17.3</v>
      </c>
      <c r="D3" t="s">
        <v>2075</v>
      </c>
      <c r="E3" t="s">
        <v>2076</v>
      </c>
      <c r="H3" s="85" t="s">
        <v>2077</v>
      </c>
      <c r="I3" s="86">
        <v>5.63</v>
      </c>
      <c r="J3" s="87" t="s">
        <v>2078</v>
      </c>
    </row>
    <row r="4" spans="1:14" x14ac:dyDescent="0.25">
      <c r="A4" s="2" t="s">
        <v>2079</v>
      </c>
      <c r="B4" s="2"/>
      <c r="C4" s="88">
        <f>HHVOD*2/1000</f>
        <v>16.527501810052286</v>
      </c>
      <c r="D4" t="s">
        <v>2075</v>
      </c>
      <c r="E4" t="s">
        <v>2080</v>
      </c>
      <c r="H4" s="85" t="s">
        <v>2081</v>
      </c>
      <c r="I4" s="89">
        <f>90690/14274</f>
        <v>6.3535098781000423</v>
      </c>
      <c r="J4" s="87" t="s">
        <v>2078</v>
      </c>
      <c r="N4" s="90" t="s">
        <v>2082</v>
      </c>
    </row>
    <row r="5" spans="1:14" x14ac:dyDescent="0.25">
      <c r="A5" s="2" t="s">
        <v>2083</v>
      </c>
      <c r="B5" s="2"/>
      <c r="C5" s="88">
        <f>[7]Moisture!M37*2/1000</f>
        <v>13.733826594967187</v>
      </c>
      <c r="D5" t="s">
        <v>2075</v>
      </c>
      <c r="E5" t="s">
        <v>2080</v>
      </c>
      <c r="H5" s="91"/>
      <c r="I5" s="91"/>
      <c r="J5" s="91"/>
      <c r="K5" s="91"/>
      <c r="L5" s="92" t="s">
        <v>2084</v>
      </c>
      <c r="M5" s="92" t="s">
        <v>2085</v>
      </c>
      <c r="N5" s="92" t="s">
        <v>2086</v>
      </c>
    </row>
    <row r="6" spans="1:14" x14ac:dyDescent="0.25">
      <c r="A6" s="2" t="s">
        <v>2241</v>
      </c>
      <c r="B6" s="2"/>
      <c r="C6" s="88">
        <f>[7]Moisture!M38*2/1000</f>
        <v>13.017845113712976</v>
      </c>
      <c r="D6" t="s">
        <v>2075</v>
      </c>
      <c r="E6" t="s">
        <v>2080</v>
      </c>
      <c r="H6" s="85" t="s">
        <v>2088</v>
      </c>
      <c r="I6" s="93">
        <v>14274</v>
      </c>
      <c r="J6" s="87" t="s">
        <v>2089</v>
      </c>
      <c r="K6" s="91"/>
      <c r="L6" s="90">
        <v>1</v>
      </c>
      <c r="M6" s="94">
        <v>73.946236559139791</v>
      </c>
      <c r="N6" s="95">
        <v>1.9237725625309692</v>
      </c>
    </row>
    <row r="7" spans="1:14" x14ac:dyDescent="0.25">
      <c r="A7" s="2" t="s">
        <v>2242</v>
      </c>
      <c r="B7" s="2"/>
      <c r="C7" s="88">
        <f>[7]Moisture!M35*2/1000</f>
        <v>11.004432861277188</v>
      </c>
      <c r="D7" t="s">
        <v>2075</v>
      </c>
      <c r="E7" t="s">
        <v>2080</v>
      </c>
      <c r="H7" s="85" t="s">
        <v>2091</v>
      </c>
      <c r="I7" s="96">
        <v>63.084095063985373</v>
      </c>
      <c r="J7" s="91"/>
      <c r="K7" s="91"/>
      <c r="L7" s="90">
        <v>2</v>
      </c>
      <c r="M7" s="94">
        <v>69.470588235294116</v>
      </c>
      <c r="N7" s="95">
        <v>1.807334866096399</v>
      </c>
    </row>
    <row r="8" spans="1:14" x14ac:dyDescent="0.25">
      <c r="A8" s="2" t="s">
        <v>2243</v>
      </c>
      <c r="B8" s="2"/>
      <c r="C8" s="88">
        <f>[7]Moisture!M36*2/1000</f>
        <v>10.707152503183513</v>
      </c>
      <c r="D8" t="s">
        <v>2075</v>
      </c>
      <c r="E8" t="s">
        <v>2080</v>
      </c>
      <c r="H8" s="85" t="s">
        <v>2093</v>
      </c>
      <c r="I8" s="97">
        <v>13.881967213114756</v>
      </c>
      <c r="J8" s="91"/>
      <c r="K8" s="91"/>
      <c r="L8" s="90">
        <v>3</v>
      </c>
      <c r="M8" s="94">
        <v>59.827956989247312</v>
      </c>
      <c r="N8" s="95">
        <v>1.5564738313105004</v>
      </c>
    </row>
    <row r="9" spans="1:14" x14ac:dyDescent="0.25">
      <c r="A9" s="2" t="s">
        <v>2094</v>
      </c>
      <c r="B9" s="2"/>
      <c r="C9" s="98">
        <v>125000</v>
      </c>
      <c r="D9" t="s">
        <v>2095</v>
      </c>
      <c r="E9" t="s">
        <v>2096</v>
      </c>
      <c r="H9" s="85" t="s">
        <v>2097</v>
      </c>
      <c r="I9" s="99">
        <v>38.438138686131403</v>
      </c>
      <c r="J9" s="91"/>
      <c r="K9" s="91"/>
      <c r="L9" s="90">
        <v>4</v>
      </c>
      <c r="M9" s="94">
        <v>32.068888888888885</v>
      </c>
      <c r="N9" s="95">
        <v>0.83429869356445807</v>
      </c>
    </row>
    <row r="10" spans="1:14" x14ac:dyDescent="0.25">
      <c r="A10" s="2" t="s">
        <v>2098</v>
      </c>
      <c r="C10" s="98">
        <v>138500</v>
      </c>
      <c r="D10" t="s">
        <v>2095</v>
      </c>
      <c r="E10" t="s">
        <v>2099</v>
      </c>
      <c r="H10" s="91"/>
      <c r="I10" s="91"/>
      <c r="J10" s="91"/>
      <c r="K10" s="91"/>
      <c r="L10" s="90">
        <v>5</v>
      </c>
      <c r="M10" s="94">
        <v>14.520430107526881</v>
      </c>
      <c r="N10" s="95">
        <v>0.37776101038851539</v>
      </c>
    </row>
    <row r="11" spans="1:14" x14ac:dyDescent="0.25">
      <c r="A11" s="2" t="s">
        <v>2244</v>
      </c>
      <c r="B11" s="2"/>
      <c r="C11" s="98">
        <v>132000</v>
      </c>
      <c r="D11" t="s">
        <v>2095</v>
      </c>
      <c r="E11" s="100" t="s">
        <v>2112</v>
      </c>
      <c r="H11" s="101" t="s">
        <v>2102</v>
      </c>
      <c r="I11" s="91"/>
      <c r="J11" s="91"/>
      <c r="K11" s="91"/>
      <c r="L11" s="90">
        <v>6</v>
      </c>
      <c r="M11" s="94">
        <v>6.0477777777777773</v>
      </c>
      <c r="N11" s="95">
        <v>0.15733794570963017</v>
      </c>
    </row>
    <row r="12" spans="1:14" x14ac:dyDescent="0.25">
      <c r="A12" s="2" t="s">
        <v>2103</v>
      </c>
      <c r="B12" s="2"/>
      <c r="C12" s="98">
        <f>0.57*C10+0.43*C13</f>
        <v>136995</v>
      </c>
      <c r="D12" t="s">
        <v>2095</v>
      </c>
      <c r="E12" t="s">
        <v>2104</v>
      </c>
      <c r="H12" s="91"/>
      <c r="I12" s="102" t="s">
        <v>2105</v>
      </c>
      <c r="J12" s="103" t="s">
        <v>2106</v>
      </c>
      <c r="K12" s="90"/>
      <c r="L12" s="90">
        <v>7</v>
      </c>
      <c r="M12" s="94">
        <v>4.2473118279569899</v>
      </c>
      <c r="N12" s="95">
        <v>0.11049733345931843</v>
      </c>
    </row>
    <row r="13" spans="1:14" x14ac:dyDescent="0.25">
      <c r="A13" s="2" t="s">
        <v>2107</v>
      </c>
      <c r="B13" s="2"/>
      <c r="C13" s="98">
        <v>135000</v>
      </c>
      <c r="D13" t="s">
        <v>2095</v>
      </c>
      <c r="E13" s="100" t="s">
        <v>2108</v>
      </c>
      <c r="H13" s="104" t="s">
        <v>2077</v>
      </c>
      <c r="I13" s="105">
        <v>355.16345521023766</v>
      </c>
      <c r="J13" s="106">
        <v>78.155475409836072</v>
      </c>
      <c r="K13" s="107"/>
      <c r="L13" s="90">
        <v>8</v>
      </c>
      <c r="M13" s="94">
        <v>9.1344086021505362</v>
      </c>
      <c r="N13" s="95">
        <v>0.23763920195871135</v>
      </c>
    </row>
    <row r="14" spans="1:14" x14ac:dyDescent="0.25">
      <c r="A14" s="2" t="s">
        <v>2109</v>
      </c>
      <c r="B14" s="2"/>
      <c r="C14" s="98">
        <v>91700</v>
      </c>
      <c r="D14" t="s">
        <v>2095</v>
      </c>
      <c r="E14" s="100" t="s">
        <v>2112</v>
      </c>
      <c r="H14" s="104" t="s">
        <v>2081</v>
      </c>
      <c r="I14" s="105">
        <v>400.80542114003316</v>
      </c>
      <c r="J14" s="106">
        <v>88.199215815985511</v>
      </c>
      <c r="K14" s="107"/>
      <c r="L14" s="90">
        <v>9</v>
      </c>
      <c r="M14" s="94">
        <v>17.731111111111112</v>
      </c>
      <c r="N14" s="95">
        <v>0.46128953474816797</v>
      </c>
    </row>
    <row r="15" spans="1:14" x14ac:dyDescent="0.25">
      <c r="A15" s="2" t="s">
        <v>2110</v>
      </c>
      <c r="B15" s="2"/>
      <c r="C15" s="98">
        <v>1015</v>
      </c>
      <c r="D15" t="s">
        <v>2111</v>
      </c>
      <c r="E15" s="100" t="s">
        <v>2112</v>
      </c>
      <c r="H15" s="91"/>
      <c r="I15" s="91"/>
      <c r="J15" s="91"/>
      <c r="K15" s="91"/>
      <c r="L15" s="90">
        <v>10</v>
      </c>
      <c r="M15" s="94">
        <v>42.064516129032256</v>
      </c>
      <c r="N15" s="95">
        <v>1.094343211374313</v>
      </c>
    </row>
    <row r="16" spans="1:14" x14ac:dyDescent="0.25">
      <c r="A16" s="2" t="s">
        <v>2113</v>
      </c>
      <c r="B16" s="2"/>
      <c r="C16" s="84">
        <f>7650*2000/10^6</f>
        <v>15.3</v>
      </c>
      <c r="D16" s="108" t="s">
        <v>2075</v>
      </c>
      <c r="E16" t="s">
        <v>2245</v>
      </c>
      <c r="H16" s="109" t="s">
        <v>2114</v>
      </c>
      <c r="I16" s="110">
        <v>182</v>
      </c>
      <c r="J16" s="111">
        <v>183</v>
      </c>
      <c r="K16" s="91"/>
      <c r="L16" s="90">
        <v>11</v>
      </c>
      <c r="M16" s="94">
        <v>64.677777777777777</v>
      </c>
      <c r="N16" s="95">
        <v>1.6826459341829088</v>
      </c>
    </row>
    <row r="17" spans="1:14" x14ac:dyDescent="0.25">
      <c r="A17" s="2" t="s">
        <v>13</v>
      </c>
      <c r="B17" s="2"/>
      <c r="C17" s="98">
        <v>3413</v>
      </c>
      <c r="D17" s="112" t="s">
        <v>2115</v>
      </c>
      <c r="H17" s="91"/>
      <c r="I17" s="91"/>
      <c r="J17" s="91"/>
      <c r="K17" s="91"/>
      <c r="L17" s="90">
        <v>12</v>
      </c>
      <c r="M17" s="94">
        <v>69.118279569892479</v>
      </c>
      <c r="N17" s="95">
        <v>1.7981692644974654</v>
      </c>
    </row>
    <row r="18" spans="1:14" x14ac:dyDescent="0.25">
      <c r="A18" s="113" t="s">
        <v>2116</v>
      </c>
      <c r="B18" s="113"/>
      <c r="C18" s="2"/>
      <c r="D18" s="112"/>
      <c r="F18" s="114"/>
      <c r="H18" s="85" t="s">
        <v>2117</v>
      </c>
      <c r="I18" s="93">
        <v>33441</v>
      </c>
      <c r="J18" s="101" t="s">
        <v>2118</v>
      </c>
      <c r="K18" s="91"/>
      <c r="L18" s="91"/>
      <c r="M18" s="115">
        <v>462.85528357579585</v>
      </c>
      <c r="N18" s="115">
        <v>12.041563389821357</v>
      </c>
    </row>
    <row r="19" spans="1:14" x14ac:dyDescent="0.25">
      <c r="A19" s="1" t="s">
        <v>2119</v>
      </c>
      <c r="B19" s="1"/>
      <c r="C19" s="88">
        <v>1.56</v>
      </c>
      <c r="D19" t="s">
        <v>2246</v>
      </c>
      <c r="H19" s="85" t="s">
        <v>2121</v>
      </c>
      <c r="I19" s="93">
        <v>25130</v>
      </c>
      <c r="J19" s="101" t="s">
        <v>2122</v>
      </c>
    </row>
    <row r="21" spans="1:14" ht="15.75" x14ac:dyDescent="0.25">
      <c r="A21" s="932" t="s">
        <v>2123</v>
      </c>
      <c r="B21" s="932"/>
      <c r="C21" s="932"/>
      <c r="D21" s="932"/>
      <c r="E21" s="932"/>
      <c r="F21" s="83"/>
    </row>
    <row r="23" spans="1:14" ht="15.75" thickBot="1" x14ac:dyDescent="0.3">
      <c r="A23" s="15" t="s">
        <v>2070</v>
      </c>
      <c r="B23" s="15"/>
      <c r="C23" s="15" t="s">
        <v>52</v>
      </c>
      <c r="D23" s="15" t="s">
        <v>2072</v>
      </c>
      <c r="E23" s="15" t="s">
        <v>2124</v>
      </c>
      <c r="H23" s="118"/>
      <c r="I23" s="118"/>
      <c r="J23" s="119" t="s">
        <v>2125</v>
      </c>
      <c r="K23" s="118"/>
      <c r="L23" s="118"/>
    </row>
    <row r="24" spans="1:14" ht="15.75" thickTop="1" x14ac:dyDescent="0.25">
      <c r="A24" t="str">
        <f>A4</f>
        <v>Fairbanks Wood - Oven Dry, 0% Moisture</v>
      </c>
      <c r="C24" s="120">
        <v>200</v>
      </c>
      <c r="D24" t="s">
        <v>2126</v>
      </c>
      <c r="E24" s="100" t="s">
        <v>2112</v>
      </c>
      <c r="I24" s="1" t="s">
        <v>2127</v>
      </c>
      <c r="J24" s="121">
        <v>0.98</v>
      </c>
    </row>
    <row r="25" spans="1:14" x14ac:dyDescent="0.25">
      <c r="A25" t="str">
        <f>A11</f>
        <v>Fuel Oil #1/#2 Weighted*</v>
      </c>
      <c r="C25" s="122">
        <v>2.7</v>
      </c>
      <c r="D25" t="s">
        <v>2128</v>
      </c>
      <c r="E25" s="100" t="s">
        <v>2112</v>
      </c>
      <c r="I25" s="1" t="s">
        <v>2129</v>
      </c>
      <c r="J25" s="121">
        <f>1-J24</f>
        <v>2.0000000000000018E-2</v>
      </c>
    </row>
    <row r="26" spans="1:14" x14ac:dyDescent="0.25">
      <c r="A26" t="str">
        <f>A13</f>
        <v>Kerosene</v>
      </c>
      <c r="C26" s="122">
        <f>C25</f>
        <v>2.7</v>
      </c>
      <c r="D26" t="s">
        <v>2128</v>
      </c>
      <c r="E26" t="s">
        <v>2130</v>
      </c>
    </row>
    <row r="27" spans="1:14" x14ac:dyDescent="0.25">
      <c r="A27" t="str">
        <f>A14</f>
        <v>Propane</v>
      </c>
      <c r="C27" s="122">
        <v>2.74</v>
      </c>
      <c r="D27" t="s">
        <v>2128</v>
      </c>
      <c r="E27" s="100" t="s">
        <v>2112</v>
      </c>
    </row>
    <row r="28" spans="1:14" x14ac:dyDescent="0.25">
      <c r="A28" t="str">
        <f>A15</f>
        <v>Natural Gas</v>
      </c>
      <c r="C28" s="123">
        <v>2.335</v>
      </c>
      <c r="D28" t="s">
        <v>2131</v>
      </c>
      <c r="E28" s="100" t="s">
        <v>2112</v>
      </c>
    </row>
    <row r="29" spans="1:14" x14ac:dyDescent="0.25">
      <c r="A29" t="str">
        <f>A16</f>
        <v>Coal</v>
      </c>
    </row>
    <row r="30" spans="1:14" x14ac:dyDescent="0.25">
      <c r="A30" t="str">
        <f>A17</f>
        <v>Electric</v>
      </c>
      <c r="C30" s="123">
        <v>0.18026</v>
      </c>
      <c r="D30" s="112" t="s">
        <v>2132</v>
      </c>
    </row>
    <row r="33" spans="1:21" ht="15.75" x14ac:dyDescent="0.25">
      <c r="A33" s="924" t="s">
        <v>2133</v>
      </c>
      <c r="B33" s="924"/>
      <c r="C33" s="924"/>
      <c r="D33" s="924"/>
      <c r="E33" s="924"/>
      <c r="F33" s="924"/>
      <c r="G33" s="924"/>
      <c r="H33" s="924"/>
      <c r="I33" s="924"/>
      <c r="J33" s="924"/>
      <c r="K33" s="924"/>
      <c r="L33" s="924"/>
      <c r="M33" s="924"/>
      <c r="N33" s="924"/>
      <c r="O33" s="924"/>
    </row>
    <row r="35" spans="1:21" x14ac:dyDescent="0.25">
      <c r="D35" s="2" t="s">
        <v>2134</v>
      </c>
      <c r="E35" s="2"/>
      <c r="H35" s="917" t="s">
        <v>2247</v>
      </c>
      <c r="I35" s="917"/>
      <c r="J35" s="917"/>
      <c r="K35" s="917"/>
      <c r="L35" s="917"/>
      <c r="M35" s="917"/>
      <c r="N35" s="917"/>
    </row>
    <row r="36" spans="1:21" ht="15.75" thickBot="1" x14ac:dyDescent="0.3">
      <c r="A36" s="118" t="s">
        <v>2137</v>
      </c>
      <c r="B36" s="15" t="s">
        <v>2138</v>
      </c>
      <c r="C36" s="15" t="s">
        <v>2139</v>
      </c>
      <c r="D36" s="15" t="s">
        <v>2140</v>
      </c>
      <c r="E36" s="15" t="s">
        <v>2141</v>
      </c>
      <c r="F36" s="118"/>
      <c r="G36" s="118"/>
      <c r="H36" s="15" t="s">
        <v>2143</v>
      </c>
      <c r="I36" s="15" t="s">
        <v>2144</v>
      </c>
      <c r="J36" s="15" t="s">
        <v>2145</v>
      </c>
      <c r="K36" s="15" t="s">
        <v>2146</v>
      </c>
      <c r="L36" s="15" t="s">
        <v>2147</v>
      </c>
      <c r="M36" s="15" t="s">
        <v>2148</v>
      </c>
      <c r="N36" s="15" t="s">
        <v>2149</v>
      </c>
      <c r="O36" s="118" t="s">
        <v>2150</v>
      </c>
    </row>
    <row r="37" spans="1:21" ht="15.75" thickTop="1" x14ac:dyDescent="0.25">
      <c r="A37" t="s">
        <v>2151</v>
      </c>
      <c r="B37" s="124" t="s">
        <v>2152</v>
      </c>
      <c r="C37" s="903">
        <v>2104008100</v>
      </c>
      <c r="D37" s="125">
        <v>7.0000000000000007E-2</v>
      </c>
      <c r="E37" t="s">
        <v>2153</v>
      </c>
      <c r="H37" s="139">
        <v>229</v>
      </c>
      <c r="I37" s="139">
        <v>2.6</v>
      </c>
      <c r="J37" s="139">
        <v>0.4</v>
      </c>
      <c r="K37" s="139">
        <v>34.6</v>
      </c>
      <c r="L37" s="139">
        <v>34.6</v>
      </c>
      <c r="M37" s="139">
        <v>1.8</v>
      </c>
      <c r="N37" s="139">
        <v>252.6</v>
      </c>
      <c r="O37" t="s">
        <v>2154</v>
      </c>
    </row>
    <row r="38" spans="1:21" ht="15" customHeight="1" x14ac:dyDescent="0.25">
      <c r="A38" t="s">
        <v>2155</v>
      </c>
      <c r="B38" s="124" t="s">
        <v>2156</v>
      </c>
      <c r="C38" s="903">
        <v>2104008210</v>
      </c>
      <c r="D38" s="125">
        <v>0.4</v>
      </c>
      <c r="E38" t="s">
        <v>2153</v>
      </c>
      <c r="H38" s="107">
        <v>53</v>
      </c>
      <c r="I38" s="107">
        <v>2.8</v>
      </c>
      <c r="J38" s="140">
        <v>0.4</v>
      </c>
      <c r="K38" s="140">
        <v>30.6</v>
      </c>
      <c r="L38" s="140">
        <v>30.6</v>
      </c>
      <c r="M38" s="140">
        <v>1.7</v>
      </c>
      <c r="N38" s="140">
        <v>230.8</v>
      </c>
      <c r="O38" s="129" t="s">
        <v>2157</v>
      </c>
      <c r="P38" s="129"/>
      <c r="Q38" s="129"/>
      <c r="R38" s="129"/>
      <c r="S38" s="129"/>
      <c r="T38" s="129"/>
      <c r="U38" s="129"/>
    </row>
    <row r="39" spans="1:21" x14ac:dyDescent="0.25">
      <c r="A39" t="s">
        <v>2158</v>
      </c>
      <c r="B39" s="124" t="s">
        <v>2159</v>
      </c>
      <c r="C39" s="903">
        <v>2104008220</v>
      </c>
      <c r="D39" s="125">
        <v>0.66</v>
      </c>
      <c r="E39" t="s">
        <v>2153</v>
      </c>
      <c r="H39" s="107">
        <v>12</v>
      </c>
      <c r="I39" s="107">
        <v>2</v>
      </c>
      <c r="J39" s="107">
        <v>0.4</v>
      </c>
      <c r="K39" s="107">
        <v>30.6</v>
      </c>
      <c r="L39" s="107">
        <v>30.6</v>
      </c>
      <c r="M39" s="107">
        <v>1.7</v>
      </c>
      <c r="N39" s="107">
        <v>230.8</v>
      </c>
      <c r="O39" t="s">
        <v>2157</v>
      </c>
    </row>
    <row r="40" spans="1:21" x14ac:dyDescent="0.25">
      <c r="A40" t="s">
        <v>2161</v>
      </c>
      <c r="B40" s="124" t="s">
        <v>2162</v>
      </c>
      <c r="C40" s="903">
        <v>2104008230</v>
      </c>
      <c r="D40" s="125">
        <v>0.7</v>
      </c>
      <c r="E40" t="s">
        <v>2153</v>
      </c>
      <c r="H40" s="107">
        <v>15</v>
      </c>
      <c r="I40" s="107">
        <v>2</v>
      </c>
      <c r="J40" s="107">
        <v>0.4</v>
      </c>
      <c r="K40" s="107">
        <v>13</v>
      </c>
      <c r="L40" s="107">
        <v>12</v>
      </c>
      <c r="M40" s="107">
        <v>0.9</v>
      </c>
      <c r="N40" s="107">
        <v>140.80000000000001</v>
      </c>
      <c r="O40" t="s">
        <v>2160</v>
      </c>
    </row>
    <row r="41" spans="1:21" x14ac:dyDescent="0.25">
      <c r="A41" t="s">
        <v>2164</v>
      </c>
      <c r="B41" s="124" t="s">
        <v>2165</v>
      </c>
      <c r="C41" s="903">
        <v>2104008310</v>
      </c>
      <c r="D41" s="125">
        <v>0.54</v>
      </c>
      <c r="E41" t="s">
        <v>2166</v>
      </c>
      <c r="H41" s="107">
        <v>53</v>
      </c>
      <c r="I41" s="140">
        <v>1.3873000000000002</v>
      </c>
      <c r="J41" s="107">
        <v>0.4</v>
      </c>
      <c r="K41" s="141">
        <v>11.599850441876276</v>
      </c>
      <c r="L41" s="107">
        <v>13</v>
      </c>
      <c r="M41" s="107">
        <v>0.9</v>
      </c>
      <c r="N41" s="107">
        <v>107</v>
      </c>
      <c r="O41" t="s">
        <v>2163</v>
      </c>
    </row>
    <row r="42" spans="1:21" x14ac:dyDescent="0.25">
      <c r="A42" t="s">
        <v>2168</v>
      </c>
      <c r="B42" s="124" t="s">
        <v>2169</v>
      </c>
      <c r="C42" s="903">
        <v>2104008320</v>
      </c>
      <c r="D42" s="125">
        <v>0.68</v>
      </c>
      <c r="E42" t="s">
        <v>2166</v>
      </c>
      <c r="H42" s="107">
        <v>12</v>
      </c>
      <c r="I42" s="140">
        <v>1.5369999999999999</v>
      </c>
      <c r="J42" s="107">
        <v>0.4</v>
      </c>
      <c r="K42" s="141">
        <v>7.5712440516655324</v>
      </c>
      <c r="L42" s="141">
        <v>11.599850441876276</v>
      </c>
      <c r="M42" s="128">
        <v>0.37929999999999997</v>
      </c>
      <c r="N42" s="140">
        <v>115.75999999999999</v>
      </c>
      <c r="O42" s="129" t="s">
        <v>2167</v>
      </c>
    </row>
    <row r="43" spans="1:21" x14ac:dyDescent="0.25">
      <c r="A43" t="s">
        <v>2171</v>
      </c>
      <c r="B43" s="124" t="s">
        <v>2172</v>
      </c>
      <c r="C43" s="903">
        <v>2104008330</v>
      </c>
      <c r="D43" s="125">
        <v>0.72</v>
      </c>
      <c r="E43" t="s">
        <v>2166</v>
      </c>
      <c r="H43" s="107">
        <v>15</v>
      </c>
      <c r="I43" s="140">
        <v>1.5369999999999999</v>
      </c>
      <c r="J43" s="107">
        <v>0.4</v>
      </c>
      <c r="K43" s="141">
        <v>8.4009694271905246</v>
      </c>
      <c r="L43" s="141">
        <v>7.5712440516655324</v>
      </c>
      <c r="M43" s="128">
        <v>0.23859</v>
      </c>
      <c r="N43" s="140">
        <v>118.12</v>
      </c>
      <c r="O43" s="129" t="s">
        <v>2170</v>
      </c>
    </row>
    <row r="44" spans="1:21" x14ac:dyDescent="0.25">
      <c r="A44" t="s">
        <v>2174</v>
      </c>
      <c r="B44" s="124" t="s">
        <v>2175</v>
      </c>
      <c r="C44" s="903">
        <v>2104008410</v>
      </c>
      <c r="D44" s="125">
        <v>0.56000000000000005</v>
      </c>
      <c r="E44" t="s">
        <v>2176</v>
      </c>
      <c r="H44" s="107">
        <v>2.4</v>
      </c>
      <c r="I44" s="140">
        <v>4.0039999999999996</v>
      </c>
      <c r="J44" s="142">
        <v>0.32</v>
      </c>
      <c r="K44" s="143">
        <v>2.96</v>
      </c>
      <c r="L44" s="143">
        <v>2.96</v>
      </c>
      <c r="M44" s="126">
        <v>7.1879999999999999E-2</v>
      </c>
      <c r="N44" s="140">
        <v>9.9320000000000004</v>
      </c>
      <c r="O44" s="129" t="s">
        <v>2177</v>
      </c>
    </row>
    <row r="45" spans="1:21" x14ac:dyDescent="0.25">
      <c r="A45" t="s">
        <v>2178</v>
      </c>
      <c r="B45" s="124" t="s">
        <v>2179</v>
      </c>
      <c r="C45" s="903">
        <v>2104008420</v>
      </c>
      <c r="D45" s="125">
        <v>0.78</v>
      </c>
      <c r="E45" t="s">
        <v>2180</v>
      </c>
      <c r="H45" s="107">
        <v>2.4</v>
      </c>
      <c r="I45" s="140">
        <v>4.0039999999999996</v>
      </c>
      <c r="J45" s="142">
        <v>0.32</v>
      </c>
      <c r="K45" s="143">
        <v>2.96</v>
      </c>
      <c r="L45" s="143">
        <v>2.96</v>
      </c>
      <c r="M45" s="126">
        <v>7.1879999999999999E-2</v>
      </c>
      <c r="N45" s="140">
        <v>9.9320000000000004</v>
      </c>
      <c r="O45" s="129" t="s">
        <v>2177</v>
      </c>
    </row>
    <row r="46" spans="1:21" x14ac:dyDescent="0.25">
      <c r="A46" t="s">
        <v>2181</v>
      </c>
      <c r="B46" s="124" t="s">
        <v>2182</v>
      </c>
      <c r="C46" s="903">
        <v>2104008610</v>
      </c>
      <c r="D46" s="125">
        <v>0.43</v>
      </c>
      <c r="E46" t="s">
        <v>2183</v>
      </c>
      <c r="H46" s="144">
        <v>45.400000000000006</v>
      </c>
      <c r="I46" s="145">
        <v>1.5407200000000001</v>
      </c>
      <c r="J46" s="144">
        <v>0.40000000000000008</v>
      </c>
      <c r="K46" s="143">
        <v>9.4294194425560836</v>
      </c>
      <c r="L46" s="143">
        <v>9.4294194425560836</v>
      </c>
      <c r="M46" s="126">
        <v>0.23287400000000003</v>
      </c>
      <c r="N46" s="145">
        <v>57.866</v>
      </c>
      <c r="O46" t="s">
        <v>2184</v>
      </c>
    </row>
    <row r="47" spans="1:21" x14ac:dyDescent="0.25">
      <c r="A47" t="s">
        <v>2185</v>
      </c>
      <c r="B47" s="124" t="s">
        <v>2186</v>
      </c>
      <c r="C47" s="903">
        <v>2104008610</v>
      </c>
      <c r="D47" s="125">
        <v>0.43</v>
      </c>
      <c r="E47" t="s">
        <v>2183</v>
      </c>
      <c r="H47" s="144">
        <v>53</v>
      </c>
      <c r="I47" s="145">
        <v>1.4100000000000001</v>
      </c>
      <c r="J47" s="144">
        <v>0.4</v>
      </c>
      <c r="K47" s="141">
        <v>10.552753229095853</v>
      </c>
      <c r="L47" s="141">
        <v>10.552753229095853</v>
      </c>
      <c r="M47" s="128">
        <v>0.2611</v>
      </c>
      <c r="N47" s="145">
        <v>52.83</v>
      </c>
      <c r="O47" s="129" t="s">
        <v>2187</v>
      </c>
    </row>
    <row r="48" spans="1:21" x14ac:dyDescent="0.25">
      <c r="A48" t="s">
        <v>2188</v>
      </c>
      <c r="B48" t="s">
        <v>2189</v>
      </c>
      <c r="C48" s="903">
        <v>2104008610</v>
      </c>
      <c r="D48" s="125">
        <v>0.43</v>
      </c>
      <c r="E48" t="s">
        <v>2183</v>
      </c>
      <c r="H48" s="144">
        <v>12</v>
      </c>
      <c r="I48" s="145">
        <v>2.0636000000000001</v>
      </c>
      <c r="J48" s="144">
        <v>0.4</v>
      </c>
      <c r="K48" s="141">
        <v>9.2982053025152975</v>
      </c>
      <c r="L48" s="141">
        <v>9.2982053025152975</v>
      </c>
      <c r="M48" s="128">
        <v>0.11996999999999999</v>
      </c>
      <c r="N48" s="145">
        <v>102.65241121495326</v>
      </c>
      <c r="O48" s="129" t="s">
        <v>2190</v>
      </c>
    </row>
    <row r="49" spans="1:15" x14ac:dyDescent="0.25">
      <c r="A49" t="s">
        <v>2191</v>
      </c>
      <c r="B49" t="s">
        <v>2192</v>
      </c>
      <c r="C49" s="903">
        <v>2104008640</v>
      </c>
      <c r="D49" s="125">
        <v>0.43</v>
      </c>
      <c r="E49" t="s">
        <v>2183</v>
      </c>
      <c r="H49" s="144">
        <v>15</v>
      </c>
      <c r="I49" s="145">
        <v>2.0636000000000001</v>
      </c>
      <c r="J49" s="144">
        <v>0.4</v>
      </c>
      <c r="K49" s="141">
        <v>4.9360842963970093</v>
      </c>
      <c r="L49" s="141">
        <v>4.9360842963970093</v>
      </c>
      <c r="M49" s="128">
        <v>0.11996999999999999</v>
      </c>
      <c r="N49" s="146">
        <v>78.009999999999991</v>
      </c>
      <c r="O49" s="129" t="s">
        <v>2190</v>
      </c>
    </row>
    <row r="51" spans="1:15" x14ac:dyDescent="0.25">
      <c r="C51" s="903"/>
      <c r="D51" s="903"/>
      <c r="F51" s="107"/>
      <c r="G51" s="107"/>
      <c r="H51" s="107"/>
      <c r="I51" s="107"/>
      <c r="J51" s="107"/>
      <c r="K51" s="107"/>
    </row>
    <row r="52" spans="1:15" x14ac:dyDescent="0.25">
      <c r="B52">
        <v>0.37371119254342183</v>
      </c>
      <c r="D52" s="903" t="s">
        <v>2134</v>
      </c>
      <c r="E52" s="903" t="s">
        <v>2140</v>
      </c>
      <c r="G52" s="903" t="s">
        <v>32</v>
      </c>
      <c r="H52" s="917" t="s">
        <v>2248</v>
      </c>
      <c r="I52" s="917"/>
      <c r="J52" s="917"/>
      <c r="K52" s="917"/>
      <c r="L52" s="917"/>
      <c r="M52" s="917"/>
      <c r="N52" s="917"/>
    </row>
    <row r="53" spans="1:15" ht="15.75" thickBot="1" x14ac:dyDescent="0.3">
      <c r="A53" s="118" t="s">
        <v>2194</v>
      </c>
      <c r="B53" s="15">
        <v>0.47942687743792278</v>
      </c>
      <c r="C53" s="15" t="s">
        <v>2139</v>
      </c>
      <c r="D53" s="15" t="s">
        <v>2140</v>
      </c>
      <c r="E53" s="15" t="s">
        <v>2124</v>
      </c>
      <c r="F53" s="15" t="s">
        <v>2070</v>
      </c>
      <c r="G53" s="15" t="s">
        <v>2072</v>
      </c>
      <c r="H53" s="15" t="s">
        <v>2143</v>
      </c>
      <c r="I53" s="15" t="s">
        <v>2144</v>
      </c>
      <c r="J53" s="15" t="s">
        <v>2145</v>
      </c>
      <c r="K53" s="15" t="s">
        <v>2146</v>
      </c>
      <c r="L53" s="15" t="s">
        <v>2147</v>
      </c>
      <c r="M53" s="15" t="s">
        <v>2148</v>
      </c>
      <c r="N53" s="15" t="s">
        <v>2149</v>
      </c>
      <c r="O53" s="118" t="s">
        <v>2150</v>
      </c>
    </row>
    <row r="54" spans="1:15" ht="15.75" thickTop="1" x14ac:dyDescent="0.25">
      <c r="A54" t="s">
        <v>2195</v>
      </c>
      <c r="B54" s="124">
        <v>0.14686193001865552</v>
      </c>
      <c r="C54" s="903">
        <v>2104004000</v>
      </c>
      <c r="D54" s="125">
        <v>0.81</v>
      </c>
      <c r="E54" t="s">
        <v>2197</v>
      </c>
      <c r="F54" s="903" t="s">
        <v>2198</v>
      </c>
      <c r="G54" s="903" t="s">
        <v>2199</v>
      </c>
      <c r="H54">
        <v>0.71299999999999986</v>
      </c>
      <c r="I54" s="140">
        <v>11.171409037354209</v>
      </c>
      <c r="J54" s="143">
        <v>28.902578831599335</v>
      </c>
      <c r="K54" s="126">
        <v>0.45659709961938183</v>
      </c>
      <c r="L54" s="126">
        <v>0.45659709961938183</v>
      </c>
      <c r="M54" s="126">
        <v>2.4496434394579839E-2</v>
      </c>
      <c r="N54" s="126">
        <v>0.44784565521001035</v>
      </c>
      <c r="O54" s="129" t="s">
        <v>2200</v>
      </c>
    </row>
    <row r="55" spans="1:15" x14ac:dyDescent="0.25">
      <c r="A55" t="s">
        <v>2201</v>
      </c>
      <c r="B55" s="124" t="s">
        <v>2202</v>
      </c>
      <c r="C55" s="903">
        <v>2104004000</v>
      </c>
      <c r="D55" s="125">
        <v>0.81</v>
      </c>
      <c r="E55" t="s">
        <v>2197</v>
      </c>
      <c r="F55" s="903" t="s">
        <v>2094</v>
      </c>
      <c r="G55" s="903" t="s">
        <v>2199</v>
      </c>
      <c r="H55">
        <v>0.71299999999999986</v>
      </c>
      <c r="I55" s="140">
        <v>11.171409037354209</v>
      </c>
      <c r="J55" s="143">
        <v>12.7232</v>
      </c>
      <c r="K55" s="126">
        <v>0.45659709961938183</v>
      </c>
      <c r="L55" s="126">
        <v>0.45659709961938183</v>
      </c>
      <c r="M55" s="126">
        <v>2.4496434394579839E-2</v>
      </c>
      <c r="N55" s="126">
        <v>0.44784565521001035</v>
      </c>
      <c r="O55" s="129" t="s">
        <v>2200</v>
      </c>
    </row>
    <row r="56" spans="1:15" x14ac:dyDescent="0.25">
      <c r="A56" t="s">
        <v>2203</v>
      </c>
      <c r="B56" s="124" t="s">
        <v>2204</v>
      </c>
      <c r="C56" s="903">
        <v>2104004000</v>
      </c>
      <c r="D56" s="125">
        <v>0.81</v>
      </c>
      <c r="E56" t="s">
        <v>2197</v>
      </c>
      <c r="F56" s="903" t="s">
        <v>2098</v>
      </c>
      <c r="G56" s="903" t="s">
        <v>2199</v>
      </c>
      <c r="H56">
        <v>0.71299999999999986</v>
      </c>
      <c r="I56" s="140">
        <v>11.171409037354209</v>
      </c>
      <c r="J56" s="143">
        <v>36.437199999999997</v>
      </c>
      <c r="K56" s="126">
        <v>0.45659709961938183</v>
      </c>
      <c r="L56" s="126">
        <v>0.45659709961938183</v>
      </c>
      <c r="M56" s="126">
        <v>2.4496434394579839E-2</v>
      </c>
      <c r="N56" s="126">
        <v>0.44784565521001035</v>
      </c>
      <c r="O56" s="129" t="s">
        <v>2200</v>
      </c>
    </row>
    <row r="57" spans="1:15" x14ac:dyDescent="0.25">
      <c r="A57" t="s">
        <v>2205</v>
      </c>
      <c r="B57" s="124" t="s">
        <v>2206</v>
      </c>
      <c r="C57" s="903" t="s">
        <v>2207</v>
      </c>
      <c r="D57" s="125">
        <v>0.81</v>
      </c>
      <c r="E57" t="s">
        <v>2197</v>
      </c>
      <c r="F57" s="903" t="s">
        <v>2098</v>
      </c>
      <c r="G57" s="903" t="s">
        <v>2199</v>
      </c>
      <c r="H57">
        <v>0.71299999999999986</v>
      </c>
      <c r="I57">
        <v>18</v>
      </c>
      <c r="J57" s="143">
        <v>12.7232</v>
      </c>
      <c r="K57" s="126">
        <v>0.45659709961938183</v>
      </c>
      <c r="L57" s="126">
        <v>0.45659709961938183</v>
      </c>
      <c r="M57" s="126">
        <v>2.4496434394579839E-2</v>
      </c>
      <c r="N57" s="126">
        <v>0.44784565521001035</v>
      </c>
      <c r="O57" s="129" t="s">
        <v>2208</v>
      </c>
    </row>
    <row r="58" spans="1:15" x14ac:dyDescent="0.25">
      <c r="A58" t="s">
        <v>2209</v>
      </c>
      <c r="B58" s="124" t="s">
        <v>2210</v>
      </c>
      <c r="C58" s="903">
        <v>2104004000</v>
      </c>
      <c r="D58" s="125">
        <v>0.81</v>
      </c>
      <c r="F58" s="903" t="s">
        <v>2211</v>
      </c>
      <c r="G58" s="903" t="s">
        <v>2199</v>
      </c>
      <c r="H58">
        <v>0.71299999999999986</v>
      </c>
      <c r="I58">
        <v>18</v>
      </c>
      <c r="J58" s="143">
        <v>28.902578831599335</v>
      </c>
      <c r="K58">
        <v>0.4</v>
      </c>
      <c r="L58">
        <v>0.4</v>
      </c>
      <c r="M58" s="126">
        <v>2.4496434394579839E-2</v>
      </c>
      <c r="N58" s="140">
        <v>0.44784565521001035</v>
      </c>
      <c r="O58" s="129" t="s">
        <v>2212</v>
      </c>
    </row>
    <row r="59" spans="1:15" x14ac:dyDescent="0.25">
      <c r="A59" t="s">
        <v>2213</v>
      </c>
      <c r="B59" s="124" t="s">
        <v>2214</v>
      </c>
      <c r="C59" s="903">
        <v>2104004000</v>
      </c>
      <c r="D59" s="125">
        <v>0.81</v>
      </c>
      <c r="F59" s="903" t="s">
        <v>2094</v>
      </c>
      <c r="G59" s="903" t="s">
        <v>2199</v>
      </c>
      <c r="H59">
        <v>0.71299999999999986</v>
      </c>
      <c r="I59" s="107">
        <v>11.171409037354209</v>
      </c>
      <c r="J59" s="143">
        <v>28.902578831599335</v>
      </c>
      <c r="K59" s="107">
        <v>0.45659709961938183</v>
      </c>
      <c r="L59" s="107">
        <v>0.45659709961938183</v>
      </c>
      <c r="M59" s="126">
        <v>2.4496434394579839E-2</v>
      </c>
      <c r="N59" s="140">
        <v>0.44784565521001035</v>
      </c>
      <c r="O59" s="129" t="s">
        <v>2215</v>
      </c>
    </row>
    <row r="60" spans="1:15" x14ac:dyDescent="0.25">
      <c r="A60" t="s">
        <v>2216</v>
      </c>
      <c r="B60" s="124" t="s">
        <v>2217</v>
      </c>
      <c r="C60" s="903">
        <v>2104006010</v>
      </c>
      <c r="D60" s="125">
        <v>0.81</v>
      </c>
      <c r="F60" s="903" t="s">
        <v>2110</v>
      </c>
      <c r="G60" s="903" t="s">
        <v>2218</v>
      </c>
      <c r="H60">
        <v>5.5</v>
      </c>
      <c r="I60">
        <v>94</v>
      </c>
      <c r="J60">
        <v>0.6</v>
      </c>
      <c r="K60">
        <v>7.6</v>
      </c>
      <c r="L60">
        <v>7.6</v>
      </c>
      <c r="M60">
        <v>20</v>
      </c>
      <c r="N60">
        <v>40</v>
      </c>
      <c r="O60" t="s">
        <v>2219</v>
      </c>
    </row>
    <row r="61" spans="1:15" x14ac:dyDescent="0.25">
      <c r="A61" t="s">
        <v>2220</v>
      </c>
      <c r="B61" s="124" t="s">
        <v>2221</v>
      </c>
      <c r="C61" s="903">
        <v>2103006000</v>
      </c>
      <c r="D61" s="125">
        <v>0.81</v>
      </c>
      <c r="F61" s="903" t="s">
        <v>2110</v>
      </c>
      <c r="G61" s="903" t="s">
        <v>2218</v>
      </c>
      <c r="H61">
        <v>5.5</v>
      </c>
      <c r="I61">
        <v>100</v>
      </c>
      <c r="J61">
        <v>0.6</v>
      </c>
      <c r="K61">
        <v>7.6</v>
      </c>
      <c r="L61">
        <v>7.6</v>
      </c>
      <c r="M61">
        <v>20</v>
      </c>
      <c r="N61">
        <v>40</v>
      </c>
      <c r="O61" t="s">
        <v>2219</v>
      </c>
    </row>
    <row r="62" spans="1:15" x14ac:dyDescent="0.25">
      <c r="A62" t="s">
        <v>2222</v>
      </c>
      <c r="B62" s="124" t="s">
        <v>2223</v>
      </c>
      <c r="C62" s="903">
        <v>2104002000</v>
      </c>
      <c r="D62" s="125">
        <v>0.43</v>
      </c>
      <c r="E62" t="s">
        <v>2224</v>
      </c>
      <c r="F62" s="903" t="s">
        <v>2113</v>
      </c>
      <c r="G62" s="903" t="s">
        <v>2225</v>
      </c>
      <c r="H62">
        <v>10</v>
      </c>
      <c r="I62" s="140">
        <v>4.72</v>
      </c>
      <c r="J62">
        <v>9.2999999999999989</v>
      </c>
      <c r="K62" s="140">
        <v>7.99</v>
      </c>
      <c r="L62" s="140">
        <v>7.99</v>
      </c>
      <c r="M62" s="126">
        <v>1.2659500000000001</v>
      </c>
      <c r="N62" s="140">
        <v>130.57499999999999</v>
      </c>
      <c r="O62" s="129" t="s">
        <v>2226</v>
      </c>
    </row>
    <row r="63" spans="1:15" x14ac:dyDescent="0.25">
      <c r="A63" t="s">
        <v>2227</v>
      </c>
      <c r="B63" s="124" t="s">
        <v>2228</v>
      </c>
      <c r="C63" s="903" t="s">
        <v>2229</v>
      </c>
      <c r="D63" s="903" t="s">
        <v>65</v>
      </c>
      <c r="F63" s="903" t="s">
        <v>2098</v>
      </c>
      <c r="G63" s="903" t="s">
        <v>2199</v>
      </c>
      <c r="H63">
        <v>1</v>
      </c>
      <c r="I63" s="140">
        <v>52.204942662607912</v>
      </c>
      <c r="J63" s="143">
        <v>36.965231681498452</v>
      </c>
      <c r="K63" s="140">
        <v>5.2041826490027239</v>
      </c>
      <c r="L63" s="140">
        <v>5.2041826490027239</v>
      </c>
      <c r="M63" s="126">
        <v>3.6382673922281721E-2</v>
      </c>
      <c r="N63" s="140">
        <v>12.427898863290086</v>
      </c>
      <c r="O63" s="129" t="s">
        <v>2230</v>
      </c>
    </row>
    <row r="64" spans="1:15" x14ac:dyDescent="0.25">
      <c r="A64" t="s">
        <v>2231</v>
      </c>
      <c r="B64" t="s">
        <v>65</v>
      </c>
      <c r="C64" s="903" t="s">
        <v>65</v>
      </c>
      <c r="D64" s="903" t="s">
        <v>65</v>
      </c>
    </row>
  </sheetData>
  <mergeCells count="6">
    <mergeCell ref="H52:N52"/>
    <mergeCell ref="A1:E1"/>
    <mergeCell ref="G2:N2"/>
    <mergeCell ref="A21:E21"/>
    <mergeCell ref="A33:O33"/>
    <mergeCell ref="H35:N35"/>
  </mergeCells>
  <hyperlinks>
    <hyperlink ref="E13" r:id="rId1"/>
    <hyperlink ref="E14:E15" r:id="rId2" display="http://www.fngas.com/calculate.html"/>
    <hyperlink ref="E24" r:id="rId3"/>
    <hyperlink ref="E11" r:id="rId4"/>
  </hyperlinks>
  <pageMargins left="0.7" right="0.7" top="0.75" bottom="0.75" header="0.3" footer="0.3"/>
  <pageSetup orientation="portrait" r:id="rId5"/>
  <legacyDrawing r:id="rId6"/>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pageSetUpPr fitToPage="1"/>
  </sheetPr>
  <dimension ref="A1:P64"/>
  <sheetViews>
    <sheetView workbookViewId="0">
      <selection sqref="A1:E1"/>
    </sheetView>
  </sheetViews>
  <sheetFormatPr defaultColWidth="9.140625" defaultRowHeight="15" x14ac:dyDescent="0.25"/>
  <cols>
    <col min="1" max="1" width="48.85546875" customWidth="1"/>
    <col min="2" max="2" width="14.85546875" customWidth="1"/>
    <col min="3" max="4" width="11.85546875" customWidth="1"/>
    <col min="5" max="5" width="53.140625" customWidth="1"/>
    <col min="6" max="6" width="13.7109375" customWidth="1"/>
    <col min="7" max="7" width="12.5703125" customWidth="1"/>
    <col min="9" max="9" width="9.140625" customWidth="1"/>
    <col min="15" max="15" width="93.28515625" customWidth="1"/>
    <col min="16" max="16" width="11.7109375" customWidth="1"/>
  </cols>
  <sheetData>
    <row r="1" spans="1:14" ht="15.75" x14ac:dyDescent="0.25">
      <c r="A1" s="932" t="s">
        <v>2069</v>
      </c>
      <c r="B1" s="932"/>
      <c r="C1" s="932"/>
      <c r="D1" s="932"/>
      <c r="E1" s="932"/>
      <c r="F1" s="83"/>
    </row>
    <row r="2" spans="1:14" ht="16.5" thickBot="1" x14ac:dyDescent="0.3">
      <c r="A2" s="15" t="s">
        <v>2070</v>
      </c>
      <c r="B2" s="15"/>
      <c r="C2" s="15" t="s">
        <v>2071</v>
      </c>
      <c r="D2" s="15" t="s">
        <v>2072</v>
      </c>
      <c r="E2" s="15" t="s">
        <v>20</v>
      </c>
      <c r="G2" s="933" t="s">
        <v>2073</v>
      </c>
      <c r="H2" s="933"/>
      <c r="I2" s="933"/>
      <c r="J2" s="933"/>
      <c r="K2" s="933"/>
      <c r="L2" s="933"/>
      <c r="M2" s="933"/>
      <c r="N2" s="933"/>
    </row>
    <row r="3" spans="1:14" ht="15.75" thickTop="1" x14ac:dyDescent="0.25">
      <c r="A3" s="2" t="s">
        <v>2074</v>
      </c>
      <c r="B3" s="2"/>
      <c r="C3" s="84">
        <v>17.3</v>
      </c>
      <c r="D3" t="s">
        <v>2075</v>
      </c>
      <c r="E3" t="s">
        <v>2076</v>
      </c>
      <c r="H3" s="85" t="s">
        <v>2077</v>
      </c>
      <c r="I3" s="86">
        <v>5.63</v>
      </c>
      <c r="J3" s="87" t="s">
        <v>2078</v>
      </c>
    </row>
    <row r="4" spans="1:14" x14ac:dyDescent="0.25">
      <c r="A4" s="2" t="s">
        <v>2079</v>
      </c>
      <c r="B4" s="2"/>
      <c r="C4" s="84">
        <f>HHVOD*2/1000</f>
        <v>16.527501810052286</v>
      </c>
      <c r="D4" t="s">
        <v>2075</v>
      </c>
      <c r="E4" t="s">
        <v>2080</v>
      </c>
      <c r="H4" s="85" t="s">
        <v>2081</v>
      </c>
      <c r="I4" s="89">
        <f>90690/14274</f>
        <v>6.3535098781000423</v>
      </c>
      <c r="J4" s="87" t="s">
        <v>2078</v>
      </c>
      <c r="N4" s="90" t="s">
        <v>2082</v>
      </c>
    </row>
    <row r="5" spans="1:14" x14ac:dyDescent="0.25">
      <c r="A5" s="2" t="s">
        <v>2083</v>
      </c>
      <c r="B5" s="2"/>
      <c r="C5" s="84">
        <f>[7]Moisture!M37*2/1000</f>
        <v>13.733826594967187</v>
      </c>
      <c r="D5" t="s">
        <v>2075</v>
      </c>
      <c r="E5" t="s">
        <v>2080</v>
      </c>
      <c r="H5" s="91"/>
      <c r="I5" s="91"/>
      <c r="J5" s="91"/>
      <c r="K5" s="91"/>
      <c r="L5" s="92" t="s">
        <v>2084</v>
      </c>
      <c r="M5" s="92" t="s">
        <v>2085</v>
      </c>
      <c r="N5" s="92" t="s">
        <v>2086</v>
      </c>
    </row>
    <row r="6" spans="1:14" x14ac:dyDescent="0.25">
      <c r="A6" s="2" t="s">
        <v>2241</v>
      </c>
      <c r="B6" s="2"/>
      <c r="C6" s="84">
        <f>[7]Moisture!M38*2/1000</f>
        <v>13.017845113712976</v>
      </c>
      <c r="D6" t="s">
        <v>2075</v>
      </c>
      <c r="E6" t="s">
        <v>2080</v>
      </c>
      <c r="H6" s="85" t="s">
        <v>2088</v>
      </c>
      <c r="I6" s="93">
        <v>14274</v>
      </c>
      <c r="J6" s="87" t="s">
        <v>2089</v>
      </c>
      <c r="K6" s="91"/>
      <c r="L6" s="90">
        <v>1</v>
      </c>
      <c r="M6" s="94">
        <v>73.946236559139791</v>
      </c>
      <c r="N6" s="95">
        <v>1.9237725625309692</v>
      </c>
    </row>
    <row r="7" spans="1:14" x14ac:dyDescent="0.25">
      <c r="A7" s="2" t="s">
        <v>2242</v>
      </c>
      <c r="B7" s="2"/>
      <c r="C7" s="84">
        <f>[7]Moisture!M35*2/1000</f>
        <v>11.004432861277188</v>
      </c>
      <c r="D7" t="s">
        <v>2075</v>
      </c>
      <c r="E7" t="s">
        <v>2080</v>
      </c>
      <c r="H7" s="85" t="s">
        <v>2091</v>
      </c>
      <c r="I7" s="96">
        <v>63.084095063985373</v>
      </c>
      <c r="J7" s="91"/>
      <c r="K7" s="91"/>
      <c r="L7" s="90">
        <v>2</v>
      </c>
      <c r="M7" s="94">
        <v>69.470588235294116</v>
      </c>
      <c r="N7" s="95">
        <v>1.807334866096399</v>
      </c>
    </row>
    <row r="8" spans="1:14" x14ac:dyDescent="0.25">
      <c r="A8" s="2" t="s">
        <v>2243</v>
      </c>
      <c r="B8" s="2"/>
      <c r="C8" s="84">
        <f>[7]Moisture!M36*2/1000</f>
        <v>10.707152503183513</v>
      </c>
      <c r="D8" t="s">
        <v>2075</v>
      </c>
      <c r="E8" t="s">
        <v>2080</v>
      </c>
      <c r="H8" s="85" t="s">
        <v>2093</v>
      </c>
      <c r="I8" s="97">
        <v>13.881967213114756</v>
      </c>
      <c r="J8" s="91"/>
      <c r="K8" s="91"/>
      <c r="L8" s="90">
        <v>3</v>
      </c>
      <c r="M8" s="94">
        <v>59.827956989247312</v>
      </c>
      <c r="N8" s="95">
        <v>1.5564738313105004</v>
      </c>
    </row>
    <row r="9" spans="1:14" x14ac:dyDescent="0.25">
      <c r="A9" s="2" t="s">
        <v>2094</v>
      </c>
      <c r="B9" s="2"/>
      <c r="C9" s="98">
        <v>125000</v>
      </c>
      <c r="D9" t="s">
        <v>2095</v>
      </c>
      <c r="E9" t="s">
        <v>2096</v>
      </c>
      <c r="H9" s="85" t="s">
        <v>2097</v>
      </c>
      <c r="I9" s="99">
        <v>38.438138686131403</v>
      </c>
      <c r="J9" s="91"/>
      <c r="K9" s="91"/>
      <c r="L9" s="90">
        <v>4</v>
      </c>
      <c r="M9" s="94">
        <v>32.068888888888885</v>
      </c>
      <c r="N9" s="95">
        <v>0.83429869356445807</v>
      </c>
    </row>
    <row r="10" spans="1:14" x14ac:dyDescent="0.25">
      <c r="A10" s="2" t="s">
        <v>2098</v>
      </c>
      <c r="C10" s="98">
        <v>138500</v>
      </c>
      <c r="D10" t="s">
        <v>2095</v>
      </c>
      <c r="E10" t="s">
        <v>2099</v>
      </c>
      <c r="H10" s="91"/>
      <c r="I10" s="91"/>
      <c r="J10" s="91"/>
      <c r="K10" s="91"/>
      <c r="L10" s="90">
        <v>5</v>
      </c>
      <c r="M10" s="94">
        <v>14.520430107526881</v>
      </c>
      <c r="N10" s="95">
        <v>0.37776101038851539</v>
      </c>
    </row>
    <row r="11" spans="1:14" x14ac:dyDescent="0.25">
      <c r="A11" s="2" t="s">
        <v>2244</v>
      </c>
      <c r="B11" s="2"/>
      <c r="C11" s="98">
        <v>132000</v>
      </c>
      <c r="D11" t="s">
        <v>2095</v>
      </c>
      <c r="E11" s="100" t="s">
        <v>2112</v>
      </c>
      <c r="H11" s="101" t="s">
        <v>2102</v>
      </c>
      <c r="I11" s="91"/>
      <c r="J11" s="91"/>
      <c r="K11" s="91"/>
      <c r="L11" s="90">
        <v>6</v>
      </c>
      <c r="M11" s="94">
        <v>6.0477777777777773</v>
      </c>
      <c r="N11" s="95">
        <v>0.15733794570963017</v>
      </c>
    </row>
    <row r="12" spans="1:14" x14ac:dyDescent="0.25">
      <c r="A12" s="2" t="s">
        <v>2103</v>
      </c>
      <c r="B12" s="2"/>
      <c r="C12" s="98">
        <f>0.57*C10+0.43*C13</f>
        <v>136995</v>
      </c>
      <c r="D12" t="s">
        <v>2095</v>
      </c>
      <c r="E12" t="s">
        <v>2104</v>
      </c>
      <c r="H12" s="91"/>
      <c r="I12" s="102" t="s">
        <v>2105</v>
      </c>
      <c r="J12" s="103" t="s">
        <v>2106</v>
      </c>
      <c r="K12" s="90"/>
      <c r="L12" s="90">
        <v>7</v>
      </c>
      <c r="M12" s="94">
        <v>4.2473118279569899</v>
      </c>
      <c r="N12" s="95">
        <v>0.11049733345931843</v>
      </c>
    </row>
    <row r="13" spans="1:14" x14ac:dyDescent="0.25">
      <c r="A13" s="2" t="s">
        <v>2107</v>
      </c>
      <c r="B13" s="2"/>
      <c r="C13" s="98">
        <v>135000</v>
      </c>
      <c r="D13" t="s">
        <v>2095</v>
      </c>
      <c r="E13" s="100" t="s">
        <v>2108</v>
      </c>
      <c r="H13" s="104" t="s">
        <v>2077</v>
      </c>
      <c r="I13" s="105">
        <v>355.16345521023766</v>
      </c>
      <c r="J13" s="106">
        <v>78.155475409836072</v>
      </c>
      <c r="K13" s="107"/>
      <c r="L13" s="90">
        <v>8</v>
      </c>
      <c r="M13" s="94">
        <v>9.1344086021505362</v>
      </c>
      <c r="N13" s="95">
        <v>0.23763920195871135</v>
      </c>
    </row>
    <row r="14" spans="1:14" x14ac:dyDescent="0.25">
      <c r="A14" s="2" t="s">
        <v>2109</v>
      </c>
      <c r="B14" s="2"/>
      <c r="C14" s="98">
        <v>91700</v>
      </c>
      <c r="D14" t="s">
        <v>2095</v>
      </c>
      <c r="E14" s="100" t="s">
        <v>2112</v>
      </c>
      <c r="H14" s="104" t="s">
        <v>2081</v>
      </c>
      <c r="I14" s="105">
        <v>400.80542114003316</v>
      </c>
      <c r="J14" s="106">
        <v>88.199215815985511</v>
      </c>
      <c r="K14" s="107"/>
      <c r="L14" s="90">
        <v>9</v>
      </c>
      <c r="M14" s="94">
        <v>17.731111111111112</v>
      </c>
      <c r="N14" s="95">
        <v>0.46128953474816797</v>
      </c>
    </row>
    <row r="15" spans="1:14" x14ac:dyDescent="0.25">
      <c r="A15" s="2" t="s">
        <v>2110</v>
      </c>
      <c r="B15" s="2"/>
      <c r="C15" s="98">
        <v>1015</v>
      </c>
      <c r="D15" t="s">
        <v>2111</v>
      </c>
      <c r="E15" s="100" t="s">
        <v>2112</v>
      </c>
      <c r="H15" s="91"/>
      <c r="I15" s="91"/>
      <c r="J15" s="91"/>
      <c r="K15" s="91"/>
      <c r="L15" s="90">
        <v>10</v>
      </c>
      <c r="M15" s="94">
        <v>42.064516129032256</v>
      </c>
      <c r="N15" s="95">
        <v>1.094343211374313</v>
      </c>
    </row>
    <row r="16" spans="1:14" x14ac:dyDescent="0.25">
      <c r="A16" s="2" t="s">
        <v>2113</v>
      </c>
      <c r="B16" s="2"/>
      <c r="C16" s="84">
        <f>7650*2000/10^6</f>
        <v>15.3</v>
      </c>
      <c r="D16" s="108" t="s">
        <v>2075</v>
      </c>
      <c r="E16" t="s">
        <v>2245</v>
      </c>
      <c r="H16" s="109" t="s">
        <v>2114</v>
      </c>
      <c r="I16" s="110">
        <v>182</v>
      </c>
      <c r="J16" s="111">
        <v>183</v>
      </c>
      <c r="K16" s="91"/>
      <c r="L16" s="90">
        <v>11</v>
      </c>
      <c r="M16" s="94">
        <v>64.677777777777777</v>
      </c>
      <c r="N16" s="95">
        <v>1.6826459341829088</v>
      </c>
    </row>
    <row r="17" spans="1:14" x14ac:dyDescent="0.25">
      <c r="A17" s="2" t="s">
        <v>13</v>
      </c>
      <c r="B17" s="2"/>
      <c r="C17" s="98">
        <v>3413</v>
      </c>
      <c r="D17" s="112" t="s">
        <v>2115</v>
      </c>
      <c r="H17" s="91"/>
      <c r="I17" s="91"/>
      <c r="J17" s="91"/>
      <c r="K17" s="91"/>
      <c r="L17" s="90">
        <v>12</v>
      </c>
      <c r="M17" s="94">
        <v>69.118279569892479</v>
      </c>
      <c r="N17" s="95">
        <v>1.7981692644974654</v>
      </c>
    </row>
    <row r="18" spans="1:14" x14ac:dyDescent="0.25">
      <c r="A18" s="113" t="s">
        <v>2116</v>
      </c>
      <c r="B18" s="113"/>
      <c r="C18" s="2"/>
      <c r="D18" s="112"/>
      <c r="F18" s="114"/>
      <c r="H18" s="85" t="s">
        <v>2117</v>
      </c>
      <c r="I18" s="93">
        <v>33441</v>
      </c>
      <c r="J18" s="101" t="s">
        <v>2118</v>
      </c>
      <c r="K18" s="91"/>
      <c r="L18" s="91"/>
      <c r="M18" s="115">
        <v>462.85528357579585</v>
      </c>
      <c r="N18" s="115">
        <v>12.041563389821357</v>
      </c>
    </row>
    <row r="19" spans="1:14" x14ac:dyDescent="0.25">
      <c r="A19" s="1" t="s">
        <v>2119</v>
      </c>
      <c r="B19" s="1"/>
      <c r="C19" s="88">
        <v>1.56</v>
      </c>
      <c r="D19" t="s">
        <v>2246</v>
      </c>
      <c r="H19" s="85" t="s">
        <v>2121</v>
      </c>
      <c r="I19" s="93">
        <v>25130</v>
      </c>
      <c r="J19" s="101" t="s">
        <v>2122</v>
      </c>
    </row>
    <row r="21" spans="1:14" ht="15.75" x14ac:dyDescent="0.25">
      <c r="A21" s="932" t="s">
        <v>2123</v>
      </c>
      <c r="B21" s="932"/>
      <c r="C21" s="932"/>
      <c r="D21" s="932"/>
      <c r="E21" s="932"/>
      <c r="F21" s="83"/>
    </row>
    <row r="23" spans="1:14" ht="15.75" thickBot="1" x14ac:dyDescent="0.3">
      <c r="A23" s="15" t="s">
        <v>2070</v>
      </c>
      <c r="B23" s="15"/>
      <c r="C23" s="15" t="s">
        <v>52</v>
      </c>
      <c r="D23" s="15" t="s">
        <v>2072</v>
      </c>
      <c r="E23" s="15" t="s">
        <v>2124</v>
      </c>
      <c r="H23" s="118"/>
      <c r="I23" s="118"/>
      <c r="J23" s="119" t="s">
        <v>2125</v>
      </c>
      <c r="K23" s="118"/>
      <c r="L23" s="118"/>
    </row>
    <row r="24" spans="1:14" ht="15.75" thickTop="1" x14ac:dyDescent="0.25">
      <c r="A24" t="str">
        <f>A4</f>
        <v>Fairbanks Wood - Oven Dry, 0% Moisture</v>
      </c>
      <c r="C24" s="120">
        <v>200</v>
      </c>
      <c r="D24" t="s">
        <v>2126</v>
      </c>
      <c r="E24" s="100" t="s">
        <v>2112</v>
      </c>
      <c r="I24" s="1" t="s">
        <v>2127</v>
      </c>
      <c r="J24" s="121">
        <v>0.98</v>
      </c>
    </row>
    <row r="25" spans="1:14" x14ac:dyDescent="0.25">
      <c r="A25" t="str">
        <f>A11</f>
        <v>Fuel Oil #1/#2 Weighted*</v>
      </c>
      <c r="C25" s="122">
        <v>2.7</v>
      </c>
      <c r="D25" t="s">
        <v>2128</v>
      </c>
      <c r="E25" s="100" t="s">
        <v>2112</v>
      </c>
      <c r="I25" s="1" t="s">
        <v>2129</v>
      </c>
      <c r="J25" s="121">
        <f>1-J24</f>
        <v>2.0000000000000018E-2</v>
      </c>
    </row>
    <row r="26" spans="1:14" x14ac:dyDescent="0.25">
      <c r="A26" t="str">
        <f>A13</f>
        <v>Kerosene</v>
      </c>
      <c r="C26" s="122">
        <f>C25</f>
        <v>2.7</v>
      </c>
      <c r="D26" t="s">
        <v>2128</v>
      </c>
      <c r="E26" t="s">
        <v>2130</v>
      </c>
    </row>
    <row r="27" spans="1:14" x14ac:dyDescent="0.25">
      <c r="A27" t="str">
        <f>A14</f>
        <v>Propane</v>
      </c>
      <c r="C27" s="122">
        <v>2.74</v>
      </c>
      <c r="D27" t="s">
        <v>2128</v>
      </c>
      <c r="E27" s="100" t="s">
        <v>2112</v>
      </c>
    </row>
    <row r="28" spans="1:14" x14ac:dyDescent="0.25">
      <c r="A28" t="str">
        <f>A15</f>
        <v>Natural Gas</v>
      </c>
      <c r="C28" s="123">
        <v>2.335</v>
      </c>
      <c r="D28" t="s">
        <v>2131</v>
      </c>
      <c r="E28" s="100" t="s">
        <v>2112</v>
      </c>
    </row>
    <row r="29" spans="1:14" x14ac:dyDescent="0.25">
      <c r="A29" t="str">
        <f>A16</f>
        <v>Coal</v>
      </c>
    </row>
    <row r="30" spans="1:14" x14ac:dyDescent="0.25">
      <c r="A30" t="str">
        <f>A17</f>
        <v>Electric</v>
      </c>
      <c r="C30" s="123">
        <v>0.18026</v>
      </c>
      <c r="D30" s="112" t="s">
        <v>2132</v>
      </c>
    </row>
    <row r="33" spans="1:16" ht="15.75" x14ac:dyDescent="0.25">
      <c r="A33" s="924" t="s">
        <v>2249</v>
      </c>
      <c r="B33" s="924"/>
      <c r="C33" s="924"/>
      <c r="D33" s="924"/>
      <c r="E33" s="924"/>
      <c r="F33" s="924"/>
      <c r="G33" s="924"/>
      <c r="H33" s="924"/>
      <c r="I33" s="924"/>
      <c r="J33" s="924"/>
      <c r="K33" s="924"/>
      <c r="L33" s="924"/>
      <c r="M33" s="924"/>
      <c r="N33" s="924"/>
      <c r="O33" s="924"/>
    </row>
    <row r="35" spans="1:16" x14ac:dyDescent="0.25">
      <c r="D35" s="2" t="s">
        <v>2134</v>
      </c>
      <c r="E35" s="2"/>
      <c r="G35" s="2" t="s">
        <v>2135</v>
      </c>
      <c r="H35" s="917" t="s">
        <v>2247</v>
      </c>
      <c r="I35" s="917"/>
      <c r="J35" s="917"/>
      <c r="K35" s="917"/>
      <c r="L35" s="917"/>
      <c r="M35" s="917"/>
      <c r="N35" s="917"/>
      <c r="P35" s="2" t="s">
        <v>2250</v>
      </c>
    </row>
    <row r="36" spans="1:16" ht="15.75" thickBot="1" x14ac:dyDescent="0.3">
      <c r="A36" s="118" t="s">
        <v>2137</v>
      </c>
      <c r="B36" s="15" t="s">
        <v>2138</v>
      </c>
      <c r="C36" s="15" t="s">
        <v>2139</v>
      </c>
      <c r="D36" s="15" t="s">
        <v>2140</v>
      </c>
      <c r="E36" s="15" t="s">
        <v>2141</v>
      </c>
      <c r="F36" s="118"/>
      <c r="G36" s="15" t="s">
        <v>2142</v>
      </c>
      <c r="H36" s="15" t="s">
        <v>2143</v>
      </c>
      <c r="I36" s="15" t="s">
        <v>2144</v>
      </c>
      <c r="J36" s="15" t="s">
        <v>2145</v>
      </c>
      <c r="K36" s="15" t="s">
        <v>2146</v>
      </c>
      <c r="L36" s="15" t="s">
        <v>2147</v>
      </c>
      <c r="M36" s="15" t="s">
        <v>2148</v>
      </c>
      <c r="N36" s="15" t="s">
        <v>2149</v>
      </c>
      <c r="O36" s="118" t="s">
        <v>2150</v>
      </c>
      <c r="P36" s="15" t="s">
        <v>2251</v>
      </c>
    </row>
    <row r="37" spans="1:16" ht="15.75" thickTop="1" x14ac:dyDescent="0.25">
      <c r="A37" t="s">
        <v>2151</v>
      </c>
      <c r="B37" s="124" t="s">
        <v>2152</v>
      </c>
      <c r="C37" s="2">
        <v>2104008100</v>
      </c>
      <c r="D37" s="125">
        <v>7.0000000000000007E-2</v>
      </c>
      <c r="E37" t="s">
        <v>2153</v>
      </c>
      <c r="G37" s="107">
        <f>M37*947.8171*453600/10^6</f>
        <v>773.87370580799995</v>
      </c>
      <c r="H37" s="139">
        <v>229</v>
      </c>
      <c r="I37" s="139">
        <v>2.6</v>
      </c>
      <c r="J37" s="139">
        <v>0.4</v>
      </c>
      <c r="K37" s="139">
        <v>34.6</v>
      </c>
      <c r="L37" s="139">
        <v>34.6</v>
      </c>
      <c r="M37" s="139">
        <v>1.8</v>
      </c>
      <c r="N37" s="139">
        <v>252.6</v>
      </c>
      <c r="O37" t="s">
        <v>2252</v>
      </c>
      <c r="P37" s="43">
        <f>L37/$C$3</f>
        <v>2</v>
      </c>
    </row>
    <row r="38" spans="1:16" ht="15" customHeight="1" x14ac:dyDescent="0.25">
      <c r="A38" t="s">
        <v>2155</v>
      </c>
      <c r="B38" s="124" t="s">
        <v>2156</v>
      </c>
      <c r="C38" s="2">
        <v>2104008210</v>
      </c>
      <c r="D38" s="125">
        <v>0.4</v>
      </c>
      <c r="E38" t="s">
        <v>2153</v>
      </c>
      <c r="G38" s="107">
        <f t="shared" ref="G38:G49" si="0">M38*947.8171*453600/10^6</f>
        <v>730.88072215200009</v>
      </c>
      <c r="H38" s="107">
        <f t="shared" ref="H38:N40" si="1">H41</f>
        <v>53</v>
      </c>
      <c r="I38" s="107">
        <f t="shared" si="1"/>
        <v>2.8</v>
      </c>
      <c r="J38" s="107">
        <f t="shared" si="1"/>
        <v>0.4</v>
      </c>
      <c r="K38" s="107">
        <f t="shared" si="1"/>
        <v>30.6</v>
      </c>
      <c r="L38" s="107">
        <f t="shared" si="1"/>
        <v>30.6</v>
      </c>
      <c r="M38" s="107">
        <f t="shared" si="1"/>
        <v>1.7</v>
      </c>
      <c r="N38" s="107">
        <f t="shared" si="1"/>
        <v>230.8</v>
      </c>
      <c r="O38" t="s">
        <v>2253</v>
      </c>
      <c r="P38" s="43">
        <f t="shared" ref="P38:P49" si="2">L38/$C$3</f>
        <v>1.7687861271676302</v>
      </c>
    </row>
    <row r="39" spans="1:16" x14ac:dyDescent="0.25">
      <c r="A39" t="s">
        <v>2158</v>
      </c>
      <c r="B39" s="124" t="s">
        <v>2159</v>
      </c>
      <c r="C39" s="2">
        <v>2104008220</v>
      </c>
      <c r="D39" s="125">
        <v>0.66</v>
      </c>
      <c r="E39" t="s">
        <v>2153</v>
      </c>
      <c r="G39" s="107">
        <f t="shared" si="0"/>
        <v>386.93685290399998</v>
      </c>
      <c r="H39" s="107">
        <f t="shared" si="1"/>
        <v>12</v>
      </c>
      <c r="I39" s="107">
        <f t="shared" si="1"/>
        <v>2</v>
      </c>
      <c r="J39" s="107">
        <f t="shared" si="1"/>
        <v>0.4</v>
      </c>
      <c r="K39" s="107">
        <v>12</v>
      </c>
      <c r="L39" s="107">
        <f>K39</f>
        <v>12</v>
      </c>
      <c r="M39" s="107">
        <f t="shared" si="1"/>
        <v>0.9</v>
      </c>
      <c r="N39" s="107">
        <f t="shared" si="1"/>
        <v>140.80000000000001</v>
      </c>
      <c r="O39" t="s">
        <v>2254</v>
      </c>
      <c r="P39" s="43">
        <f t="shared" si="2"/>
        <v>0.69364161849710981</v>
      </c>
    </row>
    <row r="40" spans="1:16" x14ac:dyDescent="0.25">
      <c r="A40" t="s">
        <v>2161</v>
      </c>
      <c r="B40" s="124" t="s">
        <v>2162</v>
      </c>
      <c r="C40" s="2">
        <v>2104008230</v>
      </c>
      <c r="D40" s="125">
        <v>0.7</v>
      </c>
      <c r="E40" t="s">
        <v>2153</v>
      </c>
      <c r="G40" s="107">
        <f t="shared" si="0"/>
        <v>386.93685290399998</v>
      </c>
      <c r="H40" s="107">
        <f t="shared" si="1"/>
        <v>15</v>
      </c>
      <c r="I40" s="107">
        <f t="shared" si="1"/>
        <v>2</v>
      </c>
      <c r="J40" s="107">
        <f t="shared" si="1"/>
        <v>0.4</v>
      </c>
      <c r="K40" s="107">
        <v>13</v>
      </c>
      <c r="L40" s="107">
        <f>K40</f>
        <v>13</v>
      </c>
      <c r="M40" s="107">
        <f t="shared" si="1"/>
        <v>0.9</v>
      </c>
      <c r="N40" s="107">
        <f t="shared" si="1"/>
        <v>107</v>
      </c>
      <c r="O40" t="s">
        <v>2254</v>
      </c>
      <c r="P40" s="43">
        <f t="shared" si="2"/>
        <v>0.75144508670520227</v>
      </c>
    </row>
    <row r="41" spans="1:16" x14ac:dyDescent="0.25">
      <c r="A41" t="s">
        <v>2164</v>
      </c>
      <c r="B41" s="124" t="s">
        <v>2165</v>
      </c>
      <c r="C41" s="2">
        <v>2104008310</v>
      </c>
      <c r="D41" s="125">
        <v>0.54</v>
      </c>
      <c r="E41" t="s">
        <v>2166</v>
      </c>
      <c r="G41" s="107">
        <f t="shared" si="0"/>
        <v>730.88072215200009</v>
      </c>
      <c r="H41" s="107">
        <v>53</v>
      </c>
      <c r="I41" s="107">
        <v>2.8</v>
      </c>
      <c r="J41" s="107">
        <v>0.4</v>
      </c>
      <c r="K41" s="107">
        <v>30.6</v>
      </c>
      <c r="L41" s="107">
        <v>30.6</v>
      </c>
      <c r="M41" s="139">
        <v>1.7</v>
      </c>
      <c r="N41" s="107">
        <v>230.8</v>
      </c>
      <c r="O41" t="s">
        <v>2255</v>
      </c>
      <c r="P41" s="43">
        <f t="shared" si="2"/>
        <v>1.7687861271676302</v>
      </c>
    </row>
    <row r="42" spans="1:16" x14ac:dyDescent="0.25">
      <c r="A42" t="s">
        <v>2168</v>
      </c>
      <c r="B42" s="124" t="s">
        <v>2169</v>
      </c>
      <c r="C42" s="2">
        <v>2104008320</v>
      </c>
      <c r="D42" s="125">
        <v>0.68</v>
      </c>
      <c r="E42" t="s">
        <v>2166</v>
      </c>
      <c r="G42" s="107">
        <f t="shared" si="0"/>
        <v>386.93685290399998</v>
      </c>
      <c r="H42" s="107">
        <v>12</v>
      </c>
      <c r="I42" s="107">
        <v>2</v>
      </c>
      <c r="J42" s="107">
        <v>0.4</v>
      </c>
      <c r="K42" s="107">
        <v>14.6</v>
      </c>
      <c r="L42" s="107">
        <v>14.6</v>
      </c>
      <c r="M42" s="139">
        <v>0.9</v>
      </c>
      <c r="N42" s="107">
        <v>140.80000000000001</v>
      </c>
      <c r="O42" t="s">
        <v>2256</v>
      </c>
      <c r="P42" s="43">
        <f t="shared" si="2"/>
        <v>0.8439306358381502</v>
      </c>
    </row>
    <row r="43" spans="1:16" x14ac:dyDescent="0.25">
      <c r="A43" t="s">
        <v>2171</v>
      </c>
      <c r="B43" s="124" t="s">
        <v>2172</v>
      </c>
      <c r="C43" s="2">
        <v>2104008330</v>
      </c>
      <c r="D43" s="125">
        <v>0.72</v>
      </c>
      <c r="E43" t="s">
        <v>2166</v>
      </c>
      <c r="G43" s="107">
        <f t="shared" si="0"/>
        <v>386.93685290399998</v>
      </c>
      <c r="H43" s="107">
        <v>15</v>
      </c>
      <c r="I43" s="107">
        <v>2</v>
      </c>
      <c r="J43" s="107">
        <v>0.4</v>
      </c>
      <c r="K43" s="107">
        <v>16.2</v>
      </c>
      <c r="L43" s="107">
        <f>K43</f>
        <v>16.2</v>
      </c>
      <c r="M43" s="139">
        <v>0.9</v>
      </c>
      <c r="N43" s="107">
        <v>107</v>
      </c>
      <c r="O43" t="s">
        <v>2256</v>
      </c>
      <c r="P43" s="43">
        <f t="shared" si="2"/>
        <v>0.93641618497109813</v>
      </c>
    </row>
    <row r="44" spans="1:16" x14ac:dyDescent="0.25">
      <c r="A44" t="s">
        <v>2174</v>
      </c>
      <c r="B44" s="124" t="s">
        <v>2175</v>
      </c>
      <c r="C44" s="2">
        <v>2104008410</v>
      </c>
      <c r="D44" s="125">
        <v>0.56000000000000005</v>
      </c>
      <c r="E44" t="s">
        <v>2176</v>
      </c>
      <c r="G44" s="107">
        <f t="shared" si="0"/>
        <v>243.62690738399999</v>
      </c>
      <c r="H44" s="107">
        <f>1.2*2.2046/1.1023</f>
        <v>2.4</v>
      </c>
      <c r="I44" s="107">
        <v>13.8</v>
      </c>
      <c r="J44" s="107">
        <f>J45</f>
        <v>0.4</v>
      </c>
      <c r="K44" s="107">
        <v>4.2</v>
      </c>
      <c r="L44" s="107">
        <v>4.2</v>
      </c>
      <c r="M44" s="139">
        <f>M45*M41/M42</f>
        <v>0.56666666666666665</v>
      </c>
      <c r="N44" s="107">
        <v>39.4</v>
      </c>
      <c r="O44" t="s">
        <v>2255</v>
      </c>
      <c r="P44" s="43">
        <f t="shared" si="2"/>
        <v>0.24277456647398843</v>
      </c>
    </row>
    <row r="45" spans="1:16" x14ac:dyDescent="0.25">
      <c r="A45" t="s">
        <v>2178</v>
      </c>
      <c r="B45" s="124" t="s">
        <v>2179</v>
      </c>
      <c r="C45" s="2">
        <v>2104008420</v>
      </c>
      <c r="D45" s="125">
        <v>0.78</v>
      </c>
      <c r="E45" t="s">
        <v>2180</v>
      </c>
      <c r="G45" s="107">
        <f t="shared" si="0"/>
        <v>128.97895096799999</v>
      </c>
      <c r="H45" s="107">
        <f>1.2*2.2046/1.1023</f>
        <v>2.4</v>
      </c>
      <c r="I45" s="107">
        <v>13.8</v>
      </c>
      <c r="J45" s="107">
        <v>0.4</v>
      </c>
      <c r="K45" s="107">
        <v>4.2</v>
      </c>
      <c r="L45" s="107">
        <v>4.2</v>
      </c>
      <c r="M45" s="139">
        <v>0.3</v>
      </c>
      <c r="N45" s="107">
        <v>39.4</v>
      </c>
      <c r="O45" t="s">
        <v>2255</v>
      </c>
      <c r="P45" s="43">
        <f t="shared" si="2"/>
        <v>0.24277456647398843</v>
      </c>
    </row>
    <row r="46" spans="1:16" x14ac:dyDescent="0.25">
      <c r="A46" t="s">
        <v>2181</v>
      </c>
      <c r="B46" s="124" t="s">
        <v>2182</v>
      </c>
      <c r="C46" s="2">
        <v>2104008610</v>
      </c>
      <c r="D46" s="125">
        <v>0.43</v>
      </c>
      <c r="E46" t="s">
        <v>2183</v>
      </c>
      <c r="G46" s="107">
        <f t="shared" si="0"/>
        <v>773.87370580800007</v>
      </c>
      <c r="H46" s="144">
        <f>0.8*H47+0.2*H49</f>
        <v>45.400000000000006</v>
      </c>
      <c r="I46" s="144">
        <f t="shared" ref="I46:N46" si="3">0.8*I47+0.2*I49</f>
        <v>2.6399999999999997</v>
      </c>
      <c r="J46" s="144">
        <f t="shared" si="3"/>
        <v>0.40000000000000008</v>
      </c>
      <c r="K46" s="107">
        <f>0.8*K47+0.2*K49</f>
        <v>27.501763011927007</v>
      </c>
      <c r="L46" s="107">
        <f t="shared" si="3"/>
        <v>27.501763011927007</v>
      </c>
      <c r="M46" s="139">
        <f t="shared" si="3"/>
        <v>1.8000000000000003</v>
      </c>
      <c r="N46" s="144">
        <f t="shared" si="3"/>
        <v>206.04000000000002</v>
      </c>
      <c r="P46" s="43">
        <f t="shared" si="2"/>
        <v>1.5896972839264165</v>
      </c>
    </row>
    <row r="47" spans="1:16" x14ac:dyDescent="0.25">
      <c r="A47" t="s">
        <v>2185</v>
      </c>
      <c r="B47" s="124" t="s">
        <v>2186</v>
      </c>
      <c r="C47" s="2">
        <v>2104008610</v>
      </c>
      <c r="D47" s="125">
        <v>0.43</v>
      </c>
      <c r="E47" t="s">
        <v>2183</v>
      </c>
      <c r="G47" s="107">
        <f t="shared" si="0"/>
        <v>773.87370580799995</v>
      </c>
      <c r="H47" s="144">
        <f t="shared" ref="H47:J49" si="4">H41</f>
        <v>53</v>
      </c>
      <c r="I47" s="144">
        <f t="shared" si="4"/>
        <v>2.8</v>
      </c>
      <c r="J47" s="144">
        <f t="shared" si="4"/>
        <v>0.4</v>
      </c>
      <c r="K47" s="107">
        <f>2*$C$4</f>
        <v>33.055003620104571</v>
      </c>
      <c r="L47" s="107">
        <f>K47</f>
        <v>33.055003620104571</v>
      </c>
      <c r="M47" s="139">
        <v>1.8</v>
      </c>
      <c r="N47" s="144">
        <f>N41</f>
        <v>230.8</v>
      </c>
      <c r="O47" t="s">
        <v>2257</v>
      </c>
      <c r="P47" s="43">
        <f t="shared" si="2"/>
        <v>1.9106938508730966</v>
      </c>
    </row>
    <row r="48" spans="1:16" x14ac:dyDescent="0.25">
      <c r="A48" t="s">
        <v>2188</v>
      </c>
      <c r="B48" t="s">
        <v>2189</v>
      </c>
      <c r="C48" s="2">
        <v>2104008610</v>
      </c>
      <c r="D48" s="125">
        <v>0.43</v>
      </c>
      <c r="E48" t="s">
        <v>2183</v>
      </c>
      <c r="G48" s="107">
        <f t="shared" si="0"/>
        <v>773.87370580799995</v>
      </c>
      <c r="H48" s="144">
        <f t="shared" si="4"/>
        <v>12</v>
      </c>
      <c r="I48" s="144">
        <f t="shared" si="4"/>
        <v>2</v>
      </c>
      <c r="J48" s="144">
        <f t="shared" si="4"/>
        <v>0.4</v>
      </c>
      <c r="K48" s="107">
        <f>0.6*$C$4</f>
        <v>9.9165010860313707</v>
      </c>
      <c r="L48" s="107">
        <f>K48</f>
        <v>9.9165010860313707</v>
      </c>
      <c r="M48" s="139">
        <v>1.8</v>
      </c>
      <c r="N48" s="144">
        <f>N42</f>
        <v>140.80000000000001</v>
      </c>
      <c r="O48" t="s">
        <v>2257</v>
      </c>
      <c r="P48" s="43">
        <f t="shared" si="2"/>
        <v>0.57320815526192892</v>
      </c>
    </row>
    <row r="49" spans="1:16" x14ac:dyDescent="0.25">
      <c r="A49" t="s">
        <v>2191</v>
      </c>
      <c r="B49" t="s">
        <v>2192</v>
      </c>
      <c r="C49" s="2">
        <v>2104008640</v>
      </c>
      <c r="D49" s="125">
        <v>0.43</v>
      </c>
      <c r="E49" t="s">
        <v>2183</v>
      </c>
      <c r="G49" s="107">
        <f t="shared" si="0"/>
        <v>773.87370580799995</v>
      </c>
      <c r="H49" s="144">
        <f t="shared" si="4"/>
        <v>15</v>
      </c>
      <c r="I49" s="144">
        <f t="shared" si="4"/>
        <v>2</v>
      </c>
      <c r="J49" s="144">
        <f t="shared" si="4"/>
        <v>0.4</v>
      </c>
      <c r="K49" s="107">
        <f>0.32*$C$4</f>
        <v>5.2888005792167316</v>
      </c>
      <c r="L49" s="107">
        <f>K49</f>
        <v>5.2888005792167316</v>
      </c>
      <c r="M49" s="139">
        <v>1.8</v>
      </c>
      <c r="N49" s="144">
        <f>N43</f>
        <v>107</v>
      </c>
      <c r="O49" t="s">
        <v>2257</v>
      </c>
      <c r="P49" s="43">
        <f t="shared" si="2"/>
        <v>0.30571101613969548</v>
      </c>
    </row>
    <row r="51" spans="1:16" x14ac:dyDescent="0.25">
      <c r="C51" s="2"/>
      <c r="D51" s="2"/>
      <c r="F51" s="107"/>
      <c r="G51" s="107"/>
      <c r="H51" s="107"/>
      <c r="I51" s="107"/>
      <c r="J51" s="107"/>
      <c r="K51" s="107"/>
    </row>
    <row r="52" spans="1:16" x14ac:dyDescent="0.25">
      <c r="D52" s="2" t="s">
        <v>2134</v>
      </c>
      <c r="E52" s="2" t="s">
        <v>2140</v>
      </c>
      <c r="G52" s="2" t="s">
        <v>32</v>
      </c>
      <c r="H52" s="917" t="s">
        <v>2248</v>
      </c>
      <c r="I52" s="917"/>
      <c r="J52" s="917"/>
      <c r="K52" s="917"/>
      <c r="L52" s="917"/>
      <c r="M52" s="917"/>
      <c r="N52" s="917"/>
    </row>
    <row r="53" spans="1:16" ht="15.75" thickBot="1" x14ac:dyDescent="0.3">
      <c r="A53" s="118" t="s">
        <v>2194</v>
      </c>
      <c r="B53" s="15" t="s">
        <v>2138</v>
      </c>
      <c r="C53" s="15" t="s">
        <v>2139</v>
      </c>
      <c r="D53" s="15" t="s">
        <v>2140</v>
      </c>
      <c r="E53" s="15" t="s">
        <v>2124</v>
      </c>
      <c r="F53" s="15" t="s">
        <v>2070</v>
      </c>
      <c r="G53" s="15" t="s">
        <v>2072</v>
      </c>
      <c r="H53" s="15" t="s">
        <v>2143</v>
      </c>
      <c r="I53" s="15" t="s">
        <v>2144</v>
      </c>
      <c r="J53" s="15" t="s">
        <v>2145</v>
      </c>
      <c r="K53" s="15" t="s">
        <v>2146</v>
      </c>
      <c r="L53" s="15" t="s">
        <v>2147</v>
      </c>
      <c r="M53" s="15" t="s">
        <v>2148</v>
      </c>
      <c r="N53" s="15" t="s">
        <v>2149</v>
      </c>
      <c r="O53" s="118" t="s">
        <v>2150</v>
      </c>
    </row>
    <row r="54" spans="1:16" ht="15.75" thickTop="1" x14ac:dyDescent="0.25">
      <c r="A54" t="s">
        <v>2195</v>
      </c>
      <c r="B54" s="124" t="s">
        <v>2196</v>
      </c>
      <c r="C54" s="2">
        <v>2104004000</v>
      </c>
      <c r="D54" s="125">
        <v>0.81</v>
      </c>
      <c r="E54" t="s">
        <v>2197</v>
      </c>
      <c r="F54" s="2" t="s">
        <v>2198</v>
      </c>
      <c r="G54" s="2" t="s">
        <v>2199</v>
      </c>
      <c r="H54">
        <v>0.71299999999999986</v>
      </c>
      <c r="I54">
        <v>18</v>
      </c>
      <c r="J54" s="43">
        <f t="shared" ref="J54:J59" si="5">2163/1000000*100*142</f>
        <v>30.714599999999997</v>
      </c>
      <c r="K54">
        <v>0.4</v>
      </c>
      <c r="L54">
        <v>0.4</v>
      </c>
      <c r="M54" s="107">
        <v>1</v>
      </c>
      <c r="N54">
        <v>5</v>
      </c>
      <c r="O54" t="s">
        <v>2258</v>
      </c>
    </row>
    <row r="55" spans="1:16" x14ac:dyDescent="0.25">
      <c r="A55" t="s">
        <v>2201</v>
      </c>
      <c r="B55" s="124" t="s">
        <v>2202</v>
      </c>
      <c r="C55" s="2">
        <v>2104004000</v>
      </c>
      <c r="D55" s="125">
        <v>0.81</v>
      </c>
      <c r="E55" t="s">
        <v>2197</v>
      </c>
      <c r="F55" s="2" t="s">
        <v>2094</v>
      </c>
      <c r="G55" s="2" t="s">
        <v>2199</v>
      </c>
      <c r="H55">
        <v>0.71299999999999986</v>
      </c>
      <c r="I55">
        <v>18</v>
      </c>
      <c r="J55" s="43">
        <f>896/1000000*100*142</f>
        <v>12.7232</v>
      </c>
      <c r="K55">
        <v>0.4</v>
      </c>
      <c r="L55">
        <v>0.4</v>
      </c>
      <c r="M55" s="107">
        <v>1</v>
      </c>
      <c r="N55">
        <v>5</v>
      </c>
      <c r="O55" t="s">
        <v>2258</v>
      </c>
    </row>
    <row r="56" spans="1:16" x14ac:dyDescent="0.25">
      <c r="A56" t="s">
        <v>2203</v>
      </c>
      <c r="B56" s="124" t="s">
        <v>2204</v>
      </c>
      <c r="C56" s="2">
        <v>2104004000</v>
      </c>
      <c r="D56" s="125">
        <v>0.81</v>
      </c>
      <c r="E56" t="s">
        <v>2197</v>
      </c>
      <c r="F56" s="2" t="s">
        <v>2098</v>
      </c>
      <c r="G56" s="2" t="s">
        <v>2199</v>
      </c>
      <c r="H56">
        <v>0.71299999999999986</v>
      </c>
      <c r="I56">
        <v>18</v>
      </c>
      <c r="J56" s="43">
        <f>2566/1000000*100*142</f>
        <v>36.437199999999997</v>
      </c>
      <c r="K56">
        <v>0.4</v>
      </c>
      <c r="L56">
        <v>0.4</v>
      </c>
      <c r="M56" s="107">
        <v>1</v>
      </c>
      <c r="N56">
        <v>5</v>
      </c>
      <c r="O56" t="s">
        <v>2258</v>
      </c>
    </row>
    <row r="57" spans="1:16" x14ac:dyDescent="0.25">
      <c r="A57" t="s">
        <v>2205</v>
      </c>
      <c r="B57" s="124" t="s">
        <v>2206</v>
      </c>
      <c r="C57" s="2" t="s">
        <v>2207</v>
      </c>
      <c r="D57" s="125">
        <v>0.81</v>
      </c>
      <c r="E57" t="s">
        <v>2197</v>
      </c>
      <c r="F57" s="2" t="s">
        <v>2098</v>
      </c>
      <c r="G57" s="2" t="s">
        <v>2199</v>
      </c>
      <c r="H57">
        <v>0.71299999999999986</v>
      </c>
      <c r="I57">
        <v>18</v>
      </c>
      <c r="J57" s="43">
        <f t="shared" si="5"/>
        <v>30.714599999999997</v>
      </c>
      <c r="K57">
        <v>0.4</v>
      </c>
      <c r="L57">
        <v>0.4</v>
      </c>
      <c r="M57" s="107">
        <v>1</v>
      </c>
      <c r="N57">
        <v>5</v>
      </c>
      <c r="O57" t="s">
        <v>2258</v>
      </c>
    </row>
    <row r="58" spans="1:16" x14ac:dyDescent="0.25">
      <c r="A58" t="s">
        <v>2209</v>
      </c>
      <c r="B58" s="124" t="s">
        <v>2210</v>
      </c>
      <c r="C58" s="2">
        <v>2104004000</v>
      </c>
      <c r="D58" s="125">
        <v>0.81</v>
      </c>
      <c r="F58" s="2" t="s">
        <v>2211</v>
      </c>
      <c r="G58" s="2" t="s">
        <v>2199</v>
      </c>
      <c r="H58">
        <v>0.71299999999999986</v>
      </c>
      <c r="I58">
        <v>18</v>
      </c>
      <c r="J58" s="43">
        <f t="shared" si="5"/>
        <v>30.714599999999997</v>
      </c>
      <c r="K58">
        <v>0.4</v>
      </c>
      <c r="L58">
        <v>0.4</v>
      </c>
      <c r="M58" s="107">
        <v>1</v>
      </c>
      <c r="N58">
        <v>5</v>
      </c>
      <c r="O58" t="s">
        <v>2259</v>
      </c>
    </row>
    <row r="59" spans="1:16" x14ac:dyDescent="0.25">
      <c r="A59" t="s">
        <v>2213</v>
      </c>
      <c r="B59" s="124" t="s">
        <v>2214</v>
      </c>
      <c r="C59" s="2">
        <v>2104007000</v>
      </c>
      <c r="D59" s="125">
        <v>0.81</v>
      </c>
      <c r="F59" s="2" t="s">
        <v>2094</v>
      </c>
      <c r="G59" s="2" t="s">
        <v>2199</v>
      </c>
      <c r="H59">
        <f>H54</f>
        <v>0.71299999999999986</v>
      </c>
      <c r="I59">
        <f t="shared" ref="I59:N59" si="6">I54</f>
        <v>18</v>
      </c>
      <c r="J59" s="43">
        <f t="shared" si="5"/>
        <v>30.714599999999997</v>
      </c>
      <c r="K59">
        <f t="shared" si="6"/>
        <v>0.4</v>
      </c>
      <c r="L59">
        <f t="shared" si="6"/>
        <v>0.4</v>
      </c>
      <c r="M59">
        <f t="shared" si="6"/>
        <v>1</v>
      </c>
      <c r="N59">
        <f t="shared" si="6"/>
        <v>5</v>
      </c>
      <c r="O59" t="s">
        <v>2260</v>
      </c>
    </row>
    <row r="60" spans="1:16" x14ac:dyDescent="0.25">
      <c r="A60" t="s">
        <v>2216</v>
      </c>
      <c r="B60" s="124" t="s">
        <v>2217</v>
      </c>
      <c r="C60" s="2">
        <v>2104006010</v>
      </c>
      <c r="D60" s="125">
        <v>0.81</v>
      </c>
      <c r="F60" s="2" t="s">
        <v>2110</v>
      </c>
      <c r="G60" s="2" t="s">
        <v>2218</v>
      </c>
      <c r="H60">
        <v>5.5</v>
      </c>
      <c r="I60">
        <v>94</v>
      </c>
      <c r="J60">
        <v>0.6</v>
      </c>
      <c r="K60">
        <f>1.9+5.7</f>
        <v>7.6</v>
      </c>
      <c r="L60">
        <f>1.9+5.7</f>
        <v>7.6</v>
      </c>
      <c r="M60">
        <v>20</v>
      </c>
      <c r="N60">
        <v>40</v>
      </c>
      <c r="O60" t="s">
        <v>2219</v>
      </c>
    </row>
    <row r="61" spans="1:16" x14ac:dyDescent="0.25">
      <c r="A61" t="s">
        <v>2220</v>
      </c>
      <c r="B61" s="124" t="s">
        <v>2221</v>
      </c>
      <c r="C61" s="2">
        <v>2103006000</v>
      </c>
      <c r="D61" s="125">
        <v>0.81</v>
      </c>
      <c r="F61" s="2" t="s">
        <v>2110</v>
      </c>
      <c r="G61" s="2" t="s">
        <v>2218</v>
      </c>
      <c r="H61">
        <v>5.5</v>
      </c>
      <c r="I61">
        <v>100</v>
      </c>
      <c r="J61">
        <v>0.6</v>
      </c>
      <c r="K61">
        <f>1.9+5.7</f>
        <v>7.6</v>
      </c>
      <c r="L61">
        <f>1.9+5.7</f>
        <v>7.6</v>
      </c>
      <c r="M61">
        <v>20</v>
      </c>
      <c r="N61">
        <v>40</v>
      </c>
      <c r="O61" t="s">
        <v>2219</v>
      </c>
    </row>
    <row r="62" spans="1:16" x14ac:dyDescent="0.25">
      <c r="A62" t="s">
        <v>2222</v>
      </c>
      <c r="B62" s="124" t="s">
        <v>2223</v>
      </c>
      <c r="C62" s="2">
        <v>2104002000</v>
      </c>
      <c r="D62" s="125">
        <v>0.43</v>
      </c>
      <c r="E62" t="s">
        <v>2224</v>
      </c>
      <c r="F62" s="2" t="s">
        <v>2113</v>
      </c>
      <c r="G62" s="2" t="s">
        <v>2225</v>
      </c>
      <c r="H62">
        <v>10</v>
      </c>
      <c r="I62">
        <v>9.1</v>
      </c>
      <c r="J62">
        <f>0.3*31</f>
        <v>9.2999999999999989</v>
      </c>
      <c r="K62">
        <v>6.2</v>
      </c>
      <c r="L62">
        <v>6.2</v>
      </c>
      <c r="M62" s="107">
        <v>2</v>
      </c>
      <c r="N62">
        <v>275</v>
      </c>
      <c r="O62" t="s">
        <v>2261</v>
      </c>
    </row>
    <row r="63" spans="1:16" x14ac:dyDescent="0.25">
      <c r="A63" t="s">
        <v>2227</v>
      </c>
      <c r="B63" s="124" t="s">
        <v>2228</v>
      </c>
      <c r="C63" s="2" t="s">
        <v>2229</v>
      </c>
      <c r="D63" s="2" t="s">
        <v>65</v>
      </c>
      <c r="F63" s="2" t="s">
        <v>2098</v>
      </c>
      <c r="G63" s="2" t="s">
        <v>2199</v>
      </c>
      <c r="H63">
        <v>1</v>
      </c>
      <c r="I63">
        <v>19</v>
      </c>
      <c r="J63">
        <f>0.3*147</f>
        <v>44.1</v>
      </c>
      <c r="K63">
        <f>0.5*51</f>
        <v>25.5</v>
      </c>
      <c r="L63">
        <f>0.5*51</f>
        <v>25.5</v>
      </c>
      <c r="M63" s="147">
        <v>1</v>
      </c>
      <c r="N63">
        <v>5</v>
      </c>
      <c r="O63" t="s">
        <v>2262</v>
      </c>
    </row>
    <row r="64" spans="1:16" x14ac:dyDescent="0.25">
      <c r="A64" t="s">
        <v>2231</v>
      </c>
      <c r="B64" t="s">
        <v>65</v>
      </c>
      <c r="C64" s="2" t="s">
        <v>65</v>
      </c>
      <c r="D64" s="2" t="s">
        <v>65</v>
      </c>
    </row>
  </sheetData>
  <mergeCells count="6">
    <mergeCell ref="H52:N52"/>
    <mergeCell ref="A1:E1"/>
    <mergeCell ref="G2:N2"/>
    <mergeCell ref="A21:E21"/>
    <mergeCell ref="A33:O33"/>
    <mergeCell ref="H35:N35"/>
  </mergeCells>
  <hyperlinks>
    <hyperlink ref="E13" r:id="rId1"/>
    <hyperlink ref="E11" r:id="rId2"/>
    <hyperlink ref="E14:E15" r:id="rId3" display="http://www.fngas.com/calculate.html"/>
    <hyperlink ref="E24" r:id="rId4"/>
  </hyperlinks>
  <pageMargins left="0.25" right="0.25" top="0.75" bottom="0.75" header="0.3" footer="0.3"/>
  <pageSetup scale="95" orientation="landscape" r:id="rId5"/>
  <headerFooter>
    <oddFooter>&amp;L&amp;Z&amp;F,&amp;A&amp;R&amp;D</oddFooter>
  </headerFooter>
  <legacyDrawing r:id="rId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C975"/>
  <sheetViews>
    <sheetView zoomScale="90" zoomScaleNormal="90" workbookViewId="0">
      <pane ySplit="10" topLeftCell="A11" activePane="bottomLeft" state="frozen"/>
      <selection pane="bottomLeft" activeCell="A11" sqref="A11"/>
    </sheetView>
  </sheetViews>
  <sheetFormatPr defaultRowHeight="15" x14ac:dyDescent="0.25"/>
  <cols>
    <col min="2" max="2" width="48.7109375" customWidth="1"/>
    <col min="3" max="3" width="67" customWidth="1"/>
    <col min="4" max="6" width="10.140625" customWidth="1"/>
    <col min="7" max="7" width="13" customWidth="1"/>
    <col min="8" max="8" width="4.7109375" customWidth="1"/>
    <col min="9" max="9" width="4.5703125" customWidth="1"/>
    <col min="10" max="15" width="9.140625" customWidth="1"/>
    <col min="18" max="19" width="14.7109375" customWidth="1"/>
    <col min="20" max="23" width="9.140625" customWidth="1"/>
    <col min="29" max="29" width="10.5703125" customWidth="1"/>
  </cols>
  <sheetData>
    <row r="1" spans="1:28" ht="15.75" x14ac:dyDescent="0.25">
      <c r="B1" s="924" t="s">
        <v>35</v>
      </c>
      <c r="C1" s="924"/>
      <c r="D1" s="924"/>
      <c r="E1" s="924"/>
      <c r="F1" s="924"/>
      <c r="G1" s="924"/>
      <c r="H1" s="924"/>
      <c r="I1" s="924"/>
      <c r="J1" s="924"/>
      <c r="K1" s="924"/>
      <c r="L1" s="924"/>
      <c r="M1" s="924"/>
      <c r="N1" s="924"/>
      <c r="O1" s="924"/>
      <c r="P1" s="924"/>
      <c r="Q1" s="924"/>
      <c r="R1" s="924"/>
      <c r="S1" s="924"/>
      <c r="T1" s="924"/>
      <c r="U1" s="924"/>
      <c r="V1" s="924"/>
      <c r="W1" s="924"/>
      <c r="X1" s="924"/>
      <c r="Y1" s="924"/>
      <c r="Z1" s="924"/>
      <c r="AA1" s="924"/>
      <c r="AB1" s="924"/>
    </row>
    <row r="2" spans="1:28" ht="15.75" x14ac:dyDescent="0.25">
      <c r="A2" s="951" t="s">
        <v>36</v>
      </c>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row>
    <row r="3" spans="1:28" x14ac:dyDescent="0.25">
      <c r="B3" s="3"/>
      <c r="C3" s="3"/>
      <c r="D3" s="4">
        <f>MIN(D$11:D$975)</f>
        <v>0.28000000000000003</v>
      </c>
      <c r="E3" s="3" t="s">
        <v>37</v>
      </c>
      <c r="F3" s="3"/>
      <c r="G3" s="3"/>
      <c r="H3" s="5">
        <f>MATCH(J3,J$11:J$975,0)+10</f>
        <v>783</v>
      </c>
      <c r="I3" s="5">
        <f>MATCH(M3,M$11:M$975,0)+10</f>
        <v>783</v>
      </c>
      <c r="J3" s="5">
        <f>MIN(J$11:J$975)</f>
        <v>3100</v>
      </c>
      <c r="K3" s="5"/>
      <c r="L3" s="5">
        <f>MIN(L$11:L$975)</f>
        <v>5750</v>
      </c>
      <c r="M3" s="5">
        <f>MIN(M$11:M$975)</f>
        <v>8400</v>
      </c>
      <c r="N3" s="5"/>
      <c r="O3" s="5"/>
      <c r="P3" s="3"/>
      <c r="Q3">
        <f>COUNTIF(R$11:R$975,R3)</f>
        <v>272</v>
      </c>
      <c r="R3" s="6" t="s">
        <v>38</v>
      </c>
      <c r="S3" s="3" t="s">
        <v>37</v>
      </c>
      <c r="T3" s="7">
        <f>MIN(T$11:T$975)</f>
        <v>2.4611616387595545E-2</v>
      </c>
      <c r="U3" s="7"/>
      <c r="V3" s="7">
        <f>MIN(V$11:V$975)</f>
        <v>3.5644066902487809E-2</v>
      </c>
      <c r="W3" s="7">
        <f>MIN(W$11:W$975)</f>
        <v>6.4603239206413809E-2</v>
      </c>
    </row>
    <row r="4" spans="1:28" x14ac:dyDescent="0.25">
      <c r="B4" s="3"/>
      <c r="C4" s="3"/>
      <c r="D4" s="4">
        <f>MEDIAN(D$11:D$975)</f>
        <v>3.6</v>
      </c>
      <c r="E4" s="2" t="s">
        <v>39</v>
      </c>
      <c r="F4" s="2"/>
      <c r="G4" s="3"/>
      <c r="H4" s="3"/>
      <c r="I4" s="3"/>
      <c r="J4" s="5">
        <f>MEDIAN(J$11:J$975)</f>
        <v>10700</v>
      </c>
      <c r="K4" s="5"/>
      <c r="L4" s="5">
        <f>MEDIAN(L$11:L$975)</f>
        <v>22050</v>
      </c>
      <c r="M4" s="5">
        <f>MEDIAN(M$11:M$975)</f>
        <v>33600</v>
      </c>
      <c r="N4" s="5"/>
      <c r="O4" s="5"/>
      <c r="Q4">
        <f>COUNTIF(R$11:R$975,R4)</f>
        <v>0</v>
      </c>
      <c r="R4" s="6" t="s">
        <v>40</v>
      </c>
      <c r="S4" s="2" t="s">
        <v>39</v>
      </c>
      <c r="T4" s="8">
        <f>MEDIAN(T$11:T$975)</f>
        <v>0.22683838332284206</v>
      </c>
      <c r="U4" s="8"/>
      <c r="V4" s="8">
        <f>MEDIAN(V$11:V$975)</f>
        <v>0.34643487024439407</v>
      </c>
      <c r="W4" s="8">
        <f>MEDIAN(W$11:W$975)</f>
        <v>0.76106126830764509</v>
      </c>
    </row>
    <row r="5" spans="1:28" x14ac:dyDescent="0.25">
      <c r="D5" s="4">
        <f>AVERAGE(D$11:D$975)</f>
        <v>3.7652404145077658</v>
      </c>
      <c r="E5" s="3" t="s">
        <v>41</v>
      </c>
      <c r="F5" s="3"/>
      <c r="J5" s="5">
        <f>AVERAGE(J$11:J$975)</f>
        <v>10484.61968911917</v>
      </c>
      <c r="K5" s="5"/>
      <c r="L5" s="5">
        <f>AVERAGE(L$11:L$975)</f>
        <v>22725.014507772019</v>
      </c>
      <c r="M5" s="5">
        <f>AVERAGE(M$11:M$975)</f>
        <v>34965.409326424873</v>
      </c>
      <c r="N5" s="5"/>
      <c r="O5" s="5"/>
      <c r="P5" s="3"/>
      <c r="Q5">
        <f>COUNTIF(R$11:R$975,R5)</f>
        <v>608</v>
      </c>
      <c r="R5" s="6" t="s">
        <v>42</v>
      </c>
      <c r="S5" s="3" t="s">
        <v>41</v>
      </c>
      <c r="T5" s="7">
        <f>AVERAGE(T$11:T$975)</f>
        <v>0.25575897555520072</v>
      </c>
      <c r="U5" s="7"/>
      <c r="V5" s="7">
        <f>AVERAGE(V$11:V$975)</f>
        <v>0.38254510837046929</v>
      </c>
      <c r="W5" s="7">
        <f>AVERAGE(W$11:W$975)</f>
        <v>0.81419629504944224</v>
      </c>
    </row>
    <row r="6" spans="1:28" x14ac:dyDescent="0.25">
      <c r="D6" s="4">
        <f>MAX(D$11:D$975)</f>
        <v>9.9</v>
      </c>
      <c r="E6" s="3" t="s">
        <v>43</v>
      </c>
      <c r="F6" s="3"/>
      <c r="H6" s="5">
        <f>MATCH(J6,J$11:J$975,0)+10</f>
        <v>716</v>
      </c>
      <c r="I6" s="5">
        <f>MATCH(M6,M$11:M$975,0)+10</f>
        <v>829</v>
      </c>
      <c r="J6" s="5">
        <f>MAX(J$11:J$975)</f>
        <v>52453</v>
      </c>
      <c r="K6" s="5"/>
      <c r="L6" s="5">
        <f>MAX(L$11:L$975)</f>
        <v>56722.5</v>
      </c>
      <c r="M6" s="5">
        <f>MAX(M$11:M$975)</f>
        <v>75700</v>
      </c>
      <c r="N6" s="5"/>
      <c r="O6" s="5"/>
      <c r="P6" s="3"/>
      <c r="Q6" s="9">
        <f>COUNTIF(R$11:R$975,R6)</f>
        <v>85</v>
      </c>
      <c r="R6" s="744" t="s">
        <v>15</v>
      </c>
      <c r="S6" s="800" t="s">
        <v>43</v>
      </c>
      <c r="T6" s="911">
        <f>MAX(T$11:T$975)</f>
        <v>0.94675452548663186</v>
      </c>
      <c r="U6" s="911"/>
      <c r="V6" s="911">
        <f>MAX(V$11:V$975)</f>
        <v>1.2575722720650258</v>
      </c>
      <c r="W6" s="911">
        <f>MAX(W$11:W$975)</f>
        <v>3.410218253968254</v>
      </c>
    </row>
    <row r="7" spans="1:28" x14ac:dyDescent="0.25">
      <c r="D7" s="2"/>
      <c r="E7" s="2"/>
      <c r="F7" s="2"/>
      <c r="Q7">
        <f>SUM(Q3:Q6)</f>
        <v>965</v>
      </c>
      <c r="R7" s="1" t="s">
        <v>44</v>
      </c>
      <c r="S7" s="10">
        <v>0.1</v>
      </c>
      <c r="T7" s="11">
        <f>PERCENTILE(T$11:T$972,$S7)</f>
        <v>0.10537171554120707</v>
      </c>
      <c r="U7" s="11"/>
      <c r="V7" s="11">
        <f>PERCENTILE(V$11:V$972,$S7)</f>
        <v>0.16579178464474228</v>
      </c>
      <c r="W7" s="11">
        <f>PERCENTILE(W$11:W$972,$S7)</f>
        <v>0.38583214853184333</v>
      </c>
    </row>
    <row r="8" spans="1:28" x14ac:dyDescent="0.25">
      <c r="D8" s="2" t="s">
        <v>45</v>
      </c>
      <c r="E8" s="2" t="s">
        <v>46</v>
      </c>
      <c r="F8" s="2" t="s">
        <v>47</v>
      </c>
      <c r="J8" s="12" t="s">
        <v>48</v>
      </c>
      <c r="K8" s="13">
        <v>0.34</v>
      </c>
      <c r="L8" s="14" t="s">
        <v>49</v>
      </c>
      <c r="M8" s="5"/>
      <c r="N8" s="5"/>
      <c r="O8" s="5"/>
      <c r="P8" s="3"/>
      <c r="Q8" s="3"/>
      <c r="R8" s="3"/>
      <c r="S8" s="3"/>
      <c r="T8" s="7"/>
      <c r="U8" s="7"/>
      <c r="V8" s="7"/>
      <c r="W8" s="7"/>
      <c r="AB8" s="2" t="s">
        <v>50</v>
      </c>
    </row>
    <row r="9" spans="1:28" x14ac:dyDescent="0.25">
      <c r="A9" s="2" t="s">
        <v>51</v>
      </c>
      <c r="D9" s="2" t="s">
        <v>52</v>
      </c>
      <c r="E9" s="2" t="s">
        <v>52</v>
      </c>
      <c r="F9" s="2" t="s">
        <v>53</v>
      </c>
      <c r="G9" s="917" t="s">
        <v>54</v>
      </c>
      <c r="H9" s="917"/>
      <c r="I9" s="917"/>
      <c r="J9" s="917"/>
      <c r="K9" s="917"/>
      <c r="L9" s="917"/>
      <c r="M9" s="917"/>
      <c r="N9" s="917" t="s">
        <v>55</v>
      </c>
      <c r="O9" s="917"/>
      <c r="P9" s="917" t="s">
        <v>56</v>
      </c>
      <c r="Q9" s="917"/>
      <c r="T9" s="917" t="s">
        <v>57</v>
      </c>
      <c r="U9" s="917"/>
      <c r="V9" s="917"/>
      <c r="W9" s="917"/>
      <c r="X9" s="917" t="s">
        <v>58</v>
      </c>
      <c r="Y9" s="917"/>
      <c r="Z9" s="917"/>
      <c r="AA9" s="917"/>
      <c r="AB9" s="2" t="s">
        <v>53</v>
      </c>
    </row>
    <row r="10" spans="1:28" ht="15.75" thickBot="1" x14ac:dyDescent="0.3">
      <c r="A10" s="15" t="s">
        <v>59</v>
      </c>
      <c r="B10" s="15" t="s">
        <v>60</v>
      </c>
      <c r="C10" s="15" t="s">
        <v>61</v>
      </c>
      <c r="D10" s="15" t="s">
        <v>33</v>
      </c>
      <c r="E10" s="15" t="s">
        <v>62</v>
      </c>
      <c r="F10" s="15" t="s">
        <v>63</v>
      </c>
      <c r="G10" s="15" t="s">
        <v>64</v>
      </c>
      <c r="H10" s="15" t="s">
        <v>65</v>
      </c>
      <c r="I10" s="15" t="s">
        <v>66</v>
      </c>
      <c r="J10" s="15" t="s">
        <v>37</v>
      </c>
      <c r="K10" s="15" t="str">
        <f>TEXT(K$8,"0%")&amp;" Max"</f>
        <v>34% Max</v>
      </c>
      <c r="L10" s="15" t="s">
        <v>67</v>
      </c>
      <c r="M10" s="15" t="s">
        <v>43</v>
      </c>
      <c r="N10" s="15" t="s">
        <v>68</v>
      </c>
      <c r="O10" s="15" t="s">
        <v>69</v>
      </c>
      <c r="P10" s="15" t="s">
        <v>70</v>
      </c>
      <c r="Q10" s="15" t="s">
        <v>71</v>
      </c>
      <c r="R10" s="15" t="s">
        <v>72</v>
      </c>
      <c r="S10" s="15" t="s">
        <v>73</v>
      </c>
      <c r="T10" s="15" t="s">
        <v>37</v>
      </c>
      <c r="U10" s="15" t="str">
        <f>$K10</f>
        <v>34% Max</v>
      </c>
      <c r="V10" s="15" t="s">
        <v>67</v>
      </c>
      <c r="W10" s="15" t="s">
        <v>43</v>
      </c>
      <c r="X10" s="15" t="s">
        <v>37</v>
      </c>
      <c r="Y10" s="15" t="str">
        <f>$K10</f>
        <v>34% Max</v>
      </c>
      <c r="Z10" s="15" t="s">
        <v>67</v>
      </c>
      <c r="AA10" s="15" t="s">
        <v>43</v>
      </c>
      <c r="AB10" s="15" t="s">
        <v>63</v>
      </c>
    </row>
    <row r="11" spans="1:28" ht="15.75" thickTop="1" x14ac:dyDescent="0.25">
      <c r="A11" s="903"/>
      <c r="B11" s="16" t="s">
        <v>74</v>
      </c>
      <c r="C11" s="17" t="s">
        <v>75</v>
      </c>
      <c r="D11" s="18">
        <v>4.4000000000000004</v>
      </c>
      <c r="E11" s="19">
        <v>660</v>
      </c>
      <c r="F11" s="903">
        <v>338</v>
      </c>
      <c r="G11" s="19" t="s">
        <v>76</v>
      </c>
      <c r="H11" s="904">
        <f t="shared" ref="H11:H74" si="0">FIND("-",$G11)</f>
        <v>5</v>
      </c>
      <c r="I11" s="904">
        <f t="shared" ref="I11:I74" si="1">LEN($G11)</f>
        <v>10</v>
      </c>
      <c r="J11" s="21">
        <f t="shared" ref="J11:J74" si="2">VALUE(LEFT($G11,H11-1))</f>
        <v>9256</v>
      </c>
      <c r="K11" s="21">
        <f t="shared" ref="K11:K74" si="3">IF(K$8*M11&gt;J11,K$8*M11,J11)</f>
        <v>11069.380000000001</v>
      </c>
      <c r="L11" s="21">
        <f t="shared" ref="L11:L74" si="4">AVERAGE(J11,M11)</f>
        <v>20906.5</v>
      </c>
      <c r="M11" s="21">
        <f t="shared" ref="M11:M74" si="5">VALUE(RIGHT($G11,I11-H11))</f>
        <v>32557</v>
      </c>
      <c r="N11" s="904">
        <f t="shared" ref="N11:N74" si="6">RANK($L11,$L$11:$L$973,1)</f>
        <v>397</v>
      </c>
      <c r="O11" s="21"/>
      <c r="P11" s="22" t="s">
        <v>2</v>
      </c>
      <c r="Q11" s="22">
        <v>0.63</v>
      </c>
      <c r="R11" s="904" t="s">
        <v>42</v>
      </c>
      <c r="S11" s="904" t="str">
        <f t="shared" ref="S11:S74" si="7">IF(AND(ISERROR(FIND("Insert",B11&amp;C11)),ISERROR(FIND("insert",B11&amp;C11))),"Stove","Insert")</f>
        <v>Stove</v>
      </c>
      <c r="T11" s="23">
        <f t="shared" ref="T11:T74" si="8">$D11*10^6/(M11*453.6)</f>
        <v>0.29794441646475511</v>
      </c>
      <c r="U11" s="23">
        <f t="shared" ref="U11:V74" si="9">$D11*10^6/(K11*453.6)</f>
        <v>0.87630710724927963</v>
      </c>
      <c r="V11" s="23">
        <f t="shared" si="9"/>
        <v>0.46397897146069561</v>
      </c>
      <c r="W11" s="23">
        <f t="shared" ref="W11:W74" si="10">$D11*10^6/(J11*453.6)</f>
        <v>1.047987939373707</v>
      </c>
      <c r="X11" s="904">
        <f t="shared" ref="X11:AA74" si="11">RANK(T11,T$11:T$973,1)</f>
        <v>664</v>
      </c>
      <c r="Y11" s="904">
        <f t="shared" si="11"/>
        <v>723</v>
      </c>
      <c r="Z11" s="904">
        <f t="shared" si="11"/>
        <v>689</v>
      </c>
      <c r="AA11" s="904">
        <f t="shared" si="11"/>
        <v>741</v>
      </c>
      <c r="AB11" s="24">
        <v>403</v>
      </c>
    </row>
    <row r="12" spans="1:28" x14ac:dyDescent="0.25">
      <c r="A12" s="903" t="s">
        <v>77</v>
      </c>
      <c r="B12" t="s">
        <v>78</v>
      </c>
      <c r="C12" s="906" t="s">
        <v>79</v>
      </c>
      <c r="D12" s="25">
        <v>4.4000000000000004</v>
      </c>
      <c r="E12" s="903">
        <v>660</v>
      </c>
      <c r="F12" s="903">
        <v>338</v>
      </c>
      <c r="G12" s="903" t="s">
        <v>80</v>
      </c>
      <c r="H12" s="904">
        <f t="shared" si="0"/>
        <v>6</v>
      </c>
      <c r="I12" s="904">
        <f t="shared" si="1"/>
        <v>11</v>
      </c>
      <c r="J12" s="21">
        <f t="shared" si="2"/>
        <v>11500</v>
      </c>
      <c r="K12" s="21">
        <f t="shared" si="3"/>
        <v>12342</v>
      </c>
      <c r="L12" s="21">
        <f t="shared" si="4"/>
        <v>23900</v>
      </c>
      <c r="M12" s="21">
        <f t="shared" si="5"/>
        <v>36300</v>
      </c>
      <c r="N12" s="904">
        <f t="shared" si="6"/>
        <v>623</v>
      </c>
      <c r="O12" s="21"/>
      <c r="P12" s="22" t="s">
        <v>2</v>
      </c>
      <c r="Q12" s="22">
        <v>0.63</v>
      </c>
      <c r="R12" s="904" t="s">
        <v>42</v>
      </c>
      <c r="S12" s="904" t="str">
        <f t="shared" si="7"/>
        <v>Stove</v>
      </c>
      <c r="T12" s="23">
        <f t="shared" si="8"/>
        <v>0.26722248944471166</v>
      </c>
      <c r="U12" s="23">
        <f t="shared" si="9"/>
        <v>0.78594849836679903</v>
      </c>
      <c r="V12" s="23">
        <f t="shared" si="9"/>
        <v>0.40586511995159136</v>
      </c>
      <c r="W12" s="23">
        <f t="shared" si="10"/>
        <v>0.84349359711678551</v>
      </c>
      <c r="X12" s="904">
        <f t="shared" si="11"/>
        <v>600</v>
      </c>
      <c r="Y12" s="904">
        <f t="shared" si="11"/>
        <v>646</v>
      </c>
      <c r="Z12" s="904">
        <f t="shared" si="11"/>
        <v>604</v>
      </c>
      <c r="AA12" s="904">
        <f t="shared" si="11"/>
        <v>589</v>
      </c>
      <c r="AB12" s="24">
        <v>340</v>
      </c>
    </row>
    <row r="13" spans="1:28" x14ac:dyDescent="0.25">
      <c r="A13" s="903" t="s">
        <v>77</v>
      </c>
      <c r="B13" t="s">
        <v>81</v>
      </c>
      <c r="C13" s="906" t="s">
        <v>82</v>
      </c>
      <c r="D13" s="25">
        <v>1.2</v>
      </c>
      <c r="E13" s="903">
        <v>45</v>
      </c>
      <c r="F13" s="903">
        <v>12</v>
      </c>
      <c r="G13" s="903" t="s">
        <v>83</v>
      </c>
      <c r="H13" s="904">
        <f t="shared" si="0"/>
        <v>5</v>
      </c>
      <c r="I13" s="904">
        <f t="shared" si="1"/>
        <v>10</v>
      </c>
      <c r="J13" s="21">
        <f t="shared" si="2"/>
        <v>9800</v>
      </c>
      <c r="K13" s="21">
        <f t="shared" si="3"/>
        <v>15946.000000000002</v>
      </c>
      <c r="L13" s="21">
        <f t="shared" si="4"/>
        <v>28350</v>
      </c>
      <c r="M13" s="21">
        <f t="shared" si="5"/>
        <v>46900</v>
      </c>
      <c r="N13" s="904">
        <f t="shared" si="6"/>
        <v>837</v>
      </c>
      <c r="O13" s="21"/>
      <c r="P13" s="22" t="s">
        <v>2</v>
      </c>
      <c r="Q13" s="22">
        <v>0.72</v>
      </c>
      <c r="R13" s="904" t="s">
        <v>38</v>
      </c>
      <c r="S13" s="904" t="str">
        <f t="shared" si="7"/>
        <v>Stove</v>
      </c>
      <c r="T13" s="23">
        <f t="shared" si="8"/>
        <v>5.6407305874256831E-2</v>
      </c>
      <c r="U13" s="23">
        <f t="shared" si="9"/>
        <v>0.16590384080663773</v>
      </c>
      <c r="V13" s="23">
        <f t="shared" si="9"/>
        <v>9.3315789964819942E-2</v>
      </c>
      <c r="W13" s="23">
        <f t="shared" si="10"/>
        <v>0.26994924954108629</v>
      </c>
      <c r="X13" s="904">
        <f t="shared" si="11"/>
        <v>17</v>
      </c>
      <c r="Y13" s="904">
        <f t="shared" si="11"/>
        <v>26</v>
      </c>
      <c r="Z13" s="904">
        <f t="shared" si="11"/>
        <v>24</v>
      </c>
      <c r="AA13" s="904">
        <f t="shared" si="11"/>
        <v>48</v>
      </c>
      <c r="AB13" s="24">
        <v>10</v>
      </c>
    </row>
    <row r="14" spans="1:28" x14ac:dyDescent="0.25">
      <c r="A14" s="903"/>
      <c r="B14" t="s">
        <v>84</v>
      </c>
      <c r="C14" s="906" t="s">
        <v>85</v>
      </c>
      <c r="D14" s="25">
        <v>5.16</v>
      </c>
      <c r="E14" s="903">
        <v>783</v>
      </c>
      <c r="F14" s="903">
        <v>436</v>
      </c>
      <c r="G14" s="903" t="s">
        <v>86</v>
      </c>
      <c r="H14" s="904">
        <f t="shared" si="0"/>
        <v>6</v>
      </c>
      <c r="I14" s="904">
        <f t="shared" si="1"/>
        <v>11</v>
      </c>
      <c r="J14" s="21">
        <f t="shared" si="2"/>
        <v>10671</v>
      </c>
      <c r="K14" s="21">
        <f t="shared" si="3"/>
        <v>10671</v>
      </c>
      <c r="L14" s="21">
        <f t="shared" si="4"/>
        <v>19256.5</v>
      </c>
      <c r="M14" s="21">
        <f t="shared" si="5"/>
        <v>27842</v>
      </c>
      <c r="N14" s="904">
        <f t="shared" si="6"/>
        <v>259</v>
      </c>
      <c r="O14" s="21"/>
      <c r="P14" s="22" t="s">
        <v>2</v>
      </c>
      <c r="Q14" s="22">
        <v>0.63</v>
      </c>
      <c r="R14" s="904" t="s">
        <v>42</v>
      </c>
      <c r="S14" s="904" t="str">
        <f t="shared" si="7"/>
        <v>Stove</v>
      </c>
      <c r="T14" s="23">
        <f t="shared" si="8"/>
        <v>0.40857917447242925</v>
      </c>
      <c r="U14" s="23">
        <f t="shared" si="9"/>
        <v>1.0660351771775254</v>
      </c>
      <c r="V14" s="23">
        <f t="shared" si="9"/>
        <v>0.59074397609437723</v>
      </c>
      <c r="W14" s="23">
        <f t="shared" si="10"/>
        <v>1.0660351771775254</v>
      </c>
      <c r="X14" s="904">
        <f t="shared" si="11"/>
        <v>836</v>
      </c>
      <c r="Y14" s="904">
        <f t="shared" si="11"/>
        <v>844</v>
      </c>
      <c r="Z14" s="904">
        <f t="shared" si="11"/>
        <v>831</v>
      </c>
      <c r="AA14" s="904">
        <f t="shared" si="11"/>
        <v>757</v>
      </c>
      <c r="AB14" s="24">
        <v>497</v>
      </c>
    </row>
    <row r="15" spans="1:28" x14ac:dyDescent="0.25">
      <c r="A15" s="903"/>
      <c r="B15" t="s">
        <v>84</v>
      </c>
      <c r="C15" s="906" t="s">
        <v>87</v>
      </c>
      <c r="D15" s="25">
        <v>4</v>
      </c>
      <c r="E15" s="903">
        <v>571</v>
      </c>
      <c r="F15" s="903">
        <v>270</v>
      </c>
      <c r="G15" s="903" t="s">
        <v>88</v>
      </c>
      <c r="H15" s="904">
        <f t="shared" si="0"/>
        <v>6</v>
      </c>
      <c r="I15" s="904">
        <f t="shared" si="1"/>
        <v>11</v>
      </c>
      <c r="J15" s="21">
        <f t="shared" si="2"/>
        <v>11842</v>
      </c>
      <c r="K15" s="21">
        <f t="shared" si="3"/>
        <v>11842</v>
      </c>
      <c r="L15" s="21">
        <f t="shared" si="4"/>
        <v>18065</v>
      </c>
      <c r="M15" s="21">
        <f t="shared" si="5"/>
        <v>24288</v>
      </c>
      <c r="N15" s="904">
        <f t="shared" si="6"/>
        <v>164</v>
      </c>
      <c r="O15" s="21"/>
      <c r="P15" s="22" t="s">
        <v>2</v>
      </c>
      <c r="Q15" s="22">
        <v>0.63</v>
      </c>
      <c r="R15" s="904" t="s">
        <v>42</v>
      </c>
      <c r="S15" s="904" t="str">
        <f t="shared" si="7"/>
        <v>Stove</v>
      </c>
      <c r="T15" s="23">
        <f t="shared" si="8"/>
        <v>0.36307403457161908</v>
      </c>
      <c r="U15" s="23">
        <f t="shared" si="9"/>
        <v>0.74466662317813581</v>
      </c>
      <c r="V15" s="23">
        <f t="shared" si="9"/>
        <v>0.4881451509369214</v>
      </c>
      <c r="W15" s="23">
        <f t="shared" si="10"/>
        <v>0.74466662317813581</v>
      </c>
      <c r="X15" s="904">
        <f t="shared" si="11"/>
        <v>785</v>
      </c>
      <c r="Y15" s="904">
        <f t="shared" si="11"/>
        <v>606</v>
      </c>
      <c r="Z15" s="904">
        <f t="shared" si="11"/>
        <v>730</v>
      </c>
      <c r="AA15" s="904">
        <f t="shared" si="11"/>
        <v>458</v>
      </c>
      <c r="AB15" s="24">
        <v>310</v>
      </c>
    </row>
    <row r="16" spans="1:28" x14ac:dyDescent="0.25">
      <c r="A16" s="903"/>
      <c r="B16" t="s">
        <v>89</v>
      </c>
      <c r="C16" s="906" t="s">
        <v>90</v>
      </c>
      <c r="D16" s="25">
        <v>4.5</v>
      </c>
      <c r="E16" s="903">
        <v>700</v>
      </c>
      <c r="F16" s="903">
        <v>244</v>
      </c>
      <c r="G16" s="903" t="s">
        <v>91</v>
      </c>
      <c r="H16" s="904">
        <f t="shared" si="0"/>
        <v>5</v>
      </c>
      <c r="I16" s="904">
        <f t="shared" si="1"/>
        <v>10</v>
      </c>
      <c r="J16" s="21">
        <f t="shared" si="2"/>
        <v>9500</v>
      </c>
      <c r="K16" s="21">
        <f t="shared" si="3"/>
        <v>9500</v>
      </c>
      <c r="L16" s="21">
        <f t="shared" si="4"/>
        <v>12900</v>
      </c>
      <c r="M16" s="21">
        <f t="shared" si="5"/>
        <v>16300</v>
      </c>
      <c r="N16" s="904">
        <f t="shared" si="6"/>
        <v>11</v>
      </c>
      <c r="O16" s="21"/>
      <c r="P16" s="22" t="s">
        <v>2</v>
      </c>
      <c r="Q16" s="22">
        <v>0.72</v>
      </c>
      <c r="R16" s="904" t="s">
        <v>38</v>
      </c>
      <c r="S16" s="904" t="str">
        <f t="shared" si="7"/>
        <v>Stove</v>
      </c>
      <c r="T16" s="23">
        <f t="shared" si="8"/>
        <v>0.6086279092414062</v>
      </c>
      <c r="U16" s="23">
        <f t="shared" si="9"/>
        <v>1.0442773600668338</v>
      </c>
      <c r="V16" s="23">
        <f t="shared" si="9"/>
        <v>0.76904146671588536</v>
      </c>
      <c r="W16" s="23">
        <f t="shared" si="10"/>
        <v>1.0442773600668338</v>
      </c>
      <c r="X16" s="904">
        <f t="shared" si="11"/>
        <v>939</v>
      </c>
      <c r="Y16" s="904">
        <f t="shared" si="11"/>
        <v>831</v>
      </c>
      <c r="Z16" s="904">
        <f t="shared" si="11"/>
        <v>919</v>
      </c>
      <c r="AA16" s="904">
        <f t="shared" si="11"/>
        <v>740</v>
      </c>
      <c r="AB16" s="24">
        <v>259</v>
      </c>
    </row>
    <row r="17" spans="1:28" x14ac:dyDescent="0.25">
      <c r="A17" s="903"/>
      <c r="B17" t="s">
        <v>89</v>
      </c>
      <c r="C17" s="906" t="s">
        <v>92</v>
      </c>
      <c r="D17" s="25">
        <v>4</v>
      </c>
      <c r="E17" s="903">
        <v>571</v>
      </c>
      <c r="F17" s="903">
        <v>225</v>
      </c>
      <c r="G17" s="903" t="s">
        <v>93</v>
      </c>
      <c r="H17" s="904">
        <f t="shared" si="0"/>
        <v>5</v>
      </c>
      <c r="I17" s="904">
        <f t="shared" si="1"/>
        <v>10</v>
      </c>
      <c r="J17" s="21">
        <f t="shared" si="2"/>
        <v>8400</v>
      </c>
      <c r="K17" s="21">
        <f t="shared" si="3"/>
        <v>8400</v>
      </c>
      <c r="L17" s="21">
        <f t="shared" si="4"/>
        <v>14100</v>
      </c>
      <c r="M17" s="21">
        <f t="shared" si="5"/>
        <v>19800</v>
      </c>
      <c r="N17" s="904">
        <f t="shared" si="6"/>
        <v>25</v>
      </c>
      <c r="O17" s="21"/>
      <c r="P17" s="22" t="s">
        <v>2</v>
      </c>
      <c r="Q17" s="22">
        <v>0.72</v>
      </c>
      <c r="R17" s="904" t="s">
        <v>38</v>
      </c>
      <c r="S17" s="904" t="str">
        <f t="shared" si="7"/>
        <v>Stove</v>
      </c>
      <c r="T17" s="23">
        <f t="shared" si="8"/>
        <v>0.44537081574118609</v>
      </c>
      <c r="U17" s="23">
        <f t="shared" si="9"/>
        <v>1.0498026371042244</v>
      </c>
      <c r="V17" s="23">
        <f t="shared" si="9"/>
        <v>0.62541433699826132</v>
      </c>
      <c r="W17" s="23">
        <f t="shared" si="10"/>
        <v>1.0498026371042244</v>
      </c>
      <c r="X17" s="904">
        <f t="shared" si="11"/>
        <v>862</v>
      </c>
      <c r="Y17" s="904">
        <f t="shared" si="11"/>
        <v>832</v>
      </c>
      <c r="Z17" s="904">
        <f t="shared" si="11"/>
        <v>852</v>
      </c>
      <c r="AA17" s="904">
        <f t="shared" si="11"/>
        <v>742</v>
      </c>
      <c r="AB17" s="24">
        <v>260</v>
      </c>
    </row>
    <row r="18" spans="1:28" x14ac:dyDescent="0.25">
      <c r="A18" s="903"/>
      <c r="B18" t="s">
        <v>89</v>
      </c>
      <c r="C18" s="906" t="s">
        <v>94</v>
      </c>
      <c r="D18" s="25">
        <v>3.9</v>
      </c>
      <c r="E18" s="903">
        <v>548</v>
      </c>
      <c r="F18" s="903">
        <v>219</v>
      </c>
      <c r="G18" s="903" t="s">
        <v>95</v>
      </c>
      <c r="H18" s="904">
        <f t="shared" si="0"/>
        <v>5</v>
      </c>
      <c r="I18" s="904">
        <f t="shared" si="1"/>
        <v>10</v>
      </c>
      <c r="J18" s="21">
        <f t="shared" si="2"/>
        <v>9500</v>
      </c>
      <c r="K18" s="21">
        <f t="shared" si="3"/>
        <v>9500</v>
      </c>
      <c r="L18" s="21">
        <f t="shared" si="4"/>
        <v>14400</v>
      </c>
      <c r="M18" s="21">
        <f t="shared" si="5"/>
        <v>19300</v>
      </c>
      <c r="N18" s="904">
        <f t="shared" si="6"/>
        <v>29</v>
      </c>
      <c r="O18" s="21"/>
      <c r="P18" s="22" t="s">
        <v>2</v>
      </c>
      <c r="Q18" s="22">
        <v>0.72</v>
      </c>
      <c r="R18" s="904" t="s">
        <v>38</v>
      </c>
      <c r="S18" s="904" t="str">
        <f t="shared" si="7"/>
        <v>Stove</v>
      </c>
      <c r="T18" s="23">
        <f t="shared" si="8"/>
        <v>0.44548619678153356</v>
      </c>
      <c r="U18" s="23">
        <f t="shared" si="9"/>
        <v>0.9050403787245892</v>
      </c>
      <c r="V18" s="23">
        <f t="shared" si="9"/>
        <v>0.59707524985302762</v>
      </c>
      <c r="W18" s="23">
        <f t="shared" si="10"/>
        <v>0.9050403787245892</v>
      </c>
      <c r="X18" s="904">
        <f t="shared" si="11"/>
        <v>863</v>
      </c>
      <c r="Y18" s="904">
        <f t="shared" si="11"/>
        <v>748</v>
      </c>
      <c r="Z18" s="904">
        <f t="shared" si="11"/>
        <v>838</v>
      </c>
      <c r="AA18" s="904">
        <f t="shared" si="11"/>
        <v>650</v>
      </c>
      <c r="AB18" s="24">
        <v>246</v>
      </c>
    </row>
    <row r="19" spans="1:28" x14ac:dyDescent="0.25">
      <c r="A19" s="903"/>
      <c r="B19" t="s">
        <v>89</v>
      </c>
      <c r="C19" s="906" t="s">
        <v>96</v>
      </c>
      <c r="D19" s="25">
        <v>4.4000000000000004</v>
      </c>
      <c r="E19" s="903">
        <v>660</v>
      </c>
      <c r="F19" s="903">
        <v>338</v>
      </c>
      <c r="G19" s="903" t="s">
        <v>97</v>
      </c>
      <c r="H19" s="904">
        <f t="shared" si="0"/>
        <v>6</v>
      </c>
      <c r="I19" s="904">
        <f t="shared" si="1"/>
        <v>11</v>
      </c>
      <c r="J19" s="21">
        <f t="shared" si="2"/>
        <v>10300</v>
      </c>
      <c r="K19" s="21">
        <f t="shared" si="3"/>
        <v>10608</v>
      </c>
      <c r="L19" s="21">
        <f t="shared" si="4"/>
        <v>20750</v>
      </c>
      <c r="M19" s="21">
        <f t="shared" si="5"/>
        <v>31200</v>
      </c>
      <c r="N19" s="904">
        <f t="shared" si="6"/>
        <v>383</v>
      </c>
      <c r="O19" s="21"/>
      <c r="P19" s="22" t="s">
        <v>2</v>
      </c>
      <c r="Q19" s="22">
        <v>0.63</v>
      </c>
      <c r="R19" s="904" t="s">
        <v>42</v>
      </c>
      <c r="S19" s="904" t="str">
        <f t="shared" si="7"/>
        <v>Stove</v>
      </c>
      <c r="T19" s="23">
        <f t="shared" si="8"/>
        <v>0.31090308868086647</v>
      </c>
      <c r="U19" s="23">
        <f t="shared" si="9"/>
        <v>0.914420849061372</v>
      </c>
      <c r="V19" s="23">
        <f t="shared" si="9"/>
        <v>0.46747837912496548</v>
      </c>
      <c r="W19" s="23">
        <f t="shared" si="10"/>
        <v>0.94176469581000322</v>
      </c>
      <c r="X19" s="904">
        <f t="shared" si="11"/>
        <v>695</v>
      </c>
      <c r="Y19" s="904">
        <f t="shared" si="11"/>
        <v>755</v>
      </c>
      <c r="Z19" s="904">
        <f t="shared" si="11"/>
        <v>701</v>
      </c>
      <c r="AA19" s="904">
        <f t="shared" si="11"/>
        <v>675</v>
      </c>
      <c r="AB19" s="24">
        <v>425</v>
      </c>
    </row>
    <row r="20" spans="1:28" x14ac:dyDescent="0.25">
      <c r="A20" s="903"/>
      <c r="B20" t="s">
        <v>89</v>
      </c>
      <c r="C20" s="906" t="s">
        <v>98</v>
      </c>
      <c r="D20" s="25">
        <v>6.81</v>
      </c>
      <c r="E20" s="903">
        <v>899</v>
      </c>
      <c r="F20" s="903">
        <v>542</v>
      </c>
      <c r="G20" s="903" t="s">
        <v>99</v>
      </c>
      <c r="H20" s="904">
        <f t="shared" si="0"/>
        <v>6</v>
      </c>
      <c r="I20" s="904">
        <f t="shared" si="1"/>
        <v>11</v>
      </c>
      <c r="J20" s="21">
        <f t="shared" si="2"/>
        <v>11057</v>
      </c>
      <c r="K20" s="21">
        <f t="shared" si="3"/>
        <v>11057</v>
      </c>
      <c r="L20" s="21">
        <f t="shared" si="4"/>
        <v>21192</v>
      </c>
      <c r="M20" s="21">
        <f t="shared" si="5"/>
        <v>31327</v>
      </c>
      <c r="N20" s="904">
        <f t="shared" si="6"/>
        <v>423</v>
      </c>
      <c r="O20" s="21"/>
      <c r="P20" s="22" t="s">
        <v>2</v>
      </c>
      <c r="Q20" s="22">
        <v>0.63</v>
      </c>
      <c r="R20" s="904" t="s">
        <v>42</v>
      </c>
      <c r="S20" s="904" t="str">
        <f t="shared" si="7"/>
        <v>Stove</v>
      </c>
      <c r="T20" s="23">
        <f t="shared" si="8"/>
        <v>0.47924242708294801</v>
      </c>
      <c r="U20" s="23">
        <f t="shared" si="9"/>
        <v>1.3578029766869415</v>
      </c>
      <c r="V20" s="23">
        <f t="shared" si="9"/>
        <v>0.70843844437653414</v>
      </c>
      <c r="W20" s="23">
        <f t="shared" si="10"/>
        <v>1.3578029766869415</v>
      </c>
      <c r="X20" s="904">
        <f t="shared" si="11"/>
        <v>887</v>
      </c>
      <c r="Y20" s="904">
        <f t="shared" si="11"/>
        <v>920</v>
      </c>
      <c r="Z20" s="904">
        <f t="shared" si="11"/>
        <v>892</v>
      </c>
      <c r="AA20" s="904">
        <f t="shared" si="11"/>
        <v>878</v>
      </c>
      <c r="AB20" s="24">
        <v>565</v>
      </c>
    </row>
    <row r="21" spans="1:28" x14ac:dyDescent="0.25">
      <c r="A21" s="903"/>
      <c r="B21" t="s">
        <v>89</v>
      </c>
      <c r="C21" s="906" t="s">
        <v>100</v>
      </c>
      <c r="D21" s="25">
        <v>3.7</v>
      </c>
      <c r="E21" s="903">
        <v>501</v>
      </c>
      <c r="F21" s="903">
        <v>196</v>
      </c>
      <c r="G21" s="903" t="s">
        <v>101</v>
      </c>
      <c r="H21" s="904">
        <f t="shared" si="0"/>
        <v>5</v>
      </c>
      <c r="I21" s="904">
        <f t="shared" si="1"/>
        <v>10</v>
      </c>
      <c r="J21" s="21">
        <f t="shared" si="2"/>
        <v>8500</v>
      </c>
      <c r="K21" s="21">
        <f t="shared" si="3"/>
        <v>8500</v>
      </c>
      <c r="L21" s="21">
        <f t="shared" si="4"/>
        <v>14950</v>
      </c>
      <c r="M21" s="21">
        <f t="shared" si="5"/>
        <v>21400</v>
      </c>
      <c r="N21" s="904">
        <f t="shared" si="6"/>
        <v>37</v>
      </c>
      <c r="O21" s="21"/>
      <c r="P21" s="22" t="s">
        <v>2</v>
      </c>
      <c r="Q21" s="22">
        <v>0.72</v>
      </c>
      <c r="R21" s="904" t="s">
        <v>38</v>
      </c>
      <c r="S21" s="904" t="str">
        <f t="shared" si="7"/>
        <v>Stove</v>
      </c>
      <c r="T21" s="23">
        <f t="shared" si="8"/>
        <v>0.3811666584252254</v>
      </c>
      <c r="U21" s="23">
        <f t="shared" si="9"/>
        <v>0.95964311650586165</v>
      </c>
      <c r="V21" s="23">
        <f t="shared" si="9"/>
        <v>0.5456164876454731</v>
      </c>
      <c r="W21" s="23">
        <f t="shared" si="10"/>
        <v>0.95964311650586165</v>
      </c>
      <c r="X21" s="904">
        <f t="shared" si="11"/>
        <v>811</v>
      </c>
      <c r="Y21" s="904">
        <f t="shared" si="11"/>
        <v>794</v>
      </c>
      <c r="Z21" s="904">
        <f t="shared" si="11"/>
        <v>790</v>
      </c>
      <c r="AA21" s="904">
        <f t="shared" si="11"/>
        <v>693</v>
      </c>
      <c r="AB21" s="24">
        <v>250</v>
      </c>
    </row>
    <row r="22" spans="1:28" x14ac:dyDescent="0.25">
      <c r="A22" s="903"/>
      <c r="B22" t="s">
        <v>89</v>
      </c>
      <c r="C22" s="906" t="s">
        <v>102</v>
      </c>
      <c r="D22" s="25">
        <v>2.5</v>
      </c>
      <c r="E22" s="903">
        <v>218</v>
      </c>
      <c r="F22" s="903">
        <v>89</v>
      </c>
      <c r="G22" s="903" t="s">
        <v>103</v>
      </c>
      <c r="H22" s="904">
        <f t="shared" si="0"/>
        <v>6</v>
      </c>
      <c r="I22" s="904">
        <f t="shared" si="1"/>
        <v>11</v>
      </c>
      <c r="J22" s="21">
        <f t="shared" si="2"/>
        <v>10400</v>
      </c>
      <c r="K22" s="21">
        <f t="shared" si="3"/>
        <v>10400</v>
      </c>
      <c r="L22" s="21">
        <f t="shared" si="4"/>
        <v>17450</v>
      </c>
      <c r="M22" s="21">
        <f t="shared" si="5"/>
        <v>24500</v>
      </c>
      <c r="N22" s="904">
        <f t="shared" si="6"/>
        <v>129</v>
      </c>
      <c r="O22" s="21"/>
      <c r="P22" s="22" t="s">
        <v>2</v>
      </c>
      <c r="Q22" s="22">
        <v>0.72</v>
      </c>
      <c r="R22" s="904" t="s">
        <v>38</v>
      </c>
      <c r="S22" s="904" t="str">
        <f t="shared" si="7"/>
        <v>Stove</v>
      </c>
      <c r="T22" s="23">
        <f t="shared" si="8"/>
        <v>0.22495770795090522</v>
      </c>
      <c r="U22" s="23">
        <f t="shared" si="9"/>
        <v>0.52994844661511331</v>
      </c>
      <c r="V22" s="23">
        <f t="shared" si="9"/>
        <v>0.31584320027490992</v>
      </c>
      <c r="W22" s="23">
        <f t="shared" si="10"/>
        <v>0.52994844661511331</v>
      </c>
      <c r="X22" s="904">
        <f t="shared" si="11"/>
        <v>474</v>
      </c>
      <c r="Y22" s="904">
        <f t="shared" si="11"/>
        <v>338</v>
      </c>
      <c r="Z22" s="904">
        <f t="shared" si="11"/>
        <v>401</v>
      </c>
      <c r="AA22" s="904">
        <f t="shared" si="11"/>
        <v>222</v>
      </c>
      <c r="AB22" s="24">
        <v>138</v>
      </c>
    </row>
    <row r="23" spans="1:28" x14ac:dyDescent="0.25">
      <c r="A23" s="903"/>
      <c r="B23" t="s">
        <v>89</v>
      </c>
      <c r="C23" s="906" t="s">
        <v>104</v>
      </c>
      <c r="D23" s="25">
        <v>3.3</v>
      </c>
      <c r="E23" s="903">
        <v>393</v>
      </c>
      <c r="F23" s="903">
        <v>167</v>
      </c>
      <c r="G23" s="903" t="s">
        <v>105</v>
      </c>
      <c r="H23" s="904">
        <f t="shared" si="0"/>
        <v>6</v>
      </c>
      <c r="I23" s="904">
        <f t="shared" si="1"/>
        <v>11</v>
      </c>
      <c r="J23" s="21">
        <f t="shared" si="2"/>
        <v>10600</v>
      </c>
      <c r="K23" s="21">
        <f t="shared" si="3"/>
        <v>10600</v>
      </c>
      <c r="L23" s="21">
        <f t="shared" si="4"/>
        <v>20400</v>
      </c>
      <c r="M23" s="21">
        <f t="shared" si="5"/>
        <v>30200</v>
      </c>
      <c r="N23" s="904">
        <f t="shared" si="6"/>
        <v>355</v>
      </c>
      <c r="O23" s="21"/>
      <c r="P23" s="22" t="s">
        <v>2</v>
      </c>
      <c r="Q23" s="22">
        <v>0.72</v>
      </c>
      <c r="R23" s="904" t="s">
        <v>38</v>
      </c>
      <c r="S23" s="904" t="str">
        <f t="shared" si="7"/>
        <v>Stove</v>
      </c>
      <c r="T23" s="23">
        <f t="shared" si="8"/>
        <v>0.24089841970636672</v>
      </c>
      <c r="U23" s="23">
        <f t="shared" si="9"/>
        <v>0.68633323350304487</v>
      </c>
      <c r="V23" s="23">
        <f t="shared" si="9"/>
        <v>0.35662413113393504</v>
      </c>
      <c r="W23" s="23">
        <f t="shared" si="10"/>
        <v>0.68633323350304487</v>
      </c>
      <c r="X23" s="904">
        <f t="shared" si="11"/>
        <v>533</v>
      </c>
      <c r="Y23" s="904">
        <f t="shared" si="11"/>
        <v>550</v>
      </c>
      <c r="Z23" s="904">
        <f t="shared" si="11"/>
        <v>502</v>
      </c>
      <c r="AA23" s="904">
        <f t="shared" si="11"/>
        <v>404</v>
      </c>
      <c r="AB23" s="24">
        <v>207</v>
      </c>
    </row>
    <row r="24" spans="1:28" x14ac:dyDescent="0.25">
      <c r="A24" s="903"/>
      <c r="B24" t="s">
        <v>89</v>
      </c>
      <c r="C24" s="906" t="s">
        <v>106</v>
      </c>
      <c r="D24" s="25">
        <v>2.8</v>
      </c>
      <c r="E24" s="903">
        <v>283</v>
      </c>
      <c r="F24" s="903">
        <v>119</v>
      </c>
      <c r="G24" s="903" t="s">
        <v>107</v>
      </c>
      <c r="H24" s="904">
        <f t="shared" si="0"/>
        <v>6</v>
      </c>
      <c r="I24" s="904">
        <f t="shared" si="1"/>
        <v>11</v>
      </c>
      <c r="J24" s="21">
        <f t="shared" si="2"/>
        <v>10600</v>
      </c>
      <c r="K24" s="21">
        <f t="shared" si="3"/>
        <v>10600</v>
      </c>
      <c r="L24" s="21">
        <f t="shared" si="4"/>
        <v>19850</v>
      </c>
      <c r="M24" s="21">
        <f t="shared" si="5"/>
        <v>29100</v>
      </c>
      <c r="N24" s="904">
        <f t="shared" si="6"/>
        <v>306</v>
      </c>
      <c r="O24" s="21"/>
      <c r="P24" s="22" t="s">
        <v>2</v>
      </c>
      <c r="Q24" s="22">
        <v>0.72</v>
      </c>
      <c r="R24" s="904" t="s">
        <v>38</v>
      </c>
      <c r="S24" s="904" t="str">
        <f t="shared" si="7"/>
        <v>Stove</v>
      </c>
      <c r="T24" s="23">
        <f t="shared" si="8"/>
        <v>0.21212506894064739</v>
      </c>
      <c r="U24" s="23">
        <f t="shared" si="9"/>
        <v>0.58234334963894707</v>
      </c>
      <c r="V24" s="23">
        <f t="shared" si="9"/>
        <v>0.31097428242684327</v>
      </c>
      <c r="W24" s="23">
        <f t="shared" si="10"/>
        <v>0.58234334963894707</v>
      </c>
      <c r="X24" s="904">
        <f t="shared" si="11"/>
        <v>432</v>
      </c>
      <c r="Y24" s="904">
        <f t="shared" si="11"/>
        <v>412</v>
      </c>
      <c r="Z24" s="904">
        <f t="shared" si="11"/>
        <v>391</v>
      </c>
      <c r="AA24" s="904">
        <f t="shared" si="11"/>
        <v>276</v>
      </c>
      <c r="AB24" s="24">
        <v>165</v>
      </c>
    </row>
    <row r="25" spans="1:28" x14ac:dyDescent="0.25">
      <c r="A25" s="903"/>
      <c r="B25" t="s">
        <v>89</v>
      </c>
      <c r="C25" s="906" t="s">
        <v>108</v>
      </c>
      <c r="D25" s="25">
        <v>4.2</v>
      </c>
      <c r="E25" s="903">
        <v>619</v>
      </c>
      <c r="F25" s="903">
        <v>237</v>
      </c>
      <c r="G25" s="903" t="s">
        <v>109</v>
      </c>
      <c r="H25" s="904">
        <f t="shared" si="0"/>
        <v>6</v>
      </c>
      <c r="I25" s="904">
        <f t="shared" si="1"/>
        <v>11</v>
      </c>
      <c r="J25" s="21">
        <f t="shared" si="2"/>
        <v>10500</v>
      </c>
      <c r="K25" s="21">
        <f t="shared" si="3"/>
        <v>10500</v>
      </c>
      <c r="L25" s="21">
        <f t="shared" si="4"/>
        <v>12950</v>
      </c>
      <c r="M25" s="21">
        <f t="shared" si="5"/>
        <v>15400</v>
      </c>
      <c r="N25" s="904">
        <f t="shared" si="6"/>
        <v>12</v>
      </c>
      <c r="O25" s="21"/>
      <c r="P25" s="22" t="s">
        <v>2</v>
      </c>
      <c r="Q25" s="22">
        <v>0.72</v>
      </c>
      <c r="R25" s="904" t="s">
        <v>38</v>
      </c>
      <c r="S25" s="904" t="str">
        <f t="shared" si="7"/>
        <v>Stove</v>
      </c>
      <c r="T25" s="23">
        <f t="shared" si="8"/>
        <v>0.60125060125060126</v>
      </c>
      <c r="U25" s="23">
        <f t="shared" si="9"/>
        <v>0.88183421516754845</v>
      </c>
      <c r="V25" s="23">
        <f t="shared" si="9"/>
        <v>0.71500071500071505</v>
      </c>
      <c r="W25" s="23">
        <f t="shared" si="10"/>
        <v>0.88183421516754845</v>
      </c>
      <c r="X25" s="904">
        <f t="shared" si="11"/>
        <v>937</v>
      </c>
      <c r="Y25" s="904">
        <f t="shared" si="11"/>
        <v>728</v>
      </c>
      <c r="Z25" s="904">
        <f t="shared" si="11"/>
        <v>897</v>
      </c>
      <c r="AA25" s="904">
        <f t="shared" si="11"/>
        <v>623</v>
      </c>
      <c r="AB25" s="24">
        <v>241</v>
      </c>
    </row>
    <row r="26" spans="1:28" x14ac:dyDescent="0.25">
      <c r="A26" s="903"/>
      <c r="B26" t="s">
        <v>89</v>
      </c>
      <c r="C26" s="906" t="s">
        <v>110</v>
      </c>
      <c r="D26" s="25">
        <v>4.7</v>
      </c>
      <c r="E26" s="903">
        <v>728</v>
      </c>
      <c r="F26" s="903">
        <v>250</v>
      </c>
      <c r="G26" s="903" t="s">
        <v>111</v>
      </c>
      <c r="H26" s="904">
        <f t="shared" si="0"/>
        <v>5</v>
      </c>
      <c r="I26" s="904">
        <f t="shared" si="1"/>
        <v>10</v>
      </c>
      <c r="J26" s="21">
        <f t="shared" si="2"/>
        <v>9600</v>
      </c>
      <c r="K26" s="21">
        <f t="shared" si="3"/>
        <v>9600</v>
      </c>
      <c r="L26" s="21">
        <f t="shared" si="4"/>
        <v>14600</v>
      </c>
      <c r="M26" s="21">
        <f t="shared" si="5"/>
        <v>19600</v>
      </c>
      <c r="N26" s="904">
        <f t="shared" si="6"/>
        <v>34</v>
      </c>
      <c r="O26" s="21"/>
      <c r="P26" s="22" t="s">
        <v>2</v>
      </c>
      <c r="Q26" s="22">
        <v>0.72</v>
      </c>
      <c r="R26" s="904" t="s">
        <v>38</v>
      </c>
      <c r="S26" s="904" t="str">
        <f t="shared" si="7"/>
        <v>Stove</v>
      </c>
      <c r="T26" s="23">
        <f t="shared" si="8"/>
        <v>0.52865061368462729</v>
      </c>
      <c r="U26" s="23">
        <f t="shared" si="9"/>
        <v>1.0793283362727808</v>
      </c>
      <c r="V26" s="23">
        <f t="shared" si="9"/>
        <v>0.70969534439854076</v>
      </c>
      <c r="W26" s="23">
        <f t="shared" si="10"/>
        <v>1.0793283362727808</v>
      </c>
      <c r="X26" s="904">
        <f t="shared" si="11"/>
        <v>913</v>
      </c>
      <c r="Y26" s="904">
        <f t="shared" si="11"/>
        <v>851</v>
      </c>
      <c r="Z26" s="904">
        <f t="shared" si="11"/>
        <v>893</v>
      </c>
      <c r="AA26" s="904">
        <f t="shared" si="11"/>
        <v>765</v>
      </c>
      <c r="AB26" s="24">
        <v>268</v>
      </c>
    </row>
    <row r="27" spans="1:28" x14ac:dyDescent="0.25">
      <c r="A27" s="903"/>
      <c r="B27" t="s">
        <v>89</v>
      </c>
      <c r="C27" s="906" t="s">
        <v>112</v>
      </c>
      <c r="D27" s="25">
        <v>3.4</v>
      </c>
      <c r="E27" s="903">
        <v>415</v>
      </c>
      <c r="F27" s="903">
        <v>173</v>
      </c>
      <c r="G27" s="903" t="s">
        <v>113</v>
      </c>
      <c r="H27" s="904">
        <f t="shared" si="0"/>
        <v>6</v>
      </c>
      <c r="I27" s="904">
        <f t="shared" si="1"/>
        <v>11</v>
      </c>
      <c r="J27" s="21">
        <f t="shared" si="2"/>
        <v>10100</v>
      </c>
      <c r="K27" s="21">
        <f t="shared" si="3"/>
        <v>10100</v>
      </c>
      <c r="L27" s="21">
        <f t="shared" si="4"/>
        <v>18500</v>
      </c>
      <c r="M27" s="21">
        <f t="shared" si="5"/>
        <v>26900</v>
      </c>
      <c r="N27" s="904">
        <f t="shared" si="6"/>
        <v>194</v>
      </c>
      <c r="O27" s="21"/>
      <c r="P27" s="22" t="s">
        <v>2</v>
      </c>
      <c r="Q27" s="22">
        <v>0.72</v>
      </c>
      <c r="R27" s="904" t="s">
        <v>38</v>
      </c>
      <c r="S27" s="904" t="str">
        <f t="shared" si="7"/>
        <v>Stove</v>
      </c>
      <c r="T27" s="23">
        <f t="shared" si="8"/>
        <v>0.27864649921651163</v>
      </c>
      <c r="U27" s="23">
        <f t="shared" si="9"/>
        <v>0.74213770583407546</v>
      </c>
      <c r="V27" s="23">
        <f t="shared" si="9"/>
        <v>0.40516707183373851</v>
      </c>
      <c r="W27" s="23">
        <f t="shared" si="10"/>
        <v>0.74213770583407546</v>
      </c>
      <c r="X27" s="904">
        <f t="shared" si="11"/>
        <v>627</v>
      </c>
      <c r="Y27" s="904">
        <f t="shared" si="11"/>
        <v>604</v>
      </c>
      <c r="Z27" s="904">
        <f t="shared" si="11"/>
        <v>603</v>
      </c>
      <c r="AA27" s="904">
        <f t="shared" si="11"/>
        <v>456</v>
      </c>
      <c r="AB27" s="24">
        <v>220</v>
      </c>
    </row>
    <row r="28" spans="1:28" x14ac:dyDescent="0.25">
      <c r="A28" s="903"/>
      <c r="B28" t="s">
        <v>114</v>
      </c>
      <c r="C28" s="906" t="s">
        <v>115</v>
      </c>
      <c r="D28" s="25">
        <v>2.88</v>
      </c>
      <c r="E28" s="903">
        <v>293</v>
      </c>
      <c r="F28" s="903">
        <v>95</v>
      </c>
      <c r="G28" s="903" t="s">
        <v>116</v>
      </c>
      <c r="H28" s="904">
        <f t="shared" si="0"/>
        <v>6</v>
      </c>
      <c r="I28" s="904">
        <f t="shared" si="1"/>
        <v>11</v>
      </c>
      <c r="J28" s="21">
        <f t="shared" si="2"/>
        <v>10611</v>
      </c>
      <c r="K28" s="21">
        <f t="shared" si="3"/>
        <v>10611</v>
      </c>
      <c r="L28" s="21">
        <f t="shared" si="4"/>
        <v>19896</v>
      </c>
      <c r="M28" s="21">
        <f t="shared" si="5"/>
        <v>29181</v>
      </c>
      <c r="N28" s="904">
        <f t="shared" si="6"/>
        <v>310</v>
      </c>
      <c r="O28" s="21"/>
      <c r="P28" s="22" t="s">
        <v>2</v>
      </c>
      <c r="Q28" s="22">
        <v>0.63</v>
      </c>
      <c r="R28" s="904" t="s">
        <v>42</v>
      </c>
      <c r="S28" s="904" t="str">
        <f t="shared" si="7"/>
        <v>Insert</v>
      </c>
      <c r="T28" s="23">
        <f t="shared" si="8"/>
        <v>0.21758014972778</v>
      </c>
      <c r="U28" s="23">
        <f t="shared" si="9"/>
        <v>0.59836079061411251</v>
      </c>
      <c r="V28" s="23">
        <f t="shared" si="9"/>
        <v>0.31911974010888366</v>
      </c>
      <c r="W28" s="23">
        <f t="shared" si="10"/>
        <v>0.59836079061411251</v>
      </c>
      <c r="X28" s="904">
        <f t="shared" si="11"/>
        <v>451</v>
      </c>
      <c r="Y28" s="904">
        <f t="shared" si="11"/>
        <v>434</v>
      </c>
      <c r="Z28" s="904">
        <f t="shared" si="11"/>
        <v>410</v>
      </c>
      <c r="AA28" s="904">
        <f t="shared" si="11"/>
        <v>290</v>
      </c>
      <c r="AB28" s="24">
        <v>187</v>
      </c>
    </row>
    <row r="29" spans="1:28" x14ac:dyDescent="0.25">
      <c r="A29" s="903"/>
      <c r="B29" t="s">
        <v>114</v>
      </c>
      <c r="C29" s="906" t="s">
        <v>117</v>
      </c>
      <c r="D29" s="25">
        <v>3.62</v>
      </c>
      <c r="E29" s="903">
        <v>498</v>
      </c>
      <c r="F29" s="903">
        <v>227</v>
      </c>
      <c r="G29" s="903" t="s">
        <v>118</v>
      </c>
      <c r="H29" s="904">
        <f t="shared" si="0"/>
        <v>6</v>
      </c>
      <c r="I29" s="904">
        <f t="shared" si="1"/>
        <v>11</v>
      </c>
      <c r="J29" s="21">
        <f t="shared" si="2"/>
        <v>10700</v>
      </c>
      <c r="K29" s="21">
        <f t="shared" si="3"/>
        <v>12070</v>
      </c>
      <c r="L29" s="21">
        <f t="shared" si="4"/>
        <v>23100</v>
      </c>
      <c r="M29" s="21">
        <f t="shared" si="5"/>
        <v>35500</v>
      </c>
      <c r="N29" s="904">
        <f t="shared" si="6"/>
        <v>561</v>
      </c>
      <c r="O29" s="21"/>
      <c r="P29" s="22" t="s">
        <v>2</v>
      </c>
      <c r="Q29" s="22">
        <v>0.63</v>
      </c>
      <c r="R29" s="904" t="s">
        <v>42</v>
      </c>
      <c r="S29" s="904" t="str">
        <f t="shared" si="7"/>
        <v>Stove</v>
      </c>
      <c r="T29" s="23">
        <f t="shared" si="8"/>
        <v>0.22480562386665673</v>
      </c>
      <c r="U29" s="23">
        <f t="shared" si="9"/>
        <v>0.66119301137251985</v>
      </c>
      <c r="V29" s="23">
        <f t="shared" si="9"/>
        <v>0.34548050421066295</v>
      </c>
      <c r="W29" s="23">
        <f t="shared" si="10"/>
        <v>0.74585043432395459</v>
      </c>
      <c r="X29" s="904">
        <f t="shared" si="11"/>
        <v>473</v>
      </c>
      <c r="Y29" s="904">
        <f t="shared" si="11"/>
        <v>511</v>
      </c>
      <c r="Z29" s="904">
        <f t="shared" si="11"/>
        <v>481</v>
      </c>
      <c r="AA29" s="904">
        <f t="shared" si="11"/>
        <v>459</v>
      </c>
      <c r="AB29" s="24">
        <v>245</v>
      </c>
    </row>
    <row r="30" spans="1:28" x14ac:dyDescent="0.25">
      <c r="A30" s="903"/>
      <c r="B30" t="s">
        <v>114</v>
      </c>
      <c r="C30" s="906" t="s">
        <v>119</v>
      </c>
      <c r="D30" s="25">
        <v>0.87</v>
      </c>
      <c r="E30" s="903">
        <v>17</v>
      </c>
      <c r="F30" s="903">
        <v>3</v>
      </c>
      <c r="G30" s="903" t="s">
        <v>120</v>
      </c>
      <c r="H30" s="904">
        <f t="shared" si="0"/>
        <v>6</v>
      </c>
      <c r="I30" s="904">
        <f t="shared" si="1"/>
        <v>11</v>
      </c>
      <c r="J30" s="21">
        <f t="shared" si="2"/>
        <v>10196</v>
      </c>
      <c r="K30" s="21">
        <f t="shared" si="3"/>
        <v>10196</v>
      </c>
      <c r="L30" s="21">
        <f t="shared" si="4"/>
        <v>19888.5</v>
      </c>
      <c r="M30" s="21">
        <f t="shared" si="5"/>
        <v>29581</v>
      </c>
      <c r="N30" s="904">
        <f t="shared" si="6"/>
        <v>308</v>
      </c>
      <c r="O30" s="21"/>
      <c r="P30" s="22" t="s">
        <v>2</v>
      </c>
      <c r="Q30" s="22">
        <v>0.63</v>
      </c>
      <c r="R30" s="904" t="s">
        <v>42</v>
      </c>
      <c r="S30" s="904" t="str">
        <f t="shared" si="7"/>
        <v>Stove</v>
      </c>
      <c r="T30" s="23">
        <f t="shared" si="8"/>
        <v>6.4838559142335203E-2</v>
      </c>
      <c r="U30" s="23">
        <f t="shared" si="9"/>
        <v>0.18811194762548233</v>
      </c>
      <c r="V30" s="23">
        <f t="shared" si="9"/>
        <v>9.6437107775318304E-2</v>
      </c>
      <c r="W30" s="23">
        <f t="shared" si="10"/>
        <v>0.18811194762548233</v>
      </c>
      <c r="X30" s="904">
        <f t="shared" si="11"/>
        <v>32</v>
      </c>
      <c r="Y30" s="904">
        <f t="shared" si="11"/>
        <v>40</v>
      </c>
      <c r="Z30" s="904">
        <f t="shared" si="11"/>
        <v>28</v>
      </c>
      <c r="AA30" s="904">
        <f t="shared" si="11"/>
        <v>24</v>
      </c>
      <c r="AB30" s="24">
        <v>10</v>
      </c>
    </row>
    <row r="31" spans="1:28" x14ac:dyDescent="0.25">
      <c r="A31" s="903"/>
      <c r="B31" t="s">
        <v>121</v>
      </c>
      <c r="C31" s="906" t="s">
        <v>122</v>
      </c>
      <c r="D31" s="25">
        <v>6.3</v>
      </c>
      <c r="E31" s="903">
        <v>861</v>
      </c>
      <c r="F31" s="903">
        <v>507</v>
      </c>
      <c r="G31" s="903" t="s">
        <v>123</v>
      </c>
      <c r="H31" s="904">
        <f t="shared" si="0"/>
        <v>6</v>
      </c>
      <c r="I31" s="904">
        <f t="shared" si="1"/>
        <v>11</v>
      </c>
      <c r="J31" s="21">
        <f t="shared" si="2"/>
        <v>11400</v>
      </c>
      <c r="K31" s="21">
        <f t="shared" si="3"/>
        <v>14824.000000000002</v>
      </c>
      <c r="L31" s="21">
        <f t="shared" si="4"/>
        <v>27500</v>
      </c>
      <c r="M31" s="21">
        <f t="shared" si="5"/>
        <v>43600</v>
      </c>
      <c r="N31" s="904">
        <f t="shared" si="6"/>
        <v>811</v>
      </c>
      <c r="O31" s="21"/>
      <c r="P31" s="22" t="s">
        <v>2</v>
      </c>
      <c r="Q31" s="22">
        <v>0.63</v>
      </c>
      <c r="R31" s="904" t="s">
        <v>42</v>
      </c>
      <c r="S31" s="904" t="str">
        <f t="shared" si="7"/>
        <v>Stove</v>
      </c>
      <c r="T31" s="23">
        <f t="shared" si="8"/>
        <v>0.31855249745158004</v>
      </c>
      <c r="U31" s="23">
        <f t="shared" si="9"/>
        <v>0.93691911015170581</v>
      </c>
      <c r="V31" s="23">
        <f t="shared" si="9"/>
        <v>0.50505050505050508</v>
      </c>
      <c r="W31" s="23">
        <f t="shared" si="10"/>
        <v>1.2183235867446394</v>
      </c>
      <c r="X31" s="904">
        <f t="shared" si="11"/>
        <v>710</v>
      </c>
      <c r="Y31" s="904">
        <f t="shared" si="11"/>
        <v>772</v>
      </c>
      <c r="Z31" s="904">
        <f t="shared" si="11"/>
        <v>755</v>
      </c>
      <c r="AA31" s="904">
        <f t="shared" si="11"/>
        <v>828</v>
      </c>
      <c r="AB31" s="24">
        <v>441</v>
      </c>
    </row>
    <row r="32" spans="1:28" x14ac:dyDescent="0.25">
      <c r="A32" s="903"/>
      <c r="B32" t="s">
        <v>121</v>
      </c>
      <c r="C32" s="906" t="s">
        <v>124</v>
      </c>
      <c r="D32" s="25">
        <v>2.7</v>
      </c>
      <c r="E32" s="903">
        <v>257</v>
      </c>
      <c r="F32" s="903">
        <v>71</v>
      </c>
      <c r="G32" s="903" t="s">
        <v>125</v>
      </c>
      <c r="H32" s="904">
        <f t="shared" si="0"/>
        <v>5</v>
      </c>
      <c r="I32" s="904">
        <f t="shared" si="1"/>
        <v>10</v>
      </c>
      <c r="J32" s="21">
        <f t="shared" si="2"/>
        <v>9300</v>
      </c>
      <c r="K32" s="21">
        <f t="shared" si="3"/>
        <v>10574</v>
      </c>
      <c r="L32" s="21">
        <f t="shared" si="4"/>
        <v>20200</v>
      </c>
      <c r="M32" s="21">
        <f t="shared" si="5"/>
        <v>31100</v>
      </c>
      <c r="N32" s="904">
        <f t="shared" si="6"/>
        <v>342</v>
      </c>
      <c r="O32" s="21"/>
      <c r="P32" s="22" t="s">
        <v>2</v>
      </c>
      <c r="Q32" s="22">
        <v>0.78</v>
      </c>
      <c r="R32" s="904" t="s">
        <v>15</v>
      </c>
      <c r="S32" s="904" t="str">
        <f t="shared" si="7"/>
        <v>Stove</v>
      </c>
      <c r="T32" s="23">
        <f t="shared" si="8"/>
        <v>0.19139488592864798</v>
      </c>
      <c r="U32" s="23">
        <f t="shared" si="9"/>
        <v>0.56292613508425871</v>
      </c>
      <c r="V32" s="23">
        <f t="shared" si="9"/>
        <v>0.29467232437529467</v>
      </c>
      <c r="W32" s="23">
        <f t="shared" si="10"/>
        <v>0.64004096262160781</v>
      </c>
      <c r="X32" s="904">
        <f t="shared" si="11"/>
        <v>353</v>
      </c>
      <c r="Y32" s="904">
        <f t="shared" si="11"/>
        <v>383</v>
      </c>
      <c r="Z32" s="904">
        <f t="shared" si="11"/>
        <v>352</v>
      </c>
      <c r="AA32" s="904">
        <f t="shared" si="11"/>
        <v>332</v>
      </c>
      <c r="AB32" s="24">
        <v>71</v>
      </c>
    </row>
    <row r="33" spans="1:28" x14ac:dyDescent="0.25">
      <c r="A33" s="903"/>
      <c r="B33" t="s">
        <v>121</v>
      </c>
      <c r="C33" s="906" t="s">
        <v>126</v>
      </c>
      <c r="D33" s="25">
        <v>6.6</v>
      </c>
      <c r="E33" s="903">
        <v>884</v>
      </c>
      <c r="F33" s="903">
        <v>85</v>
      </c>
      <c r="G33" s="903" t="s">
        <v>127</v>
      </c>
      <c r="H33" s="904">
        <f t="shared" si="0"/>
        <v>6</v>
      </c>
      <c r="I33" s="904">
        <f t="shared" si="1"/>
        <v>11</v>
      </c>
      <c r="J33" s="21">
        <f t="shared" si="2"/>
        <v>11800</v>
      </c>
      <c r="K33" s="21">
        <f t="shared" si="3"/>
        <v>15912.000000000002</v>
      </c>
      <c r="L33" s="21">
        <f t="shared" si="4"/>
        <v>29300</v>
      </c>
      <c r="M33" s="21">
        <f t="shared" si="5"/>
        <v>46800</v>
      </c>
      <c r="N33" s="904">
        <f t="shared" si="6"/>
        <v>861</v>
      </c>
      <c r="O33" s="21"/>
      <c r="P33" s="22" t="s">
        <v>2</v>
      </c>
      <c r="Q33" s="22">
        <v>0.78</v>
      </c>
      <c r="R33" s="904" t="s">
        <v>15</v>
      </c>
      <c r="S33" s="904" t="str">
        <f t="shared" si="7"/>
        <v>Stove</v>
      </c>
      <c r="T33" s="23">
        <f t="shared" si="8"/>
        <v>0.31090308868086647</v>
      </c>
      <c r="U33" s="23">
        <f t="shared" si="9"/>
        <v>0.91442084906137178</v>
      </c>
      <c r="V33" s="23">
        <f t="shared" si="9"/>
        <v>0.49659605973599147</v>
      </c>
      <c r="W33" s="23">
        <f t="shared" si="10"/>
        <v>1.233073266971572</v>
      </c>
      <c r="X33" s="904">
        <f t="shared" si="11"/>
        <v>695</v>
      </c>
      <c r="Y33" s="904">
        <f t="shared" si="11"/>
        <v>754</v>
      </c>
      <c r="Z33" s="904">
        <f t="shared" si="11"/>
        <v>743</v>
      </c>
      <c r="AA33" s="904">
        <f t="shared" si="11"/>
        <v>834</v>
      </c>
      <c r="AB33" s="24">
        <v>84</v>
      </c>
    </row>
    <row r="34" spans="1:28" x14ac:dyDescent="0.25">
      <c r="A34" s="903" t="s">
        <v>77</v>
      </c>
      <c r="B34" t="s">
        <v>128</v>
      </c>
      <c r="C34" s="906" t="s">
        <v>129</v>
      </c>
      <c r="D34" s="25">
        <v>4.0999999999999996</v>
      </c>
      <c r="E34" s="903">
        <v>594</v>
      </c>
      <c r="F34" s="903">
        <v>283</v>
      </c>
      <c r="G34" s="903" t="s">
        <v>130</v>
      </c>
      <c r="H34" s="904">
        <f t="shared" si="0"/>
        <v>6</v>
      </c>
      <c r="I34" s="904">
        <f t="shared" si="1"/>
        <v>11</v>
      </c>
      <c r="J34" s="21">
        <f t="shared" si="2"/>
        <v>11300</v>
      </c>
      <c r="K34" s="21">
        <f t="shared" si="3"/>
        <v>11356</v>
      </c>
      <c r="L34" s="21">
        <f t="shared" si="4"/>
        <v>22350</v>
      </c>
      <c r="M34" s="21">
        <f t="shared" si="5"/>
        <v>33400</v>
      </c>
      <c r="N34" s="904">
        <f t="shared" si="6"/>
        <v>504</v>
      </c>
      <c r="O34" s="21"/>
      <c r="P34" s="22" t="s">
        <v>2</v>
      </c>
      <c r="Q34" s="22">
        <v>0.63</v>
      </c>
      <c r="R34" s="904" t="s">
        <v>42</v>
      </c>
      <c r="S34" s="904" t="str">
        <f t="shared" si="7"/>
        <v>Insert</v>
      </c>
      <c r="T34" s="23">
        <f t="shared" si="8"/>
        <v>0.27062277561279552</v>
      </c>
      <c r="U34" s="23">
        <f t="shared" si="9"/>
        <v>0.79594934003763385</v>
      </c>
      <c r="V34" s="23">
        <f t="shared" si="9"/>
        <v>0.4044206132200166</v>
      </c>
      <c r="W34" s="23">
        <f t="shared" si="10"/>
        <v>0.79989386774047533</v>
      </c>
      <c r="X34" s="904">
        <f t="shared" si="11"/>
        <v>605</v>
      </c>
      <c r="Y34" s="904">
        <f t="shared" si="11"/>
        <v>655</v>
      </c>
      <c r="Z34" s="904">
        <f t="shared" si="11"/>
        <v>598</v>
      </c>
      <c r="AA34" s="904">
        <f t="shared" si="11"/>
        <v>529</v>
      </c>
      <c r="AB34" s="24">
        <v>348</v>
      </c>
    </row>
    <row r="35" spans="1:28" x14ac:dyDescent="0.25">
      <c r="A35" s="903"/>
      <c r="B35" t="s">
        <v>131</v>
      </c>
      <c r="C35" s="906" t="s">
        <v>132</v>
      </c>
      <c r="D35" s="25">
        <v>2.4</v>
      </c>
      <c r="E35" s="903">
        <v>196</v>
      </c>
      <c r="F35" s="903">
        <v>56</v>
      </c>
      <c r="G35" s="903" t="s">
        <v>133</v>
      </c>
      <c r="H35" s="904">
        <f t="shared" si="0"/>
        <v>6</v>
      </c>
      <c r="I35" s="904">
        <f t="shared" si="1"/>
        <v>11</v>
      </c>
      <c r="J35" s="21">
        <f t="shared" si="2"/>
        <v>10700</v>
      </c>
      <c r="K35" s="21">
        <f t="shared" si="3"/>
        <v>11526</v>
      </c>
      <c r="L35" s="21">
        <f t="shared" si="4"/>
        <v>22300</v>
      </c>
      <c r="M35" s="21">
        <f t="shared" si="5"/>
        <v>33900</v>
      </c>
      <c r="N35" s="904">
        <f t="shared" si="6"/>
        <v>499</v>
      </c>
      <c r="O35" s="21"/>
      <c r="P35" s="22" t="s">
        <v>2</v>
      </c>
      <c r="Q35" s="22">
        <v>0.63</v>
      </c>
      <c r="R35" s="904" t="s">
        <v>42</v>
      </c>
      <c r="S35" s="904" t="str">
        <f t="shared" si="7"/>
        <v>Stove</v>
      </c>
      <c r="T35" s="23">
        <f t="shared" si="8"/>
        <v>0.15607685224204398</v>
      </c>
      <c r="U35" s="23">
        <f t="shared" si="9"/>
        <v>0.45904956541777636</v>
      </c>
      <c r="V35" s="23">
        <f t="shared" si="9"/>
        <v>0.23726481125584264</v>
      </c>
      <c r="W35" s="23">
        <f t="shared" si="10"/>
        <v>0.49448647579488703</v>
      </c>
      <c r="X35" s="904">
        <f t="shared" si="11"/>
        <v>233</v>
      </c>
      <c r="Y35" s="904">
        <f t="shared" si="11"/>
        <v>245</v>
      </c>
      <c r="Z35" s="904">
        <f t="shared" si="11"/>
        <v>217</v>
      </c>
      <c r="AA35" s="904">
        <f t="shared" si="11"/>
        <v>184</v>
      </c>
      <c r="AB35" s="24">
        <v>82</v>
      </c>
    </row>
    <row r="36" spans="1:28" x14ac:dyDescent="0.25">
      <c r="A36" s="903"/>
      <c r="B36" t="s">
        <v>131</v>
      </c>
      <c r="C36" s="906" t="s">
        <v>134</v>
      </c>
      <c r="D36" s="25">
        <v>1.94</v>
      </c>
      <c r="E36" s="903">
        <v>122</v>
      </c>
      <c r="F36" s="903">
        <v>29</v>
      </c>
      <c r="G36" s="903" t="s">
        <v>135</v>
      </c>
      <c r="H36" s="904">
        <f t="shared" si="0"/>
        <v>5</v>
      </c>
      <c r="I36" s="904">
        <f t="shared" si="1"/>
        <v>10</v>
      </c>
      <c r="J36" s="21">
        <f t="shared" si="2"/>
        <v>9300</v>
      </c>
      <c r="K36" s="21">
        <f t="shared" si="3"/>
        <v>14348.000000000002</v>
      </c>
      <c r="L36" s="21">
        <f t="shared" si="4"/>
        <v>25750</v>
      </c>
      <c r="M36" s="21">
        <f t="shared" si="5"/>
        <v>42200</v>
      </c>
      <c r="N36" s="904">
        <f t="shared" si="6"/>
        <v>735</v>
      </c>
      <c r="O36" s="21"/>
      <c r="P36" s="22" t="s">
        <v>2</v>
      </c>
      <c r="Q36" s="22">
        <v>0.63</v>
      </c>
      <c r="R36" s="904" t="s">
        <v>42</v>
      </c>
      <c r="S36" s="904" t="str">
        <f t="shared" si="7"/>
        <v>Stove</v>
      </c>
      <c r="T36" s="23">
        <f t="shared" si="8"/>
        <v>0.10134824510811873</v>
      </c>
      <c r="U36" s="23">
        <f t="shared" si="9"/>
        <v>0.29808307384740801</v>
      </c>
      <c r="V36" s="23">
        <f t="shared" si="9"/>
        <v>0.16609304635194602</v>
      </c>
      <c r="W36" s="23">
        <f t="shared" si="10"/>
        <v>0.45988128425404412</v>
      </c>
      <c r="X36" s="904">
        <f t="shared" si="11"/>
        <v>83</v>
      </c>
      <c r="Y36" s="904">
        <f t="shared" si="11"/>
        <v>97</v>
      </c>
      <c r="Z36" s="904">
        <f t="shared" si="11"/>
        <v>98</v>
      </c>
      <c r="AA36" s="904">
        <f t="shared" si="11"/>
        <v>154</v>
      </c>
      <c r="AB36" s="24">
        <v>20</v>
      </c>
    </row>
    <row r="37" spans="1:28" x14ac:dyDescent="0.25">
      <c r="A37" s="903"/>
      <c r="B37" t="s">
        <v>131</v>
      </c>
      <c r="C37" s="906" t="s">
        <v>136</v>
      </c>
      <c r="D37" s="25">
        <v>2.6</v>
      </c>
      <c r="E37" s="903">
        <v>235</v>
      </c>
      <c r="F37" s="903">
        <v>66</v>
      </c>
      <c r="G37" s="903" t="s">
        <v>137</v>
      </c>
      <c r="H37" s="904">
        <f t="shared" si="0"/>
        <v>6</v>
      </c>
      <c r="I37" s="904">
        <f t="shared" si="1"/>
        <v>11</v>
      </c>
      <c r="J37" s="21">
        <f t="shared" si="2"/>
        <v>12000</v>
      </c>
      <c r="K37" s="21">
        <f t="shared" si="3"/>
        <v>15334.000000000002</v>
      </c>
      <c r="L37" s="21">
        <f t="shared" si="4"/>
        <v>28550</v>
      </c>
      <c r="M37" s="21">
        <f t="shared" si="5"/>
        <v>45100</v>
      </c>
      <c r="N37" s="904">
        <f t="shared" si="6"/>
        <v>840</v>
      </c>
      <c r="O37" s="21"/>
      <c r="P37" s="22" t="s">
        <v>2</v>
      </c>
      <c r="Q37" s="22">
        <v>0.63</v>
      </c>
      <c r="R37" s="904" t="s">
        <v>42</v>
      </c>
      <c r="S37" s="904" t="str">
        <f t="shared" si="7"/>
        <v>Insert</v>
      </c>
      <c r="T37" s="23">
        <f t="shared" si="8"/>
        <v>0.12709362302858238</v>
      </c>
      <c r="U37" s="23">
        <f t="shared" si="9"/>
        <v>0.37380477361347753</v>
      </c>
      <c r="V37" s="23">
        <f t="shared" si="9"/>
        <v>0.20076785984550141</v>
      </c>
      <c r="W37" s="23">
        <f t="shared" si="10"/>
        <v>0.47766019988242209</v>
      </c>
      <c r="X37" s="904">
        <f t="shared" si="11"/>
        <v>161</v>
      </c>
      <c r="Y37" s="904">
        <f t="shared" si="11"/>
        <v>168</v>
      </c>
      <c r="Z37" s="904">
        <f t="shared" si="11"/>
        <v>166</v>
      </c>
      <c r="AA37" s="904">
        <f t="shared" si="11"/>
        <v>170</v>
      </c>
      <c r="AB37" s="24">
        <v>47</v>
      </c>
    </row>
    <row r="38" spans="1:28" x14ac:dyDescent="0.25">
      <c r="A38" s="903"/>
      <c r="B38" t="s">
        <v>131</v>
      </c>
      <c r="C38" s="906" t="s">
        <v>138</v>
      </c>
      <c r="D38" s="25">
        <v>3</v>
      </c>
      <c r="E38" s="903">
        <v>322</v>
      </c>
      <c r="F38" s="903">
        <v>117</v>
      </c>
      <c r="G38" s="903" t="s">
        <v>139</v>
      </c>
      <c r="H38" s="904">
        <f t="shared" si="0"/>
        <v>5</v>
      </c>
      <c r="I38" s="904">
        <f t="shared" si="1"/>
        <v>10</v>
      </c>
      <c r="J38" s="21">
        <f t="shared" si="2"/>
        <v>8700</v>
      </c>
      <c r="K38" s="21">
        <f t="shared" si="3"/>
        <v>15096.000000000002</v>
      </c>
      <c r="L38" s="21">
        <f t="shared" si="4"/>
        <v>26550</v>
      </c>
      <c r="M38" s="21">
        <f t="shared" si="5"/>
        <v>44400</v>
      </c>
      <c r="N38" s="904">
        <f t="shared" si="6"/>
        <v>773</v>
      </c>
      <c r="O38" s="21"/>
      <c r="P38" s="22" t="s">
        <v>2</v>
      </c>
      <c r="Q38" s="22">
        <v>0.63</v>
      </c>
      <c r="R38" s="904" t="s">
        <v>42</v>
      </c>
      <c r="S38" s="904" t="str">
        <f t="shared" si="7"/>
        <v>Insert</v>
      </c>
      <c r="T38" s="23">
        <f t="shared" si="8"/>
        <v>0.14895848229181563</v>
      </c>
      <c r="U38" s="23">
        <f t="shared" si="9"/>
        <v>0.43811318321122233</v>
      </c>
      <c r="V38" s="23">
        <f t="shared" si="9"/>
        <v>0.24910571049930749</v>
      </c>
      <c r="W38" s="23">
        <f t="shared" si="10"/>
        <v>0.76020190962719703</v>
      </c>
      <c r="X38" s="904">
        <f t="shared" si="11"/>
        <v>211</v>
      </c>
      <c r="Y38" s="904">
        <f t="shared" si="11"/>
        <v>222</v>
      </c>
      <c r="Z38" s="904">
        <f t="shared" si="11"/>
        <v>246</v>
      </c>
      <c r="AA38" s="904">
        <f t="shared" si="11"/>
        <v>479</v>
      </c>
      <c r="AB38" s="24">
        <v>70</v>
      </c>
    </row>
    <row r="39" spans="1:28" x14ac:dyDescent="0.25">
      <c r="A39" s="903"/>
      <c r="B39" t="s">
        <v>131</v>
      </c>
      <c r="C39" s="906" t="s">
        <v>140</v>
      </c>
      <c r="D39" s="25">
        <v>2</v>
      </c>
      <c r="E39" s="903">
        <v>131</v>
      </c>
      <c r="F39" s="903">
        <v>33</v>
      </c>
      <c r="G39" s="903" t="s">
        <v>141</v>
      </c>
      <c r="H39" s="904">
        <f t="shared" si="0"/>
        <v>6</v>
      </c>
      <c r="I39" s="904">
        <f t="shared" si="1"/>
        <v>11</v>
      </c>
      <c r="J39" s="21">
        <f t="shared" si="2"/>
        <v>11200</v>
      </c>
      <c r="K39" s="21">
        <f t="shared" si="3"/>
        <v>13600.000000000002</v>
      </c>
      <c r="L39" s="21">
        <f t="shared" si="4"/>
        <v>25600</v>
      </c>
      <c r="M39" s="21">
        <f t="shared" si="5"/>
        <v>40000</v>
      </c>
      <c r="N39" s="904">
        <f t="shared" si="6"/>
        <v>729</v>
      </c>
      <c r="O39" s="21"/>
      <c r="P39" s="22" t="s">
        <v>2</v>
      </c>
      <c r="Q39" s="22">
        <v>0.63</v>
      </c>
      <c r="R39" s="904" t="s">
        <v>42</v>
      </c>
      <c r="S39" s="904" t="str">
        <f t="shared" si="7"/>
        <v>Insert</v>
      </c>
      <c r="T39" s="23">
        <f t="shared" si="8"/>
        <v>0.11022927689594356</v>
      </c>
      <c r="U39" s="23">
        <f t="shared" si="9"/>
        <v>0.32420375557630454</v>
      </c>
      <c r="V39" s="23">
        <f t="shared" si="9"/>
        <v>0.17223324514991181</v>
      </c>
      <c r="W39" s="23">
        <f t="shared" si="10"/>
        <v>0.39367598891408417</v>
      </c>
      <c r="X39" s="904">
        <f t="shared" si="11"/>
        <v>118</v>
      </c>
      <c r="Y39" s="904">
        <f t="shared" si="11"/>
        <v>131</v>
      </c>
      <c r="Z39" s="904">
        <f t="shared" si="11"/>
        <v>115</v>
      </c>
      <c r="AA39" s="904">
        <f t="shared" si="11"/>
        <v>109</v>
      </c>
      <c r="AB39" s="24">
        <v>34</v>
      </c>
    </row>
    <row r="40" spans="1:28" x14ac:dyDescent="0.25">
      <c r="A40" s="903"/>
      <c r="B40" t="s">
        <v>131</v>
      </c>
      <c r="C40" s="906" t="s">
        <v>142</v>
      </c>
      <c r="D40" s="25">
        <v>4.4000000000000004</v>
      </c>
      <c r="E40" s="903">
        <v>660</v>
      </c>
      <c r="F40" s="903">
        <v>338</v>
      </c>
      <c r="G40" s="903" t="s">
        <v>143</v>
      </c>
      <c r="H40" s="904">
        <f t="shared" si="0"/>
        <v>6</v>
      </c>
      <c r="I40" s="904">
        <f t="shared" si="1"/>
        <v>11</v>
      </c>
      <c r="J40" s="21">
        <f t="shared" si="2"/>
        <v>11600</v>
      </c>
      <c r="K40" s="21">
        <f t="shared" si="3"/>
        <v>13090.000000000002</v>
      </c>
      <c r="L40" s="21">
        <f t="shared" si="4"/>
        <v>25050</v>
      </c>
      <c r="M40" s="21">
        <f t="shared" si="5"/>
        <v>38500</v>
      </c>
      <c r="N40" s="904">
        <f t="shared" si="6"/>
        <v>687</v>
      </c>
      <c r="O40" s="21"/>
      <c r="P40" s="22" t="s">
        <v>2</v>
      </c>
      <c r="Q40" s="22">
        <v>0.63</v>
      </c>
      <c r="R40" s="904" t="s">
        <v>42</v>
      </c>
      <c r="S40" s="904" t="str">
        <f t="shared" si="7"/>
        <v>Stove</v>
      </c>
      <c r="T40" s="23">
        <f t="shared" si="8"/>
        <v>0.25195263290501385</v>
      </c>
      <c r="U40" s="23">
        <f t="shared" si="9"/>
        <v>0.74103715560298178</v>
      </c>
      <c r="V40" s="23">
        <f t="shared" si="9"/>
        <v>0.38723258949473188</v>
      </c>
      <c r="W40" s="23">
        <f t="shared" si="10"/>
        <v>0.83622210058991664</v>
      </c>
      <c r="X40" s="904">
        <f t="shared" si="11"/>
        <v>557</v>
      </c>
      <c r="Y40" s="904">
        <f t="shared" si="11"/>
        <v>599</v>
      </c>
      <c r="Z40" s="904">
        <f t="shared" si="11"/>
        <v>575</v>
      </c>
      <c r="AA40" s="904">
        <f t="shared" si="11"/>
        <v>581</v>
      </c>
      <c r="AB40" s="24">
        <v>304</v>
      </c>
    </row>
    <row r="41" spans="1:28" x14ac:dyDescent="0.25">
      <c r="A41" s="903"/>
      <c r="B41" t="s">
        <v>144</v>
      </c>
      <c r="C41" s="906" t="s">
        <v>145</v>
      </c>
      <c r="D41" s="25">
        <v>2.7</v>
      </c>
      <c r="E41" s="903">
        <v>257</v>
      </c>
      <c r="F41" s="903">
        <v>79</v>
      </c>
      <c r="G41" s="903" t="s">
        <v>146</v>
      </c>
      <c r="H41" s="904">
        <f t="shared" si="0"/>
        <v>6</v>
      </c>
      <c r="I41" s="904">
        <f t="shared" si="1"/>
        <v>11</v>
      </c>
      <c r="J41" s="21">
        <f t="shared" si="2"/>
        <v>11600</v>
      </c>
      <c r="K41" s="21">
        <f t="shared" si="3"/>
        <v>12308</v>
      </c>
      <c r="L41" s="21">
        <f t="shared" si="4"/>
        <v>23900</v>
      </c>
      <c r="M41" s="21">
        <f t="shared" si="5"/>
        <v>36200</v>
      </c>
      <c r="N41" s="904">
        <f t="shared" si="6"/>
        <v>623</v>
      </c>
      <c r="O41" s="21"/>
      <c r="P41" s="22" t="s">
        <v>2</v>
      </c>
      <c r="Q41" s="22">
        <v>0.63</v>
      </c>
      <c r="R41" s="904" t="s">
        <v>42</v>
      </c>
      <c r="S41" s="904" t="str">
        <f t="shared" si="7"/>
        <v>Stove</v>
      </c>
      <c r="T41" s="23">
        <f t="shared" si="8"/>
        <v>0.16443041304919759</v>
      </c>
      <c r="U41" s="23">
        <f t="shared" si="9"/>
        <v>0.48361886190940456</v>
      </c>
      <c r="V41" s="23">
        <f t="shared" si="9"/>
        <v>0.24905359633393107</v>
      </c>
      <c r="W41" s="23">
        <f t="shared" si="10"/>
        <v>0.51313628899835795</v>
      </c>
      <c r="X41" s="904">
        <f t="shared" si="11"/>
        <v>255</v>
      </c>
      <c r="Y41" s="904">
        <f t="shared" si="11"/>
        <v>271</v>
      </c>
      <c r="Z41" s="904">
        <f t="shared" si="11"/>
        <v>244</v>
      </c>
      <c r="AA41" s="904">
        <f t="shared" si="11"/>
        <v>209</v>
      </c>
      <c r="AB41" s="24">
        <v>94</v>
      </c>
    </row>
    <row r="42" spans="1:28" x14ac:dyDescent="0.25">
      <c r="A42" s="903"/>
      <c r="B42" t="s">
        <v>147</v>
      </c>
      <c r="C42" s="906" t="s">
        <v>8</v>
      </c>
      <c r="D42" s="25">
        <v>1.76</v>
      </c>
      <c r="E42" s="903">
        <v>104</v>
      </c>
      <c r="F42" s="903">
        <v>37</v>
      </c>
      <c r="G42" s="903" t="s">
        <v>148</v>
      </c>
      <c r="H42" s="904">
        <f t="shared" si="0"/>
        <v>5</v>
      </c>
      <c r="I42" s="904">
        <f t="shared" si="1"/>
        <v>10</v>
      </c>
      <c r="J42" s="21">
        <f t="shared" si="2"/>
        <v>9100</v>
      </c>
      <c r="K42" s="21">
        <f t="shared" si="3"/>
        <v>13532.000000000002</v>
      </c>
      <c r="L42" s="21">
        <f t="shared" si="4"/>
        <v>24450</v>
      </c>
      <c r="M42" s="21">
        <f t="shared" si="5"/>
        <v>39800</v>
      </c>
      <c r="N42" s="904">
        <f t="shared" si="6"/>
        <v>668</v>
      </c>
      <c r="O42" s="21"/>
      <c r="P42" s="22">
        <v>0.82</v>
      </c>
      <c r="Q42" s="22">
        <v>0.72</v>
      </c>
      <c r="R42" s="904" t="s">
        <v>38</v>
      </c>
      <c r="S42" s="904" t="str">
        <f t="shared" si="7"/>
        <v>Stove</v>
      </c>
      <c r="T42" s="23">
        <f t="shared" si="8"/>
        <v>9.7489209717015413E-2</v>
      </c>
      <c r="U42" s="23">
        <f t="shared" si="9"/>
        <v>0.28673296975592766</v>
      </c>
      <c r="V42" s="23">
        <f t="shared" si="9"/>
        <v>0.15869409189109257</v>
      </c>
      <c r="W42" s="23">
        <f t="shared" si="10"/>
        <v>0.42638137876233112</v>
      </c>
      <c r="X42" s="904">
        <f t="shared" si="11"/>
        <v>79</v>
      </c>
      <c r="Y42" s="904">
        <f t="shared" si="11"/>
        <v>90</v>
      </c>
      <c r="Z42" s="904">
        <f t="shared" si="11"/>
        <v>91</v>
      </c>
      <c r="AA42" s="904">
        <f t="shared" si="11"/>
        <v>134</v>
      </c>
      <c r="AB42" s="24">
        <v>39</v>
      </c>
    </row>
    <row r="43" spans="1:28" x14ac:dyDescent="0.25">
      <c r="A43" s="903"/>
      <c r="B43" t="s">
        <v>147</v>
      </c>
      <c r="C43" s="906" t="s">
        <v>26</v>
      </c>
      <c r="D43" s="25">
        <v>3.9</v>
      </c>
      <c r="E43" s="903">
        <v>548</v>
      </c>
      <c r="F43" s="903">
        <v>219</v>
      </c>
      <c r="G43" s="903" t="s">
        <v>149</v>
      </c>
      <c r="H43" s="904">
        <f t="shared" si="0"/>
        <v>5</v>
      </c>
      <c r="I43" s="904">
        <f t="shared" si="1"/>
        <v>10</v>
      </c>
      <c r="J43" s="21">
        <f t="shared" si="2"/>
        <v>7900</v>
      </c>
      <c r="K43" s="21">
        <f t="shared" si="3"/>
        <v>14484.000000000002</v>
      </c>
      <c r="L43" s="21">
        <f t="shared" si="4"/>
        <v>25250</v>
      </c>
      <c r="M43" s="21">
        <f t="shared" si="5"/>
        <v>42600</v>
      </c>
      <c r="N43" s="904">
        <f t="shared" si="6"/>
        <v>718</v>
      </c>
      <c r="O43" s="21"/>
      <c r="P43" s="22" t="s">
        <v>2</v>
      </c>
      <c r="Q43" s="22">
        <v>0.72</v>
      </c>
      <c r="R43" s="904" t="s">
        <v>38</v>
      </c>
      <c r="S43" s="904" t="str">
        <f t="shared" si="7"/>
        <v>Stove</v>
      </c>
      <c r="T43" s="23">
        <f t="shared" si="8"/>
        <v>0.20182825347144595</v>
      </c>
      <c r="U43" s="23">
        <f t="shared" si="9"/>
        <v>0.59361251021013506</v>
      </c>
      <c r="V43" s="23">
        <f t="shared" si="9"/>
        <v>0.34051024150034048</v>
      </c>
      <c r="W43" s="23">
        <f t="shared" si="10"/>
        <v>1.0883396959346325</v>
      </c>
      <c r="X43" s="904">
        <f t="shared" si="11"/>
        <v>392</v>
      </c>
      <c r="Y43" s="904">
        <f t="shared" si="11"/>
        <v>428</v>
      </c>
      <c r="Z43" s="904">
        <f t="shared" si="11"/>
        <v>467</v>
      </c>
      <c r="AA43" s="904">
        <f t="shared" si="11"/>
        <v>770</v>
      </c>
      <c r="AB43" s="24">
        <v>171</v>
      </c>
    </row>
    <row r="44" spans="1:28" x14ac:dyDescent="0.25">
      <c r="A44" s="903"/>
      <c r="B44" t="s">
        <v>147</v>
      </c>
      <c r="C44" s="906" t="s">
        <v>150</v>
      </c>
      <c r="D44" s="25">
        <v>2.4</v>
      </c>
      <c r="E44" s="903">
        <v>196</v>
      </c>
      <c r="F44" s="903">
        <v>75</v>
      </c>
      <c r="G44" s="903" t="s">
        <v>151</v>
      </c>
      <c r="H44" s="904">
        <f t="shared" si="0"/>
        <v>6</v>
      </c>
      <c r="I44" s="904">
        <f t="shared" si="1"/>
        <v>11</v>
      </c>
      <c r="J44" s="21">
        <f t="shared" si="2"/>
        <v>10300</v>
      </c>
      <c r="K44" s="21">
        <f t="shared" si="3"/>
        <v>14144.000000000002</v>
      </c>
      <c r="L44" s="21">
        <f t="shared" si="4"/>
        <v>25950</v>
      </c>
      <c r="M44" s="21">
        <f t="shared" si="5"/>
        <v>41600</v>
      </c>
      <c r="N44" s="904">
        <f t="shared" si="6"/>
        <v>750</v>
      </c>
      <c r="O44" s="21"/>
      <c r="P44" s="22" t="s">
        <v>2</v>
      </c>
      <c r="Q44" s="22">
        <v>0.72</v>
      </c>
      <c r="R44" s="904" t="s">
        <v>38</v>
      </c>
      <c r="S44" s="904" t="str">
        <f t="shared" si="7"/>
        <v>Stove</v>
      </c>
      <c r="T44" s="23">
        <f t="shared" si="8"/>
        <v>0.12718762718762719</v>
      </c>
      <c r="U44" s="23">
        <f t="shared" si="9"/>
        <v>0.37408125643419754</v>
      </c>
      <c r="V44" s="23">
        <f t="shared" si="9"/>
        <v>0.20389230408498232</v>
      </c>
      <c r="W44" s="23">
        <f t="shared" si="10"/>
        <v>0.51368983407818358</v>
      </c>
      <c r="X44" s="904">
        <f t="shared" si="11"/>
        <v>164</v>
      </c>
      <c r="Y44" s="904">
        <f t="shared" si="11"/>
        <v>171</v>
      </c>
      <c r="Z44" s="904">
        <f t="shared" si="11"/>
        <v>173</v>
      </c>
      <c r="AA44" s="904">
        <f t="shared" si="11"/>
        <v>211</v>
      </c>
      <c r="AB44" s="24">
        <v>64</v>
      </c>
    </row>
    <row r="45" spans="1:28" x14ac:dyDescent="0.25">
      <c r="A45" s="903"/>
      <c r="B45" t="s">
        <v>147</v>
      </c>
      <c r="C45" s="906" t="s">
        <v>0</v>
      </c>
      <c r="D45" s="25">
        <v>2.8</v>
      </c>
      <c r="E45" s="903">
        <v>283</v>
      </c>
      <c r="F45" s="903">
        <v>119</v>
      </c>
      <c r="G45" s="903" t="s">
        <v>152</v>
      </c>
      <c r="H45" s="904">
        <f t="shared" si="0"/>
        <v>5</v>
      </c>
      <c r="I45" s="904">
        <f t="shared" si="1"/>
        <v>10</v>
      </c>
      <c r="J45" s="21">
        <f t="shared" si="2"/>
        <v>9300</v>
      </c>
      <c r="K45" s="21">
        <f t="shared" si="3"/>
        <v>10608</v>
      </c>
      <c r="L45" s="21">
        <f t="shared" si="4"/>
        <v>20250</v>
      </c>
      <c r="M45" s="21">
        <f t="shared" si="5"/>
        <v>31200</v>
      </c>
      <c r="N45" s="904">
        <f t="shared" si="6"/>
        <v>344</v>
      </c>
      <c r="O45" s="21"/>
      <c r="P45" s="22">
        <v>0.8</v>
      </c>
      <c r="Q45" s="22">
        <v>0.72</v>
      </c>
      <c r="R45" s="904" t="s">
        <v>38</v>
      </c>
      <c r="S45" s="904" t="str">
        <f t="shared" si="7"/>
        <v>Insert</v>
      </c>
      <c r="T45" s="23">
        <f t="shared" si="8"/>
        <v>0.19784742006964229</v>
      </c>
      <c r="U45" s="23">
        <f t="shared" si="9"/>
        <v>0.58190417667541849</v>
      </c>
      <c r="V45" s="23">
        <f t="shared" si="9"/>
        <v>0.30483158055174514</v>
      </c>
      <c r="W45" s="23">
        <f t="shared" si="10"/>
        <v>0.66374618345944514</v>
      </c>
      <c r="X45" s="904">
        <f t="shared" si="11"/>
        <v>381</v>
      </c>
      <c r="Y45" s="904">
        <f t="shared" si="11"/>
        <v>411</v>
      </c>
      <c r="Z45" s="904">
        <f t="shared" si="11"/>
        <v>371</v>
      </c>
      <c r="AA45" s="904">
        <f t="shared" si="11"/>
        <v>366</v>
      </c>
      <c r="AB45" s="24">
        <v>164</v>
      </c>
    </row>
    <row r="46" spans="1:28" x14ac:dyDescent="0.25">
      <c r="A46" s="903"/>
      <c r="B46" t="s">
        <v>147</v>
      </c>
      <c r="C46" s="906" t="s">
        <v>153</v>
      </c>
      <c r="D46" s="25">
        <v>2.5</v>
      </c>
      <c r="E46" s="903">
        <v>218</v>
      </c>
      <c r="F46" s="903">
        <v>68</v>
      </c>
      <c r="G46" s="903" t="s">
        <v>154</v>
      </c>
      <c r="H46" s="904">
        <f t="shared" si="0"/>
        <v>6</v>
      </c>
      <c r="I46" s="904">
        <f t="shared" si="1"/>
        <v>11</v>
      </c>
      <c r="J46" s="21">
        <f t="shared" si="2"/>
        <v>12200</v>
      </c>
      <c r="K46" s="21">
        <f t="shared" si="3"/>
        <v>12200</v>
      </c>
      <c r="L46" s="21">
        <f t="shared" si="4"/>
        <v>22950</v>
      </c>
      <c r="M46" s="21">
        <f t="shared" si="5"/>
        <v>33700</v>
      </c>
      <c r="N46" s="904">
        <f t="shared" si="6"/>
        <v>543</v>
      </c>
      <c r="O46" s="21"/>
      <c r="P46" s="22" t="s">
        <v>2</v>
      </c>
      <c r="Q46" s="22">
        <v>0.78</v>
      </c>
      <c r="R46" s="904" t="s">
        <v>15</v>
      </c>
      <c r="S46" s="904" t="str">
        <f t="shared" si="7"/>
        <v>Stove</v>
      </c>
      <c r="T46" s="23">
        <f t="shared" si="8"/>
        <v>0.16354492121059877</v>
      </c>
      <c r="U46" s="23">
        <f t="shared" si="9"/>
        <v>0.45175933154075232</v>
      </c>
      <c r="V46" s="23">
        <f t="shared" si="9"/>
        <v>0.24015093005652191</v>
      </c>
      <c r="W46" s="23">
        <f t="shared" si="10"/>
        <v>0.45175933154075232</v>
      </c>
      <c r="X46" s="904">
        <f t="shared" si="11"/>
        <v>248</v>
      </c>
      <c r="Y46" s="904">
        <f t="shared" si="11"/>
        <v>243</v>
      </c>
      <c r="Z46" s="904">
        <f t="shared" si="11"/>
        <v>227</v>
      </c>
      <c r="AA46" s="904">
        <f t="shared" si="11"/>
        <v>150</v>
      </c>
      <c r="AB46" s="24">
        <v>65</v>
      </c>
    </row>
    <row r="47" spans="1:28" x14ac:dyDescent="0.25">
      <c r="A47" s="903"/>
      <c r="B47" t="s">
        <v>147</v>
      </c>
      <c r="C47" s="906" t="s">
        <v>155</v>
      </c>
      <c r="D47" s="25">
        <v>2.2000000000000002</v>
      </c>
      <c r="E47" s="903">
        <v>169</v>
      </c>
      <c r="F47" s="903">
        <v>64</v>
      </c>
      <c r="G47" s="903" t="s">
        <v>156</v>
      </c>
      <c r="H47" s="904">
        <f t="shared" si="0"/>
        <v>6</v>
      </c>
      <c r="I47" s="904">
        <f t="shared" si="1"/>
        <v>11</v>
      </c>
      <c r="J47" s="21">
        <f t="shared" si="2"/>
        <v>10100</v>
      </c>
      <c r="K47" s="21">
        <f t="shared" si="3"/>
        <v>11730</v>
      </c>
      <c r="L47" s="21">
        <f t="shared" si="4"/>
        <v>22300</v>
      </c>
      <c r="M47" s="21">
        <f t="shared" si="5"/>
        <v>34500</v>
      </c>
      <c r="N47" s="904">
        <f t="shared" si="6"/>
        <v>499</v>
      </c>
      <c r="O47" s="21"/>
      <c r="P47" s="22" t="s">
        <v>2</v>
      </c>
      <c r="Q47" s="22">
        <v>0.72</v>
      </c>
      <c r="R47" s="904" t="s">
        <v>38</v>
      </c>
      <c r="S47" s="904" t="str">
        <f t="shared" si="7"/>
        <v>Insert</v>
      </c>
      <c r="T47" s="23">
        <f t="shared" si="8"/>
        <v>0.14058226618613093</v>
      </c>
      <c r="U47" s="23">
        <f t="shared" si="9"/>
        <v>0.41347725348862036</v>
      </c>
      <c r="V47" s="23">
        <f t="shared" si="9"/>
        <v>0.21749274365118909</v>
      </c>
      <c r="W47" s="23">
        <f t="shared" si="10"/>
        <v>0.48020675083381353</v>
      </c>
      <c r="X47" s="904">
        <f t="shared" si="11"/>
        <v>188</v>
      </c>
      <c r="Y47" s="904">
        <f t="shared" si="11"/>
        <v>198</v>
      </c>
      <c r="Z47" s="904">
        <f t="shared" si="11"/>
        <v>184</v>
      </c>
      <c r="AA47" s="904">
        <f t="shared" si="11"/>
        <v>174</v>
      </c>
      <c r="AB47" s="24">
        <v>76</v>
      </c>
    </row>
    <row r="48" spans="1:28" x14ac:dyDescent="0.25">
      <c r="A48" s="903"/>
      <c r="B48" t="s">
        <v>147</v>
      </c>
      <c r="C48" s="906" t="s">
        <v>157</v>
      </c>
      <c r="D48" s="25">
        <v>1.9</v>
      </c>
      <c r="E48" s="903">
        <v>114</v>
      </c>
      <c r="F48" s="903">
        <v>42</v>
      </c>
      <c r="G48" s="903" t="s">
        <v>158</v>
      </c>
      <c r="H48" s="904">
        <f t="shared" si="0"/>
        <v>5</v>
      </c>
      <c r="I48" s="904">
        <f t="shared" si="1"/>
        <v>10</v>
      </c>
      <c r="J48" s="21">
        <f t="shared" si="2"/>
        <v>9000</v>
      </c>
      <c r="K48" s="21">
        <f t="shared" si="3"/>
        <v>12002</v>
      </c>
      <c r="L48" s="21">
        <f t="shared" si="4"/>
        <v>22150</v>
      </c>
      <c r="M48" s="21">
        <f t="shared" si="5"/>
        <v>35300</v>
      </c>
      <c r="N48" s="904">
        <f t="shared" si="6"/>
        <v>489</v>
      </c>
      <c r="O48" s="21"/>
      <c r="P48" s="22" t="s">
        <v>2</v>
      </c>
      <c r="Q48" s="22">
        <v>0.72</v>
      </c>
      <c r="R48" s="904" t="s">
        <v>38</v>
      </c>
      <c r="S48" s="904" t="str">
        <f t="shared" si="7"/>
        <v>Stove</v>
      </c>
      <c r="T48" s="23">
        <f t="shared" si="8"/>
        <v>0.118660411389401</v>
      </c>
      <c r="U48" s="23">
        <f t="shared" si="9"/>
        <v>0.34900120996882644</v>
      </c>
      <c r="V48" s="23">
        <f t="shared" si="9"/>
        <v>0.1891066601375104</v>
      </c>
      <c r="W48" s="23">
        <f t="shared" si="10"/>
        <v>0.46541250244953947</v>
      </c>
      <c r="X48" s="904">
        <f t="shared" si="11"/>
        <v>135</v>
      </c>
      <c r="Y48" s="904">
        <f t="shared" si="11"/>
        <v>146</v>
      </c>
      <c r="Z48" s="904">
        <f t="shared" si="11"/>
        <v>147</v>
      </c>
      <c r="AA48" s="904">
        <f t="shared" si="11"/>
        <v>159</v>
      </c>
      <c r="AB48" s="24">
        <v>53</v>
      </c>
    </row>
    <row r="49" spans="1:28" x14ac:dyDescent="0.25">
      <c r="A49" s="903"/>
      <c r="B49" t="s">
        <v>147</v>
      </c>
      <c r="C49" s="906" t="s">
        <v>159</v>
      </c>
      <c r="D49" s="25">
        <v>3.7</v>
      </c>
      <c r="E49" s="903">
        <v>501</v>
      </c>
      <c r="F49" s="903">
        <v>196</v>
      </c>
      <c r="G49" s="903" t="s">
        <v>160</v>
      </c>
      <c r="H49" s="904">
        <f t="shared" si="0"/>
        <v>5</v>
      </c>
      <c r="I49" s="904">
        <f t="shared" si="1"/>
        <v>10</v>
      </c>
      <c r="J49" s="21">
        <f t="shared" si="2"/>
        <v>8400</v>
      </c>
      <c r="K49" s="21">
        <f t="shared" si="3"/>
        <v>12036</v>
      </c>
      <c r="L49" s="21">
        <f t="shared" si="4"/>
        <v>21900</v>
      </c>
      <c r="M49" s="21">
        <f t="shared" si="5"/>
        <v>35400</v>
      </c>
      <c r="N49" s="904">
        <f t="shared" si="6"/>
        <v>463</v>
      </c>
      <c r="O49" s="21"/>
      <c r="P49" s="22" t="s">
        <v>2</v>
      </c>
      <c r="Q49" s="22">
        <v>0.72</v>
      </c>
      <c r="R49" s="904" t="s">
        <v>38</v>
      </c>
      <c r="S49" s="904" t="str">
        <f t="shared" si="7"/>
        <v>Stove</v>
      </c>
      <c r="T49" s="23">
        <f t="shared" si="8"/>
        <v>0.23042278221185941</v>
      </c>
      <c r="U49" s="23">
        <f t="shared" si="9"/>
        <v>0.67771406532899825</v>
      </c>
      <c r="V49" s="23">
        <f t="shared" si="9"/>
        <v>0.37246422330136181</v>
      </c>
      <c r="W49" s="23">
        <f t="shared" si="10"/>
        <v>0.9710674393214076</v>
      </c>
      <c r="X49" s="904">
        <f t="shared" si="11"/>
        <v>498</v>
      </c>
      <c r="Y49" s="904">
        <f t="shared" si="11"/>
        <v>539</v>
      </c>
      <c r="Z49" s="904">
        <f t="shared" si="11"/>
        <v>547</v>
      </c>
      <c r="AA49" s="904">
        <f t="shared" si="11"/>
        <v>697</v>
      </c>
      <c r="AB49" s="24">
        <v>202</v>
      </c>
    </row>
    <row r="50" spans="1:28" x14ac:dyDescent="0.25">
      <c r="A50" s="903"/>
      <c r="B50" t="s">
        <v>147</v>
      </c>
      <c r="C50" s="906" t="s">
        <v>161</v>
      </c>
      <c r="D50" s="25">
        <v>3</v>
      </c>
      <c r="E50" s="903">
        <v>322</v>
      </c>
      <c r="F50" s="903">
        <v>134</v>
      </c>
      <c r="G50" s="903" t="s">
        <v>162</v>
      </c>
      <c r="H50" s="904">
        <f t="shared" si="0"/>
        <v>5</v>
      </c>
      <c r="I50" s="904">
        <f t="shared" si="1"/>
        <v>10</v>
      </c>
      <c r="J50" s="21">
        <f t="shared" si="2"/>
        <v>6800</v>
      </c>
      <c r="K50" s="21">
        <f t="shared" si="3"/>
        <v>19414</v>
      </c>
      <c r="L50" s="21">
        <f t="shared" si="4"/>
        <v>31950</v>
      </c>
      <c r="M50" s="21">
        <f t="shared" si="5"/>
        <v>57100</v>
      </c>
      <c r="N50" s="904">
        <f t="shared" si="6"/>
        <v>904</v>
      </c>
      <c r="O50" s="21"/>
      <c r="P50" s="22" t="s">
        <v>2</v>
      </c>
      <c r="Q50" s="22">
        <v>0.72</v>
      </c>
      <c r="R50" s="904" t="s">
        <v>38</v>
      </c>
      <c r="S50" s="904" t="str">
        <f t="shared" si="7"/>
        <v>Stove</v>
      </c>
      <c r="T50" s="23">
        <f t="shared" si="8"/>
        <v>0.11582761144932774</v>
      </c>
      <c r="U50" s="23">
        <f t="shared" si="9"/>
        <v>0.34066944543919919</v>
      </c>
      <c r="V50" s="23">
        <f t="shared" si="9"/>
        <v>0.20700333689379072</v>
      </c>
      <c r="W50" s="23">
        <f t="shared" si="10"/>
        <v>0.97261126672891374</v>
      </c>
      <c r="X50" s="904">
        <f t="shared" si="11"/>
        <v>129</v>
      </c>
      <c r="Y50" s="904">
        <f t="shared" si="11"/>
        <v>143</v>
      </c>
      <c r="Z50" s="904">
        <f t="shared" si="11"/>
        <v>174</v>
      </c>
      <c r="AA50" s="904">
        <f t="shared" si="11"/>
        <v>701</v>
      </c>
      <c r="AB50" s="24">
        <v>52</v>
      </c>
    </row>
    <row r="51" spans="1:28" x14ac:dyDescent="0.25">
      <c r="A51" s="903"/>
      <c r="B51" t="s">
        <v>147</v>
      </c>
      <c r="C51" s="906" t="s">
        <v>163</v>
      </c>
      <c r="D51" s="25">
        <v>2.5</v>
      </c>
      <c r="E51" s="903">
        <v>218</v>
      </c>
      <c r="F51" s="903">
        <v>89</v>
      </c>
      <c r="G51" s="903" t="s">
        <v>164</v>
      </c>
      <c r="H51" s="904">
        <f t="shared" si="0"/>
        <v>5</v>
      </c>
      <c r="I51" s="904">
        <f t="shared" si="1"/>
        <v>10</v>
      </c>
      <c r="J51" s="21">
        <f t="shared" si="2"/>
        <v>7700</v>
      </c>
      <c r="K51" s="21">
        <f t="shared" si="3"/>
        <v>10574</v>
      </c>
      <c r="L51" s="21">
        <f t="shared" si="4"/>
        <v>19400</v>
      </c>
      <c r="M51" s="21">
        <f t="shared" si="5"/>
        <v>31100</v>
      </c>
      <c r="N51" s="904">
        <f t="shared" si="6"/>
        <v>269</v>
      </c>
      <c r="O51" s="21"/>
      <c r="P51" s="22" t="s">
        <v>2</v>
      </c>
      <c r="Q51" s="22">
        <v>0.72</v>
      </c>
      <c r="R51" s="904" t="s">
        <v>38</v>
      </c>
      <c r="S51" s="904" t="str">
        <f t="shared" si="7"/>
        <v>Stove</v>
      </c>
      <c r="T51" s="23">
        <f t="shared" si="8"/>
        <v>0.17721748697097037</v>
      </c>
      <c r="U51" s="23">
        <f t="shared" si="9"/>
        <v>0.52122790285579512</v>
      </c>
      <c r="V51" s="23">
        <f t="shared" si="9"/>
        <v>0.28409607447408136</v>
      </c>
      <c r="W51" s="23">
        <f t="shared" si="10"/>
        <v>0.71577452529833485</v>
      </c>
      <c r="X51" s="904">
        <f t="shared" si="11"/>
        <v>299</v>
      </c>
      <c r="Y51" s="904">
        <f t="shared" si="11"/>
        <v>321</v>
      </c>
      <c r="Z51" s="904">
        <f t="shared" si="11"/>
        <v>315</v>
      </c>
      <c r="AA51" s="904">
        <f t="shared" si="11"/>
        <v>427</v>
      </c>
      <c r="AB51" s="24">
        <v>133</v>
      </c>
    </row>
    <row r="52" spans="1:28" x14ac:dyDescent="0.25">
      <c r="A52" s="903"/>
      <c r="B52" t="s">
        <v>147</v>
      </c>
      <c r="C52" s="906" t="s">
        <v>165</v>
      </c>
      <c r="D52" s="25">
        <v>3.5</v>
      </c>
      <c r="E52" s="903">
        <v>432</v>
      </c>
      <c r="F52" s="903">
        <v>181</v>
      </c>
      <c r="G52" s="903" t="s">
        <v>166</v>
      </c>
      <c r="H52" s="904">
        <f t="shared" si="0"/>
        <v>6</v>
      </c>
      <c r="I52" s="904">
        <f t="shared" si="1"/>
        <v>11</v>
      </c>
      <c r="J52" s="21">
        <f t="shared" si="2"/>
        <v>10600</v>
      </c>
      <c r="K52" s="21">
        <f t="shared" si="3"/>
        <v>12240</v>
      </c>
      <c r="L52" s="21">
        <f t="shared" si="4"/>
        <v>23300</v>
      </c>
      <c r="M52" s="21">
        <f t="shared" si="5"/>
        <v>36000</v>
      </c>
      <c r="N52" s="904">
        <f t="shared" si="6"/>
        <v>575</v>
      </c>
      <c r="O52" s="21"/>
      <c r="P52" s="22">
        <v>0.71400000000000008</v>
      </c>
      <c r="Q52" s="22">
        <v>0.63</v>
      </c>
      <c r="R52" s="904" t="s">
        <v>42</v>
      </c>
      <c r="S52" s="904" t="str">
        <f t="shared" si="7"/>
        <v>Stove</v>
      </c>
      <c r="T52" s="23">
        <f t="shared" si="8"/>
        <v>0.2143347050754458</v>
      </c>
      <c r="U52" s="23">
        <f t="shared" si="9"/>
        <v>0.63039619139837</v>
      </c>
      <c r="V52" s="23">
        <f t="shared" si="9"/>
        <v>0.33116091771313516</v>
      </c>
      <c r="W52" s="23">
        <f t="shared" si="10"/>
        <v>0.72792918704868392</v>
      </c>
      <c r="X52" s="904">
        <f t="shared" si="11"/>
        <v>440</v>
      </c>
      <c r="Y52" s="904">
        <f t="shared" si="11"/>
        <v>471</v>
      </c>
      <c r="Z52" s="904">
        <f t="shared" si="11"/>
        <v>441</v>
      </c>
      <c r="AA52" s="904">
        <f t="shared" si="11"/>
        <v>438</v>
      </c>
      <c r="AB52" s="24">
        <v>211</v>
      </c>
    </row>
    <row r="53" spans="1:28" x14ac:dyDescent="0.25">
      <c r="A53" s="903"/>
      <c r="B53" t="s">
        <v>147</v>
      </c>
      <c r="C53" s="906" t="s">
        <v>167</v>
      </c>
      <c r="D53" s="25">
        <v>1.3</v>
      </c>
      <c r="E53" s="903">
        <v>53</v>
      </c>
      <c r="F53" s="903">
        <v>15</v>
      </c>
      <c r="G53" s="903" t="s">
        <v>168</v>
      </c>
      <c r="H53" s="904">
        <f t="shared" si="0"/>
        <v>6</v>
      </c>
      <c r="I53" s="904">
        <f t="shared" si="1"/>
        <v>11</v>
      </c>
      <c r="J53" s="21">
        <f t="shared" si="2"/>
        <v>11400</v>
      </c>
      <c r="K53" s="21">
        <f t="shared" si="3"/>
        <v>11400</v>
      </c>
      <c r="L53" s="21">
        <f t="shared" si="4"/>
        <v>17050</v>
      </c>
      <c r="M53" s="21">
        <f t="shared" si="5"/>
        <v>22700</v>
      </c>
      <c r="N53" s="904">
        <f t="shared" si="6"/>
        <v>94</v>
      </c>
      <c r="O53" s="21"/>
      <c r="P53" s="22">
        <v>0.77</v>
      </c>
      <c r="Q53" s="22">
        <v>0.72</v>
      </c>
      <c r="R53" s="904" t="s">
        <v>38</v>
      </c>
      <c r="S53" s="904" t="str">
        <f t="shared" si="7"/>
        <v>Stove</v>
      </c>
      <c r="T53" s="23">
        <f t="shared" si="8"/>
        <v>0.12625379732575034</v>
      </c>
      <c r="U53" s="23">
        <f t="shared" si="9"/>
        <v>0.25140010520127481</v>
      </c>
      <c r="V53" s="23">
        <f t="shared" si="9"/>
        <v>0.16809156594102831</v>
      </c>
      <c r="W53" s="23">
        <f t="shared" si="10"/>
        <v>0.25140010520127481</v>
      </c>
      <c r="X53" s="904">
        <f t="shared" si="11"/>
        <v>158</v>
      </c>
      <c r="Y53" s="904">
        <f t="shared" si="11"/>
        <v>65</v>
      </c>
      <c r="Z53" s="904">
        <f t="shared" si="11"/>
        <v>106</v>
      </c>
      <c r="AA53" s="904">
        <f t="shared" si="11"/>
        <v>43</v>
      </c>
      <c r="AB53" s="24">
        <v>23</v>
      </c>
    </row>
    <row r="54" spans="1:28" x14ac:dyDescent="0.25">
      <c r="A54" s="903"/>
      <c r="B54" t="s">
        <v>147</v>
      </c>
      <c r="C54" s="906" t="s">
        <v>169</v>
      </c>
      <c r="D54" s="25">
        <v>0.97</v>
      </c>
      <c r="E54" s="903">
        <v>21</v>
      </c>
      <c r="F54" s="903">
        <v>4</v>
      </c>
      <c r="G54" s="903" t="s">
        <v>170</v>
      </c>
      <c r="H54" s="904">
        <f t="shared" si="0"/>
        <v>6</v>
      </c>
      <c r="I54" s="904">
        <f t="shared" si="1"/>
        <v>11</v>
      </c>
      <c r="J54" s="21">
        <f t="shared" si="2"/>
        <v>11200</v>
      </c>
      <c r="K54" s="21">
        <f t="shared" si="3"/>
        <v>11200</v>
      </c>
      <c r="L54" s="21">
        <f t="shared" si="4"/>
        <v>19240</v>
      </c>
      <c r="M54" s="21">
        <f t="shared" si="5"/>
        <v>27280</v>
      </c>
      <c r="N54" s="904">
        <f t="shared" si="6"/>
        <v>258</v>
      </c>
      <c r="O54" s="21"/>
      <c r="P54" s="22">
        <v>0.75</v>
      </c>
      <c r="Q54" s="22">
        <v>0.72</v>
      </c>
      <c r="R54" s="904" t="s">
        <v>42</v>
      </c>
      <c r="S54" s="904" t="str">
        <f t="shared" si="7"/>
        <v>Stove</v>
      </c>
      <c r="T54" s="23">
        <f t="shared" si="8"/>
        <v>7.8388855270575694E-2</v>
      </c>
      <c r="U54" s="23">
        <f t="shared" si="9"/>
        <v>0.19093285462333082</v>
      </c>
      <c r="V54" s="23">
        <f t="shared" si="9"/>
        <v>0.11114594447927781</v>
      </c>
      <c r="W54" s="23">
        <f t="shared" si="10"/>
        <v>0.19093285462333082</v>
      </c>
      <c r="X54" s="904">
        <f t="shared" si="11"/>
        <v>51</v>
      </c>
      <c r="Y54" s="904">
        <f t="shared" si="11"/>
        <v>42</v>
      </c>
      <c r="Z54" s="904">
        <f t="shared" si="11"/>
        <v>43</v>
      </c>
      <c r="AA54" s="904">
        <f t="shared" si="11"/>
        <v>28</v>
      </c>
      <c r="AB54" s="24">
        <v>11</v>
      </c>
    </row>
    <row r="55" spans="1:28" x14ac:dyDescent="0.25">
      <c r="A55" s="903"/>
      <c r="B55" t="s">
        <v>147</v>
      </c>
      <c r="C55" s="906" t="s">
        <v>171</v>
      </c>
      <c r="D55" s="25">
        <v>5.2</v>
      </c>
      <c r="E55" s="903">
        <v>784</v>
      </c>
      <c r="F55" s="903">
        <v>437</v>
      </c>
      <c r="G55" s="903" t="s">
        <v>172</v>
      </c>
      <c r="H55" s="904">
        <f t="shared" si="0"/>
        <v>6</v>
      </c>
      <c r="I55" s="904">
        <f t="shared" si="1"/>
        <v>11</v>
      </c>
      <c r="J55" s="21">
        <f t="shared" si="2"/>
        <v>13500</v>
      </c>
      <c r="K55" s="21">
        <f t="shared" si="3"/>
        <v>13500</v>
      </c>
      <c r="L55" s="21">
        <f t="shared" si="4"/>
        <v>25750</v>
      </c>
      <c r="M55" s="21">
        <f t="shared" si="5"/>
        <v>38000</v>
      </c>
      <c r="N55" s="904">
        <f t="shared" si="6"/>
        <v>735</v>
      </c>
      <c r="O55" s="21"/>
      <c r="P55" s="22" t="s">
        <v>2</v>
      </c>
      <c r="Q55" s="22">
        <v>0.63</v>
      </c>
      <c r="R55" s="904" t="s">
        <v>42</v>
      </c>
      <c r="S55" s="904" t="str">
        <f t="shared" si="7"/>
        <v>Stove</v>
      </c>
      <c r="T55" s="23">
        <f t="shared" si="8"/>
        <v>0.30168012624152973</v>
      </c>
      <c r="U55" s="23">
        <f t="shared" si="9"/>
        <v>0.84917368867986154</v>
      </c>
      <c r="V55" s="23">
        <f t="shared" si="9"/>
        <v>0.44519785620109242</v>
      </c>
      <c r="W55" s="23">
        <f t="shared" si="10"/>
        <v>0.84917368867986154</v>
      </c>
      <c r="X55" s="904">
        <f t="shared" si="11"/>
        <v>674</v>
      </c>
      <c r="Y55" s="904">
        <f t="shared" si="11"/>
        <v>709</v>
      </c>
      <c r="Z55" s="904">
        <f t="shared" si="11"/>
        <v>667</v>
      </c>
      <c r="AA55" s="904">
        <f t="shared" si="11"/>
        <v>598</v>
      </c>
      <c r="AB55" s="24">
        <v>392</v>
      </c>
    </row>
    <row r="56" spans="1:28" x14ac:dyDescent="0.25">
      <c r="A56" s="903"/>
      <c r="B56" t="s">
        <v>147</v>
      </c>
      <c r="C56" s="906" t="s">
        <v>173</v>
      </c>
      <c r="D56" s="25">
        <v>2.8</v>
      </c>
      <c r="E56" s="903">
        <v>283</v>
      </c>
      <c r="F56" s="903">
        <v>119</v>
      </c>
      <c r="G56" s="903" t="s">
        <v>174</v>
      </c>
      <c r="H56" s="904">
        <f t="shared" si="0"/>
        <v>5</v>
      </c>
      <c r="I56" s="904">
        <f t="shared" si="1"/>
        <v>10</v>
      </c>
      <c r="J56" s="21">
        <f t="shared" si="2"/>
        <v>9600</v>
      </c>
      <c r="K56" s="21">
        <f t="shared" si="3"/>
        <v>11016</v>
      </c>
      <c r="L56" s="21">
        <f t="shared" si="4"/>
        <v>21000</v>
      </c>
      <c r="M56" s="21">
        <f t="shared" si="5"/>
        <v>32400</v>
      </c>
      <c r="N56" s="904">
        <f t="shared" si="6"/>
        <v>404</v>
      </c>
      <c r="O56" s="21"/>
      <c r="P56" s="22" t="s">
        <v>2</v>
      </c>
      <c r="Q56" s="22">
        <v>0.72</v>
      </c>
      <c r="R56" s="904" t="s">
        <v>38</v>
      </c>
      <c r="S56" s="904" t="str">
        <f t="shared" si="7"/>
        <v>Stove</v>
      </c>
      <c r="T56" s="23">
        <f t="shared" si="8"/>
        <v>0.19051973784484072</v>
      </c>
      <c r="U56" s="23">
        <f t="shared" si="9"/>
        <v>0.56035217013188443</v>
      </c>
      <c r="V56" s="23">
        <f t="shared" si="9"/>
        <v>0.29394473838918284</v>
      </c>
      <c r="W56" s="23">
        <f t="shared" si="10"/>
        <v>0.64300411522633749</v>
      </c>
      <c r="X56" s="904">
        <f t="shared" si="11"/>
        <v>346</v>
      </c>
      <c r="Y56" s="904">
        <f t="shared" si="11"/>
        <v>375</v>
      </c>
      <c r="Z56" s="904">
        <f t="shared" si="11"/>
        <v>349</v>
      </c>
      <c r="AA56" s="904">
        <f t="shared" si="11"/>
        <v>339</v>
      </c>
      <c r="AB56" s="24">
        <v>150</v>
      </c>
    </row>
    <row r="57" spans="1:28" x14ac:dyDescent="0.25">
      <c r="A57" s="903"/>
      <c r="B57" t="s">
        <v>147</v>
      </c>
      <c r="C57" s="906" t="s">
        <v>175</v>
      </c>
      <c r="D57" s="25">
        <v>2.1</v>
      </c>
      <c r="E57" s="903">
        <v>145</v>
      </c>
      <c r="F57" s="903">
        <v>53</v>
      </c>
      <c r="G57" s="903" t="s">
        <v>176</v>
      </c>
      <c r="H57" s="904">
        <f t="shared" si="0"/>
        <v>6</v>
      </c>
      <c r="I57" s="904">
        <f t="shared" si="1"/>
        <v>11</v>
      </c>
      <c r="J57" s="21">
        <f t="shared" si="2"/>
        <v>10700</v>
      </c>
      <c r="K57" s="21">
        <f t="shared" si="3"/>
        <v>14722.000000000002</v>
      </c>
      <c r="L57" s="21">
        <f t="shared" si="4"/>
        <v>27000</v>
      </c>
      <c r="M57" s="21">
        <f t="shared" si="5"/>
        <v>43300</v>
      </c>
      <c r="N57" s="904">
        <f t="shared" si="6"/>
        <v>796</v>
      </c>
      <c r="O57" s="21"/>
      <c r="P57" s="22" t="s">
        <v>2</v>
      </c>
      <c r="Q57" s="22">
        <v>0.72</v>
      </c>
      <c r="R57" s="904" t="s">
        <v>38</v>
      </c>
      <c r="S57" s="904" t="str">
        <f t="shared" si="7"/>
        <v>Stove</v>
      </c>
      <c r="T57" s="23">
        <f t="shared" si="8"/>
        <v>0.10691985287828244</v>
      </c>
      <c r="U57" s="23">
        <f t="shared" si="9"/>
        <v>0.31447015552436008</v>
      </c>
      <c r="V57" s="23">
        <f t="shared" si="9"/>
        <v>0.17146776406035666</v>
      </c>
      <c r="W57" s="23">
        <f t="shared" si="10"/>
        <v>0.43267566632052612</v>
      </c>
      <c r="X57" s="904">
        <f t="shared" si="11"/>
        <v>102</v>
      </c>
      <c r="Y57" s="904">
        <f t="shared" si="11"/>
        <v>119</v>
      </c>
      <c r="Z57" s="904">
        <f t="shared" si="11"/>
        <v>111</v>
      </c>
      <c r="AA57" s="904">
        <f t="shared" si="11"/>
        <v>137</v>
      </c>
      <c r="AB57" s="24">
        <v>48</v>
      </c>
    </row>
    <row r="58" spans="1:28" x14ac:dyDescent="0.25">
      <c r="A58" s="903"/>
      <c r="B58" t="s">
        <v>147</v>
      </c>
      <c r="C58" s="906" t="s">
        <v>177</v>
      </c>
      <c r="D58" s="25">
        <v>2</v>
      </c>
      <c r="E58" s="903">
        <v>131</v>
      </c>
      <c r="F58" s="903">
        <v>46</v>
      </c>
      <c r="G58" s="903" t="s">
        <v>178</v>
      </c>
      <c r="H58" s="904">
        <f t="shared" si="0"/>
        <v>5</v>
      </c>
      <c r="I58" s="904">
        <f t="shared" si="1"/>
        <v>10</v>
      </c>
      <c r="J58" s="21">
        <f t="shared" si="2"/>
        <v>7200</v>
      </c>
      <c r="K58" s="21">
        <f t="shared" si="3"/>
        <v>10030</v>
      </c>
      <c r="L58" s="21">
        <f t="shared" si="4"/>
        <v>18350</v>
      </c>
      <c r="M58" s="21">
        <f t="shared" si="5"/>
        <v>29500</v>
      </c>
      <c r="N58" s="904">
        <f t="shared" si="6"/>
        <v>180</v>
      </c>
      <c r="O58" s="21"/>
      <c r="P58" s="22">
        <v>0.8</v>
      </c>
      <c r="Q58" s="22">
        <v>0.72</v>
      </c>
      <c r="R58" s="904" t="s">
        <v>38</v>
      </c>
      <c r="S58" s="904" t="str">
        <f t="shared" si="7"/>
        <v>Insert</v>
      </c>
      <c r="T58" s="23">
        <f t="shared" si="8"/>
        <v>0.14946342629958448</v>
      </c>
      <c r="U58" s="23">
        <f t="shared" si="9"/>
        <v>0.43959831264583676</v>
      </c>
      <c r="V58" s="23">
        <f t="shared" si="9"/>
        <v>0.24028180249796963</v>
      </c>
      <c r="W58" s="23">
        <f t="shared" si="10"/>
        <v>0.61238487164413091</v>
      </c>
      <c r="X58" s="904">
        <f t="shared" si="11"/>
        <v>214</v>
      </c>
      <c r="Y58" s="904">
        <f t="shared" si="11"/>
        <v>226</v>
      </c>
      <c r="Z58" s="904">
        <f t="shared" si="11"/>
        <v>228</v>
      </c>
      <c r="AA58" s="904">
        <f t="shared" si="11"/>
        <v>299</v>
      </c>
      <c r="AB58" s="24">
        <v>90</v>
      </c>
    </row>
    <row r="59" spans="1:28" x14ac:dyDescent="0.25">
      <c r="A59" s="903"/>
      <c r="B59" t="s">
        <v>147</v>
      </c>
      <c r="C59" s="906" t="s">
        <v>179</v>
      </c>
      <c r="D59" s="25">
        <v>2.4</v>
      </c>
      <c r="E59" s="903">
        <v>196</v>
      </c>
      <c r="F59" s="903">
        <v>75</v>
      </c>
      <c r="G59" s="903" t="s">
        <v>180</v>
      </c>
      <c r="H59" s="904">
        <f t="shared" si="0"/>
        <v>6</v>
      </c>
      <c r="I59" s="904">
        <f t="shared" si="1"/>
        <v>11</v>
      </c>
      <c r="J59" s="21">
        <f t="shared" si="2"/>
        <v>12000</v>
      </c>
      <c r="K59" s="21">
        <f t="shared" si="3"/>
        <v>12104</v>
      </c>
      <c r="L59" s="21">
        <f t="shared" si="4"/>
        <v>23800</v>
      </c>
      <c r="M59" s="21">
        <f t="shared" si="5"/>
        <v>35600</v>
      </c>
      <c r="N59" s="904">
        <f t="shared" si="6"/>
        <v>615</v>
      </c>
      <c r="O59" s="21"/>
      <c r="P59" s="22">
        <v>0.81</v>
      </c>
      <c r="Q59" s="22">
        <v>0.72</v>
      </c>
      <c r="R59" s="904" t="s">
        <v>38</v>
      </c>
      <c r="S59" s="904" t="str">
        <f t="shared" si="7"/>
        <v>Stove</v>
      </c>
      <c r="T59" s="23">
        <f t="shared" si="8"/>
        <v>0.14862374412936211</v>
      </c>
      <c r="U59" s="23">
        <f t="shared" si="9"/>
        <v>0.43712865920400618</v>
      </c>
      <c r="V59" s="23">
        <f t="shared" si="9"/>
        <v>0.22231114668089458</v>
      </c>
      <c r="W59" s="23">
        <f t="shared" si="10"/>
        <v>0.44091710758377423</v>
      </c>
      <c r="X59" s="904">
        <f t="shared" si="11"/>
        <v>207</v>
      </c>
      <c r="Y59" s="904">
        <f t="shared" si="11"/>
        <v>218</v>
      </c>
      <c r="Z59" s="904">
        <f t="shared" si="11"/>
        <v>187</v>
      </c>
      <c r="AA59" s="904">
        <f t="shared" si="11"/>
        <v>143</v>
      </c>
      <c r="AB59" s="24">
        <v>86</v>
      </c>
    </row>
    <row r="60" spans="1:28" x14ac:dyDescent="0.25">
      <c r="A60" s="903"/>
      <c r="B60" t="s">
        <v>181</v>
      </c>
      <c r="C60" s="906" t="s">
        <v>182</v>
      </c>
      <c r="D60" s="25">
        <v>5.8</v>
      </c>
      <c r="E60" s="903">
        <v>834</v>
      </c>
      <c r="F60" s="903">
        <v>481</v>
      </c>
      <c r="G60" s="903" t="s">
        <v>183</v>
      </c>
      <c r="H60" s="904">
        <f t="shared" si="0"/>
        <v>5</v>
      </c>
      <c r="I60" s="904">
        <f t="shared" si="1"/>
        <v>10</v>
      </c>
      <c r="J60" s="21">
        <f t="shared" si="2"/>
        <v>9400</v>
      </c>
      <c r="K60" s="21">
        <f t="shared" si="3"/>
        <v>13532.000000000002</v>
      </c>
      <c r="L60" s="21">
        <f t="shared" si="4"/>
        <v>24600</v>
      </c>
      <c r="M60" s="21">
        <f t="shared" si="5"/>
        <v>39800</v>
      </c>
      <c r="N60" s="904">
        <f t="shared" si="6"/>
        <v>673</v>
      </c>
      <c r="O60" s="21"/>
      <c r="P60" s="22">
        <v>0.71099999999999997</v>
      </c>
      <c r="Q60" s="22">
        <v>0.63</v>
      </c>
      <c r="R60" s="904" t="s">
        <v>42</v>
      </c>
      <c r="S60" s="904" t="str">
        <f t="shared" si="7"/>
        <v>Stove</v>
      </c>
      <c r="T60" s="23">
        <f t="shared" si="8"/>
        <v>0.3212712592947099</v>
      </c>
      <c r="U60" s="23">
        <f t="shared" si="9"/>
        <v>0.94491546851385244</v>
      </c>
      <c r="V60" s="23">
        <f t="shared" si="9"/>
        <v>0.51978033007843305</v>
      </c>
      <c r="W60" s="23">
        <f t="shared" si="10"/>
        <v>1.3602761829712184</v>
      </c>
      <c r="X60" s="904">
        <f t="shared" si="11"/>
        <v>716</v>
      </c>
      <c r="Y60" s="904">
        <f t="shared" si="11"/>
        <v>782</v>
      </c>
      <c r="Z60" s="904">
        <f t="shared" si="11"/>
        <v>766</v>
      </c>
      <c r="AA60" s="904">
        <f t="shared" si="11"/>
        <v>880</v>
      </c>
      <c r="AB60" s="24">
        <v>451</v>
      </c>
    </row>
    <row r="61" spans="1:28" x14ac:dyDescent="0.25">
      <c r="A61" s="903"/>
      <c r="B61" s="16" t="s">
        <v>184</v>
      </c>
      <c r="C61" s="17" t="s">
        <v>185</v>
      </c>
      <c r="D61" s="18">
        <v>3.9</v>
      </c>
      <c r="E61" s="19">
        <v>548</v>
      </c>
      <c r="F61" s="903">
        <v>253</v>
      </c>
      <c r="G61" s="19" t="s">
        <v>186</v>
      </c>
      <c r="H61" s="904">
        <f t="shared" si="0"/>
        <v>6</v>
      </c>
      <c r="I61" s="904">
        <f t="shared" si="1"/>
        <v>11</v>
      </c>
      <c r="J61" s="21">
        <f t="shared" si="2"/>
        <v>12878</v>
      </c>
      <c r="K61" s="21">
        <f t="shared" si="3"/>
        <v>12878</v>
      </c>
      <c r="L61" s="21">
        <f t="shared" si="4"/>
        <v>20862</v>
      </c>
      <c r="M61" s="21">
        <f t="shared" si="5"/>
        <v>28846</v>
      </c>
      <c r="N61" s="904">
        <f t="shared" si="6"/>
        <v>393</v>
      </c>
      <c r="O61" s="21"/>
      <c r="P61" s="22">
        <v>0.73199999999999998</v>
      </c>
      <c r="Q61" s="22">
        <v>0.63</v>
      </c>
      <c r="R61" s="904" t="s">
        <v>42</v>
      </c>
      <c r="S61" s="904" t="str">
        <f t="shared" si="7"/>
        <v>Stove</v>
      </c>
      <c r="T61" s="23">
        <f t="shared" si="8"/>
        <v>0.29806155438825477</v>
      </c>
      <c r="U61" s="23">
        <f t="shared" si="9"/>
        <v>0.66764121741602711</v>
      </c>
      <c r="V61" s="23">
        <f t="shared" si="9"/>
        <v>0.4121313200020898</v>
      </c>
      <c r="W61" s="23">
        <f t="shared" si="10"/>
        <v>0.66764121741602711</v>
      </c>
      <c r="X61" s="904">
        <f t="shared" si="11"/>
        <v>665</v>
      </c>
      <c r="Y61" s="904">
        <f t="shared" si="11"/>
        <v>522</v>
      </c>
      <c r="Z61" s="904">
        <f t="shared" si="11"/>
        <v>619</v>
      </c>
      <c r="AA61" s="904">
        <f t="shared" si="11"/>
        <v>377</v>
      </c>
      <c r="AB61" s="24">
        <v>251</v>
      </c>
    </row>
    <row r="62" spans="1:28" x14ac:dyDescent="0.25">
      <c r="A62" s="903"/>
      <c r="B62" t="s">
        <v>187</v>
      </c>
      <c r="C62" s="906" t="s">
        <v>188</v>
      </c>
      <c r="D62" s="25">
        <v>4.4000000000000004</v>
      </c>
      <c r="E62" s="903">
        <v>660</v>
      </c>
      <c r="F62" s="903">
        <v>338</v>
      </c>
      <c r="G62" s="903" t="s">
        <v>189</v>
      </c>
      <c r="H62" s="904">
        <f t="shared" si="0"/>
        <v>6</v>
      </c>
      <c r="I62" s="904">
        <f t="shared" si="1"/>
        <v>11</v>
      </c>
      <c r="J62" s="21">
        <f t="shared" si="2"/>
        <v>11800</v>
      </c>
      <c r="K62" s="21">
        <f t="shared" si="3"/>
        <v>11800</v>
      </c>
      <c r="L62" s="21">
        <f t="shared" si="4"/>
        <v>19300</v>
      </c>
      <c r="M62" s="21">
        <f t="shared" si="5"/>
        <v>26800</v>
      </c>
      <c r="N62" s="904">
        <f t="shared" si="6"/>
        <v>260</v>
      </c>
      <c r="O62" s="21"/>
      <c r="P62" s="22" t="s">
        <v>2</v>
      </c>
      <c r="Q62" s="22">
        <v>0.63</v>
      </c>
      <c r="R62" s="904" t="s">
        <v>42</v>
      </c>
      <c r="S62" s="904" t="str">
        <f t="shared" si="7"/>
        <v>Stove</v>
      </c>
      <c r="T62" s="23">
        <f t="shared" si="8"/>
        <v>0.36194687935981468</v>
      </c>
      <c r="U62" s="23">
        <f t="shared" si="9"/>
        <v>0.82204884464771466</v>
      </c>
      <c r="V62" s="23">
        <f t="shared" si="9"/>
        <v>0.50259981175352508</v>
      </c>
      <c r="W62" s="23">
        <f t="shared" si="10"/>
        <v>0.82204884464771466</v>
      </c>
      <c r="X62" s="904">
        <f t="shared" si="11"/>
        <v>784</v>
      </c>
      <c r="Y62" s="904">
        <f t="shared" si="11"/>
        <v>689</v>
      </c>
      <c r="Z62" s="904">
        <f t="shared" si="11"/>
        <v>751</v>
      </c>
      <c r="AA62" s="904">
        <f t="shared" si="11"/>
        <v>562</v>
      </c>
      <c r="AB62" s="24">
        <v>378</v>
      </c>
    </row>
    <row r="63" spans="1:28" x14ac:dyDescent="0.25">
      <c r="A63" s="903"/>
      <c r="B63" t="s">
        <v>187</v>
      </c>
      <c r="C63" s="906" t="s">
        <v>4419</v>
      </c>
      <c r="D63" s="25">
        <v>4.3</v>
      </c>
      <c r="E63" s="903">
        <v>635</v>
      </c>
      <c r="F63" s="903">
        <v>318</v>
      </c>
      <c r="G63" s="903" t="s">
        <v>4420</v>
      </c>
      <c r="H63" s="904">
        <f t="shared" si="0"/>
        <v>6</v>
      </c>
      <c r="I63" s="904">
        <f t="shared" si="1"/>
        <v>11</v>
      </c>
      <c r="J63" s="21">
        <f t="shared" si="2"/>
        <v>11756</v>
      </c>
      <c r="K63" s="21">
        <f t="shared" si="3"/>
        <v>12031.92</v>
      </c>
      <c r="L63" s="21">
        <f t="shared" si="4"/>
        <v>23572</v>
      </c>
      <c r="M63" s="21">
        <f t="shared" si="5"/>
        <v>35388</v>
      </c>
      <c r="N63" s="904">
        <f t="shared" si="6"/>
        <v>599</v>
      </c>
      <c r="O63" s="21"/>
      <c r="P63" s="22" t="s">
        <v>2</v>
      </c>
      <c r="Q63" s="22">
        <v>0.63</v>
      </c>
      <c r="R63" s="904" t="s">
        <v>42</v>
      </c>
      <c r="S63" s="904" t="str">
        <f t="shared" si="7"/>
        <v>Stove</v>
      </c>
      <c r="T63" s="23">
        <f t="shared" si="8"/>
        <v>0.26787944537840924</v>
      </c>
      <c r="U63" s="23">
        <f t="shared" si="9"/>
        <v>0.7878807217012036</v>
      </c>
      <c r="V63" s="23">
        <f t="shared" si="9"/>
        <v>0.40216009727859942</v>
      </c>
      <c r="W63" s="23">
        <f t="shared" si="10"/>
        <v>0.80637272992949516</v>
      </c>
      <c r="X63" s="904">
        <f t="shared" si="11"/>
        <v>601</v>
      </c>
      <c r="Y63" s="904">
        <f t="shared" si="11"/>
        <v>647</v>
      </c>
      <c r="Z63" s="904">
        <f t="shared" si="11"/>
        <v>595</v>
      </c>
      <c r="AA63" s="904">
        <f t="shared" si="11"/>
        <v>539</v>
      </c>
      <c r="AB63" s="24">
        <v>341</v>
      </c>
    </row>
    <row r="64" spans="1:28" x14ac:dyDescent="0.25">
      <c r="A64" s="903"/>
      <c r="B64" t="s">
        <v>187</v>
      </c>
      <c r="C64" s="906" t="s">
        <v>4421</v>
      </c>
      <c r="D64" s="25">
        <v>2.2000000000000002</v>
      </c>
      <c r="E64" s="903">
        <v>169</v>
      </c>
      <c r="F64" s="903">
        <v>62</v>
      </c>
      <c r="G64" s="903" t="s">
        <v>4422</v>
      </c>
      <c r="H64" s="904">
        <f t="shared" si="0"/>
        <v>5</v>
      </c>
      <c r="I64" s="904">
        <f t="shared" si="1"/>
        <v>10</v>
      </c>
      <c r="J64" s="21">
        <f t="shared" si="2"/>
        <v>6100</v>
      </c>
      <c r="K64" s="21">
        <f t="shared" si="3"/>
        <v>10200</v>
      </c>
      <c r="L64" s="21">
        <f t="shared" si="4"/>
        <v>18050</v>
      </c>
      <c r="M64" s="21">
        <f t="shared" si="5"/>
        <v>30000</v>
      </c>
      <c r="N64" s="904">
        <f t="shared" si="6"/>
        <v>161</v>
      </c>
      <c r="O64" s="21"/>
      <c r="P64" s="22" t="s">
        <v>2</v>
      </c>
      <c r="Q64" s="22">
        <v>0.78</v>
      </c>
      <c r="R64" s="904" t="s">
        <v>15</v>
      </c>
      <c r="S64" s="904" t="str">
        <f t="shared" si="7"/>
        <v>Insert</v>
      </c>
      <c r="T64" s="23">
        <f t="shared" si="8"/>
        <v>0.16166960611405057</v>
      </c>
      <c r="U64" s="23">
        <f t="shared" si="9"/>
        <v>0.47549884151191341</v>
      </c>
      <c r="V64" s="23">
        <f t="shared" si="9"/>
        <v>0.26870294644994552</v>
      </c>
      <c r="W64" s="23">
        <f t="shared" si="10"/>
        <v>0.79509642351172405</v>
      </c>
      <c r="X64" s="904">
        <f t="shared" si="11"/>
        <v>242</v>
      </c>
      <c r="Y64" s="904">
        <f t="shared" si="11"/>
        <v>258</v>
      </c>
      <c r="Z64" s="904">
        <f t="shared" si="11"/>
        <v>280</v>
      </c>
      <c r="AA64" s="904">
        <f t="shared" si="11"/>
        <v>524</v>
      </c>
      <c r="AB64" s="24">
        <v>66</v>
      </c>
    </row>
    <row r="65" spans="1:28" x14ac:dyDescent="0.25">
      <c r="A65" s="903"/>
      <c r="B65" t="s">
        <v>187</v>
      </c>
      <c r="C65" s="906" t="s">
        <v>4423</v>
      </c>
      <c r="D65" s="25">
        <v>1.2</v>
      </c>
      <c r="E65" s="903">
        <v>45</v>
      </c>
      <c r="F65" s="903">
        <v>21</v>
      </c>
      <c r="G65" s="903" t="s">
        <v>4424</v>
      </c>
      <c r="H65" s="904">
        <f t="shared" si="0"/>
        <v>5</v>
      </c>
      <c r="I65" s="904">
        <f t="shared" si="1"/>
        <v>10</v>
      </c>
      <c r="J65" s="21">
        <f t="shared" si="2"/>
        <v>8700</v>
      </c>
      <c r="K65" s="21">
        <f t="shared" si="3"/>
        <v>8700</v>
      </c>
      <c r="L65" s="21">
        <f t="shared" si="4"/>
        <v>15200</v>
      </c>
      <c r="M65" s="21">
        <f t="shared" si="5"/>
        <v>21700</v>
      </c>
      <c r="N65" s="904">
        <f t="shared" si="6"/>
        <v>41</v>
      </c>
      <c r="O65" s="21"/>
      <c r="P65" s="22" t="s">
        <v>2</v>
      </c>
      <c r="Q65" s="22">
        <v>0.78</v>
      </c>
      <c r="R65" s="904" t="s">
        <v>15</v>
      </c>
      <c r="S65" s="904" t="str">
        <f t="shared" si="7"/>
        <v>Stove</v>
      </c>
      <c r="T65" s="23">
        <f t="shared" si="8"/>
        <v>0.12191256430887767</v>
      </c>
      <c r="U65" s="23">
        <f t="shared" si="9"/>
        <v>0.30408076385087879</v>
      </c>
      <c r="V65" s="23">
        <f t="shared" si="9"/>
        <v>0.17404622667780562</v>
      </c>
      <c r="W65" s="23">
        <f t="shared" si="10"/>
        <v>0.30408076385087879</v>
      </c>
      <c r="X65" s="904">
        <f t="shared" si="11"/>
        <v>147</v>
      </c>
      <c r="Y65" s="904">
        <f t="shared" si="11"/>
        <v>109</v>
      </c>
      <c r="Z65" s="904">
        <f t="shared" si="11"/>
        <v>120</v>
      </c>
      <c r="AA65" s="904">
        <f t="shared" si="11"/>
        <v>65</v>
      </c>
      <c r="AB65" s="24">
        <v>38</v>
      </c>
    </row>
    <row r="66" spans="1:28" x14ac:dyDescent="0.25">
      <c r="A66" s="903"/>
      <c r="B66" t="s">
        <v>187</v>
      </c>
      <c r="C66" s="906" t="s">
        <v>190</v>
      </c>
      <c r="D66" s="25">
        <v>3.6</v>
      </c>
      <c r="E66" s="903">
        <v>467</v>
      </c>
      <c r="F66" s="903">
        <v>207</v>
      </c>
      <c r="G66" s="903" t="s">
        <v>191</v>
      </c>
      <c r="H66" s="904">
        <f t="shared" si="0"/>
        <v>6</v>
      </c>
      <c r="I66" s="904">
        <f t="shared" si="1"/>
        <v>11</v>
      </c>
      <c r="J66" s="21">
        <f t="shared" si="2"/>
        <v>11359</v>
      </c>
      <c r="K66" s="21">
        <f t="shared" si="3"/>
        <v>11359</v>
      </c>
      <c r="L66" s="21">
        <f t="shared" si="4"/>
        <v>18729.5</v>
      </c>
      <c r="M66" s="21">
        <f t="shared" si="5"/>
        <v>26100</v>
      </c>
      <c r="N66" s="904">
        <f t="shared" si="6"/>
        <v>212</v>
      </c>
      <c r="O66" s="21"/>
      <c r="P66" s="22" t="s">
        <v>2</v>
      </c>
      <c r="Q66" s="22">
        <v>0.63</v>
      </c>
      <c r="R66" s="904" t="s">
        <v>42</v>
      </c>
      <c r="S66" s="904" t="str">
        <f t="shared" si="7"/>
        <v>Stove</v>
      </c>
      <c r="T66" s="23">
        <f t="shared" si="8"/>
        <v>0.30408076385087879</v>
      </c>
      <c r="U66" s="23">
        <f t="shared" si="9"/>
        <v>0.69869776710167586</v>
      </c>
      <c r="V66" s="23">
        <f t="shared" si="9"/>
        <v>0.42374371641036523</v>
      </c>
      <c r="W66" s="23">
        <f t="shared" si="10"/>
        <v>0.69869776710167586</v>
      </c>
      <c r="X66" s="904">
        <f t="shared" si="11"/>
        <v>680</v>
      </c>
      <c r="Y66" s="904">
        <f t="shared" si="11"/>
        <v>568</v>
      </c>
      <c r="Z66" s="904">
        <f t="shared" si="11"/>
        <v>636</v>
      </c>
      <c r="AA66" s="904">
        <f t="shared" si="11"/>
        <v>416</v>
      </c>
      <c r="AB66" s="24">
        <v>279</v>
      </c>
    </row>
    <row r="67" spans="1:28" x14ac:dyDescent="0.25">
      <c r="A67" s="903"/>
      <c r="B67" t="s">
        <v>192</v>
      </c>
      <c r="C67" s="906" t="s">
        <v>193</v>
      </c>
      <c r="D67" s="25">
        <v>5.0999999999999996</v>
      </c>
      <c r="E67" s="903">
        <v>766</v>
      </c>
      <c r="F67" s="903">
        <v>425</v>
      </c>
      <c r="G67" s="903" t="s">
        <v>194</v>
      </c>
      <c r="H67" s="904">
        <f t="shared" si="0"/>
        <v>6</v>
      </c>
      <c r="I67" s="904">
        <f t="shared" si="1"/>
        <v>11</v>
      </c>
      <c r="J67" s="21">
        <f t="shared" si="2"/>
        <v>11200</v>
      </c>
      <c r="K67" s="21">
        <f t="shared" si="3"/>
        <v>13872.000000000002</v>
      </c>
      <c r="L67" s="21">
        <f t="shared" si="4"/>
        <v>26000</v>
      </c>
      <c r="M67" s="21">
        <f t="shared" si="5"/>
        <v>40800</v>
      </c>
      <c r="N67" s="904">
        <f t="shared" si="6"/>
        <v>752</v>
      </c>
      <c r="O67" s="21"/>
      <c r="P67" s="22" t="s">
        <v>2</v>
      </c>
      <c r="Q67" s="22">
        <v>0.63</v>
      </c>
      <c r="R67" s="904" t="s">
        <v>42</v>
      </c>
      <c r="S67" s="904" t="str">
        <f t="shared" si="7"/>
        <v>Stove</v>
      </c>
      <c r="T67" s="23">
        <f t="shared" si="8"/>
        <v>0.27557319223985893</v>
      </c>
      <c r="U67" s="23">
        <f t="shared" si="9"/>
        <v>0.8105093889407613</v>
      </c>
      <c r="V67" s="23">
        <f t="shared" si="9"/>
        <v>0.43243793243793244</v>
      </c>
      <c r="W67" s="23">
        <f t="shared" si="10"/>
        <v>1.0038737717309145</v>
      </c>
      <c r="X67" s="904">
        <f t="shared" si="11"/>
        <v>619</v>
      </c>
      <c r="Y67" s="904">
        <f t="shared" si="11"/>
        <v>672</v>
      </c>
      <c r="Z67" s="904">
        <f t="shared" si="11"/>
        <v>644</v>
      </c>
      <c r="AA67" s="904">
        <f t="shared" si="11"/>
        <v>719</v>
      </c>
      <c r="AB67" s="24">
        <v>363</v>
      </c>
    </row>
    <row r="68" spans="1:28" x14ac:dyDescent="0.25">
      <c r="A68" s="903"/>
      <c r="B68" t="s">
        <v>192</v>
      </c>
      <c r="C68" s="906" t="s">
        <v>195</v>
      </c>
      <c r="D68" s="25">
        <v>5.6</v>
      </c>
      <c r="E68" s="903">
        <v>820</v>
      </c>
      <c r="F68" s="903">
        <v>468</v>
      </c>
      <c r="G68" s="903" t="s">
        <v>196</v>
      </c>
      <c r="H68" s="904">
        <f t="shared" si="0"/>
        <v>6</v>
      </c>
      <c r="I68" s="904">
        <f t="shared" si="1"/>
        <v>11</v>
      </c>
      <c r="J68" s="21">
        <f t="shared" si="2"/>
        <v>10100</v>
      </c>
      <c r="K68" s="21">
        <f t="shared" si="3"/>
        <v>10100</v>
      </c>
      <c r="L68" s="21">
        <f t="shared" si="4"/>
        <v>17150</v>
      </c>
      <c r="M68" s="21">
        <f t="shared" si="5"/>
        <v>24200</v>
      </c>
      <c r="N68" s="904">
        <f t="shared" si="6"/>
        <v>101</v>
      </c>
      <c r="O68" s="21"/>
      <c r="P68" s="22" t="s">
        <v>2</v>
      </c>
      <c r="Q68" s="22">
        <v>0.63</v>
      </c>
      <c r="R68" s="904" t="s">
        <v>42</v>
      </c>
      <c r="S68" s="904" t="str">
        <f t="shared" si="7"/>
        <v>Stove</v>
      </c>
      <c r="T68" s="23">
        <f t="shared" si="8"/>
        <v>0.51015202530354042</v>
      </c>
      <c r="U68" s="23">
        <f t="shared" si="9"/>
        <v>1.2223444566678889</v>
      </c>
      <c r="V68" s="23">
        <f t="shared" si="9"/>
        <v>0.71986466544289673</v>
      </c>
      <c r="W68" s="23">
        <f t="shared" si="10"/>
        <v>1.2223444566678889</v>
      </c>
      <c r="X68" s="904">
        <f t="shared" si="11"/>
        <v>903</v>
      </c>
      <c r="Y68" s="904">
        <f t="shared" si="11"/>
        <v>889</v>
      </c>
      <c r="Z68" s="904">
        <f t="shared" si="11"/>
        <v>899</v>
      </c>
      <c r="AA68" s="904">
        <f t="shared" si="11"/>
        <v>832</v>
      </c>
      <c r="AB68" s="24">
        <v>535</v>
      </c>
    </row>
    <row r="69" spans="1:28" x14ac:dyDescent="0.25">
      <c r="A69" s="903"/>
      <c r="B69" t="s">
        <v>197</v>
      </c>
      <c r="C69" s="906" t="s">
        <v>198</v>
      </c>
      <c r="D69" s="25">
        <v>4.3</v>
      </c>
      <c r="E69" s="903">
        <v>635</v>
      </c>
      <c r="F69" s="903">
        <v>318</v>
      </c>
      <c r="G69" s="903" t="s">
        <v>199</v>
      </c>
      <c r="H69" s="904">
        <f t="shared" si="0"/>
        <v>5</v>
      </c>
      <c r="I69" s="904">
        <f t="shared" si="1"/>
        <v>10</v>
      </c>
      <c r="J69" s="21">
        <f t="shared" si="2"/>
        <v>9100</v>
      </c>
      <c r="K69" s="21">
        <f t="shared" si="3"/>
        <v>9100</v>
      </c>
      <c r="L69" s="21">
        <f t="shared" si="4"/>
        <v>13550</v>
      </c>
      <c r="M69" s="21">
        <f t="shared" si="5"/>
        <v>18000</v>
      </c>
      <c r="N69" s="904">
        <f t="shared" si="6"/>
        <v>17</v>
      </c>
      <c r="O69" s="21"/>
      <c r="P69" s="22" t="s">
        <v>2</v>
      </c>
      <c r="Q69" s="22">
        <v>0.63</v>
      </c>
      <c r="R69" s="904" t="s">
        <v>42</v>
      </c>
      <c r="S69" s="904" t="str">
        <f t="shared" si="7"/>
        <v>Stove</v>
      </c>
      <c r="T69" s="23">
        <f t="shared" si="8"/>
        <v>0.52665098961395262</v>
      </c>
      <c r="U69" s="23">
        <f t="shared" si="9"/>
        <v>1.0417272322034228</v>
      </c>
      <c r="V69" s="23">
        <f t="shared" si="9"/>
        <v>0.69961017070488163</v>
      </c>
      <c r="W69" s="23">
        <f t="shared" si="10"/>
        <v>1.0417272322034228</v>
      </c>
      <c r="X69" s="904">
        <f t="shared" si="11"/>
        <v>911</v>
      </c>
      <c r="Y69" s="904">
        <f t="shared" si="11"/>
        <v>827</v>
      </c>
      <c r="Z69" s="904">
        <f t="shared" si="11"/>
        <v>884</v>
      </c>
      <c r="AA69" s="904">
        <f t="shared" si="11"/>
        <v>738</v>
      </c>
      <c r="AB69" s="24">
        <v>485</v>
      </c>
    </row>
    <row r="70" spans="1:28" x14ac:dyDescent="0.25">
      <c r="A70" s="903"/>
      <c r="B70" t="s">
        <v>197</v>
      </c>
      <c r="C70" s="906" t="s">
        <v>200</v>
      </c>
      <c r="D70" s="25">
        <v>4.7</v>
      </c>
      <c r="E70" s="903">
        <v>728</v>
      </c>
      <c r="F70" s="903">
        <v>397</v>
      </c>
      <c r="G70" s="903" t="s">
        <v>201</v>
      </c>
      <c r="H70" s="904">
        <f t="shared" si="0"/>
        <v>5</v>
      </c>
      <c r="I70" s="904">
        <f t="shared" si="1"/>
        <v>10</v>
      </c>
      <c r="J70" s="21">
        <f t="shared" si="2"/>
        <v>9500</v>
      </c>
      <c r="K70" s="21">
        <f t="shared" si="3"/>
        <v>19652</v>
      </c>
      <c r="L70" s="21">
        <f t="shared" si="4"/>
        <v>33650</v>
      </c>
      <c r="M70" s="21">
        <f t="shared" si="5"/>
        <v>57800</v>
      </c>
      <c r="N70" s="904">
        <f t="shared" si="6"/>
        <v>927</v>
      </c>
      <c r="O70" s="21"/>
      <c r="P70" s="22" t="s">
        <v>2</v>
      </c>
      <c r="Q70" s="22">
        <v>0.63</v>
      </c>
      <c r="R70" s="904" t="s">
        <v>42</v>
      </c>
      <c r="S70" s="904" t="str">
        <f t="shared" si="7"/>
        <v>Stove</v>
      </c>
      <c r="T70" s="23">
        <f t="shared" si="8"/>
        <v>0.17926560602454489</v>
      </c>
      <c r="U70" s="23">
        <f t="shared" si="9"/>
        <v>0.52725178242513193</v>
      </c>
      <c r="V70" s="23">
        <f t="shared" si="9"/>
        <v>0.30792130841660309</v>
      </c>
      <c r="W70" s="23">
        <f t="shared" si="10"/>
        <v>1.0906896871809153</v>
      </c>
      <c r="X70" s="904">
        <f t="shared" si="11"/>
        <v>305</v>
      </c>
      <c r="Y70" s="904">
        <f t="shared" si="11"/>
        <v>328</v>
      </c>
      <c r="Z70" s="904">
        <f t="shared" si="11"/>
        <v>381</v>
      </c>
      <c r="AA70" s="904">
        <f t="shared" si="11"/>
        <v>771</v>
      </c>
      <c r="AB70" s="24">
        <v>126</v>
      </c>
    </row>
    <row r="71" spans="1:28" x14ac:dyDescent="0.25">
      <c r="A71" s="903"/>
      <c r="B71" t="s">
        <v>197</v>
      </c>
      <c r="C71" s="906" t="s">
        <v>202</v>
      </c>
      <c r="D71" s="25">
        <v>1.31</v>
      </c>
      <c r="E71" s="903">
        <v>65</v>
      </c>
      <c r="F71" s="903">
        <v>16</v>
      </c>
      <c r="G71" s="903" t="s">
        <v>203</v>
      </c>
      <c r="H71" s="904">
        <f t="shared" si="0"/>
        <v>6</v>
      </c>
      <c r="I71" s="904">
        <f t="shared" si="1"/>
        <v>11</v>
      </c>
      <c r="J71" s="21">
        <f t="shared" si="2"/>
        <v>11300</v>
      </c>
      <c r="K71" s="21">
        <f t="shared" si="3"/>
        <v>11300</v>
      </c>
      <c r="L71" s="21">
        <f t="shared" si="4"/>
        <v>18900</v>
      </c>
      <c r="M71" s="21">
        <f t="shared" si="5"/>
        <v>26500</v>
      </c>
      <c r="N71" s="904">
        <f t="shared" si="6"/>
        <v>236</v>
      </c>
      <c r="O71" s="21"/>
      <c r="P71" s="22" t="s">
        <v>2</v>
      </c>
      <c r="Q71" s="22">
        <v>0.63</v>
      </c>
      <c r="R71" s="904" t="s">
        <v>42</v>
      </c>
      <c r="S71" s="904" t="str">
        <f t="shared" si="7"/>
        <v>Stove</v>
      </c>
      <c r="T71" s="23">
        <f t="shared" si="8"/>
        <v>0.10898139828957439</v>
      </c>
      <c r="U71" s="23">
        <f t="shared" si="9"/>
        <v>0.25557584554634705</v>
      </c>
      <c r="V71" s="23">
        <f t="shared" si="9"/>
        <v>0.15280460606739266</v>
      </c>
      <c r="W71" s="23">
        <f t="shared" si="10"/>
        <v>0.25557584554634705</v>
      </c>
      <c r="X71" s="904">
        <f t="shared" si="11"/>
        <v>113</v>
      </c>
      <c r="Y71" s="904">
        <f t="shared" si="11"/>
        <v>70</v>
      </c>
      <c r="Z71" s="904">
        <f t="shared" si="11"/>
        <v>78</v>
      </c>
      <c r="AA71" s="904">
        <f t="shared" si="11"/>
        <v>45</v>
      </c>
      <c r="AB71" s="24">
        <v>16</v>
      </c>
    </row>
    <row r="72" spans="1:28" x14ac:dyDescent="0.25">
      <c r="A72" s="903"/>
      <c r="B72" t="s">
        <v>197</v>
      </c>
      <c r="C72" s="906" t="s">
        <v>204</v>
      </c>
      <c r="D72" s="25">
        <v>1.5</v>
      </c>
      <c r="E72" s="903">
        <v>79</v>
      </c>
      <c r="F72" s="903">
        <v>20</v>
      </c>
      <c r="G72" s="903" t="s">
        <v>205</v>
      </c>
      <c r="H72" s="904">
        <f t="shared" si="0"/>
        <v>6</v>
      </c>
      <c r="I72" s="904">
        <f t="shared" si="1"/>
        <v>11</v>
      </c>
      <c r="J72" s="21">
        <f t="shared" si="2"/>
        <v>10600</v>
      </c>
      <c r="K72" s="21">
        <f t="shared" si="3"/>
        <v>10600</v>
      </c>
      <c r="L72" s="21">
        <f t="shared" si="4"/>
        <v>17950</v>
      </c>
      <c r="M72" s="21">
        <f t="shared" si="5"/>
        <v>25300</v>
      </c>
      <c r="N72" s="904">
        <f t="shared" si="6"/>
        <v>154</v>
      </c>
      <c r="O72" s="21"/>
      <c r="P72" s="22" t="s">
        <v>2</v>
      </c>
      <c r="Q72" s="22">
        <v>0.63</v>
      </c>
      <c r="R72" s="904" t="s">
        <v>42</v>
      </c>
      <c r="S72" s="904" t="str">
        <f t="shared" si="7"/>
        <v>Stove</v>
      </c>
      <c r="T72" s="23">
        <f t="shared" si="8"/>
        <v>0.13070665244578289</v>
      </c>
      <c r="U72" s="23">
        <f t="shared" si="9"/>
        <v>0.31196965159229312</v>
      </c>
      <c r="V72" s="23">
        <f t="shared" si="9"/>
        <v>0.18422720372581097</v>
      </c>
      <c r="W72" s="23">
        <f t="shared" si="10"/>
        <v>0.31196965159229312</v>
      </c>
      <c r="X72" s="904">
        <f t="shared" si="11"/>
        <v>172</v>
      </c>
      <c r="Y72" s="904">
        <f t="shared" si="11"/>
        <v>117</v>
      </c>
      <c r="Z72" s="904">
        <f t="shared" si="11"/>
        <v>138</v>
      </c>
      <c r="AA72" s="904">
        <f t="shared" si="11"/>
        <v>69</v>
      </c>
      <c r="AB72" s="24">
        <v>28</v>
      </c>
    </row>
    <row r="73" spans="1:28" x14ac:dyDescent="0.25">
      <c r="A73" s="903"/>
      <c r="B73" t="s">
        <v>197</v>
      </c>
      <c r="C73" s="906" t="s">
        <v>206</v>
      </c>
      <c r="D73" s="25">
        <v>1.41</v>
      </c>
      <c r="E73" s="903">
        <v>71</v>
      </c>
      <c r="F73" s="903">
        <v>18</v>
      </c>
      <c r="G73" s="903" t="s">
        <v>207</v>
      </c>
      <c r="H73" s="904">
        <f t="shared" si="0"/>
        <v>5</v>
      </c>
      <c r="I73" s="904">
        <f t="shared" si="1"/>
        <v>10</v>
      </c>
      <c r="J73" s="21">
        <f t="shared" si="2"/>
        <v>7800</v>
      </c>
      <c r="K73" s="21">
        <f t="shared" si="3"/>
        <v>8534</v>
      </c>
      <c r="L73" s="21">
        <f t="shared" si="4"/>
        <v>16450</v>
      </c>
      <c r="M73" s="21">
        <f t="shared" si="5"/>
        <v>25100</v>
      </c>
      <c r="N73" s="904">
        <f t="shared" si="6"/>
        <v>77</v>
      </c>
      <c r="O73" s="21"/>
      <c r="P73" s="22" t="s">
        <v>2</v>
      </c>
      <c r="Q73" s="22">
        <v>0.63</v>
      </c>
      <c r="R73" s="904" t="s">
        <v>42</v>
      </c>
      <c r="S73" s="904" t="str">
        <f t="shared" si="7"/>
        <v>Stove</v>
      </c>
      <c r="T73" s="23">
        <f t="shared" si="8"/>
        <v>0.12384325133329117</v>
      </c>
      <c r="U73" s="23">
        <f t="shared" si="9"/>
        <v>0.36424485686262109</v>
      </c>
      <c r="V73" s="23">
        <f t="shared" si="9"/>
        <v>0.1889644746787604</v>
      </c>
      <c r="W73" s="23">
        <f t="shared" si="10"/>
        <v>0.39852123185456517</v>
      </c>
      <c r="X73" s="904">
        <f t="shared" si="11"/>
        <v>149</v>
      </c>
      <c r="Y73" s="904">
        <f t="shared" si="11"/>
        <v>159</v>
      </c>
      <c r="Z73" s="904">
        <f t="shared" si="11"/>
        <v>145</v>
      </c>
      <c r="AA73" s="904">
        <f t="shared" si="11"/>
        <v>113</v>
      </c>
      <c r="AB73" s="24">
        <v>42</v>
      </c>
    </row>
    <row r="74" spans="1:28" x14ac:dyDescent="0.25">
      <c r="A74" s="903"/>
      <c r="B74" t="s">
        <v>197</v>
      </c>
      <c r="C74" s="906" t="s">
        <v>208</v>
      </c>
      <c r="D74" s="25">
        <v>3.5</v>
      </c>
      <c r="E74" s="903">
        <v>432</v>
      </c>
      <c r="F74" s="903">
        <v>181</v>
      </c>
      <c r="G74" s="903" t="s">
        <v>209</v>
      </c>
      <c r="H74" s="904">
        <f t="shared" si="0"/>
        <v>6</v>
      </c>
      <c r="I74" s="904">
        <f t="shared" si="1"/>
        <v>11</v>
      </c>
      <c r="J74" s="21">
        <f t="shared" si="2"/>
        <v>11100</v>
      </c>
      <c r="K74" s="21">
        <f t="shared" si="3"/>
        <v>13770.000000000002</v>
      </c>
      <c r="L74" s="21">
        <f t="shared" si="4"/>
        <v>25800</v>
      </c>
      <c r="M74" s="21">
        <f t="shared" si="5"/>
        <v>40500</v>
      </c>
      <c r="N74" s="904">
        <f t="shared" si="6"/>
        <v>742</v>
      </c>
      <c r="O74" s="21"/>
      <c r="P74" s="22" t="s">
        <v>2</v>
      </c>
      <c r="Q74" s="22">
        <v>0.63</v>
      </c>
      <c r="R74" s="904" t="s">
        <v>42</v>
      </c>
      <c r="S74" s="904" t="str">
        <f t="shared" si="7"/>
        <v>Stove</v>
      </c>
      <c r="T74" s="23">
        <f t="shared" si="8"/>
        <v>0.19051973784484072</v>
      </c>
      <c r="U74" s="23">
        <f t="shared" si="9"/>
        <v>0.56035217013188443</v>
      </c>
      <c r="V74" s="23">
        <f t="shared" si="9"/>
        <v>0.29907168150062208</v>
      </c>
      <c r="W74" s="23">
        <f t="shared" si="10"/>
        <v>0.69513958402847287</v>
      </c>
      <c r="X74" s="904">
        <f t="shared" si="11"/>
        <v>346</v>
      </c>
      <c r="Y74" s="904">
        <f t="shared" si="11"/>
        <v>375</v>
      </c>
      <c r="Z74" s="904">
        <f t="shared" si="11"/>
        <v>355</v>
      </c>
      <c r="AA74" s="904">
        <f t="shared" ref="AA74:AA137" si="12">RANK(W74,W$11:W$973,1)</f>
        <v>410</v>
      </c>
      <c r="AB74" s="24">
        <v>156</v>
      </c>
    </row>
    <row r="75" spans="1:28" x14ac:dyDescent="0.25">
      <c r="A75" s="903"/>
      <c r="B75" t="s">
        <v>197</v>
      </c>
      <c r="C75" s="906" t="s">
        <v>210</v>
      </c>
      <c r="D75" s="25">
        <v>5</v>
      </c>
      <c r="E75" s="903">
        <v>756</v>
      </c>
      <c r="F75" s="903">
        <v>417</v>
      </c>
      <c r="G75" s="903" t="s">
        <v>211</v>
      </c>
      <c r="H75" s="904">
        <f t="shared" ref="H75:H138" si="13">FIND("-",$G75)</f>
        <v>6</v>
      </c>
      <c r="I75" s="904">
        <f t="shared" ref="I75:I138" si="14">LEN($G75)</f>
        <v>11</v>
      </c>
      <c r="J75" s="21">
        <f t="shared" ref="J75:J138" si="15">VALUE(LEFT($G75,H75-1))</f>
        <v>11500</v>
      </c>
      <c r="K75" s="21">
        <f t="shared" ref="K75:K138" si="16">IF(K$8*M75&gt;J75,K$8*M75,J75)</f>
        <v>11500</v>
      </c>
      <c r="L75" s="21">
        <f t="shared" ref="L75:L138" si="17">AVERAGE(J75,M75)</f>
        <v>15200</v>
      </c>
      <c r="M75" s="21">
        <f t="shared" ref="M75:M138" si="18">VALUE(RIGHT($G75,I75-H75))</f>
        <v>18900</v>
      </c>
      <c r="N75" s="904">
        <f t="shared" ref="N75:N138" si="19">RANK($L75,$L$11:$L$973,1)</f>
        <v>41</v>
      </c>
      <c r="O75" s="21"/>
      <c r="P75" s="22" t="s">
        <v>2</v>
      </c>
      <c r="Q75" s="22">
        <v>0.63</v>
      </c>
      <c r="R75" s="904" t="s">
        <v>42</v>
      </c>
      <c r="S75" s="904" t="str">
        <f t="shared" ref="S75:S138" si="20">IF(AND(ISERROR(FIND("Insert",B75&amp;C75)),ISERROR(FIND("insert",B75&amp;C75))),"Stove","Insert")</f>
        <v>Stove</v>
      </c>
      <c r="T75" s="23">
        <f t="shared" ref="T75:T138" si="21">$D75*10^6/(M75*453.6)</f>
        <v>0.58322368728012464</v>
      </c>
      <c r="U75" s="23">
        <f t="shared" ref="U75:V138" si="22">$D75*10^6/(K75*453.6)</f>
        <v>0.95851545126907445</v>
      </c>
      <c r="V75" s="23">
        <f t="shared" si="22"/>
        <v>0.72519261115752343</v>
      </c>
      <c r="W75" s="23">
        <f t="shared" ref="W75:W138" si="23">$D75*10^6/(J75*453.6)</f>
        <v>0.95851545126907445</v>
      </c>
      <c r="X75" s="904">
        <f t="shared" ref="X75:AA138" si="24">RANK(T75,T$11:T$973,1)</f>
        <v>930</v>
      </c>
      <c r="Y75" s="904">
        <f t="shared" si="24"/>
        <v>791</v>
      </c>
      <c r="Z75" s="904">
        <f t="shared" si="24"/>
        <v>903</v>
      </c>
      <c r="AA75" s="904">
        <f t="shared" si="12"/>
        <v>689</v>
      </c>
      <c r="AB75" s="24">
        <v>458</v>
      </c>
    </row>
    <row r="76" spans="1:28" x14ac:dyDescent="0.25">
      <c r="A76" s="903"/>
      <c r="B76" t="s">
        <v>197</v>
      </c>
      <c r="C76" s="906" t="s">
        <v>212</v>
      </c>
      <c r="D76" s="25">
        <v>2.4</v>
      </c>
      <c r="E76" s="903">
        <v>196</v>
      </c>
      <c r="F76" s="903">
        <v>75</v>
      </c>
      <c r="G76" s="903" t="s">
        <v>213</v>
      </c>
      <c r="H76" s="904">
        <f t="shared" si="13"/>
        <v>6</v>
      </c>
      <c r="I76" s="904">
        <f t="shared" si="14"/>
        <v>11</v>
      </c>
      <c r="J76" s="21">
        <f t="shared" si="15"/>
        <v>11300</v>
      </c>
      <c r="K76" s="21">
        <f t="shared" si="16"/>
        <v>25670.000000000004</v>
      </c>
      <c r="L76" s="21">
        <f t="shared" si="17"/>
        <v>43400</v>
      </c>
      <c r="M76" s="21">
        <f t="shared" si="18"/>
        <v>75500</v>
      </c>
      <c r="N76" s="904">
        <f t="shared" si="19"/>
        <v>960</v>
      </c>
      <c r="O76" s="21"/>
      <c r="P76" s="22" t="s">
        <v>2</v>
      </c>
      <c r="Q76" s="22">
        <v>0.72</v>
      </c>
      <c r="R76" s="904" t="s">
        <v>38</v>
      </c>
      <c r="S76" s="904" t="str">
        <f t="shared" si="20"/>
        <v>Stove</v>
      </c>
      <c r="T76" s="23">
        <f t="shared" si="21"/>
        <v>7.0079540278215779E-2</v>
      </c>
      <c r="U76" s="23">
        <f t="shared" si="22"/>
        <v>0.20611629493592873</v>
      </c>
      <c r="V76" s="23">
        <f t="shared" si="22"/>
        <v>0.12191256430887767</v>
      </c>
      <c r="W76" s="23">
        <f t="shared" si="23"/>
        <v>0.46823055672613195</v>
      </c>
      <c r="X76" s="904">
        <f t="shared" si="24"/>
        <v>44</v>
      </c>
      <c r="Y76" s="904">
        <f t="shared" si="24"/>
        <v>53</v>
      </c>
      <c r="Z76" s="904">
        <f t="shared" si="24"/>
        <v>49</v>
      </c>
      <c r="AA76" s="904">
        <f t="shared" si="12"/>
        <v>161</v>
      </c>
      <c r="AB76" s="24">
        <v>15</v>
      </c>
    </row>
    <row r="77" spans="1:28" x14ac:dyDescent="0.25">
      <c r="A77" s="903"/>
      <c r="B77" t="s">
        <v>197</v>
      </c>
      <c r="C77" s="906" t="s">
        <v>214</v>
      </c>
      <c r="D77" s="25">
        <v>2.9</v>
      </c>
      <c r="E77" s="903">
        <v>295</v>
      </c>
      <c r="F77" s="903">
        <v>96</v>
      </c>
      <c r="G77" s="903" t="s">
        <v>215</v>
      </c>
      <c r="H77" s="904">
        <f t="shared" si="13"/>
        <v>6</v>
      </c>
      <c r="I77" s="904">
        <f t="shared" si="14"/>
        <v>11</v>
      </c>
      <c r="J77" s="21">
        <f t="shared" si="15"/>
        <v>10000</v>
      </c>
      <c r="K77" s="21">
        <f t="shared" si="16"/>
        <v>10200</v>
      </c>
      <c r="L77" s="21">
        <f t="shared" si="17"/>
        <v>20000</v>
      </c>
      <c r="M77" s="21">
        <f t="shared" si="18"/>
        <v>30000</v>
      </c>
      <c r="N77" s="904">
        <f t="shared" si="19"/>
        <v>321</v>
      </c>
      <c r="O77" s="21"/>
      <c r="P77" s="22" t="s">
        <v>2</v>
      </c>
      <c r="Q77" s="22">
        <v>0.63</v>
      </c>
      <c r="R77" s="904" t="s">
        <v>42</v>
      </c>
      <c r="S77" s="904" t="str">
        <f t="shared" si="20"/>
        <v>Stove</v>
      </c>
      <c r="T77" s="23">
        <f t="shared" si="21"/>
        <v>0.21310993533215755</v>
      </c>
      <c r="U77" s="23">
        <f t="shared" si="22"/>
        <v>0.62679392744752227</v>
      </c>
      <c r="V77" s="23">
        <f t="shared" si="22"/>
        <v>0.31966490299823636</v>
      </c>
      <c r="W77" s="23">
        <f t="shared" si="23"/>
        <v>0.63932980599647271</v>
      </c>
      <c r="X77" s="904">
        <f t="shared" si="24"/>
        <v>438</v>
      </c>
      <c r="Y77" s="904">
        <f t="shared" si="24"/>
        <v>466</v>
      </c>
      <c r="Z77" s="904">
        <f t="shared" si="24"/>
        <v>412</v>
      </c>
      <c r="AA77" s="904">
        <f t="shared" si="12"/>
        <v>330</v>
      </c>
      <c r="AB77" s="24">
        <v>207</v>
      </c>
    </row>
    <row r="78" spans="1:28" x14ac:dyDescent="0.25">
      <c r="A78" s="903"/>
      <c r="B78" t="s">
        <v>216</v>
      </c>
      <c r="C78" s="906" t="s">
        <v>217</v>
      </c>
      <c r="D78" s="25">
        <v>4.4000000000000004</v>
      </c>
      <c r="E78" s="903">
        <v>660</v>
      </c>
      <c r="F78" s="903">
        <v>338</v>
      </c>
      <c r="G78" s="903" t="s">
        <v>218</v>
      </c>
      <c r="H78" s="904">
        <f t="shared" si="13"/>
        <v>6</v>
      </c>
      <c r="I78" s="904">
        <f t="shared" si="14"/>
        <v>11</v>
      </c>
      <c r="J78" s="21">
        <f t="shared" si="15"/>
        <v>12000</v>
      </c>
      <c r="K78" s="21">
        <f t="shared" si="16"/>
        <v>18734</v>
      </c>
      <c r="L78" s="21">
        <f t="shared" si="17"/>
        <v>33550</v>
      </c>
      <c r="M78" s="21">
        <f t="shared" si="18"/>
        <v>55100</v>
      </c>
      <c r="N78" s="904">
        <f t="shared" si="19"/>
        <v>922</v>
      </c>
      <c r="O78" s="21"/>
      <c r="P78" s="22" t="s">
        <v>2</v>
      </c>
      <c r="Q78" s="22">
        <v>0.63</v>
      </c>
      <c r="R78" s="904" t="s">
        <v>42</v>
      </c>
      <c r="S78" s="904" t="str">
        <f t="shared" si="20"/>
        <v>Stove</v>
      </c>
      <c r="T78" s="23">
        <f t="shared" si="21"/>
        <v>0.17604675801892983</v>
      </c>
      <c r="U78" s="23">
        <f t="shared" si="22"/>
        <v>0.51778458240861713</v>
      </c>
      <c r="V78" s="23">
        <f t="shared" si="22"/>
        <v>0.28912597218608149</v>
      </c>
      <c r="W78" s="23">
        <f t="shared" si="23"/>
        <v>0.80834803057025284</v>
      </c>
      <c r="X78" s="904">
        <f t="shared" si="24"/>
        <v>291</v>
      </c>
      <c r="Y78" s="904">
        <f t="shared" si="24"/>
        <v>311</v>
      </c>
      <c r="Z78" s="904">
        <f t="shared" si="24"/>
        <v>331</v>
      </c>
      <c r="AA78" s="904">
        <f t="shared" si="12"/>
        <v>541</v>
      </c>
      <c r="AB78" s="24">
        <v>114</v>
      </c>
    </row>
    <row r="79" spans="1:28" x14ac:dyDescent="0.25">
      <c r="A79" s="903"/>
      <c r="B79" t="s">
        <v>216</v>
      </c>
      <c r="C79" s="906" t="s">
        <v>219</v>
      </c>
      <c r="D79" s="25">
        <v>4.4000000000000004</v>
      </c>
      <c r="E79" s="903">
        <v>660</v>
      </c>
      <c r="F79" s="903">
        <v>338</v>
      </c>
      <c r="G79" s="903" t="s">
        <v>218</v>
      </c>
      <c r="H79" s="904">
        <f t="shared" si="13"/>
        <v>6</v>
      </c>
      <c r="I79" s="904">
        <f t="shared" si="14"/>
        <v>11</v>
      </c>
      <c r="J79" s="21">
        <f t="shared" si="15"/>
        <v>12000</v>
      </c>
      <c r="K79" s="21">
        <f t="shared" si="16"/>
        <v>18734</v>
      </c>
      <c r="L79" s="21">
        <f t="shared" si="17"/>
        <v>33550</v>
      </c>
      <c r="M79" s="21">
        <f t="shared" si="18"/>
        <v>55100</v>
      </c>
      <c r="N79" s="904">
        <f t="shared" si="19"/>
        <v>922</v>
      </c>
      <c r="O79" s="21"/>
      <c r="P79" s="22" t="s">
        <v>2</v>
      </c>
      <c r="Q79" s="22">
        <v>0.63</v>
      </c>
      <c r="R79" s="904" t="s">
        <v>42</v>
      </c>
      <c r="S79" s="904" t="str">
        <f t="shared" si="20"/>
        <v>Stove</v>
      </c>
      <c r="T79" s="23">
        <f t="shared" si="21"/>
        <v>0.17604675801892983</v>
      </c>
      <c r="U79" s="23">
        <f t="shared" si="22"/>
        <v>0.51778458240861713</v>
      </c>
      <c r="V79" s="23">
        <f t="shared" si="22"/>
        <v>0.28912597218608149</v>
      </c>
      <c r="W79" s="23">
        <f t="shared" si="23"/>
        <v>0.80834803057025284</v>
      </c>
      <c r="X79" s="904">
        <f t="shared" si="24"/>
        <v>291</v>
      </c>
      <c r="Y79" s="904">
        <f t="shared" si="24"/>
        <v>311</v>
      </c>
      <c r="Z79" s="904">
        <f t="shared" si="24"/>
        <v>331</v>
      </c>
      <c r="AA79" s="904">
        <f t="shared" si="12"/>
        <v>541</v>
      </c>
      <c r="AB79" s="24">
        <v>114</v>
      </c>
    </row>
    <row r="80" spans="1:28" x14ac:dyDescent="0.25">
      <c r="A80" s="903"/>
      <c r="B80" t="s">
        <v>216</v>
      </c>
      <c r="C80" s="906" t="s">
        <v>220</v>
      </c>
      <c r="D80" s="25">
        <v>4.4000000000000004</v>
      </c>
      <c r="E80" s="903">
        <v>660</v>
      </c>
      <c r="F80" s="903">
        <v>338</v>
      </c>
      <c r="G80" s="903" t="s">
        <v>221</v>
      </c>
      <c r="H80" s="904">
        <f t="shared" si="13"/>
        <v>6</v>
      </c>
      <c r="I80" s="904">
        <f t="shared" si="14"/>
        <v>11</v>
      </c>
      <c r="J80" s="21">
        <f t="shared" si="15"/>
        <v>10300</v>
      </c>
      <c r="K80" s="21">
        <f t="shared" si="16"/>
        <v>10300</v>
      </c>
      <c r="L80" s="21">
        <f t="shared" si="17"/>
        <v>19750</v>
      </c>
      <c r="M80" s="21">
        <f t="shared" si="18"/>
        <v>29200</v>
      </c>
      <c r="N80" s="904">
        <f t="shared" si="19"/>
        <v>294</v>
      </c>
      <c r="O80" s="21"/>
      <c r="P80" s="22" t="s">
        <v>2</v>
      </c>
      <c r="Q80" s="22">
        <v>0.63</v>
      </c>
      <c r="R80" s="904" t="s">
        <v>42</v>
      </c>
      <c r="S80" s="904" t="str">
        <f t="shared" si="20"/>
        <v>Stove</v>
      </c>
      <c r="T80" s="23">
        <f t="shared" si="21"/>
        <v>0.33219782078229565</v>
      </c>
      <c r="U80" s="23">
        <f t="shared" si="22"/>
        <v>0.94176469581000322</v>
      </c>
      <c r="V80" s="23">
        <f t="shared" si="22"/>
        <v>0.49114817047306497</v>
      </c>
      <c r="W80" s="23">
        <f t="shared" si="23"/>
        <v>0.94176469581000322</v>
      </c>
      <c r="X80" s="904">
        <f t="shared" si="24"/>
        <v>738</v>
      </c>
      <c r="Y80" s="904">
        <f t="shared" si="24"/>
        <v>774</v>
      </c>
      <c r="Z80" s="904">
        <f t="shared" si="24"/>
        <v>732</v>
      </c>
      <c r="AA80" s="904">
        <f t="shared" si="12"/>
        <v>675</v>
      </c>
      <c r="AB80" s="24">
        <v>443</v>
      </c>
    </row>
    <row r="81" spans="1:28" x14ac:dyDescent="0.25">
      <c r="A81" s="903"/>
      <c r="B81" t="s">
        <v>216</v>
      </c>
      <c r="C81" s="906" t="s">
        <v>222</v>
      </c>
      <c r="D81" s="25">
        <v>4.4000000000000004</v>
      </c>
      <c r="E81" s="903">
        <v>660</v>
      </c>
      <c r="F81" s="903">
        <v>338</v>
      </c>
      <c r="G81" s="903" t="s">
        <v>221</v>
      </c>
      <c r="H81" s="904">
        <f t="shared" si="13"/>
        <v>6</v>
      </c>
      <c r="I81" s="904">
        <f t="shared" si="14"/>
        <v>11</v>
      </c>
      <c r="J81" s="21">
        <f t="shared" si="15"/>
        <v>10300</v>
      </c>
      <c r="K81" s="21">
        <f t="shared" si="16"/>
        <v>10300</v>
      </c>
      <c r="L81" s="21">
        <f t="shared" si="17"/>
        <v>19750</v>
      </c>
      <c r="M81" s="21">
        <f t="shared" si="18"/>
        <v>29200</v>
      </c>
      <c r="N81" s="904">
        <f t="shared" si="19"/>
        <v>294</v>
      </c>
      <c r="O81" s="21"/>
      <c r="P81" s="22" t="s">
        <v>2</v>
      </c>
      <c r="Q81" s="22">
        <v>0.63</v>
      </c>
      <c r="R81" s="904" t="s">
        <v>42</v>
      </c>
      <c r="S81" s="904" t="str">
        <f t="shared" si="20"/>
        <v>Stove</v>
      </c>
      <c r="T81" s="23">
        <f t="shared" si="21"/>
        <v>0.33219782078229565</v>
      </c>
      <c r="U81" s="23">
        <f t="shared" si="22"/>
        <v>0.94176469581000322</v>
      </c>
      <c r="V81" s="23">
        <f t="shared" si="22"/>
        <v>0.49114817047306497</v>
      </c>
      <c r="W81" s="23">
        <f t="shared" si="23"/>
        <v>0.94176469581000322</v>
      </c>
      <c r="X81" s="904">
        <f t="shared" si="24"/>
        <v>738</v>
      </c>
      <c r="Y81" s="904">
        <f t="shared" si="24"/>
        <v>774</v>
      </c>
      <c r="Z81" s="904">
        <f t="shared" si="24"/>
        <v>732</v>
      </c>
      <c r="AA81" s="904">
        <f t="shared" si="12"/>
        <v>675</v>
      </c>
      <c r="AB81" s="24">
        <v>443</v>
      </c>
    </row>
    <row r="82" spans="1:28" x14ac:dyDescent="0.25">
      <c r="A82" s="903"/>
      <c r="B82" t="s">
        <v>223</v>
      </c>
      <c r="C82" s="906" t="s">
        <v>224</v>
      </c>
      <c r="D82" s="25">
        <v>1</v>
      </c>
      <c r="E82" s="903">
        <v>23</v>
      </c>
      <c r="F82" s="903">
        <v>8</v>
      </c>
      <c r="G82" s="903" t="s">
        <v>225</v>
      </c>
      <c r="H82" s="904">
        <f t="shared" si="13"/>
        <v>5</v>
      </c>
      <c r="I82" s="904">
        <f t="shared" si="14"/>
        <v>10</v>
      </c>
      <c r="J82" s="21">
        <f t="shared" si="15"/>
        <v>5700</v>
      </c>
      <c r="K82" s="21">
        <f t="shared" si="16"/>
        <v>6222</v>
      </c>
      <c r="L82" s="21">
        <f t="shared" si="17"/>
        <v>12000</v>
      </c>
      <c r="M82" s="21">
        <f t="shared" si="18"/>
        <v>18300</v>
      </c>
      <c r="N82" s="904">
        <f t="shared" si="19"/>
        <v>9</v>
      </c>
      <c r="O82" s="21"/>
      <c r="P82" s="22" t="s">
        <v>2</v>
      </c>
      <c r="Q82" s="22">
        <v>0.72</v>
      </c>
      <c r="R82" s="904" t="s">
        <v>38</v>
      </c>
      <c r="S82" s="904" t="str">
        <f t="shared" si="20"/>
        <v>Stove</v>
      </c>
      <c r="T82" s="23">
        <f t="shared" si="21"/>
        <v>0.12046915507753395</v>
      </c>
      <c r="U82" s="23">
        <f t="shared" si="22"/>
        <v>0.35432104434568806</v>
      </c>
      <c r="V82" s="23">
        <f t="shared" si="22"/>
        <v>0.18371546149323928</v>
      </c>
      <c r="W82" s="23">
        <f t="shared" si="23"/>
        <v>0.38676939261734583</v>
      </c>
      <c r="X82" s="904">
        <f t="shared" si="24"/>
        <v>142</v>
      </c>
      <c r="Y82" s="904">
        <f t="shared" si="24"/>
        <v>153</v>
      </c>
      <c r="Z82" s="904">
        <f t="shared" si="24"/>
        <v>136</v>
      </c>
      <c r="AA82" s="904">
        <f t="shared" si="12"/>
        <v>101</v>
      </c>
      <c r="AB82" s="24">
        <v>59</v>
      </c>
    </row>
    <row r="83" spans="1:28" x14ac:dyDescent="0.25">
      <c r="A83" s="903"/>
      <c r="B83" t="s">
        <v>223</v>
      </c>
      <c r="C83" s="906" t="s">
        <v>224</v>
      </c>
      <c r="D83" s="25">
        <v>3</v>
      </c>
      <c r="E83" s="903">
        <v>322</v>
      </c>
      <c r="F83" s="903">
        <v>134</v>
      </c>
      <c r="G83" s="903" t="s">
        <v>226</v>
      </c>
      <c r="H83" s="904">
        <f t="shared" si="13"/>
        <v>6</v>
      </c>
      <c r="I83" s="904">
        <f t="shared" si="14"/>
        <v>11</v>
      </c>
      <c r="J83" s="21">
        <f t="shared" si="15"/>
        <v>10094</v>
      </c>
      <c r="K83" s="21">
        <f t="shared" si="16"/>
        <v>10094</v>
      </c>
      <c r="L83" s="21">
        <f t="shared" si="17"/>
        <v>18822</v>
      </c>
      <c r="M83" s="21">
        <f t="shared" si="18"/>
        <v>27550</v>
      </c>
      <c r="N83" s="904">
        <f t="shared" si="19"/>
        <v>226</v>
      </c>
      <c r="O83" s="21"/>
      <c r="P83" s="22" t="s">
        <v>2</v>
      </c>
      <c r="Q83" s="22">
        <v>0.72</v>
      </c>
      <c r="R83" s="904" t="s">
        <v>38</v>
      </c>
      <c r="S83" s="904" t="str">
        <f t="shared" si="20"/>
        <v>Stove</v>
      </c>
      <c r="T83" s="23">
        <f t="shared" si="21"/>
        <v>0.24006376093490431</v>
      </c>
      <c r="U83" s="23">
        <f t="shared" si="22"/>
        <v>0.65521662509972389</v>
      </c>
      <c r="V83" s="23">
        <f t="shared" si="22"/>
        <v>0.35138437008588952</v>
      </c>
      <c r="W83" s="23">
        <f t="shared" si="23"/>
        <v>0.65521662509972389</v>
      </c>
      <c r="X83" s="904">
        <f t="shared" si="24"/>
        <v>530</v>
      </c>
      <c r="Y83" s="904">
        <f t="shared" si="24"/>
        <v>507</v>
      </c>
      <c r="Z83" s="904">
        <f t="shared" si="24"/>
        <v>491</v>
      </c>
      <c r="AA83" s="904">
        <f t="shared" si="12"/>
        <v>357</v>
      </c>
      <c r="AB83" s="24">
        <v>190</v>
      </c>
    </row>
    <row r="84" spans="1:28" x14ac:dyDescent="0.25">
      <c r="A84" s="903"/>
      <c r="B84" t="s">
        <v>223</v>
      </c>
      <c r="C84" s="906" t="s">
        <v>227</v>
      </c>
      <c r="D84" s="25">
        <v>6.3</v>
      </c>
      <c r="E84" s="903">
        <v>861</v>
      </c>
      <c r="F84" s="903">
        <v>507</v>
      </c>
      <c r="G84" s="903" t="s">
        <v>228</v>
      </c>
      <c r="H84" s="904">
        <f t="shared" si="13"/>
        <v>6</v>
      </c>
      <c r="I84" s="904">
        <f t="shared" si="14"/>
        <v>11</v>
      </c>
      <c r="J84" s="21">
        <f t="shared" si="15"/>
        <v>10100</v>
      </c>
      <c r="K84" s="21">
        <f t="shared" si="16"/>
        <v>10100</v>
      </c>
      <c r="L84" s="21">
        <f t="shared" si="17"/>
        <v>18250</v>
      </c>
      <c r="M84" s="21">
        <f t="shared" si="18"/>
        <v>26400</v>
      </c>
      <c r="N84" s="904">
        <f t="shared" si="19"/>
        <v>176</v>
      </c>
      <c r="O84" s="21"/>
      <c r="P84" s="22" t="s">
        <v>2</v>
      </c>
      <c r="Q84" s="22">
        <v>0.63</v>
      </c>
      <c r="R84" s="904" t="s">
        <v>42</v>
      </c>
      <c r="S84" s="904" t="str">
        <f t="shared" si="20"/>
        <v>Stove</v>
      </c>
      <c r="T84" s="23">
        <f t="shared" si="21"/>
        <v>0.52609427609427606</v>
      </c>
      <c r="U84" s="23">
        <f t="shared" si="22"/>
        <v>1.3751375137513751</v>
      </c>
      <c r="V84" s="23">
        <f t="shared" si="22"/>
        <v>0.76103500761035003</v>
      </c>
      <c r="W84" s="23">
        <f t="shared" si="23"/>
        <v>1.3751375137513751</v>
      </c>
      <c r="X84" s="904">
        <f t="shared" si="24"/>
        <v>909</v>
      </c>
      <c r="Y84" s="904">
        <f t="shared" si="24"/>
        <v>928</v>
      </c>
      <c r="Z84" s="904">
        <f t="shared" si="24"/>
        <v>917</v>
      </c>
      <c r="AA84" s="904">
        <f t="shared" si="12"/>
        <v>886</v>
      </c>
      <c r="AB84" s="24">
        <v>573</v>
      </c>
    </row>
    <row r="85" spans="1:28" x14ac:dyDescent="0.25">
      <c r="A85" s="903"/>
      <c r="B85" t="s">
        <v>223</v>
      </c>
      <c r="C85" s="906" t="s">
        <v>229</v>
      </c>
      <c r="D85" s="25">
        <v>3.7</v>
      </c>
      <c r="E85" s="903">
        <v>501</v>
      </c>
      <c r="F85" s="903">
        <v>196</v>
      </c>
      <c r="G85" s="903" t="s">
        <v>230</v>
      </c>
      <c r="H85" s="904">
        <f t="shared" si="13"/>
        <v>5</v>
      </c>
      <c r="I85" s="904">
        <f t="shared" si="14"/>
        <v>10</v>
      </c>
      <c r="J85" s="21">
        <f t="shared" si="15"/>
        <v>8400</v>
      </c>
      <c r="K85" s="21">
        <f t="shared" si="16"/>
        <v>13600.000000000002</v>
      </c>
      <c r="L85" s="21">
        <f t="shared" si="17"/>
        <v>24200</v>
      </c>
      <c r="M85" s="21">
        <f t="shared" si="18"/>
        <v>40000</v>
      </c>
      <c r="N85" s="904">
        <f t="shared" si="19"/>
        <v>650</v>
      </c>
      <c r="O85" s="21"/>
      <c r="P85" s="22" t="s">
        <v>2</v>
      </c>
      <c r="Q85" s="22">
        <v>0.72</v>
      </c>
      <c r="R85" s="904" t="s">
        <v>38</v>
      </c>
      <c r="S85" s="904" t="str">
        <f t="shared" si="20"/>
        <v>Stove</v>
      </c>
      <c r="T85" s="23">
        <f t="shared" si="21"/>
        <v>0.2039241622574956</v>
      </c>
      <c r="U85" s="23">
        <f t="shared" si="22"/>
        <v>0.59977694781616342</v>
      </c>
      <c r="V85" s="23">
        <f t="shared" si="22"/>
        <v>0.33706473100412493</v>
      </c>
      <c r="W85" s="23">
        <f t="shared" si="23"/>
        <v>0.9710674393214076</v>
      </c>
      <c r="X85" s="904">
        <f t="shared" si="24"/>
        <v>401</v>
      </c>
      <c r="Y85" s="904">
        <f t="shared" si="24"/>
        <v>435</v>
      </c>
      <c r="Z85" s="904">
        <f t="shared" si="24"/>
        <v>460</v>
      </c>
      <c r="AA85" s="904">
        <f t="shared" si="12"/>
        <v>697</v>
      </c>
      <c r="AB85" s="24">
        <v>175</v>
      </c>
    </row>
    <row r="86" spans="1:28" x14ac:dyDescent="0.25">
      <c r="A86" s="903"/>
      <c r="B86" t="s">
        <v>223</v>
      </c>
      <c r="C86" s="906" t="s">
        <v>231</v>
      </c>
      <c r="D86" s="25">
        <v>2.6</v>
      </c>
      <c r="E86" s="903">
        <v>235</v>
      </c>
      <c r="F86" s="903">
        <v>102</v>
      </c>
      <c r="G86" s="903" t="s">
        <v>232</v>
      </c>
      <c r="H86" s="904">
        <f t="shared" si="13"/>
        <v>5</v>
      </c>
      <c r="I86" s="904">
        <f t="shared" si="14"/>
        <v>10</v>
      </c>
      <c r="J86" s="21">
        <f t="shared" si="15"/>
        <v>8400</v>
      </c>
      <c r="K86" s="21">
        <f t="shared" si="16"/>
        <v>13158.000000000002</v>
      </c>
      <c r="L86" s="21">
        <f t="shared" si="17"/>
        <v>23550</v>
      </c>
      <c r="M86" s="21">
        <f t="shared" si="18"/>
        <v>38700</v>
      </c>
      <c r="N86" s="904">
        <f t="shared" si="19"/>
        <v>594</v>
      </c>
      <c r="O86" s="21"/>
      <c r="P86" s="22" t="s">
        <v>2</v>
      </c>
      <c r="Q86" s="22">
        <v>0.72</v>
      </c>
      <c r="R86" s="904" t="s">
        <v>38</v>
      </c>
      <c r="S86" s="904" t="str">
        <f t="shared" si="20"/>
        <v>Stove</v>
      </c>
      <c r="T86" s="23">
        <f t="shared" si="21"/>
        <v>0.14811168988602236</v>
      </c>
      <c r="U86" s="23">
        <f t="shared" si="22"/>
        <v>0.43562261731183038</v>
      </c>
      <c r="V86" s="23">
        <f t="shared" si="22"/>
        <v>0.24339373242416412</v>
      </c>
      <c r="W86" s="23">
        <f t="shared" si="23"/>
        <v>0.68237171411774589</v>
      </c>
      <c r="X86" s="904">
        <f t="shared" si="24"/>
        <v>205</v>
      </c>
      <c r="Y86" s="904">
        <f t="shared" si="24"/>
        <v>214</v>
      </c>
      <c r="Z86" s="904">
        <f t="shared" si="24"/>
        <v>233</v>
      </c>
      <c r="AA86" s="904">
        <f t="shared" si="12"/>
        <v>399</v>
      </c>
      <c r="AB86" s="24">
        <v>84</v>
      </c>
    </row>
    <row r="87" spans="1:28" x14ac:dyDescent="0.25">
      <c r="A87" s="903"/>
      <c r="B87" t="s">
        <v>223</v>
      </c>
      <c r="C87" s="906" t="s">
        <v>233</v>
      </c>
      <c r="D87" s="25">
        <v>3.5</v>
      </c>
      <c r="E87" s="903">
        <v>432</v>
      </c>
      <c r="F87" s="903">
        <v>177</v>
      </c>
      <c r="G87" s="903" t="s">
        <v>234</v>
      </c>
      <c r="H87" s="904">
        <f t="shared" si="13"/>
        <v>5</v>
      </c>
      <c r="I87" s="904">
        <f t="shared" si="14"/>
        <v>10</v>
      </c>
      <c r="J87" s="21">
        <f t="shared" si="15"/>
        <v>7200</v>
      </c>
      <c r="K87" s="21">
        <f t="shared" si="16"/>
        <v>10200</v>
      </c>
      <c r="L87" s="21">
        <f t="shared" si="17"/>
        <v>18600</v>
      </c>
      <c r="M87" s="21">
        <f t="shared" si="18"/>
        <v>30000</v>
      </c>
      <c r="N87" s="904">
        <f t="shared" si="19"/>
        <v>206</v>
      </c>
      <c r="O87" s="21"/>
      <c r="P87" s="22" t="s">
        <v>2</v>
      </c>
      <c r="Q87" s="22">
        <v>0.72</v>
      </c>
      <c r="R87" s="904" t="s">
        <v>38</v>
      </c>
      <c r="S87" s="904" t="str">
        <f t="shared" si="20"/>
        <v>Stove</v>
      </c>
      <c r="T87" s="23">
        <f t="shared" si="21"/>
        <v>0.25720164609053497</v>
      </c>
      <c r="U87" s="23">
        <f t="shared" si="22"/>
        <v>0.75647542967804404</v>
      </c>
      <c r="V87" s="23">
        <f t="shared" si="22"/>
        <v>0.41484136466215321</v>
      </c>
      <c r="W87" s="23">
        <f t="shared" si="23"/>
        <v>1.0716735253772292</v>
      </c>
      <c r="X87" s="904">
        <f t="shared" si="24"/>
        <v>581</v>
      </c>
      <c r="Y87" s="904">
        <f t="shared" si="24"/>
        <v>623</v>
      </c>
      <c r="Z87" s="904">
        <f t="shared" si="24"/>
        <v>621</v>
      </c>
      <c r="AA87" s="904">
        <f t="shared" si="12"/>
        <v>760</v>
      </c>
      <c r="AB87" s="24">
        <v>225</v>
      </c>
    </row>
    <row r="88" spans="1:28" x14ac:dyDescent="0.25">
      <c r="A88" s="903"/>
      <c r="B88" t="s">
        <v>223</v>
      </c>
      <c r="C88" s="906" t="s">
        <v>235</v>
      </c>
      <c r="D88" s="25">
        <v>4.3</v>
      </c>
      <c r="E88" s="903">
        <v>635</v>
      </c>
      <c r="F88" s="903">
        <v>238</v>
      </c>
      <c r="G88" s="903" t="s">
        <v>236</v>
      </c>
      <c r="H88" s="904">
        <f t="shared" si="13"/>
        <v>5</v>
      </c>
      <c r="I88" s="904">
        <f t="shared" si="14"/>
        <v>10</v>
      </c>
      <c r="J88" s="21">
        <f t="shared" si="15"/>
        <v>9000</v>
      </c>
      <c r="K88" s="21">
        <f t="shared" si="16"/>
        <v>9000</v>
      </c>
      <c r="L88" s="21">
        <f t="shared" si="17"/>
        <v>17300</v>
      </c>
      <c r="M88" s="21">
        <f t="shared" si="18"/>
        <v>25600</v>
      </c>
      <c r="N88" s="904">
        <f t="shared" si="19"/>
        <v>110</v>
      </c>
      <c r="O88" s="21"/>
      <c r="P88" s="22" t="s">
        <v>2</v>
      </c>
      <c r="Q88" s="22">
        <v>0.72</v>
      </c>
      <c r="R88" s="904" t="s">
        <v>38</v>
      </c>
      <c r="S88" s="904" t="str">
        <f t="shared" si="20"/>
        <v>Stove</v>
      </c>
      <c r="T88" s="23">
        <f t="shared" si="21"/>
        <v>0.37030147707231043</v>
      </c>
      <c r="U88" s="23">
        <f t="shared" si="22"/>
        <v>1.0533019792279052</v>
      </c>
      <c r="V88" s="23">
        <f t="shared" si="22"/>
        <v>0.54796056722838993</v>
      </c>
      <c r="W88" s="23">
        <f t="shared" si="23"/>
        <v>1.0533019792279052</v>
      </c>
      <c r="X88" s="904">
        <f t="shared" si="24"/>
        <v>798</v>
      </c>
      <c r="Y88" s="904">
        <f t="shared" si="24"/>
        <v>834</v>
      </c>
      <c r="Z88" s="904">
        <f t="shared" si="24"/>
        <v>795</v>
      </c>
      <c r="AA88" s="904">
        <f t="shared" si="12"/>
        <v>744</v>
      </c>
      <c r="AB88" s="24">
        <v>262</v>
      </c>
    </row>
    <row r="89" spans="1:28" x14ac:dyDescent="0.25">
      <c r="A89" s="903"/>
      <c r="B89" t="s">
        <v>223</v>
      </c>
      <c r="C89" s="906" t="s">
        <v>237</v>
      </c>
      <c r="D89" s="25">
        <v>1.6</v>
      </c>
      <c r="E89" s="903">
        <v>86</v>
      </c>
      <c r="F89" s="903">
        <v>29</v>
      </c>
      <c r="G89" s="903" t="s">
        <v>238</v>
      </c>
      <c r="H89" s="904">
        <f t="shared" si="13"/>
        <v>5</v>
      </c>
      <c r="I89" s="904">
        <f t="shared" si="14"/>
        <v>10</v>
      </c>
      <c r="J89" s="21">
        <f t="shared" si="15"/>
        <v>6600</v>
      </c>
      <c r="K89" s="21">
        <f t="shared" si="16"/>
        <v>9078</v>
      </c>
      <c r="L89" s="21">
        <f t="shared" si="17"/>
        <v>16650</v>
      </c>
      <c r="M89" s="21">
        <f t="shared" si="18"/>
        <v>26700</v>
      </c>
      <c r="N89" s="904">
        <f t="shared" si="19"/>
        <v>83</v>
      </c>
      <c r="O89" s="21"/>
      <c r="P89" s="22" t="s">
        <v>2</v>
      </c>
      <c r="Q89" s="22">
        <v>0.72</v>
      </c>
      <c r="R89" s="904" t="s">
        <v>38</v>
      </c>
      <c r="S89" s="904" t="str">
        <f t="shared" si="20"/>
        <v>Stove</v>
      </c>
      <c r="T89" s="23">
        <f t="shared" si="21"/>
        <v>0.13210999478165519</v>
      </c>
      <c r="U89" s="23">
        <f t="shared" si="22"/>
        <v>0.38855880818133881</v>
      </c>
      <c r="V89" s="23">
        <f t="shared" si="22"/>
        <v>0.21185206370391554</v>
      </c>
      <c r="W89" s="23">
        <f t="shared" si="23"/>
        <v>0.53444497888942333</v>
      </c>
      <c r="X89" s="904">
        <f t="shared" si="24"/>
        <v>176</v>
      </c>
      <c r="Y89" s="904">
        <f t="shared" si="24"/>
        <v>184</v>
      </c>
      <c r="Z89" s="904">
        <f t="shared" si="24"/>
        <v>177</v>
      </c>
      <c r="AA89" s="904">
        <f t="shared" si="12"/>
        <v>227</v>
      </c>
      <c r="AB89" s="24">
        <v>70</v>
      </c>
    </row>
    <row r="90" spans="1:28" x14ac:dyDescent="0.25">
      <c r="A90" s="903"/>
      <c r="B90" t="s">
        <v>223</v>
      </c>
      <c r="C90" s="906" t="s">
        <v>239</v>
      </c>
      <c r="D90" s="25">
        <v>2.9</v>
      </c>
      <c r="E90" s="903">
        <v>295</v>
      </c>
      <c r="F90" s="903">
        <v>128</v>
      </c>
      <c r="G90" s="903" t="s">
        <v>240</v>
      </c>
      <c r="H90" s="904">
        <f t="shared" si="13"/>
        <v>5</v>
      </c>
      <c r="I90" s="904">
        <f t="shared" si="14"/>
        <v>10</v>
      </c>
      <c r="J90" s="21">
        <f t="shared" si="15"/>
        <v>6800</v>
      </c>
      <c r="K90" s="21">
        <f t="shared" si="16"/>
        <v>9452</v>
      </c>
      <c r="L90" s="21">
        <f t="shared" si="17"/>
        <v>17300</v>
      </c>
      <c r="M90" s="21">
        <f t="shared" si="18"/>
        <v>27800</v>
      </c>
      <c r="N90" s="904">
        <f t="shared" si="19"/>
        <v>110</v>
      </c>
      <c r="O90" s="21"/>
      <c r="P90" s="22" t="s">
        <v>2</v>
      </c>
      <c r="Q90" s="22">
        <v>0.72</v>
      </c>
      <c r="R90" s="904" t="s">
        <v>38</v>
      </c>
      <c r="S90" s="904" t="str">
        <f t="shared" si="20"/>
        <v>Stove</v>
      </c>
      <c r="T90" s="23">
        <f t="shared" si="21"/>
        <v>0.22997475035844339</v>
      </c>
      <c r="U90" s="23">
        <f t="shared" si="22"/>
        <v>0.67639632458365706</v>
      </c>
      <c r="V90" s="23">
        <f t="shared" si="22"/>
        <v>0.36955480115403044</v>
      </c>
      <c r="W90" s="23">
        <f t="shared" si="23"/>
        <v>0.94019089117128329</v>
      </c>
      <c r="X90" s="904">
        <f t="shared" si="24"/>
        <v>496</v>
      </c>
      <c r="Y90" s="904">
        <f t="shared" si="24"/>
        <v>536</v>
      </c>
      <c r="Z90" s="904">
        <f t="shared" si="24"/>
        <v>535</v>
      </c>
      <c r="AA90" s="904">
        <f t="shared" si="12"/>
        <v>673</v>
      </c>
      <c r="AB90" s="24">
        <v>200</v>
      </c>
    </row>
    <row r="91" spans="1:28" x14ac:dyDescent="0.25">
      <c r="A91" s="903"/>
      <c r="B91" t="s">
        <v>223</v>
      </c>
      <c r="C91" s="906" t="s">
        <v>241</v>
      </c>
      <c r="D91" s="25">
        <v>3.6</v>
      </c>
      <c r="E91" s="903">
        <v>467</v>
      </c>
      <c r="F91" s="903">
        <v>186</v>
      </c>
      <c r="G91" s="903" t="s">
        <v>242</v>
      </c>
      <c r="H91" s="904">
        <f t="shared" si="13"/>
        <v>5</v>
      </c>
      <c r="I91" s="904">
        <f t="shared" si="14"/>
        <v>10</v>
      </c>
      <c r="J91" s="21">
        <f t="shared" si="15"/>
        <v>8700</v>
      </c>
      <c r="K91" s="21">
        <f t="shared" si="16"/>
        <v>20502</v>
      </c>
      <c r="L91" s="21">
        <f t="shared" si="17"/>
        <v>34500</v>
      </c>
      <c r="M91" s="21">
        <f t="shared" si="18"/>
        <v>60300</v>
      </c>
      <c r="N91" s="904">
        <f t="shared" si="19"/>
        <v>936</v>
      </c>
      <c r="O91" s="21"/>
      <c r="P91" s="22" t="s">
        <v>2</v>
      </c>
      <c r="Q91" s="22">
        <v>0.72</v>
      </c>
      <c r="R91" s="904" t="s">
        <v>38</v>
      </c>
      <c r="S91" s="904" t="str">
        <f t="shared" si="20"/>
        <v>Stove</v>
      </c>
      <c r="T91" s="23">
        <f t="shared" si="21"/>
        <v>0.1316170470399326</v>
      </c>
      <c r="U91" s="23">
        <f t="shared" si="22"/>
        <v>0.38710896188215471</v>
      </c>
      <c r="V91" s="23">
        <f t="shared" si="22"/>
        <v>0.23004370830457788</v>
      </c>
      <c r="W91" s="23">
        <f t="shared" si="23"/>
        <v>0.91224229155263636</v>
      </c>
      <c r="X91" s="904">
        <f t="shared" si="24"/>
        <v>174</v>
      </c>
      <c r="Y91" s="904">
        <f t="shared" si="24"/>
        <v>182</v>
      </c>
      <c r="Z91" s="904">
        <f t="shared" si="24"/>
        <v>201</v>
      </c>
      <c r="AA91" s="904">
        <f t="shared" si="12"/>
        <v>653</v>
      </c>
      <c r="AB91" s="24">
        <v>68</v>
      </c>
    </row>
    <row r="92" spans="1:28" x14ac:dyDescent="0.25">
      <c r="A92" s="903"/>
      <c r="B92" t="s">
        <v>223</v>
      </c>
      <c r="C92" s="906" t="s">
        <v>243</v>
      </c>
      <c r="D92" s="25">
        <v>4.3</v>
      </c>
      <c r="E92" s="903">
        <v>635</v>
      </c>
      <c r="F92" s="903">
        <v>238</v>
      </c>
      <c r="G92" s="903" t="s">
        <v>244</v>
      </c>
      <c r="H92" s="904">
        <f t="shared" si="13"/>
        <v>5</v>
      </c>
      <c r="I92" s="904">
        <f t="shared" si="14"/>
        <v>10</v>
      </c>
      <c r="J92" s="21">
        <f t="shared" si="15"/>
        <v>6200</v>
      </c>
      <c r="K92" s="21">
        <f t="shared" si="16"/>
        <v>9520</v>
      </c>
      <c r="L92" s="21">
        <f t="shared" si="17"/>
        <v>17100</v>
      </c>
      <c r="M92" s="21">
        <f t="shared" si="18"/>
        <v>28000</v>
      </c>
      <c r="N92" s="904">
        <f t="shared" si="19"/>
        <v>97</v>
      </c>
      <c r="O92" s="21"/>
      <c r="P92" s="22" t="s">
        <v>2</v>
      </c>
      <c r="Q92" s="22">
        <v>0.72</v>
      </c>
      <c r="R92" s="904" t="s">
        <v>38</v>
      </c>
      <c r="S92" s="904" t="str">
        <f t="shared" si="20"/>
        <v>Stove</v>
      </c>
      <c r="T92" s="23">
        <f t="shared" si="21"/>
        <v>0.33856135046611235</v>
      </c>
      <c r="U92" s="23">
        <f t="shared" si="22"/>
        <v>0.99576867784150702</v>
      </c>
      <c r="V92" s="23">
        <f t="shared" si="22"/>
        <v>0.55436946275152899</v>
      </c>
      <c r="W92" s="23">
        <f t="shared" si="23"/>
        <v>1.5289867440405074</v>
      </c>
      <c r="X92" s="904">
        <f t="shared" si="24"/>
        <v>752</v>
      </c>
      <c r="Y92" s="904">
        <f t="shared" si="24"/>
        <v>806</v>
      </c>
      <c r="Z92" s="904">
        <f t="shared" si="24"/>
        <v>803</v>
      </c>
      <c r="AA92" s="904">
        <f t="shared" si="12"/>
        <v>925</v>
      </c>
      <c r="AB92" s="24">
        <v>253</v>
      </c>
    </row>
    <row r="93" spans="1:28" x14ac:dyDescent="0.25">
      <c r="A93" s="903"/>
      <c r="B93" t="s">
        <v>223</v>
      </c>
      <c r="C93" s="906" t="s">
        <v>245</v>
      </c>
      <c r="D93" s="25">
        <v>2.8</v>
      </c>
      <c r="E93" s="903">
        <v>283</v>
      </c>
      <c r="F93" s="903">
        <v>119</v>
      </c>
      <c r="G93" s="903" t="s">
        <v>246</v>
      </c>
      <c r="H93" s="904">
        <f t="shared" si="13"/>
        <v>5</v>
      </c>
      <c r="I93" s="904">
        <f t="shared" si="14"/>
        <v>10</v>
      </c>
      <c r="J93" s="21">
        <f t="shared" si="15"/>
        <v>7000</v>
      </c>
      <c r="K93" s="21">
        <f t="shared" si="16"/>
        <v>10404</v>
      </c>
      <c r="L93" s="21">
        <f t="shared" si="17"/>
        <v>18800</v>
      </c>
      <c r="M93" s="21">
        <f t="shared" si="18"/>
        <v>30600</v>
      </c>
      <c r="N93" s="904">
        <f t="shared" si="19"/>
        <v>219</v>
      </c>
      <c r="O93" s="21"/>
      <c r="P93" s="22" t="s">
        <v>2</v>
      </c>
      <c r="Q93" s="22">
        <v>0.72</v>
      </c>
      <c r="R93" s="904" t="s">
        <v>38</v>
      </c>
      <c r="S93" s="904" t="str">
        <f t="shared" si="20"/>
        <v>Stove</v>
      </c>
      <c r="T93" s="23">
        <f t="shared" si="21"/>
        <v>0.20172678124747842</v>
      </c>
      <c r="U93" s="23">
        <f t="shared" si="22"/>
        <v>0.59331406249258356</v>
      </c>
      <c r="V93" s="23">
        <f t="shared" si="22"/>
        <v>0.32834252692408722</v>
      </c>
      <c r="W93" s="23">
        <f t="shared" si="23"/>
        <v>0.88183421516754845</v>
      </c>
      <c r="X93" s="904">
        <f t="shared" si="24"/>
        <v>389</v>
      </c>
      <c r="Y93" s="904">
        <f t="shared" si="24"/>
        <v>426</v>
      </c>
      <c r="Z93" s="904">
        <f t="shared" si="24"/>
        <v>430</v>
      </c>
      <c r="AA93" s="904">
        <f t="shared" si="12"/>
        <v>623</v>
      </c>
      <c r="AB93" s="24">
        <v>169</v>
      </c>
    </row>
    <row r="94" spans="1:28" x14ac:dyDescent="0.25">
      <c r="A94" s="903"/>
      <c r="B94" t="s">
        <v>223</v>
      </c>
      <c r="C94" s="906" t="s">
        <v>247</v>
      </c>
      <c r="D94" s="25">
        <v>1</v>
      </c>
      <c r="E94" s="903">
        <v>23</v>
      </c>
      <c r="F94" s="903">
        <v>6</v>
      </c>
      <c r="G94" s="903" t="s">
        <v>248</v>
      </c>
      <c r="H94" s="904">
        <f t="shared" si="13"/>
        <v>6</v>
      </c>
      <c r="I94" s="904">
        <f t="shared" si="14"/>
        <v>11</v>
      </c>
      <c r="J94" s="21">
        <f t="shared" si="15"/>
        <v>11800</v>
      </c>
      <c r="K94" s="21">
        <f t="shared" si="16"/>
        <v>11800</v>
      </c>
      <c r="L94" s="21">
        <f t="shared" si="17"/>
        <v>22050</v>
      </c>
      <c r="M94" s="21">
        <f t="shared" si="18"/>
        <v>32300</v>
      </c>
      <c r="N94" s="904">
        <f t="shared" si="19"/>
        <v>479</v>
      </c>
      <c r="O94" s="21"/>
      <c r="P94" s="22" t="s">
        <v>2</v>
      </c>
      <c r="Q94" s="22">
        <v>0.63</v>
      </c>
      <c r="R94" s="904" t="s">
        <v>42</v>
      </c>
      <c r="S94" s="904" t="str">
        <f t="shared" si="20"/>
        <v>Stove</v>
      </c>
      <c r="T94" s="23">
        <f t="shared" si="21"/>
        <v>6.8253422226590435E-2</v>
      </c>
      <c r="U94" s="23">
        <f t="shared" si="22"/>
        <v>0.18682928287448061</v>
      </c>
      <c r="V94" s="23">
        <f t="shared" si="22"/>
        <v>9.9981203533735657E-2</v>
      </c>
      <c r="W94" s="23">
        <f t="shared" si="23"/>
        <v>0.18682928287448061</v>
      </c>
      <c r="X94" s="904">
        <f t="shared" si="24"/>
        <v>39</v>
      </c>
      <c r="Y94" s="904">
        <f t="shared" si="24"/>
        <v>36</v>
      </c>
      <c r="Z94" s="904">
        <f t="shared" si="24"/>
        <v>31</v>
      </c>
      <c r="AA94" s="904">
        <f t="shared" si="12"/>
        <v>20</v>
      </c>
      <c r="AB94" s="24">
        <v>7</v>
      </c>
    </row>
    <row r="95" spans="1:28" x14ac:dyDescent="0.25">
      <c r="A95" s="903"/>
      <c r="B95" t="s">
        <v>223</v>
      </c>
      <c r="C95" s="906" t="s">
        <v>249</v>
      </c>
      <c r="D95" s="25">
        <v>0.8</v>
      </c>
      <c r="E95" s="903">
        <v>15</v>
      </c>
      <c r="F95" s="903">
        <v>6</v>
      </c>
      <c r="G95" s="903" t="s">
        <v>250</v>
      </c>
      <c r="H95" s="904">
        <f t="shared" si="13"/>
        <v>6</v>
      </c>
      <c r="I95" s="904">
        <f t="shared" si="14"/>
        <v>11</v>
      </c>
      <c r="J95" s="21">
        <f t="shared" si="15"/>
        <v>10600</v>
      </c>
      <c r="K95" s="21">
        <f t="shared" si="16"/>
        <v>15096.000000000002</v>
      </c>
      <c r="L95" s="21">
        <f t="shared" si="17"/>
        <v>27500</v>
      </c>
      <c r="M95" s="21">
        <f t="shared" si="18"/>
        <v>44400</v>
      </c>
      <c r="N95" s="904">
        <f t="shared" si="19"/>
        <v>811</v>
      </c>
      <c r="O95" s="21"/>
      <c r="P95" s="22" t="s">
        <v>2</v>
      </c>
      <c r="Q95" s="22">
        <v>0.72</v>
      </c>
      <c r="R95" s="904" t="s">
        <v>38</v>
      </c>
      <c r="S95" s="904" t="str">
        <f t="shared" si="20"/>
        <v>Stove</v>
      </c>
      <c r="T95" s="23">
        <f t="shared" si="21"/>
        <v>3.9722261944484166E-2</v>
      </c>
      <c r="U95" s="23">
        <f t="shared" si="22"/>
        <v>0.11683018218965929</v>
      </c>
      <c r="V95" s="23">
        <f t="shared" si="22"/>
        <v>6.4133397466730802E-2</v>
      </c>
      <c r="W95" s="23">
        <f t="shared" si="23"/>
        <v>0.16638381418255632</v>
      </c>
      <c r="X95" s="904">
        <f t="shared" si="24"/>
        <v>7</v>
      </c>
      <c r="Y95" s="904">
        <f t="shared" si="24"/>
        <v>7</v>
      </c>
      <c r="Z95" s="904">
        <f t="shared" si="24"/>
        <v>7</v>
      </c>
      <c r="AA95" s="904">
        <f t="shared" si="12"/>
        <v>17</v>
      </c>
      <c r="AB95" s="24">
        <v>4</v>
      </c>
    </row>
    <row r="96" spans="1:28" x14ac:dyDescent="0.25">
      <c r="A96" s="903"/>
      <c r="B96" t="s">
        <v>223</v>
      </c>
      <c r="C96" s="906" t="s">
        <v>251</v>
      </c>
      <c r="D96" s="25">
        <v>0.6</v>
      </c>
      <c r="E96" s="903">
        <v>7</v>
      </c>
      <c r="F96" s="903">
        <v>4</v>
      </c>
      <c r="G96" s="903" t="s">
        <v>252</v>
      </c>
      <c r="H96" s="904">
        <f t="shared" si="13"/>
        <v>5</v>
      </c>
      <c r="I96" s="904">
        <f t="shared" si="14"/>
        <v>10</v>
      </c>
      <c r="J96" s="21">
        <f t="shared" si="15"/>
        <v>6200</v>
      </c>
      <c r="K96" s="21">
        <f t="shared" si="16"/>
        <v>11186</v>
      </c>
      <c r="L96" s="21">
        <f t="shared" si="17"/>
        <v>19550</v>
      </c>
      <c r="M96" s="21">
        <f t="shared" si="18"/>
        <v>32900</v>
      </c>
      <c r="N96" s="904">
        <f t="shared" si="19"/>
        <v>279</v>
      </c>
      <c r="O96" s="21"/>
      <c r="P96" s="22" t="s">
        <v>2</v>
      </c>
      <c r="Q96" s="22">
        <v>0.72</v>
      </c>
      <c r="R96" s="904" t="s">
        <v>38</v>
      </c>
      <c r="S96" s="904" t="str">
        <f t="shared" si="20"/>
        <v>Stove</v>
      </c>
      <c r="T96" s="23">
        <f t="shared" si="21"/>
        <v>4.0205207378459659E-2</v>
      </c>
      <c r="U96" s="23">
        <f t="shared" si="22"/>
        <v>0.11825060993664605</v>
      </c>
      <c r="V96" s="23">
        <f t="shared" si="22"/>
        <v>6.7659914207228791E-2</v>
      </c>
      <c r="W96" s="23">
        <f t="shared" si="23"/>
        <v>0.21334698754053594</v>
      </c>
      <c r="X96" s="904">
        <f t="shared" si="24"/>
        <v>10</v>
      </c>
      <c r="Y96" s="904">
        <f t="shared" si="24"/>
        <v>10</v>
      </c>
      <c r="Z96" s="904">
        <f t="shared" si="24"/>
        <v>9</v>
      </c>
      <c r="AA96" s="904">
        <f t="shared" si="12"/>
        <v>35</v>
      </c>
      <c r="AB96" s="24">
        <v>7</v>
      </c>
    </row>
    <row r="97" spans="1:28" x14ac:dyDescent="0.25">
      <c r="A97" s="903"/>
      <c r="B97" t="s">
        <v>223</v>
      </c>
      <c r="C97" s="906" t="s">
        <v>253</v>
      </c>
      <c r="D97" s="25">
        <v>1.8</v>
      </c>
      <c r="E97" s="903">
        <v>106</v>
      </c>
      <c r="F97" s="903">
        <v>38</v>
      </c>
      <c r="G97" s="903" t="s">
        <v>254</v>
      </c>
      <c r="H97" s="904">
        <f t="shared" si="13"/>
        <v>5</v>
      </c>
      <c r="I97" s="904">
        <f t="shared" si="14"/>
        <v>10</v>
      </c>
      <c r="J97" s="21">
        <f t="shared" si="15"/>
        <v>9000</v>
      </c>
      <c r="K97" s="21">
        <f t="shared" si="16"/>
        <v>14042.000000000002</v>
      </c>
      <c r="L97" s="21">
        <f t="shared" si="17"/>
        <v>25150</v>
      </c>
      <c r="M97" s="21">
        <f t="shared" si="18"/>
        <v>41300</v>
      </c>
      <c r="N97" s="904">
        <f t="shared" si="19"/>
        <v>702</v>
      </c>
      <c r="O97" s="21"/>
      <c r="P97" s="22" t="s">
        <v>2</v>
      </c>
      <c r="Q97" s="22">
        <v>0.72</v>
      </c>
      <c r="R97" s="904" t="s">
        <v>38</v>
      </c>
      <c r="S97" s="904" t="str">
        <f t="shared" si="20"/>
        <v>Stove</v>
      </c>
      <c r="T97" s="23">
        <f t="shared" si="21"/>
        <v>9.608363119259003E-2</v>
      </c>
      <c r="U97" s="23">
        <f t="shared" si="22"/>
        <v>0.28259891527232356</v>
      </c>
      <c r="V97" s="23">
        <f t="shared" si="22"/>
        <v>0.15778345798226515</v>
      </c>
      <c r="W97" s="23">
        <f t="shared" si="23"/>
        <v>0.44091710758377423</v>
      </c>
      <c r="X97" s="904">
        <f t="shared" si="24"/>
        <v>74</v>
      </c>
      <c r="Y97" s="904">
        <f t="shared" si="24"/>
        <v>84</v>
      </c>
      <c r="Z97" s="904">
        <f t="shared" si="24"/>
        <v>86</v>
      </c>
      <c r="AA97" s="904">
        <f t="shared" si="12"/>
        <v>143</v>
      </c>
      <c r="AB97" s="24">
        <v>35</v>
      </c>
    </row>
    <row r="98" spans="1:28" x14ac:dyDescent="0.25">
      <c r="A98" s="903"/>
      <c r="B98" t="s">
        <v>223</v>
      </c>
      <c r="C98" s="906" t="s">
        <v>255</v>
      </c>
      <c r="D98" s="25">
        <v>1.6</v>
      </c>
      <c r="E98" s="903">
        <v>86</v>
      </c>
      <c r="F98" s="903">
        <v>29</v>
      </c>
      <c r="G98" s="903" t="s">
        <v>256</v>
      </c>
      <c r="H98" s="904">
        <f t="shared" si="13"/>
        <v>5</v>
      </c>
      <c r="I98" s="904">
        <f t="shared" si="14"/>
        <v>10</v>
      </c>
      <c r="J98" s="21">
        <f t="shared" si="15"/>
        <v>8700</v>
      </c>
      <c r="K98" s="21">
        <f t="shared" si="16"/>
        <v>14178.000000000002</v>
      </c>
      <c r="L98" s="21">
        <f t="shared" si="17"/>
        <v>25200</v>
      </c>
      <c r="M98" s="21">
        <f t="shared" si="18"/>
        <v>41700</v>
      </c>
      <c r="N98" s="904">
        <f t="shared" si="19"/>
        <v>711</v>
      </c>
      <c r="O98" s="21"/>
      <c r="P98" s="22" t="s">
        <v>2</v>
      </c>
      <c r="Q98" s="22">
        <v>0.72</v>
      </c>
      <c r="R98" s="904" t="s">
        <v>38</v>
      </c>
      <c r="S98" s="904" t="str">
        <f t="shared" si="20"/>
        <v>Stove</v>
      </c>
      <c r="T98" s="23">
        <f t="shared" si="21"/>
        <v>8.4588413924944705E-2</v>
      </c>
      <c r="U98" s="23">
        <f t="shared" si="22"/>
        <v>0.24878945272042555</v>
      </c>
      <c r="V98" s="23">
        <f t="shared" si="22"/>
        <v>0.13997368494722992</v>
      </c>
      <c r="W98" s="23">
        <f t="shared" si="23"/>
        <v>0.40544101846783837</v>
      </c>
      <c r="X98" s="904">
        <f t="shared" si="24"/>
        <v>55</v>
      </c>
      <c r="Y98" s="904">
        <f t="shared" si="24"/>
        <v>63</v>
      </c>
      <c r="Z98" s="904">
        <f t="shared" si="24"/>
        <v>66</v>
      </c>
      <c r="AA98" s="904">
        <f t="shared" si="12"/>
        <v>117</v>
      </c>
      <c r="AB98" s="24">
        <v>21</v>
      </c>
    </row>
    <row r="99" spans="1:28" x14ac:dyDescent="0.25">
      <c r="A99" s="903"/>
      <c r="B99" t="s">
        <v>223</v>
      </c>
      <c r="C99" s="906" t="s">
        <v>257</v>
      </c>
      <c r="D99" s="25">
        <v>1.3</v>
      </c>
      <c r="E99" s="903">
        <v>53</v>
      </c>
      <c r="F99" s="903">
        <v>15</v>
      </c>
      <c r="G99" s="903" t="s">
        <v>258</v>
      </c>
      <c r="H99" s="904">
        <f t="shared" si="13"/>
        <v>5</v>
      </c>
      <c r="I99" s="904">
        <f t="shared" si="14"/>
        <v>10</v>
      </c>
      <c r="J99" s="21">
        <f t="shared" si="15"/>
        <v>8300</v>
      </c>
      <c r="K99" s="21">
        <f t="shared" si="16"/>
        <v>9520</v>
      </c>
      <c r="L99" s="21">
        <f t="shared" si="17"/>
        <v>18150</v>
      </c>
      <c r="M99" s="21">
        <f t="shared" si="18"/>
        <v>28000</v>
      </c>
      <c r="N99" s="904">
        <f t="shared" si="19"/>
        <v>168</v>
      </c>
      <c r="O99" s="21"/>
      <c r="P99" s="22" t="s">
        <v>2</v>
      </c>
      <c r="Q99" s="22">
        <v>0.72</v>
      </c>
      <c r="R99" s="904" t="s">
        <v>38</v>
      </c>
      <c r="S99" s="904" t="str">
        <f t="shared" si="20"/>
        <v>Stove</v>
      </c>
      <c r="T99" s="23">
        <f t="shared" si="21"/>
        <v>0.10235575711766189</v>
      </c>
      <c r="U99" s="23">
        <f t="shared" si="22"/>
        <v>0.30104634446371142</v>
      </c>
      <c r="V99" s="23">
        <f t="shared" si="22"/>
        <v>0.15790419830823871</v>
      </c>
      <c r="W99" s="23">
        <f t="shared" si="23"/>
        <v>0.34529653003548588</v>
      </c>
      <c r="X99" s="904">
        <f t="shared" si="24"/>
        <v>88</v>
      </c>
      <c r="Y99" s="904">
        <f t="shared" si="24"/>
        <v>103</v>
      </c>
      <c r="Z99" s="904">
        <f t="shared" si="24"/>
        <v>88</v>
      </c>
      <c r="AA99" s="904">
        <f t="shared" si="12"/>
        <v>81</v>
      </c>
      <c r="AB99" s="24">
        <v>44</v>
      </c>
    </row>
    <row r="100" spans="1:28" x14ac:dyDescent="0.25">
      <c r="A100" s="903"/>
      <c r="B100" t="s">
        <v>223</v>
      </c>
      <c r="C100" s="906" t="s">
        <v>259</v>
      </c>
      <c r="D100" s="25">
        <v>1.41</v>
      </c>
      <c r="E100" s="903">
        <v>71</v>
      </c>
      <c r="F100" s="903">
        <v>23</v>
      </c>
      <c r="G100" s="903" t="s">
        <v>260</v>
      </c>
      <c r="H100" s="904">
        <f t="shared" si="13"/>
        <v>6</v>
      </c>
      <c r="I100" s="904">
        <f t="shared" si="14"/>
        <v>11</v>
      </c>
      <c r="J100" s="21">
        <f t="shared" si="15"/>
        <v>10700</v>
      </c>
      <c r="K100" s="21">
        <f t="shared" si="16"/>
        <v>10700</v>
      </c>
      <c r="L100" s="21">
        <f t="shared" si="17"/>
        <v>20100</v>
      </c>
      <c r="M100" s="21">
        <f t="shared" si="18"/>
        <v>29500</v>
      </c>
      <c r="N100" s="904">
        <f t="shared" si="19"/>
        <v>328</v>
      </c>
      <c r="O100" s="21"/>
      <c r="P100" s="22" t="s">
        <v>2</v>
      </c>
      <c r="Q100" s="22">
        <v>0.72</v>
      </c>
      <c r="R100" s="904" t="s">
        <v>38</v>
      </c>
      <c r="S100" s="904" t="str">
        <f t="shared" si="20"/>
        <v>Stove</v>
      </c>
      <c r="T100" s="23">
        <f t="shared" si="21"/>
        <v>0.10537171554120707</v>
      </c>
      <c r="U100" s="23">
        <f t="shared" si="22"/>
        <v>0.29051080452949612</v>
      </c>
      <c r="V100" s="23">
        <f t="shared" si="22"/>
        <v>0.15465003027192081</v>
      </c>
      <c r="W100" s="23">
        <f t="shared" si="23"/>
        <v>0.29051080452949612</v>
      </c>
      <c r="X100" s="904">
        <f t="shared" si="24"/>
        <v>97</v>
      </c>
      <c r="Y100" s="904">
        <f t="shared" si="24"/>
        <v>93</v>
      </c>
      <c r="Z100" s="904">
        <f t="shared" si="24"/>
        <v>80</v>
      </c>
      <c r="AA100" s="904">
        <f t="shared" si="12"/>
        <v>60</v>
      </c>
      <c r="AB100" s="24">
        <v>41</v>
      </c>
    </row>
    <row r="101" spans="1:28" x14ac:dyDescent="0.25">
      <c r="A101" s="903"/>
      <c r="B101" t="s">
        <v>223</v>
      </c>
      <c r="C101" s="906" t="s">
        <v>261</v>
      </c>
      <c r="D101" s="25">
        <v>1.1000000000000001</v>
      </c>
      <c r="E101" s="903">
        <v>36</v>
      </c>
      <c r="F101" s="903">
        <v>10</v>
      </c>
      <c r="G101" s="903" t="s">
        <v>262</v>
      </c>
      <c r="H101" s="904">
        <f t="shared" si="13"/>
        <v>5</v>
      </c>
      <c r="I101" s="904">
        <f t="shared" si="14"/>
        <v>10</v>
      </c>
      <c r="J101" s="21">
        <f t="shared" si="15"/>
        <v>6600</v>
      </c>
      <c r="K101" s="21">
        <f t="shared" si="16"/>
        <v>9282</v>
      </c>
      <c r="L101" s="21">
        <f t="shared" si="17"/>
        <v>16950</v>
      </c>
      <c r="M101" s="21">
        <f t="shared" si="18"/>
        <v>27300</v>
      </c>
      <c r="N101" s="904">
        <f t="shared" si="19"/>
        <v>89</v>
      </c>
      <c r="O101" s="21"/>
      <c r="P101" s="22" t="s">
        <v>2</v>
      </c>
      <c r="Q101" s="22">
        <v>0.72</v>
      </c>
      <c r="R101" s="904" t="s">
        <v>38</v>
      </c>
      <c r="S101" s="904" t="str">
        <f t="shared" si="20"/>
        <v>Stove</v>
      </c>
      <c r="T101" s="23">
        <f t="shared" si="21"/>
        <v>8.8829453908818995E-2</v>
      </c>
      <c r="U101" s="23">
        <f t="shared" si="22"/>
        <v>0.26126309973182055</v>
      </c>
      <c r="V101" s="23">
        <f t="shared" si="22"/>
        <v>0.14307044788854031</v>
      </c>
      <c r="W101" s="23">
        <f t="shared" si="23"/>
        <v>0.36743092298647856</v>
      </c>
      <c r="X101" s="904">
        <f t="shared" si="24"/>
        <v>65</v>
      </c>
      <c r="Y101" s="904">
        <f t="shared" si="24"/>
        <v>74</v>
      </c>
      <c r="Z101" s="904">
        <f t="shared" si="24"/>
        <v>69</v>
      </c>
      <c r="AA101" s="904">
        <f t="shared" si="12"/>
        <v>87</v>
      </c>
      <c r="AB101" s="24">
        <v>26</v>
      </c>
    </row>
    <row r="102" spans="1:28" x14ac:dyDescent="0.25">
      <c r="A102" s="903"/>
      <c r="B102" t="s">
        <v>223</v>
      </c>
      <c r="C102" s="906" t="s">
        <v>263</v>
      </c>
      <c r="D102" s="25">
        <v>0.7</v>
      </c>
      <c r="E102" s="903">
        <v>11</v>
      </c>
      <c r="F102" s="903">
        <v>1</v>
      </c>
      <c r="G102" s="903" t="s">
        <v>264</v>
      </c>
      <c r="H102" s="904">
        <f t="shared" si="13"/>
        <v>6</v>
      </c>
      <c r="I102" s="904">
        <f t="shared" si="14"/>
        <v>11</v>
      </c>
      <c r="J102" s="21">
        <f t="shared" si="15"/>
        <v>10600</v>
      </c>
      <c r="K102" s="21">
        <f t="shared" si="16"/>
        <v>10600</v>
      </c>
      <c r="L102" s="21">
        <f t="shared" si="17"/>
        <v>17325</v>
      </c>
      <c r="M102" s="21">
        <f t="shared" si="18"/>
        <v>24050</v>
      </c>
      <c r="N102" s="904">
        <f t="shared" si="19"/>
        <v>117</v>
      </c>
      <c r="O102" s="21"/>
      <c r="P102" s="22" t="s">
        <v>2</v>
      </c>
      <c r="Q102" s="22">
        <v>0.63</v>
      </c>
      <c r="R102" s="904" t="s">
        <v>42</v>
      </c>
      <c r="S102" s="904" t="str">
        <f t="shared" si="20"/>
        <v>Stove</v>
      </c>
      <c r="T102" s="23">
        <f t="shared" si="21"/>
        <v>6.4166730833397495E-2</v>
      </c>
      <c r="U102" s="23">
        <f t="shared" si="22"/>
        <v>0.14558583740973677</v>
      </c>
      <c r="V102" s="23">
        <f t="shared" si="22"/>
        <v>8.9074163148237226E-2</v>
      </c>
      <c r="W102" s="23">
        <f t="shared" si="23"/>
        <v>0.14558583740973677</v>
      </c>
      <c r="X102" s="904">
        <f t="shared" si="24"/>
        <v>28</v>
      </c>
      <c r="Y102" s="904">
        <f t="shared" si="24"/>
        <v>16</v>
      </c>
      <c r="Z102" s="904">
        <f t="shared" si="24"/>
        <v>18</v>
      </c>
      <c r="AA102" s="904">
        <f t="shared" si="12"/>
        <v>7</v>
      </c>
      <c r="AB102" s="24">
        <v>2</v>
      </c>
    </row>
    <row r="103" spans="1:28" x14ac:dyDescent="0.25">
      <c r="A103" s="903"/>
      <c r="B103" t="s">
        <v>223</v>
      </c>
      <c r="C103" s="906" t="s">
        <v>265</v>
      </c>
      <c r="D103" s="25">
        <v>2.7</v>
      </c>
      <c r="E103" s="903">
        <v>257</v>
      </c>
      <c r="F103" s="903">
        <v>109</v>
      </c>
      <c r="G103" s="903" t="s">
        <v>266</v>
      </c>
      <c r="H103" s="904">
        <f t="shared" si="13"/>
        <v>6</v>
      </c>
      <c r="I103" s="904">
        <f t="shared" si="14"/>
        <v>11</v>
      </c>
      <c r="J103" s="21">
        <f t="shared" si="15"/>
        <v>11800</v>
      </c>
      <c r="K103" s="21">
        <f t="shared" si="16"/>
        <v>23324</v>
      </c>
      <c r="L103" s="21">
        <f t="shared" si="17"/>
        <v>40200</v>
      </c>
      <c r="M103" s="21">
        <f t="shared" si="18"/>
        <v>68600</v>
      </c>
      <c r="N103" s="904">
        <f t="shared" si="19"/>
        <v>951</v>
      </c>
      <c r="O103" s="21"/>
      <c r="P103" s="22" t="s">
        <v>2</v>
      </c>
      <c r="Q103" s="22">
        <v>0.72</v>
      </c>
      <c r="R103" s="904" t="s">
        <v>38</v>
      </c>
      <c r="S103" s="904" t="str">
        <f t="shared" si="20"/>
        <v>Stove</v>
      </c>
      <c r="T103" s="23">
        <f t="shared" si="21"/>
        <v>8.6769401638206303E-2</v>
      </c>
      <c r="U103" s="23">
        <f t="shared" si="22"/>
        <v>0.25520412246531265</v>
      </c>
      <c r="V103" s="23">
        <f t="shared" si="22"/>
        <v>0.14806917791992419</v>
      </c>
      <c r="W103" s="23">
        <f t="shared" si="23"/>
        <v>0.50443906376109771</v>
      </c>
      <c r="X103" s="904">
        <f t="shared" si="24"/>
        <v>60</v>
      </c>
      <c r="Y103" s="904">
        <f t="shared" si="24"/>
        <v>68</v>
      </c>
      <c r="Z103" s="904">
        <f t="shared" si="24"/>
        <v>73</v>
      </c>
      <c r="AA103" s="904">
        <f t="shared" si="12"/>
        <v>194</v>
      </c>
      <c r="AB103" s="24">
        <v>24</v>
      </c>
    </row>
    <row r="104" spans="1:28" x14ac:dyDescent="0.25">
      <c r="A104" s="903"/>
      <c r="B104" t="s">
        <v>223</v>
      </c>
      <c r="C104" s="906" t="s">
        <v>267</v>
      </c>
      <c r="D104" s="25">
        <v>3.1</v>
      </c>
      <c r="E104" s="903">
        <v>347</v>
      </c>
      <c r="F104" s="903">
        <v>146</v>
      </c>
      <c r="G104" s="903" t="s">
        <v>268</v>
      </c>
      <c r="H104" s="904">
        <f t="shared" si="13"/>
        <v>5</v>
      </c>
      <c r="I104" s="904">
        <f t="shared" si="14"/>
        <v>10</v>
      </c>
      <c r="J104" s="21">
        <f t="shared" si="15"/>
        <v>9100</v>
      </c>
      <c r="K104" s="21">
        <f t="shared" si="16"/>
        <v>11832</v>
      </c>
      <c r="L104" s="21">
        <f t="shared" si="17"/>
        <v>21950</v>
      </c>
      <c r="M104" s="21">
        <f t="shared" si="18"/>
        <v>34800</v>
      </c>
      <c r="N104" s="904">
        <f t="shared" si="19"/>
        <v>467</v>
      </c>
      <c r="O104" s="21"/>
      <c r="P104" s="22" t="s">
        <v>2</v>
      </c>
      <c r="Q104" s="22">
        <v>0.72</v>
      </c>
      <c r="R104" s="904" t="s">
        <v>38</v>
      </c>
      <c r="S104" s="904" t="str">
        <f t="shared" si="20"/>
        <v>Stove</v>
      </c>
      <c r="T104" s="23">
        <f t="shared" si="21"/>
        <v>0.19638549332035923</v>
      </c>
      <c r="U104" s="23">
        <f t="shared" si="22"/>
        <v>0.57760439211870362</v>
      </c>
      <c r="V104" s="23">
        <f t="shared" si="22"/>
        <v>0.31135376617533034</v>
      </c>
      <c r="W104" s="23">
        <f t="shared" si="23"/>
        <v>0.75101265577456056</v>
      </c>
      <c r="X104" s="904">
        <f t="shared" si="24"/>
        <v>371</v>
      </c>
      <c r="Y104" s="904">
        <f t="shared" si="24"/>
        <v>401</v>
      </c>
      <c r="Z104" s="904">
        <f t="shared" si="24"/>
        <v>394</v>
      </c>
      <c r="AA104" s="904">
        <f t="shared" si="12"/>
        <v>466</v>
      </c>
      <c r="AB104" s="24">
        <v>160</v>
      </c>
    </row>
    <row r="105" spans="1:28" x14ac:dyDescent="0.25">
      <c r="A105" s="903"/>
      <c r="B105" t="s">
        <v>223</v>
      </c>
      <c r="C105" s="906" t="s">
        <v>269</v>
      </c>
      <c r="D105" s="25">
        <v>2.2000000000000002</v>
      </c>
      <c r="E105" s="903">
        <v>169</v>
      </c>
      <c r="F105" s="903">
        <v>64</v>
      </c>
      <c r="G105" s="903" t="s">
        <v>270</v>
      </c>
      <c r="H105" s="904">
        <f t="shared" si="13"/>
        <v>5</v>
      </c>
      <c r="I105" s="904">
        <f t="shared" si="14"/>
        <v>10</v>
      </c>
      <c r="J105" s="21">
        <f t="shared" si="15"/>
        <v>9500</v>
      </c>
      <c r="K105" s="21">
        <f t="shared" si="16"/>
        <v>10778</v>
      </c>
      <c r="L105" s="21">
        <f t="shared" si="17"/>
        <v>20600</v>
      </c>
      <c r="M105" s="21">
        <f t="shared" si="18"/>
        <v>31700</v>
      </c>
      <c r="N105" s="904">
        <f t="shared" si="19"/>
        <v>370</v>
      </c>
      <c r="O105" s="21"/>
      <c r="P105" s="22" t="s">
        <v>2</v>
      </c>
      <c r="Q105" s="22">
        <v>0.72</v>
      </c>
      <c r="R105" s="904" t="s">
        <v>38</v>
      </c>
      <c r="S105" s="904" t="str">
        <f t="shared" si="20"/>
        <v>Stove</v>
      </c>
      <c r="T105" s="23">
        <f t="shared" si="21"/>
        <v>0.15299962723727181</v>
      </c>
      <c r="U105" s="23">
        <f t="shared" si="22"/>
        <v>0.44999890363903478</v>
      </c>
      <c r="V105" s="23">
        <f t="shared" si="22"/>
        <v>0.2354411739525008</v>
      </c>
      <c r="W105" s="23">
        <f t="shared" si="23"/>
        <v>0.51053559825489647</v>
      </c>
      <c r="X105" s="904">
        <f t="shared" si="24"/>
        <v>224</v>
      </c>
      <c r="Y105" s="904">
        <f t="shared" si="24"/>
        <v>237</v>
      </c>
      <c r="Z105" s="904">
        <f t="shared" si="24"/>
        <v>213</v>
      </c>
      <c r="AA105" s="904">
        <f t="shared" si="12"/>
        <v>205</v>
      </c>
      <c r="AB105" s="24">
        <v>94</v>
      </c>
    </row>
    <row r="106" spans="1:28" x14ac:dyDescent="0.25">
      <c r="A106" s="903"/>
      <c r="B106" t="s">
        <v>223</v>
      </c>
      <c r="C106" s="906" t="s">
        <v>271</v>
      </c>
      <c r="D106" s="25">
        <v>3.1</v>
      </c>
      <c r="E106" s="903">
        <v>347</v>
      </c>
      <c r="F106" s="903">
        <v>146</v>
      </c>
      <c r="G106" s="903" t="s">
        <v>272</v>
      </c>
      <c r="H106" s="904">
        <f t="shared" si="13"/>
        <v>5</v>
      </c>
      <c r="I106" s="904">
        <f t="shared" si="14"/>
        <v>10</v>
      </c>
      <c r="J106" s="21">
        <f t="shared" si="15"/>
        <v>7800</v>
      </c>
      <c r="K106" s="21">
        <f t="shared" si="16"/>
        <v>9962</v>
      </c>
      <c r="L106" s="21">
        <f t="shared" si="17"/>
        <v>18550</v>
      </c>
      <c r="M106" s="21">
        <f t="shared" si="18"/>
        <v>29300</v>
      </c>
      <c r="N106" s="904">
        <f t="shared" si="19"/>
        <v>196</v>
      </c>
      <c r="O106" s="21"/>
      <c r="P106" s="22" t="s">
        <v>2</v>
      </c>
      <c r="Q106" s="22">
        <v>0.72</v>
      </c>
      <c r="R106" s="904" t="s">
        <v>38</v>
      </c>
      <c r="S106" s="904" t="str">
        <f t="shared" si="20"/>
        <v>Stove</v>
      </c>
      <c r="T106" s="23">
        <f t="shared" si="21"/>
        <v>0.23324966442145054</v>
      </c>
      <c r="U106" s="23">
        <f t="shared" si="22"/>
        <v>0.68602842476897219</v>
      </c>
      <c r="V106" s="23">
        <f t="shared" si="22"/>
        <v>0.36842130283280328</v>
      </c>
      <c r="W106" s="23">
        <f t="shared" si="23"/>
        <v>0.87618143173698726</v>
      </c>
      <c r="X106" s="904">
        <f t="shared" si="24"/>
        <v>505</v>
      </c>
      <c r="Y106" s="904">
        <f t="shared" si="24"/>
        <v>548</v>
      </c>
      <c r="Z106" s="904">
        <f t="shared" si="24"/>
        <v>529</v>
      </c>
      <c r="AA106" s="904">
        <f t="shared" si="12"/>
        <v>615</v>
      </c>
      <c r="AB106" s="24">
        <v>205</v>
      </c>
    </row>
    <row r="107" spans="1:28" x14ac:dyDescent="0.25">
      <c r="A107" s="903"/>
      <c r="B107" t="s">
        <v>223</v>
      </c>
      <c r="C107" s="906" t="s">
        <v>273</v>
      </c>
      <c r="D107" s="25">
        <v>1.3</v>
      </c>
      <c r="E107" s="903">
        <v>53</v>
      </c>
      <c r="F107" s="903">
        <v>15</v>
      </c>
      <c r="G107" s="903" t="s">
        <v>274</v>
      </c>
      <c r="H107" s="904">
        <f t="shared" si="13"/>
        <v>6</v>
      </c>
      <c r="I107" s="904">
        <f t="shared" si="14"/>
        <v>11</v>
      </c>
      <c r="J107" s="21">
        <f t="shared" si="15"/>
        <v>10400</v>
      </c>
      <c r="K107" s="21">
        <f t="shared" si="16"/>
        <v>10400</v>
      </c>
      <c r="L107" s="21">
        <f t="shared" si="17"/>
        <v>18450</v>
      </c>
      <c r="M107" s="21">
        <f t="shared" si="18"/>
        <v>26500</v>
      </c>
      <c r="N107" s="904">
        <f t="shared" si="19"/>
        <v>191</v>
      </c>
      <c r="O107" s="21"/>
      <c r="P107" s="22" t="s">
        <v>2</v>
      </c>
      <c r="Q107" s="22">
        <v>0.72</v>
      </c>
      <c r="R107" s="904" t="s">
        <v>38</v>
      </c>
      <c r="S107" s="904" t="str">
        <f t="shared" si="20"/>
        <v>Stove</v>
      </c>
      <c r="T107" s="23">
        <f t="shared" si="21"/>
        <v>0.10814947921866161</v>
      </c>
      <c r="U107" s="23">
        <f t="shared" si="22"/>
        <v>0.27557319223985893</v>
      </c>
      <c r="V107" s="23">
        <f t="shared" si="22"/>
        <v>0.15533665036826735</v>
      </c>
      <c r="W107" s="23">
        <f t="shared" si="23"/>
        <v>0.27557319223985893</v>
      </c>
      <c r="X107" s="904">
        <f t="shared" si="24"/>
        <v>111</v>
      </c>
      <c r="Y107" s="904">
        <f t="shared" si="24"/>
        <v>80</v>
      </c>
      <c r="Z107" s="904">
        <f t="shared" si="24"/>
        <v>82</v>
      </c>
      <c r="AA107" s="904">
        <f t="shared" si="12"/>
        <v>51</v>
      </c>
      <c r="AB107" s="24">
        <v>31</v>
      </c>
    </row>
    <row r="108" spans="1:28" x14ac:dyDescent="0.25">
      <c r="A108" s="903"/>
      <c r="B108" t="s">
        <v>223</v>
      </c>
      <c r="C108" s="906" t="s">
        <v>275</v>
      </c>
      <c r="D108" s="25">
        <v>3.1</v>
      </c>
      <c r="E108" s="903">
        <v>347</v>
      </c>
      <c r="F108" s="903">
        <v>146</v>
      </c>
      <c r="G108" s="903" t="s">
        <v>276</v>
      </c>
      <c r="H108" s="904">
        <f t="shared" si="13"/>
        <v>6</v>
      </c>
      <c r="I108" s="904">
        <f t="shared" si="14"/>
        <v>11</v>
      </c>
      <c r="J108" s="21">
        <f t="shared" si="15"/>
        <v>10200</v>
      </c>
      <c r="K108" s="21">
        <f t="shared" si="16"/>
        <v>10200</v>
      </c>
      <c r="L108" s="21">
        <f t="shared" si="17"/>
        <v>16350</v>
      </c>
      <c r="M108" s="21">
        <f t="shared" si="18"/>
        <v>22500</v>
      </c>
      <c r="N108" s="904">
        <f t="shared" si="19"/>
        <v>74</v>
      </c>
      <c r="O108" s="21"/>
      <c r="P108" s="22" t="s">
        <v>2</v>
      </c>
      <c r="Q108" s="22">
        <v>0.72</v>
      </c>
      <c r="R108" s="904" t="s">
        <v>38</v>
      </c>
      <c r="S108" s="904" t="str">
        <f t="shared" si="20"/>
        <v>Stove</v>
      </c>
      <c r="T108" s="23">
        <f t="shared" si="21"/>
        <v>0.30374289633548895</v>
      </c>
      <c r="U108" s="23">
        <f t="shared" si="22"/>
        <v>0.67002109485769612</v>
      </c>
      <c r="V108" s="23">
        <f t="shared" si="22"/>
        <v>0.41799481147085632</v>
      </c>
      <c r="W108" s="23">
        <f t="shared" si="23"/>
        <v>0.67002109485769612</v>
      </c>
      <c r="X108" s="904">
        <f t="shared" si="24"/>
        <v>678</v>
      </c>
      <c r="Y108" s="904">
        <f t="shared" si="24"/>
        <v>524</v>
      </c>
      <c r="Z108" s="904">
        <f t="shared" si="24"/>
        <v>628</v>
      </c>
      <c r="AA108" s="904">
        <f t="shared" si="12"/>
        <v>381</v>
      </c>
      <c r="AB108" s="24">
        <v>197</v>
      </c>
    </row>
    <row r="109" spans="1:28" x14ac:dyDescent="0.25">
      <c r="A109" s="903"/>
      <c r="B109" t="s">
        <v>223</v>
      </c>
      <c r="C109" s="906" t="s">
        <v>277</v>
      </c>
      <c r="D109" s="25">
        <v>2.1</v>
      </c>
      <c r="E109" s="903">
        <v>145</v>
      </c>
      <c r="F109" s="903">
        <v>53</v>
      </c>
      <c r="G109" s="903" t="s">
        <v>278</v>
      </c>
      <c r="H109" s="904">
        <f t="shared" si="13"/>
        <v>5</v>
      </c>
      <c r="I109" s="904">
        <f t="shared" si="14"/>
        <v>10</v>
      </c>
      <c r="J109" s="21">
        <f t="shared" si="15"/>
        <v>8300</v>
      </c>
      <c r="K109" s="21">
        <f t="shared" si="16"/>
        <v>9078</v>
      </c>
      <c r="L109" s="21">
        <f t="shared" si="17"/>
        <v>17500</v>
      </c>
      <c r="M109" s="21">
        <f t="shared" si="18"/>
        <v>26700</v>
      </c>
      <c r="N109" s="904">
        <f t="shared" si="19"/>
        <v>131</v>
      </c>
      <c r="O109" s="21"/>
      <c r="P109" s="22" t="s">
        <v>2</v>
      </c>
      <c r="Q109" s="22">
        <v>0.72</v>
      </c>
      <c r="R109" s="904" t="s">
        <v>38</v>
      </c>
      <c r="S109" s="904" t="str">
        <f t="shared" si="20"/>
        <v>Stove</v>
      </c>
      <c r="T109" s="23">
        <f t="shared" si="21"/>
        <v>0.17339436815092246</v>
      </c>
      <c r="U109" s="23">
        <f t="shared" si="22"/>
        <v>0.5099834357380072</v>
      </c>
      <c r="V109" s="23">
        <f t="shared" si="22"/>
        <v>0.26455026455026454</v>
      </c>
      <c r="W109" s="23">
        <f t="shared" si="23"/>
        <v>0.5577867023650156</v>
      </c>
      <c r="X109" s="904">
        <f t="shared" si="24"/>
        <v>283</v>
      </c>
      <c r="Y109" s="904">
        <f t="shared" si="24"/>
        <v>303</v>
      </c>
      <c r="Z109" s="904">
        <f t="shared" si="24"/>
        <v>269</v>
      </c>
      <c r="AA109" s="904">
        <f t="shared" si="12"/>
        <v>252</v>
      </c>
      <c r="AB109" s="24">
        <v>127</v>
      </c>
    </row>
    <row r="110" spans="1:28" x14ac:dyDescent="0.25">
      <c r="A110" s="903"/>
      <c r="B110" t="s">
        <v>223</v>
      </c>
      <c r="C110" s="906" t="s">
        <v>279</v>
      </c>
      <c r="D110" s="25">
        <v>2.4</v>
      </c>
      <c r="E110" s="903">
        <v>196</v>
      </c>
      <c r="F110" s="903">
        <v>75</v>
      </c>
      <c r="G110" s="903" t="s">
        <v>280</v>
      </c>
      <c r="H110" s="904">
        <f t="shared" si="13"/>
        <v>5</v>
      </c>
      <c r="I110" s="904">
        <f t="shared" si="14"/>
        <v>10</v>
      </c>
      <c r="J110" s="21">
        <f t="shared" si="15"/>
        <v>9200</v>
      </c>
      <c r="K110" s="21">
        <f t="shared" si="16"/>
        <v>9200</v>
      </c>
      <c r="L110" s="21">
        <f t="shared" si="17"/>
        <v>14250</v>
      </c>
      <c r="M110" s="21">
        <f t="shared" si="18"/>
        <v>19300</v>
      </c>
      <c r="N110" s="904">
        <f t="shared" si="19"/>
        <v>26</v>
      </c>
      <c r="O110" s="21"/>
      <c r="P110" s="22" t="s">
        <v>2</v>
      </c>
      <c r="Q110" s="22">
        <v>0.72</v>
      </c>
      <c r="R110" s="904" t="s">
        <v>38</v>
      </c>
      <c r="S110" s="904" t="str">
        <f t="shared" si="20"/>
        <v>Stove</v>
      </c>
      <c r="T110" s="23">
        <f t="shared" si="21"/>
        <v>0.27414535186555911</v>
      </c>
      <c r="U110" s="23">
        <f t="shared" si="22"/>
        <v>0.57510927076144469</v>
      </c>
      <c r="V110" s="23">
        <f t="shared" si="22"/>
        <v>0.37129861691265198</v>
      </c>
      <c r="W110" s="23">
        <f t="shared" si="23"/>
        <v>0.57510927076144469</v>
      </c>
      <c r="X110" s="904">
        <f t="shared" si="24"/>
        <v>612</v>
      </c>
      <c r="Y110" s="904">
        <f t="shared" si="24"/>
        <v>398</v>
      </c>
      <c r="Z110" s="904">
        <f t="shared" si="24"/>
        <v>543</v>
      </c>
      <c r="AA110" s="904">
        <f t="shared" si="12"/>
        <v>269</v>
      </c>
      <c r="AB110" s="24">
        <v>158</v>
      </c>
    </row>
    <row r="111" spans="1:28" x14ac:dyDescent="0.25">
      <c r="A111" s="903"/>
      <c r="B111" t="s">
        <v>223</v>
      </c>
      <c r="C111" s="906" t="s">
        <v>281</v>
      </c>
      <c r="D111" s="25">
        <v>3.3</v>
      </c>
      <c r="E111" s="903">
        <v>393</v>
      </c>
      <c r="F111" s="903">
        <v>152</v>
      </c>
      <c r="G111" s="903" t="s">
        <v>282</v>
      </c>
      <c r="H111" s="904">
        <f t="shared" si="13"/>
        <v>5</v>
      </c>
      <c r="I111" s="904">
        <f t="shared" si="14"/>
        <v>10</v>
      </c>
      <c r="J111" s="21">
        <f t="shared" si="15"/>
        <v>8200</v>
      </c>
      <c r="K111" s="21">
        <f t="shared" si="16"/>
        <v>8200</v>
      </c>
      <c r="L111" s="21">
        <f t="shared" si="17"/>
        <v>13850</v>
      </c>
      <c r="M111" s="21">
        <f t="shared" si="18"/>
        <v>19500</v>
      </c>
      <c r="N111" s="904">
        <f t="shared" si="19"/>
        <v>19</v>
      </c>
      <c r="O111" s="21"/>
      <c r="P111" s="22" t="s">
        <v>2</v>
      </c>
      <c r="Q111" s="22">
        <v>0.63</v>
      </c>
      <c r="R111" s="904" t="s">
        <v>42</v>
      </c>
      <c r="S111" s="904" t="str">
        <f t="shared" si="20"/>
        <v>Stove</v>
      </c>
      <c r="T111" s="23">
        <f t="shared" si="21"/>
        <v>0.37308370641703975</v>
      </c>
      <c r="U111" s="23">
        <f t="shared" si="22"/>
        <v>0.88721125306491155</v>
      </c>
      <c r="V111" s="23">
        <f t="shared" si="22"/>
        <v>0.52528030867381048</v>
      </c>
      <c r="W111" s="23">
        <f t="shared" si="23"/>
        <v>0.88721125306491155</v>
      </c>
      <c r="X111" s="904">
        <f t="shared" si="24"/>
        <v>802</v>
      </c>
      <c r="Y111" s="904">
        <f t="shared" si="24"/>
        <v>731</v>
      </c>
      <c r="Z111" s="904">
        <f t="shared" si="24"/>
        <v>771</v>
      </c>
      <c r="AA111" s="904">
        <f t="shared" si="12"/>
        <v>633</v>
      </c>
      <c r="AB111" s="24">
        <v>409</v>
      </c>
    </row>
    <row r="112" spans="1:28" x14ac:dyDescent="0.25">
      <c r="A112" s="903"/>
      <c r="B112" t="s">
        <v>223</v>
      </c>
      <c r="C112" s="906" t="s">
        <v>283</v>
      </c>
      <c r="D112" s="25">
        <v>5.5</v>
      </c>
      <c r="E112" s="903">
        <v>808</v>
      </c>
      <c r="F112" s="903">
        <v>458</v>
      </c>
      <c r="G112" s="903" t="s">
        <v>284</v>
      </c>
      <c r="H112" s="904">
        <f t="shared" si="13"/>
        <v>6</v>
      </c>
      <c r="I112" s="904">
        <f t="shared" si="14"/>
        <v>11</v>
      </c>
      <c r="J112" s="21">
        <f t="shared" si="15"/>
        <v>11400</v>
      </c>
      <c r="K112" s="21">
        <f t="shared" si="16"/>
        <v>11400</v>
      </c>
      <c r="L112" s="21">
        <f t="shared" si="17"/>
        <v>21200</v>
      </c>
      <c r="M112" s="21">
        <f t="shared" si="18"/>
        <v>31000</v>
      </c>
      <c r="N112" s="904">
        <f t="shared" si="19"/>
        <v>424</v>
      </c>
      <c r="O112" s="21"/>
      <c r="P112" s="22" t="s">
        <v>2</v>
      </c>
      <c r="Q112" s="22">
        <v>0.63</v>
      </c>
      <c r="R112" s="904" t="s">
        <v>42</v>
      </c>
      <c r="S112" s="904" t="str">
        <f t="shared" si="20"/>
        <v>Stove</v>
      </c>
      <c r="T112" s="23">
        <f t="shared" si="21"/>
        <v>0.39113614382431589</v>
      </c>
      <c r="U112" s="23">
        <f t="shared" si="22"/>
        <v>1.063615829697701</v>
      </c>
      <c r="V112" s="23">
        <f t="shared" si="22"/>
        <v>0.57194436125253734</v>
      </c>
      <c r="W112" s="23">
        <f t="shared" si="23"/>
        <v>1.063615829697701</v>
      </c>
      <c r="X112" s="904">
        <f t="shared" si="24"/>
        <v>819</v>
      </c>
      <c r="Y112" s="904">
        <f t="shared" si="24"/>
        <v>842</v>
      </c>
      <c r="Z112" s="904">
        <f t="shared" si="24"/>
        <v>818</v>
      </c>
      <c r="AA112" s="904">
        <f t="shared" si="12"/>
        <v>755</v>
      </c>
      <c r="AB112" s="24">
        <v>495</v>
      </c>
    </row>
    <row r="113" spans="1:28" x14ac:dyDescent="0.25">
      <c r="A113" s="903"/>
      <c r="B113" t="s">
        <v>223</v>
      </c>
      <c r="C113" s="906" t="s">
        <v>285</v>
      </c>
      <c r="D113" s="25">
        <v>3.3</v>
      </c>
      <c r="E113" s="903">
        <v>393</v>
      </c>
      <c r="F113" s="903">
        <v>152</v>
      </c>
      <c r="G113" s="903" t="s">
        <v>286</v>
      </c>
      <c r="H113" s="904">
        <f t="shared" si="13"/>
        <v>6</v>
      </c>
      <c r="I113" s="904">
        <f t="shared" si="14"/>
        <v>11</v>
      </c>
      <c r="J113" s="21">
        <f t="shared" si="15"/>
        <v>11300</v>
      </c>
      <c r="K113" s="21">
        <f t="shared" si="16"/>
        <v>13498.000000000002</v>
      </c>
      <c r="L113" s="21">
        <f t="shared" si="17"/>
        <v>25500</v>
      </c>
      <c r="M113" s="21">
        <f t="shared" si="18"/>
        <v>39700</v>
      </c>
      <c r="N113" s="904">
        <f t="shared" si="19"/>
        <v>724</v>
      </c>
      <c r="O113" s="21"/>
      <c r="P113" s="22" t="s">
        <v>2</v>
      </c>
      <c r="Q113" s="22">
        <v>0.63</v>
      </c>
      <c r="R113" s="904" t="s">
        <v>42</v>
      </c>
      <c r="S113" s="904" t="str">
        <f t="shared" si="20"/>
        <v>Stove</v>
      </c>
      <c r="T113" s="23">
        <f t="shared" si="21"/>
        <v>0.1832527021443898</v>
      </c>
      <c r="U113" s="23">
        <f t="shared" si="22"/>
        <v>0.53897853571879351</v>
      </c>
      <c r="V113" s="23">
        <f t="shared" si="22"/>
        <v>0.28529930490714805</v>
      </c>
      <c r="W113" s="23">
        <f t="shared" si="23"/>
        <v>0.6438170154984314</v>
      </c>
      <c r="X113" s="904">
        <f t="shared" si="24"/>
        <v>323</v>
      </c>
      <c r="Y113" s="904">
        <f t="shared" si="24"/>
        <v>348</v>
      </c>
      <c r="Z113" s="904">
        <f t="shared" si="24"/>
        <v>318</v>
      </c>
      <c r="AA113" s="904">
        <f t="shared" si="12"/>
        <v>342</v>
      </c>
      <c r="AB113" s="24">
        <v>139</v>
      </c>
    </row>
    <row r="114" spans="1:28" x14ac:dyDescent="0.25">
      <c r="A114" s="903"/>
      <c r="B114" t="s">
        <v>223</v>
      </c>
      <c r="C114" s="906" t="s">
        <v>287</v>
      </c>
      <c r="D114" s="25">
        <v>2.1</v>
      </c>
      <c r="E114" s="903">
        <v>145</v>
      </c>
      <c r="F114" s="903">
        <v>53</v>
      </c>
      <c r="G114" s="903" t="s">
        <v>288</v>
      </c>
      <c r="H114" s="904">
        <f t="shared" si="13"/>
        <v>5</v>
      </c>
      <c r="I114" s="904">
        <f t="shared" si="14"/>
        <v>10</v>
      </c>
      <c r="J114" s="21">
        <f t="shared" si="15"/>
        <v>9400</v>
      </c>
      <c r="K114" s="21">
        <f t="shared" si="16"/>
        <v>9400</v>
      </c>
      <c r="L114" s="21">
        <f t="shared" si="17"/>
        <v>16100</v>
      </c>
      <c r="M114" s="21">
        <f t="shared" si="18"/>
        <v>22800</v>
      </c>
      <c r="N114" s="904">
        <f t="shared" si="19"/>
        <v>67</v>
      </c>
      <c r="O114" s="21"/>
      <c r="P114" s="22" t="s">
        <v>2</v>
      </c>
      <c r="Q114" s="22">
        <v>0.72</v>
      </c>
      <c r="R114" s="904" t="s">
        <v>38</v>
      </c>
      <c r="S114" s="904" t="str">
        <f t="shared" si="20"/>
        <v>Stove</v>
      </c>
      <c r="T114" s="23">
        <f t="shared" si="21"/>
        <v>0.20305393112410655</v>
      </c>
      <c r="U114" s="23">
        <f t="shared" si="22"/>
        <v>0.4925137903861308</v>
      </c>
      <c r="V114" s="23">
        <f t="shared" si="22"/>
        <v>0.28755463538072235</v>
      </c>
      <c r="W114" s="23">
        <f t="shared" si="23"/>
        <v>0.4925137903861308</v>
      </c>
      <c r="X114" s="904">
        <f t="shared" si="24"/>
        <v>397</v>
      </c>
      <c r="Y114" s="904">
        <f t="shared" si="24"/>
        <v>288</v>
      </c>
      <c r="Z114" s="904">
        <f t="shared" si="24"/>
        <v>322</v>
      </c>
      <c r="AA114" s="904">
        <f t="shared" si="12"/>
        <v>181</v>
      </c>
      <c r="AB114" s="24">
        <v>123</v>
      </c>
    </row>
    <row r="115" spans="1:28" x14ac:dyDescent="0.25">
      <c r="A115" s="903"/>
      <c r="B115" t="s">
        <v>223</v>
      </c>
      <c r="C115" s="906" t="s">
        <v>289</v>
      </c>
      <c r="D115" s="25">
        <v>2.9</v>
      </c>
      <c r="E115" s="903">
        <v>295</v>
      </c>
      <c r="F115" s="903">
        <v>96</v>
      </c>
      <c r="G115" s="903" t="s">
        <v>226</v>
      </c>
      <c r="H115" s="904">
        <f t="shared" si="13"/>
        <v>6</v>
      </c>
      <c r="I115" s="904">
        <f t="shared" si="14"/>
        <v>11</v>
      </c>
      <c r="J115" s="21">
        <f t="shared" si="15"/>
        <v>10094</v>
      </c>
      <c r="K115" s="21">
        <f t="shared" si="16"/>
        <v>10094</v>
      </c>
      <c r="L115" s="21">
        <f t="shared" si="17"/>
        <v>18822</v>
      </c>
      <c r="M115" s="21">
        <f t="shared" si="18"/>
        <v>27550</v>
      </c>
      <c r="N115" s="904">
        <f t="shared" si="19"/>
        <v>226</v>
      </c>
      <c r="O115" s="21"/>
      <c r="P115" s="22" t="s">
        <v>2</v>
      </c>
      <c r="Q115" s="22">
        <v>0.63</v>
      </c>
      <c r="R115" s="904" t="s">
        <v>42</v>
      </c>
      <c r="S115" s="904" t="str">
        <f t="shared" si="20"/>
        <v>Stove</v>
      </c>
      <c r="T115" s="23">
        <f t="shared" si="21"/>
        <v>0.23206163557040749</v>
      </c>
      <c r="U115" s="23">
        <f t="shared" si="22"/>
        <v>0.63337607092973314</v>
      </c>
      <c r="V115" s="23">
        <f t="shared" si="22"/>
        <v>0.33967155774969321</v>
      </c>
      <c r="W115" s="23">
        <f t="shared" si="23"/>
        <v>0.63337607092973314</v>
      </c>
      <c r="X115" s="904">
        <f t="shared" si="24"/>
        <v>502</v>
      </c>
      <c r="Y115" s="904">
        <f t="shared" si="24"/>
        <v>473</v>
      </c>
      <c r="Z115" s="904">
        <f t="shared" si="24"/>
        <v>464</v>
      </c>
      <c r="AA115" s="904">
        <f t="shared" si="12"/>
        <v>326</v>
      </c>
      <c r="AB115" s="24">
        <v>213</v>
      </c>
    </row>
    <row r="116" spans="1:28" x14ac:dyDescent="0.25">
      <c r="A116" s="903"/>
      <c r="B116" t="s">
        <v>223</v>
      </c>
      <c r="C116" s="906" t="s">
        <v>290</v>
      </c>
      <c r="D116" s="25">
        <v>3.4</v>
      </c>
      <c r="E116" s="903">
        <v>415</v>
      </c>
      <c r="F116" s="903">
        <v>168</v>
      </c>
      <c r="G116" s="903" t="s">
        <v>291</v>
      </c>
      <c r="H116" s="904">
        <f t="shared" si="13"/>
        <v>5</v>
      </c>
      <c r="I116" s="904">
        <f t="shared" si="14"/>
        <v>10</v>
      </c>
      <c r="J116" s="21">
        <f t="shared" si="15"/>
        <v>9500</v>
      </c>
      <c r="K116" s="21">
        <f t="shared" si="16"/>
        <v>11526</v>
      </c>
      <c r="L116" s="21">
        <f t="shared" si="17"/>
        <v>21700</v>
      </c>
      <c r="M116" s="21">
        <f t="shared" si="18"/>
        <v>33900</v>
      </c>
      <c r="N116" s="904">
        <f t="shared" si="19"/>
        <v>444</v>
      </c>
      <c r="O116" s="21"/>
      <c r="P116" s="22" t="s">
        <v>2</v>
      </c>
      <c r="Q116" s="22">
        <v>0.63</v>
      </c>
      <c r="R116" s="904" t="s">
        <v>42</v>
      </c>
      <c r="S116" s="904" t="str">
        <f t="shared" si="20"/>
        <v>Stove</v>
      </c>
      <c r="T116" s="23">
        <f t="shared" si="21"/>
        <v>0.22110887400956231</v>
      </c>
      <c r="U116" s="23">
        <f t="shared" si="22"/>
        <v>0.65032021767518322</v>
      </c>
      <c r="V116" s="23">
        <f t="shared" si="22"/>
        <v>0.34541893220848674</v>
      </c>
      <c r="W116" s="23">
        <f t="shared" si="23"/>
        <v>0.78900956093938546</v>
      </c>
      <c r="X116" s="904">
        <f t="shared" si="24"/>
        <v>465</v>
      </c>
      <c r="Y116" s="904">
        <f t="shared" si="24"/>
        <v>499</v>
      </c>
      <c r="Z116" s="904">
        <f t="shared" si="24"/>
        <v>479</v>
      </c>
      <c r="AA116" s="904">
        <f t="shared" si="12"/>
        <v>513</v>
      </c>
      <c r="AB116" s="24">
        <v>236</v>
      </c>
    </row>
    <row r="117" spans="1:28" x14ac:dyDescent="0.25">
      <c r="A117" s="903"/>
      <c r="B117" t="s">
        <v>223</v>
      </c>
      <c r="C117" s="906" t="s">
        <v>292</v>
      </c>
      <c r="D117" s="25">
        <v>5.0999999999999996</v>
      </c>
      <c r="E117" s="903">
        <v>766</v>
      </c>
      <c r="F117" s="903">
        <v>259</v>
      </c>
      <c r="G117" s="903" t="s">
        <v>293</v>
      </c>
      <c r="H117" s="904">
        <f t="shared" si="13"/>
        <v>5</v>
      </c>
      <c r="I117" s="904">
        <f t="shared" si="14"/>
        <v>10</v>
      </c>
      <c r="J117" s="21">
        <f t="shared" si="15"/>
        <v>8700</v>
      </c>
      <c r="K117" s="21">
        <f t="shared" si="16"/>
        <v>10506</v>
      </c>
      <c r="L117" s="21">
        <f t="shared" si="17"/>
        <v>19800</v>
      </c>
      <c r="M117" s="21">
        <f t="shared" si="18"/>
        <v>30900</v>
      </c>
      <c r="N117" s="904">
        <f t="shared" si="19"/>
        <v>303</v>
      </c>
      <c r="O117" s="21"/>
      <c r="P117" s="22" t="s">
        <v>2</v>
      </c>
      <c r="Q117" s="22">
        <v>0.72</v>
      </c>
      <c r="R117" s="904" t="s">
        <v>38</v>
      </c>
      <c r="S117" s="904" t="str">
        <f t="shared" si="20"/>
        <v>Stove</v>
      </c>
      <c r="T117" s="23">
        <f t="shared" si="21"/>
        <v>0.36386363247204673</v>
      </c>
      <c r="U117" s="23">
        <f t="shared" si="22"/>
        <v>1.0701871543295489</v>
      </c>
      <c r="V117" s="23">
        <f t="shared" si="22"/>
        <v>0.56784779007001229</v>
      </c>
      <c r="W117" s="23">
        <f t="shared" si="23"/>
        <v>1.2923432463662348</v>
      </c>
      <c r="X117" s="904">
        <f t="shared" si="24"/>
        <v>788</v>
      </c>
      <c r="Y117" s="904">
        <f t="shared" si="24"/>
        <v>846</v>
      </c>
      <c r="Z117" s="904">
        <f t="shared" si="24"/>
        <v>815</v>
      </c>
      <c r="AA117" s="904">
        <f t="shared" si="12"/>
        <v>849</v>
      </c>
      <c r="AB117" s="24">
        <v>264</v>
      </c>
    </row>
    <row r="118" spans="1:28" x14ac:dyDescent="0.25">
      <c r="A118" s="903"/>
      <c r="B118" t="s">
        <v>223</v>
      </c>
      <c r="C118" s="906" t="s">
        <v>294</v>
      </c>
      <c r="D118" s="25">
        <v>6.3</v>
      </c>
      <c r="E118" s="903">
        <v>861</v>
      </c>
      <c r="F118" s="903">
        <v>507</v>
      </c>
      <c r="G118" s="903" t="s">
        <v>295</v>
      </c>
      <c r="H118" s="904">
        <f t="shared" si="13"/>
        <v>6</v>
      </c>
      <c r="I118" s="904">
        <f t="shared" si="14"/>
        <v>11</v>
      </c>
      <c r="J118" s="21">
        <f t="shared" si="15"/>
        <v>12000</v>
      </c>
      <c r="K118" s="21">
        <f t="shared" si="16"/>
        <v>12000</v>
      </c>
      <c r="L118" s="21">
        <f t="shared" si="17"/>
        <v>19650</v>
      </c>
      <c r="M118" s="21">
        <f t="shared" si="18"/>
        <v>27300</v>
      </c>
      <c r="N118" s="904">
        <f t="shared" si="19"/>
        <v>289</v>
      </c>
      <c r="O118" s="21"/>
      <c r="P118" s="22" t="s">
        <v>2</v>
      </c>
      <c r="Q118" s="22">
        <v>0.63</v>
      </c>
      <c r="R118" s="904" t="s">
        <v>42</v>
      </c>
      <c r="S118" s="904" t="str">
        <f t="shared" si="20"/>
        <v>Stove</v>
      </c>
      <c r="T118" s="23">
        <f t="shared" si="21"/>
        <v>0.50875050875050876</v>
      </c>
      <c r="U118" s="23">
        <f t="shared" si="22"/>
        <v>1.1574074074074074</v>
      </c>
      <c r="V118" s="23">
        <f t="shared" si="22"/>
        <v>0.70681368391292054</v>
      </c>
      <c r="W118" s="23">
        <f t="shared" si="23"/>
        <v>1.1574074074074074</v>
      </c>
      <c r="X118" s="904">
        <f t="shared" si="24"/>
        <v>901</v>
      </c>
      <c r="Y118" s="904">
        <f t="shared" si="24"/>
        <v>875</v>
      </c>
      <c r="Z118" s="904">
        <f t="shared" si="24"/>
        <v>890</v>
      </c>
      <c r="AA118" s="904">
        <f t="shared" si="12"/>
        <v>808</v>
      </c>
      <c r="AB118" s="24">
        <v>522</v>
      </c>
    </row>
    <row r="119" spans="1:28" x14ac:dyDescent="0.25">
      <c r="A119" s="903"/>
      <c r="B119" t="s">
        <v>223</v>
      </c>
      <c r="C119" s="906" t="s">
        <v>296</v>
      </c>
      <c r="D119" s="25">
        <v>4.5</v>
      </c>
      <c r="E119" s="903">
        <v>700</v>
      </c>
      <c r="F119" s="903">
        <v>376</v>
      </c>
      <c r="G119" s="903" t="s">
        <v>297</v>
      </c>
      <c r="H119" s="904">
        <f t="shared" si="13"/>
        <v>5</v>
      </c>
      <c r="I119" s="904">
        <f t="shared" si="14"/>
        <v>10</v>
      </c>
      <c r="J119" s="21">
        <f t="shared" si="15"/>
        <v>9900</v>
      </c>
      <c r="K119" s="21">
        <f t="shared" si="16"/>
        <v>10472</v>
      </c>
      <c r="L119" s="21">
        <f t="shared" si="17"/>
        <v>20350</v>
      </c>
      <c r="M119" s="21">
        <f t="shared" si="18"/>
        <v>30800</v>
      </c>
      <c r="N119" s="904">
        <f t="shared" si="19"/>
        <v>350</v>
      </c>
      <c r="O119" s="21"/>
      <c r="P119" s="22" t="s">
        <v>2</v>
      </c>
      <c r="Q119" s="22">
        <v>0.63</v>
      </c>
      <c r="R119" s="904" t="s">
        <v>42</v>
      </c>
      <c r="S119" s="904" t="str">
        <f t="shared" si="20"/>
        <v>Insert</v>
      </c>
      <c r="T119" s="23">
        <f t="shared" si="21"/>
        <v>0.32209853638425068</v>
      </c>
      <c r="U119" s="23">
        <f t="shared" si="22"/>
        <v>0.94734863642426659</v>
      </c>
      <c r="V119" s="23">
        <f t="shared" si="22"/>
        <v>0.48750048750048752</v>
      </c>
      <c r="W119" s="23">
        <f t="shared" si="23"/>
        <v>1.0020843354176687</v>
      </c>
      <c r="X119" s="904">
        <f t="shared" si="24"/>
        <v>719</v>
      </c>
      <c r="Y119" s="904">
        <f t="shared" si="24"/>
        <v>784</v>
      </c>
      <c r="Z119" s="904">
        <f t="shared" si="24"/>
        <v>728</v>
      </c>
      <c r="AA119" s="904">
        <f t="shared" si="12"/>
        <v>715</v>
      </c>
      <c r="AB119" s="24">
        <v>453</v>
      </c>
    </row>
    <row r="120" spans="1:28" x14ac:dyDescent="0.25">
      <c r="A120" s="903"/>
      <c r="B120" t="s">
        <v>223</v>
      </c>
      <c r="C120" s="906" t="s">
        <v>298</v>
      </c>
      <c r="D120" s="25">
        <v>5.5</v>
      </c>
      <c r="E120" s="903">
        <v>808</v>
      </c>
      <c r="F120" s="903">
        <v>458</v>
      </c>
      <c r="G120" s="903" t="s">
        <v>299</v>
      </c>
      <c r="H120" s="904">
        <f t="shared" si="13"/>
        <v>6</v>
      </c>
      <c r="I120" s="904">
        <f t="shared" si="14"/>
        <v>11</v>
      </c>
      <c r="J120" s="21">
        <f t="shared" si="15"/>
        <v>10200</v>
      </c>
      <c r="K120" s="21">
        <f t="shared" si="16"/>
        <v>10200</v>
      </c>
      <c r="L120" s="21">
        <f t="shared" si="17"/>
        <v>18800</v>
      </c>
      <c r="M120" s="21">
        <f t="shared" si="18"/>
        <v>27400</v>
      </c>
      <c r="N120" s="904">
        <f t="shared" si="19"/>
        <v>219</v>
      </c>
      <c r="O120" s="21"/>
      <c r="P120" s="22" t="s">
        <v>2</v>
      </c>
      <c r="Q120" s="22">
        <v>0.63</v>
      </c>
      <c r="R120" s="904" t="s">
        <v>42</v>
      </c>
      <c r="S120" s="904" t="str">
        <f t="shared" si="20"/>
        <v>Insert</v>
      </c>
      <c r="T120" s="23">
        <f t="shared" si="21"/>
        <v>0.44252629410780264</v>
      </c>
      <c r="U120" s="23">
        <f t="shared" si="22"/>
        <v>1.1887471037797834</v>
      </c>
      <c r="V120" s="23">
        <f t="shared" si="22"/>
        <v>0.64495853502945699</v>
      </c>
      <c r="W120" s="23">
        <f t="shared" si="23"/>
        <v>1.1887471037797834</v>
      </c>
      <c r="X120" s="904">
        <f t="shared" si="24"/>
        <v>858</v>
      </c>
      <c r="Y120" s="904">
        <f t="shared" si="24"/>
        <v>884</v>
      </c>
      <c r="Z120" s="904">
        <f t="shared" si="24"/>
        <v>861</v>
      </c>
      <c r="AA120" s="904">
        <f t="shared" si="12"/>
        <v>817</v>
      </c>
      <c r="AB120" s="24">
        <v>530</v>
      </c>
    </row>
    <row r="121" spans="1:28" x14ac:dyDescent="0.25">
      <c r="A121" s="903"/>
      <c r="B121" t="s">
        <v>223</v>
      </c>
      <c r="C121" s="906" t="s">
        <v>300</v>
      </c>
      <c r="D121" s="25">
        <v>2.1</v>
      </c>
      <c r="E121" s="903">
        <v>145</v>
      </c>
      <c r="F121" s="903">
        <v>53</v>
      </c>
      <c r="G121" s="903" t="s">
        <v>301</v>
      </c>
      <c r="H121" s="904">
        <f t="shared" si="13"/>
        <v>6</v>
      </c>
      <c r="I121" s="904">
        <f t="shared" si="14"/>
        <v>11</v>
      </c>
      <c r="J121" s="21">
        <f t="shared" si="15"/>
        <v>10300</v>
      </c>
      <c r="K121" s="21">
        <f t="shared" si="16"/>
        <v>10300</v>
      </c>
      <c r="L121" s="21">
        <f t="shared" si="17"/>
        <v>20150</v>
      </c>
      <c r="M121" s="21">
        <f t="shared" si="18"/>
        <v>30000</v>
      </c>
      <c r="N121" s="904">
        <f t="shared" si="19"/>
        <v>335</v>
      </c>
      <c r="O121" s="21"/>
      <c r="P121" s="22" t="s">
        <v>2</v>
      </c>
      <c r="Q121" s="22">
        <v>0.72</v>
      </c>
      <c r="R121" s="904" t="s">
        <v>38</v>
      </c>
      <c r="S121" s="904" t="str">
        <f t="shared" si="20"/>
        <v>Insert</v>
      </c>
      <c r="T121" s="23">
        <f t="shared" si="21"/>
        <v>0.15432098765432098</v>
      </c>
      <c r="U121" s="23">
        <f t="shared" si="22"/>
        <v>0.44947860481841062</v>
      </c>
      <c r="V121" s="23">
        <f t="shared" si="22"/>
        <v>0.22975829427442332</v>
      </c>
      <c r="W121" s="23">
        <f t="shared" si="23"/>
        <v>0.44947860481841062</v>
      </c>
      <c r="X121" s="904">
        <f t="shared" si="24"/>
        <v>230</v>
      </c>
      <c r="Y121" s="904">
        <f t="shared" si="24"/>
        <v>234</v>
      </c>
      <c r="Z121" s="904">
        <f t="shared" si="24"/>
        <v>199</v>
      </c>
      <c r="AA121" s="904">
        <f t="shared" si="12"/>
        <v>148</v>
      </c>
      <c r="AB121" s="24">
        <v>92</v>
      </c>
    </row>
    <row r="122" spans="1:28" x14ac:dyDescent="0.25">
      <c r="A122" s="903"/>
      <c r="B122" t="s">
        <v>223</v>
      </c>
      <c r="C122" s="906" t="s">
        <v>302</v>
      </c>
      <c r="D122" s="25">
        <v>4</v>
      </c>
      <c r="E122" s="903">
        <v>571</v>
      </c>
      <c r="F122" s="903">
        <v>225</v>
      </c>
      <c r="G122" s="903" t="s">
        <v>303</v>
      </c>
      <c r="H122" s="904">
        <f t="shared" si="13"/>
        <v>5</v>
      </c>
      <c r="I122" s="904">
        <f t="shared" si="14"/>
        <v>10</v>
      </c>
      <c r="J122" s="21">
        <f t="shared" si="15"/>
        <v>9250</v>
      </c>
      <c r="K122" s="21">
        <f t="shared" si="16"/>
        <v>9250</v>
      </c>
      <c r="L122" s="21">
        <f t="shared" si="17"/>
        <v>15375</v>
      </c>
      <c r="M122" s="21">
        <f t="shared" si="18"/>
        <v>21500</v>
      </c>
      <c r="N122" s="904">
        <f t="shared" si="19"/>
        <v>48</v>
      </c>
      <c r="O122" s="21"/>
      <c r="P122" s="22" t="s">
        <v>2</v>
      </c>
      <c r="Q122" s="22">
        <v>0.72</v>
      </c>
      <c r="R122" s="904" t="s">
        <v>38</v>
      </c>
      <c r="S122" s="904" t="str">
        <f t="shared" si="20"/>
        <v>Insert</v>
      </c>
      <c r="T122" s="23">
        <f t="shared" si="21"/>
        <v>0.41015544891513883</v>
      </c>
      <c r="U122" s="23">
        <f t="shared" si="22"/>
        <v>0.95333428666761999</v>
      </c>
      <c r="V122" s="23">
        <f t="shared" si="22"/>
        <v>0.57355070905206407</v>
      </c>
      <c r="W122" s="23">
        <f t="shared" si="23"/>
        <v>0.95333428666761999</v>
      </c>
      <c r="X122" s="904">
        <f t="shared" si="24"/>
        <v>838</v>
      </c>
      <c r="Y122" s="904">
        <f t="shared" si="24"/>
        <v>786</v>
      </c>
      <c r="Z122" s="904">
        <f t="shared" si="24"/>
        <v>820</v>
      </c>
      <c r="AA122" s="904">
        <f t="shared" si="12"/>
        <v>684</v>
      </c>
      <c r="AB122" s="24">
        <v>248</v>
      </c>
    </row>
    <row r="123" spans="1:28" x14ac:dyDescent="0.25">
      <c r="A123" s="903"/>
      <c r="B123" t="s">
        <v>223</v>
      </c>
      <c r="C123" s="906" t="s">
        <v>304</v>
      </c>
      <c r="D123" s="25">
        <v>2.1</v>
      </c>
      <c r="E123" s="903">
        <v>145</v>
      </c>
      <c r="F123" s="903">
        <v>53</v>
      </c>
      <c r="G123" s="903" t="s">
        <v>305</v>
      </c>
      <c r="H123" s="904">
        <f t="shared" si="13"/>
        <v>5</v>
      </c>
      <c r="I123" s="904">
        <f t="shared" si="14"/>
        <v>10</v>
      </c>
      <c r="J123" s="21">
        <f t="shared" si="15"/>
        <v>8700</v>
      </c>
      <c r="K123" s="21">
        <f t="shared" si="16"/>
        <v>10574</v>
      </c>
      <c r="L123" s="21">
        <f t="shared" si="17"/>
        <v>19900</v>
      </c>
      <c r="M123" s="21">
        <f t="shared" si="18"/>
        <v>31100</v>
      </c>
      <c r="N123" s="904">
        <f t="shared" si="19"/>
        <v>311</v>
      </c>
      <c r="O123" s="21"/>
      <c r="P123" s="22" t="s">
        <v>2</v>
      </c>
      <c r="Q123" s="22">
        <v>0.72</v>
      </c>
      <c r="R123" s="904" t="s">
        <v>38</v>
      </c>
      <c r="S123" s="904" t="str">
        <f t="shared" si="20"/>
        <v>Insert</v>
      </c>
      <c r="T123" s="23">
        <f t="shared" si="21"/>
        <v>0.14886268905561509</v>
      </c>
      <c r="U123" s="23">
        <f t="shared" si="22"/>
        <v>0.4378314383988679</v>
      </c>
      <c r="V123" s="23">
        <f t="shared" si="22"/>
        <v>0.23264470500651405</v>
      </c>
      <c r="W123" s="23">
        <f t="shared" si="23"/>
        <v>0.53214133673903785</v>
      </c>
      <c r="X123" s="904">
        <f t="shared" si="24"/>
        <v>209</v>
      </c>
      <c r="Y123" s="904">
        <f t="shared" si="24"/>
        <v>220</v>
      </c>
      <c r="Z123" s="904">
        <f t="shared" si="24"/>
        <v>206</v>
      </c>
      <c r="AA123" s="904">
        <f t="shared" si="12"/>
        <v>225</v>
      </c>
      <c r="AB123" s="24">
        <v>88</v>
      </c>
    </row>
    <row r="124" spans="1:28" x14ac:dyDescent="0.25">
      <c r="A124" s="903"/>
      <c r="B124" t="s">
        <v>306</v>
      </c>
      <c r="C124" s="906" t="s">
        <v>307</v>
      </c>
      <c r="D124" s="25">
        <v>3.4</v>
      </c>
      <c r="E124" s="903">
        <v>415</v>
      </c>
      <c r="F124" s="903">
        <v>168</v>
      </c>
      <c r="G124" s="903" t="s">
        <v>308</v>
      </c>
      <c r="H124" s="904">
        <f t="shared" si="13"/>
        <v>6</v>
      </c>
      <c r="I124" s="904">
        <f t="shared" si="14"/>
        <v>11</v>
      </c>
      <c r="J124" s="21">
        <f t="shared" si="15"/>
        <v>11700</v>
      </c>
      <c r="K124" s="21">
        <f t="shared" si="16"/>
        <v>12954.000000000002</v>
      </c>
      <c r="L124" s="21">
        <f t="shared" si="17"/>
        <v>24900</v>
      </c>
      <c r="M124" s="21">
        <f t="shared" si="18"/>
        <v>38100</v>
      </c>
      <c r="N124" s="904">
        <f t="shared" si="19"/>
        <v>684</v>
      </c>
      <c r="O124" s="21"/>
      <c r="P124" s="22" t="s">
        <v>2</v>
      </c>
      <c r="Q124" s="22">
        <v>0.63</v>
      </c>
      <c r="R124" s="904" t="s">
        <v>42</v>
      </c>
      <c r="S124" s="904" t="str">
        <f t="shared" si="20"/>
        <v>Stove</v>
      </c>
      <c r="T124" s="23">
        <f t="shared" si="21"/>
        <v>0.19673466742583104</v>
      </c>
      <c r="U124" s="23">
        <f t="shared" si="22"/>
        <v>0.57863137478185589</v>
      </c>
      <c r="V124" s="23">
        <f t="shared" si="22"/>
        <v>0.30102774413350047</v>
      </c>
      <c r="W124" s="23">
        <f t="shared" si="23"/>
        <v>0.64064878879693699</v>
      </c>
      <c r="X124" s="904">
        <f t="shared" si="24"/>
        <v>373</v>
      </c>
      <c r="Y124" s="904">
        <f t="shared" si="24"/>
        <v>403</v>
      </c>
      <c r="Z124" s="904">
        <f t="shared" si="24"/>
        <v>360</v>
      </c>
      <c r="AA124" s="904">
        <f t="shared" si="12"/>
        <v>333</v>
      </c>
      <c r="AB124" s="24">
        <v>170</v>
      </c>
    </row>
    <row r="125" spans="1:28" x14ac:dyDescent="0.25">
      <c r="A125" s="903" t="s">
        <v>77</v>
      </c>
      <c r="B125" t="s">
        <v>309</v>
      </c>
      <c r="C125" s="906" t="s">
        <v>310</v>
      </c>
      <c r="D125" s="25">
        <v>2</v>
      </c>
      <c r="E125" s="903">
        <v>131</v>
      </c>
      <c r="F125" s="903">
        <v>46</v>
      </c>
      <c r="G125" s="903" t="s">
        <v>311</v>
      </c>
      <c r="H125" s="904">
        <f t="shared" si="13"/>
        <v>6</v>
      </c>
      <c r="I125" s="904">
        <f t="shared" si="14"/>
        <v>11</v>
      </c>
      <c r="J125" s="21">
        <f t="shared" si="15"/>
        <v>10400</v>
      </c>
      <c r="K125" s="21">
        <f t="shared" si="16"/>
        <v>18870</v>
      </c>
      <c r="L125" s="21">
        <f t="shared" si="17"/>
        <v>32950</v>
      </c>
      <c r="M125" s="21">
        <f t="shared" si="18"/>
        <v>55500</v>
      </c>
      <c r="N125" s="904">
        <f t="shared" si="19"/>
        <v>913</v>
      </c>
      <c r="O125" s="21"/>
      <c r="P125" s="22" t="s">
        <v>2</v>
      </c>
      <c r="Q125" s="22">
        <v>0.72</v>
      </c>
      <c r="R125" s="904" t="s">
        <v>38</v>
      </c>
      <c r="S125" s="904" t="str">
        <f t="shared" si="20"/>
        <v>Stove</v>
      </c>
      <c r="T125" s="23">
        <f t="shared" si="21"/>
        <v>7.9444523888968333E-2</v>
      </c>
      <c r="U125" s="23">
        <f t="shared" si="22"/>
        <v>0.23366036437931864</v>
      </c>
      <c r="V125" s="23">
        <f t="shared" si="22"/>
        <v>0.13381399319689657</v>
      </c>
      <c r="W125" s="23">
        <f t="shared" si="23"/>
        <v>0.42395875729209065</v>
      </c>
      <c r="X125" s="904">
        <f t="shared" si="24"/>
        <v>52</v>
      </c>
      <c r="Y125" s="904">
        <f t="shared" si="24"/>
        <v>60</v>
      </c>
      <c r="Z125" s="904">
        <f t="shared" si="24"/>
        <v>61</v>
      </c>
      <c r="AA125" s="904">
        <f t="shared" si="12"/>
        <v>130</v>
      </c>
      <c r="AB125" s="24">
        <v>20</v>
      </c>
    </row>
    <row r="126" spans="1:28" x14ac:dyDescent="0.25">
      <c r="A126" s="903" t="s">
        <v>77</v>
      </c>
      <c r="B126" t="s">
        <v>309</v>
      </c>
      <c r="C126" s="906" t="s">
        <v>312</v>
      </c>
      <c r="D126" s="25">
        <v>4.5999999999999996</v>
      </c>
      <c r="E126" s="903">
        <v>721</v>
      </c>
      <c r="F126" s="903">
        <v>248</v>
      </c>
      <c r="G126" s="903" t="s">
        <v>313</v>
      </c>
      <c r="H126" s="904">
        <f t="shared" si="13"/>
        <v>5</v>
      </c>
      <c r="I126" s="904">
        <f t="shared" si="14"/>
        <v>10</v>
      </c>
      <c r="J126" s="21">
        <f t="shared" si="15"/>
        <v>9600</v>
      </c>
      <c r="K126" s="21">
        <f t="shared" si="16"/>
        <v>16388</v>
      </c>
      <c r="L126" s="21">
        <f t="shared" si="17"/>
        <v>28900</v>
      </c>
      <c r="M126" s="21">
        <f t="shared" si="18"/>
        <v>48200</v>
      </c>
      <c r="N126" s="904">
        <f t="shared" si="19"/>
        <v>852</v>
      </c>
      <c r="O126" s="21"/>
      <c r="P126" s="22" t="s">
        <v>2</v>
      </c>
      <c r="Q126" s="22">
        <v>0.72</v>
      </c>
      <c r="R126" s="904" t="s">
        <v>38</v>
      </c>
      <c r="S126" s="904" t="str">
        <f t="shared" si="20"/>
        <v>Stove</v>
      </c>
      <c r="T126" s="23">
        <f t="shared" si="21"/>
        <v>0.21039613017483003</v>
      </c>
      <c r="U126" s="23">
        <f t="shared" si="22"/>
        <v>0.61881214757302949</v>
      </c>
      <c r="V126" s="23">
        <f t="shared" si="22"/>
        <v>0.35090288838847083</v>
      </c>
      <c r="W126" s="23">
        <f t="shared" si="23"/>
        <v>1.0563639035861259</v>
      </c>
      <c r="X126" s="904">
        <f t="shared" si="24"/>
        <v>419</v>
      </c>
      <c r="Y126" s="904">
        <f t="shared" si="24"/>
        <v>450</v>
      </c>
      <c r="Z126" s="904">
        <f t="shared" si="24"/>
        <v>490</v>
      </c>
      <c r="AA126" s="904">
        <f t="shared" si="12"/>
        <v>749</v>
      </c>
      <c r="AB126" s="24">
        <v>181</v>
      </c>
    </row>
    <row r="127" spans="1:28" x14ac:dyDescent="0.25">
      <c r="A127" s="903" t="s">
        <v>77</v>
      </c>
      <c r="B127" t="s">
        <v>309</v>
      </c>
      <c r="C127" s="906" t="s">
        <v>314</v>
      </c>
      <c r="D127" s="25">
        <v>3</v>
      </c>
      <c r="E127" s="903">
        <v>322</v>
      </c>
      <c r="F127" s="903">
        <v>134</v>
      </c>
      <c r="G127" s="903" t="s">
        <v>315</v>
      </c>
      <c r="H127" s="904">
        <f t="shared" si="13"/>
        <v>6</v>
      </c>
      <c r="I127" s="904">
        <f t="shared" si="14"/>
        <v>11</v>
      </c>
      <c r="J127" s="21">
        <f t="shared" si="15"/>
        <v>10500</v>
      </c>
      <c r="K127" s="21">
        <f t="shared" si="16"/>
        <v>17476</v>
      </c>
      <c r="L127" s="21">
        <f t="shared" si="17"/>
        <v>30950</v>
      </c>
      <c r="M127" s="21">
        <f t="shared" si="18"/>
        <v>51400</v>
      </c>
      <c r="N127" s="904">
        <f t="shared" si="19"/>
        <v>889</v>
      </c>
      <c r="O127" s="21"/>
      <c r="P127" s="22" t="s">
        <v>2</v>
      </c>
      <c r="Q127" s="22">
        <v>0.72</v>
      </c>
      <c r="R127" s="904" t="s">
        <v>38</v>
      </c>
      <c r="S127" s="904" t="str">
        <f t="shared" si="20"/>
        <v>Stove</v>
      </c>
      <c r="T127" s="23">
        <f t="shared" si="21"/>
        <v>0.12867230766063451</v>
      </c>
      <c r="U127" s="23">
        <f t="shared" si="22"/>
        <v>0.37844796370774852</v>
      </c>
      <c r="V127" s="23">
        <f t="shared" si="22"/>
        <v>0.2136916514945594</v>
      </c>
      <c r="W127" s="23">
        <f t="shared" si="23"/>
        <v>0.62988158226253466</v>
      </c>
      <c r="X127" s="904">
        <f t="shared" si="24"/>
        <v>170</v>
      </c>
      <c r="Y127" s="904">
        <f t="shared" si="24"/>
        <v>178</v>
      </c>
      <c r="Z127" s="904">
        <f t="shared" si="24"/>
        <v>179</v>
      </c>
      <c r="AA127" s="904">
        <f t="shared" si="12"/>
        <v>317</v>
      </c>
      <c r="AB127" s="24">
        <v>67</v>
      </c>
    </row>
    <row r="128" spans="1:28" x14ac:dyDescent="0.25">
      <c r="A128" s="903" t="s">
        <v>77</v>
      </c>
      <c r="B128" t="s">
        <v>309</v>
      </c>
      <c r="C128" s="906" t="s">
        <v>316</v>
      </c>
      <c r="D128" s="25">
        <v>3</v>
      </c>
      <c r="E128" s="903">
        <v>322</v>
      </c>
      <c r="F128" s="903">
        <v>134</v>
      </c>
      <c r="G128" s="903" t="s">
        <v>317</v>
      </c>
      <c r="H128" s="904">
        <f t="shared" si="13"/>
        <v>5</v>
      </c>
      <c r="I128" s="904">
        <f t="shared" si="14"/>
        <v>10</v>
      </c>
      <c r="J128" s="21">
        <f t="shared" si="15"/>
        <v>9500</v>
      </c>
      <c r="K128" s="21">
        <f t="shared" si="16"/>
        <v>16524</v>
      </c>
      <c r="L128" s="21">
        <f t="shared" si="17"/>
        <v>29050</v>
      </c>
      <c r="M128" s="21">
        <f t="shared" si="18"/>
        <v>48600</v>
      </c>
      <c r="N128" s="904">
        <f t="shared" si="19"/>
        <v>854</v>
      </c>
      <c r="O128" s="21"/>
      <c r="P128" s="22" t="s">
        <v>2</v>
      </c>
      <c r="Q128" s="22">
        <v>0.72</v>
      </c>
      <c r="R128" s="904" t="s">
        <v>38</v>
      </c>
      <c r="S128" s="904" t="str">
        <f t="shared" si="20"/>
        <v>Stove</v>
      </c>
      <c r="T128" s="23">
        <f t="shared" si="21"/>
        <v>0.13608552703202909</v>
      </c>
      <c r="U128" s="23">
        <f t="shared" si="22"/>
        <v>0.40025155009420321</v>
      </c>
      <c r="V128" s="23">
        <f t="shared" si="22"/>
        <v>0.22766804178163902</v>
      </c>
      <c r="W128" s="23">
        <f t="shared" si="23"/>
        <v>0.69618490671122246</v>
      </c>
      <c r="X128" s="904">
        <f t="shared" si="24"/>
        <v>180</v>
      </c>
      <c r="Y128" s="904">
        <f t="shared" si="24"/>
        <v>191</v>
      </c>
      <c r="Z128" s="904">
        <f t="shared" si="24"/>
        <v>194</v>
      </c>
      <c r="AA128" s="904">
        <f t="shared" si="12"/>
        <v>413</v>
      </c>
      <c r="AB128" s="24">
        <v>73</v>
      </c>
    </row>
    <row r="129" spans="1:28" x14ac:dyDescent="0.25">
      <c r="A129" s="903" t="s">
        <v>77</v>
      </c>
      <c r="B129" t="s">
        <v>309</v>
      </c>
      <c r="C129" s="906" t="s">
        <v>318</v>
      </c>
      <c r="D129" s="25">
        <v>7</v>
      </c>
      <c r="E129" s="903">
        <v>907</v>
      </c>
      <c r="F129" s="903">
        <v>550</v>
      </c>
      <c r="G129" s="903" t="s">
        <v>319</v>
      </c>
      <c r="H129" s="904">
        <f t="shared" si="13"/>
        <v>5</v>
      </c>
      <c r="I129" s="904">
        <f t="shared" si="14"/>
        <v>10</v>
      </c>
      <c r="J129" s="21">
        <f t="shared" si="15"/>
        <v>9300</v>
      </c>
      <c r="K129" s="21">
        <f t="shared" si="16"/>
        <v>15776.000000000002</v>
      </c>
      <c r="L129" s="21">
        <f t="shared" si="17"/>
        <v>27850</v>
      </c>
      <c r="M129" s="21">
        <f t="shared" si="18"/>
        <v>46400</v>
      </c>
      <c r="N129" s="904">
        <f t="shared" si="19"/>
        <v>823</v>
      </c>
      <c r="O129" s="21"/>
      <c r="P129" s="22" t="s">
        <v>2</v>
      </c>
      <c r="Q129" s="22">
        <v>0.63</v>
      </c>
      <c r="R129" s="904" t="s">
        <v>42</v>
      </c>
      <c r="S129" s="904" t="str">
        <f t="shared" si="20"/>
        <v>Stove</v>
      </c>
      <c r="T129" s="23">
        <f t="shared" si="21"/>
        <v>0.3325883354618987</v>
      </c>
      <c r="U129" s="23">
        <f t="shared" si="22"/>
        <v>0.97820098665264299</v>
      </c>
      <c r="V129" s="23">
        <f t="shared" si="22"/>
        <v>0.55411485692754392</v>
      </c>
      <c r="W129" s="23">
        <f t="shared" si="23"/>
        <v>1.6593654586486128</v>
      </c>
      <c r="X129" s="904">
        <f t="shared" si="24"/>
        <v>744</v>
      </c>
      <c r="Y129" s="904">
        <f t="shared" si="24"/>
        <v>800</v>
      </c>
      <c r="Z129" s="904">
        <f t="shared" si="24"/>
        <v>802</v>
      </c>
      <c r="AA129" s="904">
        <f t="shared" si="12"/>
        <v>935</v>
      </c>
      <c r="AB129" s="24">
        <v>466</v>
      </c>
    </row>
    <row r="130" spans="1:28" x14ac:dyDescent="0.25">
      <c r="A130" s="903" t="s">
        <v>77</v>
      </c>
      <c r="B130" t="s">
        <v>309</v>
      </c>
      <c r="C130" s="906" t="s">
        <v>320</v>
      </c>
      <c r="D130" s="25">
        <v>1.7</v>
      </c>
      <c r="E130" s="903">
        <v>102</v>
      </c>
      <c r="F130" s="903">
        <v>36</v>
      </c>
      <c r="G130" s="903" t="s">
        <v>321</v>
      </c>
      <c r="H130" s="904">
        <f t="shared" si="13"/>
        <v>5</v>
      </c>
      <c r="I130" s="904">
        <f t="shared" si="14"/>
        <v>10</v>
      </c>
      <c r="J130" s="21">
        <f t="shared" si="15"/>
        <v>9600</v>
      </c>
      <c r="K130" s="21">
        <f t="shared" si="16"/>
        <v>12852.000000000002</v>
      </c>
      <c r="L130" s="21">
        <f t="shared" si="17"/>
        <v>23700</v>
      </c>
      <c r="M130" s="21">
        <f t="shared" si="18"/>
        <v>37800</v>
      </c>
      <c r="N130" s="904">
        <f t="shared" si="19"/>
        <v>605</v>
      </c>
      <c r="O130" s="21"/>
      <c r="P130" s="22" t="s">
        <v>2</v>
      </c>
      <c r="Q130" s="22">
        <v>0.72</v>
      </c>
      <c r="R130" s="904" t="s">
        <v>38</v>
      </c>
      <c r="S130" s="904" t="str">
        <f t="shared" si="20"/>
        <v>Stove</v>
      </c>
      <c r="T130" s="23">
        <f t="shared" si="21"/>
        <v>9.9148026837621195E-2</v>
      </c>
      <c r="U130" s="23">
        <f t="shared" si="22"/>
        <v>0.29161184364006226</v>
      </c>
      <c r="V130" s="23">
        <f t="shared" si="22"/>
        <v>0.15813482761443381</v>
      </c>
      <c r="W130" s="23">
        <f t="shared" si="23"/>
        <v>0.39039535567313344</v>
      </c>
      <c r="X130" s="904">
        <f t="shared" si="24"/>
        <v>82</v>
      </c>
      <c r="Y130" s="904">
        <f t="shared" si="24"/>
        <v>95</v>
      </c>
      <c r="Z130" s="904">
        <f t="shared" si="24"/>
        <v>90</v>
      </c>
      <c r="AA130" s="904">
        <f t="shared" si="12"/>
        <v>106</v>
      </c>
      <c r="AB130" s="24">
        <v>43</v>
      </c>
    </row>
    <row r="131" spans="1:28" x14ac:dyDescent="0.25">
      <c r="A131" s="903" t="s">
        <v>77</v>
      </c>
      <c r="B131" t="s">
        <v>309</v>
      </c>
      <c r="C131" s="906" t="s">
        <v>322</v>
      </c>
      <c r="D131" s="25">
        <v>3.7</v>
      </c>
      <c r="E131" s="903">
        <v>501</v>
      </c>
      <c r="F131" s="903">
        <v>196</v>
      </c>
      <c r="G131" s="903" t="s">
        <v>323</v>
      </c>
      <c r="H131" s="904">
        <f t="shared" si="13"/>
        <v>6</v>
      </c>
      <c r="I131" s="904">
        <f t="shared" si="14"/>
        <v>11</v>
      </c>
      <c r="J131" s="21">
        <f t="shared" si="15"/>
        <v>12400</v>
      </c>
      <c r="K131" s="21">
        <f t="shared" si="16"/>
        <v>18802</v>
      </c>
      <c r="L131" s="21">
        <f t="shared" si="17"/>
        <v>33850</v>
      </c>
      <c r="M131" s="21">
        <f t="shared" si="18"/>
        <v>55300</v>
      </c>
      <c r="N131" s="904">
        <f t="shared" si="19"/>
        <v>932</v>
      </c>
      <c r="O131" s="21"/>
      <c r="P131" s="22" t="s">
        <v>2</v>
      </c>
      <c r="Q131" s="22">
        <v>0.72</v>
      </c>
      <c r="R131" s="904" t="s">
        <v>38</v>
      </c>
      <c r="S131" s="904" t="str">
        <f t="shared" si="20"/>
        <v>Stove</v>
      </c>
      <c r="T131" s="23">
        <f t="shared" si="21"/>
        <v>0.14750391483363154</v>
      </c>
      <c r="U131" s="23">
        <f t="shared" si="22"/>
        <v>0.43383504362832798</v>
      </c>
      <c r="V131" s="23">
        <f t="shared" si="22"/>
        <v>0.24097389927030499</v>
      </c>
      <c r="W131" s="23">
        <f t="shared" si="23"/>
        <v>0.65781987824998578</v>
      </c>
      <c r="X131" s="904">
        <f t="shared" si="24"/>
        <v>204</v>
      </c>
      <c r="Y131" s="904">
        <f t="shared" si="24"/>
        <v>213</v>
      </c>
      <c r="Z131" s="904">
        <f t="shared" si="24"/>
        <v>230</v>
      </c>
      <c r="AA131" s="904">
        <f t="shared" si="12"/>
        <v>362</v>
      </c>
      <c r="AB131" s="24">
        <v>83</v>
      </c>
    </row>
    <row r="132" spans="1:28" x14ac:dyDescent="0.25">
      <c r="A132" s="903" t="s">
        <v>77</v>
      </c>
      <c r="B132" t="s">
        <v>309</v>
      </c>
      <c r="C132" s="906" t="s">
        <v>324</v>
      </c>
      <c r="D132" s="25">
        <v>3.3</v>
      </c>
      <c r="E132" s="903">
        <v>393</v>
      </c>
      <c r="F132" s="903">
        <v>167</v>
      </c>
      <c r="G132" s="903" t="s">
        <v>325</v>
      </c>
      <c r="H132" s="904">
        <f t="shared" si="13"/>
        <v>6</v>
      </c>
      <c r="I132" s="904">
        <f t="shared" si="14"/>
        <v>11</v>
      </c>
      <c r="J132" s="21">
        <f t="shared" si="15"/>
        <v>13000</v>
      </c>
      <c r="K132" s="21">
        <f t="shared" si="16"/>
        <v>13000</v>
      </c>
      <c r="L132" s="21">
        <f t="shared" si="17"/>
        <v>23700</v>
      </c>
      <c r="M132" s="21">
        <f t="shared" si="18"/>
        <v>34400</v>
      </c>
      <c r="N132" s="904">
        <f t="shared" si="19"/>
        <v>605</v>
      </c>
      <c r="O132" s="21"/>
      <c r="P132" s="22" t="s">
        <v>2</v>
      </c>
      <c r="Q132" s="22">
        <v>0.72</v>
      </c>
      <c r="R132" s="904" t="s">
        <v>38</v>
      </c>
      <c r="S132" s="904" t="str">
        <f t="shared" si="20"/>
        <v>Stove</v>
      </c>
      <c r="T132" s="23">
        <f t="shared" si="21"/>
        <v>0.21148640334686847</v>
      </c>
      <c r="U132" s="23">
        <f t="shared" si="22"/>
        <v>0.5596255596255596</v>
      </c>
      <c r="V132" s="23">
        <f t="shared" si="22"/>
        <v>0.30696760654566563</v>
      </c>
      <c r="W132" s="23">
        <f t="shared" si="23"/>
        <v>0.5596255596255596</v>
      </c>
      <c r="X132" s="904">
        <f t="shared" si="24"/>
        <v>427</v>
      </c>
      <c r="Y132" s="904">
        <f t="shared" si="24"/>
        <v>373</v>
      </c>
      <c r="Z132" s="904">
        <f t="shared" si="24"/>
        <v>377</v>
      </c>
      <c r="AA132" s="904">
        <f t="shared" si="12"/>
        <v>257</v>
      </c>
      <c r="AB132" s="24">
        <v>149</v>
      </c>
    </row>
    <row r="133" spans="1:28" x14ac:dyDescent="0.25">
      <c r="A133" s="903" t="s">
        <v>77</v>
      </c>
      <c r="B133" t="s">
        <v>309</v>
      </c>
      <c r="C133" s="906" t="s">
        <v>326</v>
      </c>
      <c r="D133" s="25">
        <v>4.4000000000000004</v>
      </c>
      <c r="E133" s="903">
        <v>660</v>
      </c>
      <c r="F133" s="903">
        <v>338</v>
      </c>
      <c r="G133" s="903" t="s">
        <v>327</v>
      </c>
      <c r="H133" s="904">
        <f t="shared" si="13"/>
        <v>6</v>
      </c>
      <c r="I133" s="904">
        <f t="shared" si="14"/>
        <v>11</v>
      </c>
      <c r="J133" s="21">
        <f t="shared" si="15"/>
        <v>11600</v>
      </c>
      <c r="K133" s="21">
        <f t="shared" si="16"/>
        <v>12920.000000000002</v>
      </c>
      <c r="L133" s="21">
        <f t="shared" si="17"/>
        <v>24800</v>
      </c>
      <c r="M133" s="21">
        <f t="shared" si="18"/>
        <v>38000</v>
      </c>
      <c r="N133" s="904">
        <f t="shared" si="19"/>
        <v>677</v>
      </c>
      <c r="O133" s="21"/>
      <c r="P133" s="22" t="s">
        <v>2</v>
      </c>
      <c r="Q133" s="22">
        <v>0.63</v>
      </c>
      <c r="R133" s="904" t="s">
        <v>42</v>
      </c>
      <c r="S133" s="904" t="str">
        <f t="shared" si="20"/>
        <v>Stove</v>
      </c>
      <c r="T133" s="23">
        <f t="shared" si="21"/>
        <v>0.25526779912744824</v>
      </c>
      <c r="U133" s="23">
        <f t="shared" si="22"/>
        <v>0.75078764449249469</v>
      </c>
      <c r="V133" s="23">
        <f t="shared" si="22"/>
        <v>0.39113614382431589</v>
      </c>
      <c r="W133" s="23">
        <f t="shared" si="23"/>
        <v>0.83622210058991664</v>
      </c>
      <c r="X133" s="904">
        <f t="shared" si="24"/>
        <v>575</v>
      </c>
      <c r="Y133" s="904">
        <f t="shared" si="24"/>
        <v>616</v>
      </c>
      <c r="Z133" s="904">
        <f t="shared" si="24"/>
        <v>583</v>
      </c>
      <c r="AA133" s="904">
        <f t="shared" si="12"/>
        <v>581</v>
      </c>
      <c r="AB133" s="24">
        <v>316</v>
      </c>
    </row>
    <row r="134" spans="1:28" x14ac:dyDescent="0.25">
      <c r="A134" s="903" t="s">
        <v>77</v>
      </c>
      <c r="B134" t="s">
        <v>309</v>
      </c>
      <c r="C134" s="906" t="s">
        <v>328</v>
      </c>
      <c r="D134" s="25">
        <v>4.7</v>
      </c>
      <c r="E134" s="903">
        <v>728</v>
      </c>
      <c r="F134" s="903">
        <v>397</v>
      </c>
      <c r="G134" s="903" t="s">
        <v>329</v>
      </c>
      <c r="H134" s="904">
        <f t="shared" si="13"/>
        <v>6</v>
      </c>
      <c r="I134" s="904">
        <f t="shared" si="14"/>
        <v>11</v>
      </c>
      <c r="J134" s="21">
        <f t="shared" si="15"/>
        <v>11700</v>
      </c>
      <c r="K134" s="21">
        <f t="shared" si="16"/>
        <v>18666</v>
      </c>
      <c r="L134" s="21">
        <f t="shared" si="17"/>
        <v>33300</v>
      </c>
      <c r="M134" s="21">
        <f t="shared" si="18"/>
        <v>54900</v>
      </c>
      <c r="N134" s="904">
        <f t="shared" si="19"/>
        <v>918</v>
      </c>
      <c r="O134" s="21"/>
      <c r="P134" s="22" t="s">
        <v>2</v>
      </c>
      <c r="Q134" s="22">
        <v>0.63</v>
      </c>
      <c r="R134" s="904" t="s">
        <v>42</v>
      </c>
      <c r="S134" s="904" t="str">
        <f t="shared" si="20"/>
        <v>Stove</v>
      </c>
      <c r="T134" s="23">
        <f t="shared" si="21"/>
        <v>0.18873500962146986</v>
      </c>
      <c r="U134" s="23">
        <f t="shared" si="22"/>
        <v>0.55510296947491133</v>
      </c>
      <c r="V134" s="23">
        <f t="shared" si="22"/>
        <v>0.31115771856512597</v>
      </c>
      <c r="W134" s="23">
        <f t="shared" si="23"/>
        <v>0.88560273745458928</v>
      </c>
      <c r="X134" s="904">
        <f t="shared" si="24"/>
        <v>339</v>
      </c>
      <c r="Y134" s="904">
        <f t="shared" si="24"/>
        <v>366</v>
      </c>
      <c r="Z134" s="904">
        <f t="shared" si="24"/>
        <v>392</v>
      </c>
      <c r="AA134" s="904">
        <f t="shared" si="12"/>
        <v>631</v>
      </c>
      <c r="AB134" s="24">
        <v>151</v>
      </c>
    </row>
    <row r="135" spans="1:28" x14ac:dyDescent="0.25">
      <c r="A135" s="903" t="s">
        <v>77</v>
      </c>
      <c r="B135" t="s">
        <v>309</v>
      </c>
      <c r="C135" s="906" t="s">
        <v>330</v>
      </c>
      <c r="D135" s="25">
        <v>2.5</v>
      </c>
      <c r="E135" s="903">
        <v>218</v>
      </c>
      <c r="F135" s="903">
        <v>89</v>
      </c>
      <c r="G135" s="903" t="s">
        <v>331</v>
      </c>
      <c r="H135" s="904">
        <f t="shared" si="13"/>
        <v>5</v>
      </c>
      <c r="I135" s="904">
        <f t="shared" si="14"/>
        <v>10</v>
      </c>
      <c r="J135" s="21">
        <f t="shared" si="15"/>
        <v>8000</v>
      </c>
      <c r="K135" s="21">
        <f t="shared" si="16"/>
        <v>10200</v>
      </c>
      <c r="L135" s="21">
        <f t="shared" si="17"/>
        <v>19000</v>
      </c>
      <c r="M135" s="21">
        <f t="shared" si="18"/>
        <v>30000</v>
      </c>
      <c r="N135" s="904">
        <f t="shared" si="19"/>
        <v>243</v>
      </c>
      <c r="O135" s="21"/>
      <c r="P135" s="22" t="s">
        <v>2</v>
      </c>
      <c r="Q135" s="22">
        <v>0.72</v>
      </c>
      <c r="R135" s="904" t="s">
        <v>38</v>
      </c>
      <c r="S135" s="904" t="str">
        <f t="shared" si="20"/>
        <v>Stove</v>
      </c>
      <c r="T135" s="23">
        <f t="shared" si="21"/>
        <v>0.18371546149323928</v>
      </c>
      <c r="U135" s="23">
        <f t="shared" si="22"/>
        <v>0.54033959262717435</v>
      </c>
      <c r="V135" s="23">
        <f t="shared" si="22"/>
        <v>0.29007704446300936</v>
      </c>
      <c r="W135" s="23">
        <f t="shared" si="23"/>
        <v>0.68893298059964725</v>
      </c>
      <c r="X135" s="904">
        <f t="shared" si="24"/>
        <v>326</v>
      </c>
      <c r="Y135" s="904">
        <f t="shared" si="24"/>
        <v>351</v>
      </c>
      <c r="Z135" s="904">
        <f t="shared" si="24"/>
        <v>336</v>
      </c>
      <c r="AA135" s="904">
        <f t="shared" si="12"/>
        <v>407</v>
      </c>
      <c r="AB135" s="24">
        <v>141</v>
      </c>
    </row>
    <row r="136" spans="1:28" x14ac:dyDescent="0.25">
      <c r="A136" s="903" t="s">
        <v>77</v>
      </c>
      <c r="B136" t="s">
        <v>309</v>
      </c>
      <c r="C136" s="906" t="s">
        <v>332</v>
      </c>
      <c r="D136" s="25">
        <v>3</v>
      </c>
      <c r="E136" s="903">
        <v>322</v>
      </c>
      <c r="F136" s="903">
        <v>134</v>
      </c>
      <c r="G136" s="903" t="s">
        <v>333</v>
      </c>
      <c r="H136" s="904">
        <f t="shared" si="13"/>
        <v>6</v>
      </c>
      <c r="I136" s="904">
        <f t="shared" si="14"/>
        <v>11</v>
      </c>
      <c r="J136" s="21">
        <f t="shared" si="15"/>
        <v>10800</v>
      </c>
      <c r="K136" s="21">
        <f t="shared" si="16"/>
        <v>11594</v>
      </c>
      <c r="L136" s="21">
        <f t="shared" si="17"/>
        <v>22450</v>
      </c>
      <c r="M136" s="21">
        <f t="shared" si="18"/>
        <v>34100</v>
      </c>
      <c r="N136" s="904">
        <f t="shared" si="19"/>
        <v>512</v>
      </c>
      <c r="O136" s="21"/>
      <c r="P136" s="22" t="s">
        <v>2</v>
      </c>
      <c r="Q136" s="22">
        <v>0.72</v>
      </c>
      <c r="R136" s="904" t="s">
        <v>38</v>
      </c>
      <c r="S136" s="904" t="str">
        <f t="shared" si="20"/>
        <v>Stove</v>
      </c>
      <c r="T136" s="23">
        <f t="shared" si="21"/>
        <v>0.19395180685503266</v>
      </c>
      <c r="U136" s="23">
        <f t="shared" si="22"/>
        <v>0.57044649075009601</v>
      </c>
      <c r="V136" s="23">
        <f t="shared" si="22"/>
        <v>0.29459940373080684</v>
      </c>
      <c r="W136" s="23">
        <f t="shared" si="23"/>
        <v>0.61238487164413091</v>
      </c>
      <c r="X136" s="904">
        <f t="shared" si="24"/>
        <v>363</v>
      </c>
      <c r="Y136" s="904">
        <f t="shared" si="24"/>
        <v>391</v>
      </c>
      <c r="Z136" s="904">
        <f t="shared" si="24"/>
        <v>351</v>
      </c>
      <c r="AA136" s="904">
        <f t="shared" si="12"/>
        <v>299</v>
      </c>
      <c r="AB136" s="24">
        <v>156</v>
      </c>
    </row>
    <row r="137" spans="1:28" x14ac:dyDescent="0.25">
      <c r="A137" s="903" t="s">
        <v>77</v>
      </c>
      <c r="B137" t="s">
        <v>309</v>
      </c>
      <c r="C137" s="906" t="s">
        <v>334</v>
      </c>
      <c r="D137" s="25">
        <v>4.2</v>
      </c>
      <c r="E137" s="903">
        <v>619</v>
      </c>
      <c r="F137" s="903">
        <v>303</v>
      </c>
      <c r="G137" s="903" t="s">
        <v>335</v>
      </c>
      <c r="H137" s="904">
        <f t="shared" si="13"/>
        <v>6</v>
      </c>
      <c r="I137" s="904">
        <f t="shared" si="14"/>
        <v>11</v>
      </c>
      <c r="J137" s="21">
        <f t="shared" si="15"/>
        <v>11700</v>
      </c>
      <c r="K137" s="21">
        <f t="shared" si="16"/>
        <v>14348.000000000002</v>
      </c>
      <c r="L137" s="21">
        <f t="shared" si="17"/>
        <v>26950</v>
      </c>
      <c r="M137" s="21">
        <f t="shared" si="18"/>
        <v>42200</v>
      </c>
      <c r="N137" s="904">
        <f t="shared" si="19"/>
        <v>789</v>
      </c>
      <c r="O137" s="21"/>
      <c r="P137" s="22" t="s">
        <v>2</v>
      </c>
      <c r="Q137" s="22">
        <v>0.63</v>
      </c>
      <c r="R137" s="904" t="s">
        <v>42</v>
      </c>
      <c r="S137" s="904" t="str">
        <f t="shared" si="20"/>
        <v>Stove</v>
      </c>
      <c r="T137" s="23">
        <f t="shared" si="21"/>
        <v>0.21941372652273125</v>
      </c>
      <c r="U137" s="23">
        <f t="shared" si="22"/>
        <v>0.64533448977273888</v>
      </c>
      <c r="V137" s="23">
        <f t="shared" si="22"/>
        <v>0.34357177214320073</v>
      </c>
      <c r="W137" s="23">
        <f t="shared" si="23"/>
        <v>0.79138968027856915</v>
      </c>
      <c r="X137" s="904">
        <f t="shared" si="24"/>
        <v>456</v>
      </c>
      <c r="Y137" s="904">
        <f t="shared" si="24"/>
        <v>491</v>
      </c>
      <c r="Z137" s="904">
        <f t="shared" si="24"/>
        <v>476</v>
      </c>
      <c r="AA137" s="904">
        <f t="shared" si="12"/>
        <v>517</v>
      </c>
      <c r="AB137" s="24">
        <v>230</v>
      </c>
    </row>
    <row r="138" spans="1:28" x14ac:dyDescent="0.25">
      <c r="A138" s="903" t="s">
        <v>77</v>
      </c>
      <c r="B138" t="s">
        <v>309</v>
      </c>
      <c r="C138" s="906" t="s">
        <v>336</v>
      </c>
      <c r="D138" s="25">
        <v>4.0999999999999996</v>
      </c>
      <c r="E138" s="903">
        <v>594</v>
      </c>
      <c r="F138" s="903">
        <v>283</v>
      </c>
      <c r="G138" s="903" t="s">
        <v>337</v>
      </c>
      <c r="H138" s="904">
        <f t="shared" si="13"/>
        <v>6</v>
      </c>
      <c r="I138" s="904">
        <f t="shared" si="14"/>
        <v>11</v>
      </c>
      <c r="J138" s="21">
        <f t="shared" si="15"/>
        <v>11700</v>
      </c>
      <c r="K138" s="21">
        <f t="shared" si="16"/>
        <v>11700</v>
      </c>
      <c r="L138" s="21">
        <f t="shared" si="17"/>
        <v>22200</v>
      </c>
      <c r="M138" s="21">
        <f t="shared" si="18"/>
        <v>32700</v>
      </c>
      <c r="N138" s="904">
        <f t="shared" si="19"/>
        <v>493</v>
      </c>
      <c r="O138" s="21"/>
      <c r="P138" s="22" t="s">
        <v>2</v>
      </c>
      <c r="Q138" s="22">
        <v>0.63</v>
      </c>
      <c r="R138" s="904" t="s">
        <v>42</v>
      </c>
      <c r="S138" s="904" t="str">
        <f t="shared" si="20"/>
        <v>Stove</v>
      </c>
      <c r="T138" s="23">
        <f t="shared" si="21"/>
        <v>0.2764159237145985</v>
      </c>
      <c r="U138" s="23">
        <f t="shared" si="22"/>
        <v>0.7725470688433651</v>
      </c>
      <c r="V138" s="23">
        <f t="shared" si="22"/>
        <v>0.40715318493096264</v>
      </c>
      <c r="W138" s="23">
        <f t="shared" si="23"/>
        <v>0.7725470688433651</v>
      </c>
      <c r="X138" s="904">
        <f t="shared" si="24"/>
        <v>621</v>
      </c>
      <c r="Y138" s="904">
        <f t="shared" si="24"/>
        <v>632</v>
      </c>
      <c r="Z138" s="904">
        <f t="shared" si="24"/>
        <v>609</v>
      </c>
      <c r="AA138" s="904">
        <f t="shared" si="24"/>
        <v>494</v>
      </c>
      <c r="AB138" s="24">
        <v>328</v>
      </c>
    </row>
    <row r="139" spans="1:28" x14ac:dyDescent="0.25">
      <c r="A139" s="903" t="s">
        <v>77</v>
      </c>
      <c r="B139" t="s">
        <v>309</v>
      </c>
      <c r="C139" s="906" t="s">
        <v>338</v>
      </c>
      <c r="D139" s="25">
        <v>3.5</v>
      </c>
      <c r="E139" s="903">
        <v>432</v>
      </c>
      <c r="F139" s="903">
        <v>181</v>
      </c>
      <c r="G139" s="903" t="s">
        <v>339</v>
      </c>
      <c r="H139" s="904">
        <f t="shared" ref="H139:H202" si="25">FIND("-",$G139)</f>
        <v>6</v>
      </c>
      <c r="I139" s="904">
        <f t="shared" ref="I139:I202" si="26">LEN($G139)</f>
        <v>11</v>
      </c>
      <c r="J139" s="21">
        <f t="shared" ref="J139:J202" si="27">VALUE(LEFT($G139,H139-1))</f>
        <v>11500</v>
      </c>
      <c r="K139" s="21">
        <f t="shared" ref="K139:K202" si="28">IF(K$8*M139&gt;J139,K$8*M139,J139)</f>
        <v>11500</v>
      </c>
      <c r="L139" s="21">
        <f t="shared" ref="L139:L202" si="29">AVERAGE(J139,M139)</f>
        <v>22550</v>
      </c>
      <c r="M139" s="21">
        <f t="shared" ref="M139:M202" si="30">VALUE(RIGHT($G139,I139-H139))</f>
        <v>33600</v>
      </c>
      <c r="N139" s="904">
        <f t="shared" ref="N139:N202" si="31">RANK($L139,$L$11:$L$973,1)</f>
        <v>516</v>
      </c>
      <c r="O139" s="21"/>
      <c r="P139" s="22" t="s">
        <v>2</v>
      </c>
      <c r="Q139" s="22">
        <v>0.63</v>
      </c>
      <c r="R139" s="904" t="s">
        <v>42</v>
      </c>
      <c r="S139" s="904" t="str">
        <f t="shared" ref="S139:S202" si="32">IF(AND(ISERROR(FIND("Insert",B139&amp;C139)),ISERROR(FIND("insert",B139&amp;C139))),"Stove","Insert")</f>
        <v>Stove</v>
      </c>
      <c r="T139" s="23">
        <f t="shared" ref="T139:T202" si="33">$D139*10^6/(M139*453.6)</f>
        <v>0.22964432686654909</v>
      </c>
      <c r="U139" s="23">
        <f t="shared" ref="U139:V202" si="34">$D139*10^6/(K139*453.6)</f>
        <v>0.6709608158883521</v>
      </c>
      <c r="V139" s="23">
        <f t="shared" si="34"/>
        <v>0.34217513892310641</v>
      </c>
      <c r="W139" s="23">
        <f t="shared" ref="W139:W202" si="35">$D139*10^6/(J139*453.6)</f>
        <v>0.6709608158883521</v>
      </c>
      <c r="X139" s="904">
        <f t="shared" ref="X139:AA202" si="36">RANK(T139,T$11:T$973,1)</f>
        <v>493</v>
      </c>
      <c r="Y139" s="904">
        <f t="shared" si="36"/>
        <v>529</v>
      </c>
      <c r="Z139" s="904">
        <f t="shared" si="36"/>
        <v>470</v>
      </c>
      <c r="AA139" s="904">
        <f t="shared" si="36"/>
        <v>383</v>
      </c>
      <c r="AB139" s="24">
        <v>254</v>
      </c>
    </row>
    <row r="140" spans="1:28" x14ac:dyDescent="0.25">
      <c r="A140" s="903" t="s">
        <v>77</v>
      </c>
      <c r="B140" t="s">
        <v>309</v>
      </c>
      <c r="C140" s="906" t="s">
        <v>340</v>
      </c>
      <c r="D140" s="25">
        <v>3.7</v>
      </c>
      <c r="E140" s="903">
        <v>501</v>
      </c>
      <c r="F140" s="903">
        <v>230</v>
      </c>
      <c r="G140" s="903" t="s">
        <v>341</v>
      </c>
      <c r="H140" s="904">
        <f t="shared" si="25"/>
        <v>6</v>
      </c>
      <c r="I140" s="904">
        <f t="shared" si="26"/>
        <v>11</v>
      </c>
      <c r="J140" s="21">
        <f t="shared" si="27"/>
        <v>11400</v>
      </c>
      <c r="K140" s="21">
        <f t="shared" si="28"/>
        <v>14042.000000000002</v>
      </c>
      <c r="L140" s="21">
        <f t="shared" si="29"/>
        <v>26350</v>
      </c>
      <c r="M140" s="21">
        <f t="shared" si="30"/>
        <v>41300</v>
      </c>
      <c r="N140" s="904">
        <f t="shared" si="31"/>
        <v>761</v>
      </c>
      <c r="O140" s="21"/>
      <c r="P140" s="22" t="s">
        <v>2</v>
      </c>
      <c r="Q140" s="22">
        <v>0.63</v>
      </c>
      <c r="R140" s="904" t="s">
        <v>42</v>
      </c>
      <c r="S140" s="904" t="str">
        <f t="shared" si="32"/>
        <v>Stove</v>
      </c>
      <c r="T140" s="23">
        <f t="shared" si="33"/>
        <v>0.19750524189587951</v>
      </c>
      <c r="U140" s="23">
        <f t="shared" si="34"/>
        <v>0.5808977702819984</v>
      </c>
      <c r="V140" s="23">
        <f t="shared" si="34"/>
        <v>0.30956229564705212</v>
      </c>
      <c r="W140" s="23">
        <f t="shared" si="35"/>
        <v>0.71552337634208985</v>
      </c>
      <c r="X140" s="904">
        <f t="shared" si="36"/>
        <v>378</v>
      </c>
      <c r="Y140" s="904">
        <f t="shared" si="36"/>
        <v>407</v>
      </c>
      <c r="Z140" s="904">
        <f t="shared" si="36"/>
        <v>387</v>
      </c>
      <c r="AA140" s="904">
        <f t="shared" si="36"/>
        <v>425</v>
      </c>
      <c r="AB140" s="24">
        <v>173</v>
      </c>
    </row>
    <row r="141" spans="1:28" x14ac:dyDescent="0.25">
      <c r="A141" s="903" t="s">
        <v>77</v>
      </c>
      <c r="B141" t="s">
        <v>309</v>
      </c>
      <c r="C141" s="906" t="s">
        <v>342</v>
      </c>
      <c r="D141" s="25">
        <v>2.9</v>
      </c>
      <c r="E141" s="903">
        <v>295</v>
      </c>
      <c r="F141" s="903">
        <v>96</v>
      </c>
      <c r="G141" s="903" t="s">
        <v>343</v>
      </c>
      <c r="H141" s="904">
        <f t="shared" si="25"/>
        <v>6</v>
      </c>
      <c r="I141" s="904">
        <f t="shared" si="26"/>
        <v>11</v>
      </c>
      <c r="J141" s="21">
        <f t="shared" si="27"/>
        <v>11800</v>
      </c>
      <c r="K141" s="21">
        <f t="shared" si="28"/>
        <v>11800</v>
      </c>
      <c r="L141" s="21">
        <f t="shared" si="29"/>
        <v>22900</v>
      </c>
      <c r="M141" s="21">
        <f t="shared" si="30"/>
        <v>34000</v>
      </c>
      <c r="N141" s="904">
        <f t="shared" si="31"/>
        <v>539</v>
      </c>
      <c r="O141" s="21"/>
      <c r="P141" s="22" t="s">
        <v>2</v>
      </c>
      <c r="Q141" s="22">
        <v>0.63</v>
      </c>
      <c r="R141" s="904" t="s">
        <v>42</v>
      </c>
      <c r="S141" s="904" t="str">
        <f t="shared" si="32"/>
        <v>Stove</v>
      </c>
      <c r="T141" s="23">
        <f t="shared" si="33"/>
        <v>0.18803817823425667</v>
      </c>
      <c r="U141" s="23">
        <f t="shared" si="34"/>
        <v>0.54180492033599381</v>
      </c>
      <c r="V141" s="23">
        <f t="shared" si="34"/>
        <v>0.27918332139583957</v>
      </c>
      <c r="W141" s="23">
        <f t="shared" si="35"/>
        <v>0.54180492033599381</v>
      </c>
      <c r="X141" s="904">
        <f t="shared" si="36"/>
        <v>330</v>
      </c>
      <c r="Y141" s="904">
        <f t="shared" si="36"/>
        <v>355</v>
      </c>
      <c r="Z141" s="904">
        <f t="shared" si="36"/>
        <v>303</v>
      </c>
      <c r="AA141" s="904">
        <f t="shared" si="36"/>
        <v>239</v>
      </c>
      <c r="AB141" s="24">
        <v>143</v>
      </c>
    </row>
    <row r="142" spans="1:28" x14ac:dyDescent="0.25">
      <c r="A142" s="903" t="s">
        <v>77</v>
      </c>
      <c r="B142" t="s">
        <v>309</v>
      </c>
      <c r="C142" s="906" t="s">
        <v>344</v>
      </c>
      <c r="D142" s="25">
        <v>6.9</v>
      </c>
      <c r="E142" s="903">
        <v>900</v>
      </c>
      <c r="F142" s="903">
        <v>543</v>
      </c>
      <c r="G142" s="903" t="s">
        <v>345</v>
      </c>
      <c r="H142" s="904">
        <f t="shared" si="25"/>
        <v>6</v>
      </c>
      <c r="I142" s="904">
        <f t="shared" si="26"/>
        <v>11</v>
      </c>
      <c r="J142" s="21">
        <f t="shared" si="27"/>
        <v>11300</v>
      </c>
      <c r="K142" s="21">
        <f t="shared" si="28"/>
        <v>11560</v>
      </c>
      <c r="L142" s="21">
        <f t="shared" si="29"/>
        <v>22650</v>
      </c>
      <c r="M142" s="21">
        <f t="shared" si="30"/>
        <v>34000</v>
      </c>
      <c r="N142" s="904">
        <f t="shared" si="31"/>
        <v>519</v>
      </c>
      <c r="O142" s="21"/>
      <c r="P142" s="22" t="s">
        <v>2</v>
      </c>
      <c r="Q142" s="22">
        <v>0.63</v>
      </c>
      <c r="R142" s="904" t="s">
        <v>42</v>
      </c>
      <c r="S142" s="904" t="str">
        <f t="shared" si="32"/>
        <v>Stove</v>
      </c>
      <c r="T142" s="23">
        <f t="shared" si="33"/>
        <v>0.44740118269530033</v>
      </c>
      <c r="U142" s="23">
        <f t="shared" si="34"/>
        <v>1.3158858314567656</v>
      </c>
      <c r="V142" s="23">
        <f t="shared" si="34"/>
        <v>0.67159559433290117</v>
      </c>
      <c r="W142" s="23">
        <f t="shared" si="35"/>
        <v>1.3461628505876293</v>
      </c>
      <c r="X142" s="904">
        <f t="shared" si="36"/>
        <v>864</v>
      </c>
      <c r="Y142" s="904">
        <f t="shared" si="36"/>
        <v>906</v>
      </c>
      <c r="Z142" s="904">
        <f t="shared" si="36"/>
        <v>874</v>
      </c>
      <c r="AA142" s="904">
        <f t="shared" si="36"/>
        <v>875</v>
      </c>
      <c r="AB142" s="24">
        <v>551</v>
      </c>
    </row>
    <row r="143" spans="1:28" x14ac:dyDescent="0.25">
      <c r="A143" s="903" t="s">
        <v>77</v>
      </c>
      <c r="B143" t="s">
        <v>309</v>
      </c>
      <c r="C143" s="906" t="s">
        <v>346</v>
      </c>
      <c r="D143" s="25">
        <v>1.5</v>
      </c>
      <c r="E143" s="903">
        <v>79</v>
      </c>
      <c r="F143" s="903">
        <v>27</v>
      </c>
      <c r="G143" s="903" t="s">
        <v>347</v>
      </c>
      <c r="H143" s="904">
        <f t="shared" si="25"/>
        <v>6</v>
      </c>
      <c r="I143" s="904">
        <f t="shared" si="26"/>
        <v>11</v>
      </c>
      <c r="J143" s="21">
        <f t="shared" si="27"/>
        <v>10600</v>
      </c>
      <c r="K143" s="21">
        <f t="shared" si="28"/>
        <v>15912.000000000002</v>
      </c>
      <c r="L143" s="21">
        <f t="shared" si="29"/>
        <v>28700</v>
      </c>
      <c r="M143" s="21">
        <f t="shared" si="30"/>
        <v>46800</v>
      </c>
      <c r="N143" s="904">
        <f t="shared" si="31"/>
        <v>847</v>
      </c>
      <c r="O143" s="21"/>
      <c r="P143" s="22" t="s">
        <v>2</v>
      </c>
      <c r="Q143" s="22">
        <v>0.72</v>
      </c>
      <c r="R143" s="904" t="s">
        <v>38</v>
      </c>
      <c r="S143" s="904" t="str">
        <f t="shared" si="32"/>
        <v>Stove</v>
      </c>
      <c r="T143" s="23">
        <f t="shared" si="33"/>
        <v>7.0659792882015099E-2</v>
      </c>
      <c r="U143" s="23">
        <f t="shared" si="34"/>
        <v>0.20782292024122087</v>
      </c>
      <c r="V143" s="23">
        <f t="shared" si="34"/>
        <v>0.11522224065778072</v>
      </c>
      <c r="W143" s="23">
        <f t="shared" si="35"/>
        <v>0.31196965159229312</v>
      </c>
      <c r="X143" s="904">
        <f t="shared" si="36"/>
        <v>46</v>
      </c>
      <c r="Y143" s="904">
        <f t="shared" si="36"/>
        <v>55</v>
      </c>
      <c r="Z143" s="904">
        <f t="shared" si="36"/>
        <v>45</v>
      </c>
      <c r="AA143" s="904">
        <f t="shared" si="36"/>
        <v>69</v>
      </c>
      <c r="AB143" s="24">
        <v>17</v>
      </c>
    </row>
    <row r="144" spans="1:28" x14ac:dyDescent="0.25">
      <c r="A144" s="903" t="s">
        <v>77</v>
      </c>
      <c r="B144" t="s">
        <v>309</v>
      </c>
      <c r="C144" s="906" t="s">
        <v>348</v>
      </c>
      <c r="D144" s="25">
        <v>3.3</v>
      </c>
      <c r="E144" s="903">
        <v>393</v>
      </c>
      <c r="F144" s="903">
        <v>167</v>
      </c>
      <c r="G144" s="903" t="s">
        <v>349</v>
      </c>
      <c r="H144" s="904">
        <f t="shared" si="25"/>
        <v>6</v>
      </c>
      <c r="I144" s="904">
        <f t="shared" si="26"/>
        <v>11</v>
      </c>
      <c r="J144" s="21">
        <f t="shared" si="27"/>
        <v>13800</v>
      </c>
      <c r="K144" s="21">
        <f t="shared" si="28"/>
        <v>17238</v>
      </c>
      <c r="L144" s="21">
        <f t="shared" si="29"/>
        <v>32250</v>
      </c>
      <c r="M144" s="21">
        <f t="shared" si="30"/>
        <v>50700</v>
      </c>
      <c r="N144" s="904">
        <f t="shared" si="31"/>
        <v>907</v>
      </c>
      <c r="O144" s="21"/>
      <c r="P144" s="22" t="s">
        <v>2</v>
      </c>
      <c r="Q144" s="22">
        <v>0.72</v>
      </c>
      <c r="R144" s="904" t="s">
        <v>38</v>
      </c>
      <c r="S144" s="904" t="str">
        <f t="shared" si="32"/>
        <v>Stove</v>
      </c>
      <c r="T144" s="23">
        <f t="shared" si="33"/>
        <v>0.14349373323732298</v>
      </c>
      <c r="U144" s="23">
        <f t="shared" si="34"/>
        <v>0.42204039187447934</v>
      </c>
      <c r="V144" s="23">
        <f t="shared" si="34"/>
        <v>0.22558549690332635</v>
      </c>
      <c r="W144" s="23">
        <f t="shared" si="35"/>
        <v>0.52718349819799093</v>
      </c>
      <c r="X144" s="904">
        <f t="shared" si="36"/>
        <v>194</v>
      </c>
      <c r="Y144" s="904">
        <f t="shared" si="36"/>
        <v>205</v>
      </c>
      <c r="Z144" s="904">
        <f t="shared" si="36"/>
        <v>193</v>
      </c>
      <c r="AA144" s="904">
        <f t="shared" si="36"/>
        <v>219</v>
      </c>
      <c r="AB144" s="24">
        <v>78</v>
      </c>
    </row>
    <row r="145" spans="1:28" x14ac:dyDescent="0.25">
      <c r="A145" s="903" t="s">
        <v>77</v>
      </c>
      <c r="B145" t="s">
        <v>309</v>
      </c>
      <c r="C145" s="906" t="s">
        <v>350</v>
      </c>
      <c r="D145" s="25">
        <v>6.5</v>
      </c>
      <c r="E145" s="903">
        <v>875</v>
      </c>
      <c r="F145" s="903">
        <v>271</v>
      </c>
      <c r="G145" s="903" t="s">
        <v>351</v>
      </c>
      <c r="H145" s="904">
        <f t="shared" si="25"/>
        <v>6</v>
      </c>
      <c r="I145" s="904">
        <f t="shared" si="26"/>
        <v>11</v>
      </c>
      <c r="J145" s="21">
        <f t="shared" si="27"/>
        <v>13100</v>
      </c>
      <c r="K145" s="21">
        <f t="shared" si="28"/>
        <v>16626</v>
      </c>
      <c r="L145" s="21">
        <f t="shared" si="29"/>
        <v>31000</v>
      </c>
      <c r="M145" s="21">
        <f t="shared" si="30"/>
        <v>48900</v>
      </c>
      <c r="N145" s="904">
        <f t="shared" si="31"/>
        <v>890</v>
      </c>
      <c r="O145" s="21"/>
      <c r="P145" s="22" t="s">
        <v>2</v>
      </c>
      <c r="Q145" s="22">
        <v>0.72</v>
      </c>
      <c r="R145" s="904" t="s">
        <v>38</v>
      </c>
      <c r="S145" s="904" t="str">
        <f t="shared" si="32"/>
        <v>Stove</v>
      </c>
      <c r="T145" s="23">
        <f t="shared" si="33"/>
        <v>0.29304306741252889</v>
      </c>
      <c r="U145" s="23">
        <f t="shared" si="34"/>
        <v>0.86189137474273203</v>
      </c>
      <c r="V145" s="23">
        <f t="shared" si="34"/>
        <v>0.46225180633782786</v>
      </c>
      <c r="W145" s="23">
        <f t="shared" si="35"/>
        <v>1.0938783203414246</v>
      </c>
      <c r="X145" s="904">
        <f t="shared" si="36"/>
        <v>654</v>
      </c>
      <c r="Y145" s="904">
        <f t="shared" si="36"/>
        <v>713</v>
      </c>
      <c r="Z145" s="904">
        <f t="shared" si="36"/>
        <v>683</v>
      </c>
      <c r="AA145" s="904">
        <f t="shared" si="36"/>
        <v>778</v>
      </c>
      <c r="AB145" s="24">
        <v>240</v>
      </c>
    </row>
    <row r="146" spans="1:28" x14ac:dyDescent="0.25">
      <c r="A146" s="903" t="s">
        <v>77</v>
      </c>
      <c r="B146" t="s">
        <v>309</v>
      </c>
      <c r="C146" s="906" t="s">
        <v>352</v>
      </c>
      <c r="D146" s="25">
        <v>3.6</v>
      </c>
      <c r="E146" s="903">
        <v>467</v>
      </c>
      <c r="F146" s="903">
        <v>186</v>
      </c>
      <c r="G146" s="903" t="s">
        <v>353</v>
      </c>
      <c r="H146" s="904">
        <f t="shared" si="25"/>
        <v>5</v>
      </c>
      <c r="I146" s="904">
        <f t="shared" si="26"/>
        <v>10</v>
      </c>
      <c r="J146" s="21">
        <f t="shared" si="27"/>
        <v>8700</v>
      </c>
      <c r="K146" s="21">
        <f t="shared" si="28"/>
        <v>11424</v>
      </c>
      <c r="L146" s="21">
        <f t="shared" si="29"/>
        <v>21150</v>
      </c>
      <c r="M146" s="21">
        <f t="shared" si="30"/>
        <v>33600</v>
      </c>
      <c r="N146" s="904">
        <f t="shared" si="31"/>
        <v>419</v>
      </c>
      <c r="O146" s="21"/>
      <c r="P146" s="22" t="s">
        <v>2</v>
      </c>
      <c r="Q146" s="22">
        <v>0.72</v>
      </c>
      <c r="R146" s="904" t="s">
        <v>38</v>
      </c>
      <c r="S146" s="904" t="str">
        <f t="shared" si="32"/>
        <v>Stove</v>
      </c>
      <c r="T146" s="23">
        <f t="shared" si="33"/>
        <v>0.23620559334845048</v>
      </c>
      <c r="U146" s="23">
        <f t="shared" si="34"/>
        <v>0.69472233337779554</v>
      </c>
      <c r="V146" s="23">
        <f t="shared" si="34"/>
        <v>0.37524860219895678</v>
      </c>
      <c r="W146" s="23">
        <f t="shared" si="35"/>
        <v>0.91224229155263636</v>
      </c>
      <c r="X146" s="904">
        <f t="shared" si="36"/>
        <v>516</v>
      </c>
      <c r="Y146" s="904">
        <f t="shared" si="36"/>
        <v>562</v>
      </c>
      <c r="Z146" s="904">
        <f t="shared" si="36"/>
        <v>560</v>
      </c>
      <c r="AA146" s="904">
        <f t="shared" si="36"/>
        <v>653</v>
      </c>
      <c r="AB146" s="24">
        <v>210</v>
      </c>
    </row>
    <row r="147" spans="1:28" x14ac:dyDescent="0.25">
      <c r="A147" s="903"/>
      <c r="B147" t="s">
        <v>354</v>
      </c>
      <c r="C147" s="906" t="s">
        <v>355</v>
      </c>
      <c r="D147" s="25">
        <v>3.53</v>
      </c>
      <c r="E147" s="903">
        <v>465</v>
      </c>
      <c r="F147" s="903">
        <v>205</v>
      </c>
      <c r="G147" s="903" t="s">
        <v>356</v>
      </c>
      <c r="H147" s="904">
        <f t="shared" si="25"/>
        <v>6</v>
      </c>
      <c r="I147" s="904">
        <f t="shared" si="26"/>
        <v>11</v>
      </c>
      <c r="J147" s="21">
        <f t="shared" si="27"/>
        <v>11455</v>
      </c>
      <c r="K147" s="21">
        <f t="shared" si="28"/>
        <v>14431.300000000001</v>
      </c>
      <c r="L147" s="21">
        <f t="shared" si="29"/>
        <v>26950</v>
      </c>
      <c r="M147" s="21">
        <f t="shared" si="30"/>
        <v>42445</v>
      </c>
      <c r="N147" s="904">
        <f t="shared" si="31"/>
        <v>789</v>
      </c>
      <c r="O147" s="21"/>
      <c r="P147" s="22" t="s">
        <v>2</v>
      </c>
      <c r="Q147" s="22">
        <v>0.63</v>
      </c>
      <c r="R147" s="904" t="s">
        <v>42</v>
      </c>
      <c r="S147" s="904" t="str">
        <f t="shared" si="32"/>
        <v>Stove</v>
      </c>
      <c r="T147" s="23">
        <f t="shared" si="33"/>
        <v>0.18334755445526246</v>
      </c>
      <c r="U147" s="23">
        <f t="shared" si="34"/>
        <v>0.53925751310371306</v>
      </c>
      <c r="V147" s="23">
        <f t="shared" si="34"/>
        <v>0.28876389420607107</v>
      </c>
      <c r="W147" s="23">
        <f t="shared" si="35"/>
        <v>0.67937031417316596</v>
      </c>
      <c r="X147" s="904">
        <f t="shared" si="36"/>
        <v>325</v>
      </c>
      <c r="Y147" s="904">
        <f t="shared" si="36"/>
        <v>350</v>
      </c>
      <c r="Z147" s="904">
        <f t="shared" si="36"/>
        <v>330</v>
      </c>
      <c r="AA147" s="904">
        <f t="shared" si="36"/>
        <v>393</v>
      </c>
      <c r="AB147" s="24">
        <v>141</v>
      </c>
    </row>
    <row r="148" spans="1:28" x14ac:dyDescent="0.25">
      <c r="A148" s="903"/>
      <c r="B148" t="s">
        <v>354</v>
      </c>
      <c r="C148" s="906" t="s">
        <v>357</v>
      </c>
      <c r="D148" s="25">
        <v>5.0999999999999996</v>
      </c>
      <c r="E148" s="903">
        <v>766</v>
      </c>
      <c r="F148" s="903">
        <v>425</v>
      </c>
      <c r="G148" s="903" t="s">
        <v>358</v>
      </c>
      <c r="H148" s="904">
        <f t="shared" si="25"/>
        <v>6</v>
      </c>
      <c r="I148" s="904">
        <f t="shared" si="26"/>
        <v>11</v>
      </c>
      <c r="J148" s="21">
        <f t="shared" si="27"/>
        <v>11500</v>
      </c>
      <c r="K148" s="21">
        <f t="shared" si="28"/>
        <v>12478</v>
      </c>
      <c r="L148" s="21">
        <f t="shared" si="29"/>
        <v>24100</v>
      </c>
      <c r="M148" s="21">
        <f t="shared" si="30"/>
        <v>36700</v>
      </c>
      <c r="N148" s="904">
        <f t="shared" si="31"/>
        <v>645</v>
      </c>
      <c r="O148" s="21"/>
      <c r="P148" s="22" t="s">
        <v>2</v>
      </c>
      <c r="Q148" s="22">
        <v>0.63</v>
      </c>
      <c r="R148" s="904" t="s">
        <v>42</v>
      </c>
      <c r="S148" s="904" t="str">
        <f t="shared" si="32"/>
        <v>Stove</v>
      </c>
      <c r="T148" s="23">
        <f t="shared" si="33"/>
        <v>0.30635929818491126</v>
      </c>
      <c r="U148" s="23">
        <f t="shared" si="34"/>
        <v>0.90105675936738594</v>
      </c>
      <c r="V148" s="23">
        <f t="shared" si="34"/>
        <v>0.46653054951810141</v>
      </c>
      <c r="W148" s="23">
        <f t="shared" si="35"/>
        <v>0.97768576029445597</v>
      </c>
      <c r="X148" s="904">
        <f t="shared" si="36"/>
        <v>687</v>
      </c>
      <c r="Y148" s="904">
        <f t="shared" si="36"/>
        <v>742</v>
      </c>
      <c r="Z148" s="904">
        <f t="shared" si="36"/>
        <v>698</v>
      </c>
      <c r="AA148" s="904">
        <f t="shared" si="36"/>
        <v>705</v>
      </c>
      <c r="AB148" s="24">
        <v>416</v>
      </c>
    </row>
    <row r="149" spans="1:28" x14ac:dyDescent="0.25">
      <c r="A149" s="903"/>
      <c r="B149" t="s">
        <v>354</v>
      </c>
      <c r="C149" s="906" t="s">
        <v>359</v>
      </c>
      <c r="D149" s="25">
        <v>3.2</v>
      </c>
      <c r="E149" s="903">
        <v>376</v>
      </c>
      <c r="F149" s="903">
        <v>141</v>
      </c>
      <c r="G149" s="903" t="s">
        <v>360</v>
      </c>
      <c r="H149" s="904">
        <f t="shared" si="25"/>
        <v>6</v>
      </c>
      <c r="I149" s="904">
        <f t="shared" si="26"/>
        <v>11</v>
      </c>
      <c r="J149" s="21">
        <f t="shared" si="27"/>
        <v>11400</v>
      </c>
      <c r="K149" s="21">
        <f t="shared" si="28"/>
        <v>11866</v>
      </c>
      <c r="L149" s="21">
        <f t="shared" si="29"/>
        <v>23150</v>
      </c>
      <c r="M149" s="21">
        <f t="shared" si="30"/>
        <v>34900</v>
      </c>
      <c r="N149" s="904">
        <f t="shared" si="31"/>
        <v>563</v>
      </c>
      <c r="O149" s="21"/>
      <c r="P149" s="22" t="s">
        <v>2</v>
      </c>
      <c r="Q149" s="22">
        <v>0.63</v>
      </c>
      <c r="R149" s="904" t="s">
        <v>42</v>
      </c>
      <c r="S149" s="904" t="str">
        <f t="shared" si="32"/>
        <v>Stove</v>
      </c>
      <c r="T149" s="23">
        <f t="shared" si="33"/>
        <v>0.20213964817594235</v>
      </c>
      <c r="U149" s="23">
        <f t="shared" si="34"/>
        <v>0.59452837698806571</v>
      </c>
      <c r="V149" s="23">
        <f t="shared" si="34"/>
        <v>0.30473752575984397</v>
      </c>
      <c r="W149" s="23">
        <f t="shared" si="35"/>
        <v>0.61883102818775337</v>
      </c>
      <c r="X149" s="904">
        <f t="shared" si="36"/>
        <v>394</v>
      </c>
      <c r="Y149" s="904">
        <f t="shared" si="36"/>
        <v>430</v>
      </c>
      <c r="Z149" s="904">
        <f t="shared" si="36"/>
        <v>370</v>
      </c>
      <c r="AA149" s="904">
        <f t="shared" si="36"/>
        <v>305</v>
      </c>
      <c r="AB149" s="24">
        <v>186</v>
      </c>
    </row>
    <row r="150" spans="1:28" x14ac:dyDescent="0.25">
      <c r="A150" s="903"/>
      <c r="B150" t="s">
        <v>354</v>
      </c>
      <c r="C150" s="906" t="s">
        <v>361</v>
      </c>
      <c r="D150" s="25">
        <v>3.5</v>
      </c>
      <c r="E150" s="903">
        <v>432</v>
      </c>
      <c r="F150" s="903">
        <v>181</v>
      </c>
      <c r="G150" s="903" t="s">
        <v>362</v>
      </c>
      <c r="H150" s="904">
        <f t="shared" si="25"/>
        <v>6</v>
      </c>
      <c r="I150" s="904">
        <f t="shared" si="26"/>
        <v>11</v>
      </c>
      <c r="J150" s="21">
        <f t="shared" si="27"/>
        <v>11600</v>
      </c>
      <c r="K150" s="21">
        <f t="shared" si="28"/>
        <v>13192.000000000002</v>
      </c>
      <c r="L150" s="21">
        <f t="shared" si="29"/>
        <v>25200</v>
      </c>
      <c r="M150" s="21">
        <f t="shared" si="30"/>
        <v>38800</v>
      </c>
      <c r="N150" s="904">
        <f t="shared" si="31"/>
        <v>711</v>
      </c>
      <c r="O150" s="21"/>
      <c r="P150" s="22" t="s">
        <v>2</v>
      </c>
      <c r="Q150" s="22">
        <v>0.63</v>
      </c>
      <c r="R150" s="904" t="s">
        <v>42</v>
      </c>
      <c r="S150" s="904" t="str">
        <f t="shared" si="32"/>
        <v>Stove</v>
      </c>
      <c r="T150" s="23">
        <f t="shared" si="33"/>
        <v>0.19886725213185694</v>
      </c>
      <c r="U150" s="23">
        <f t="shared" si="34"/>
        <v>0.58490368274075566</v>
      </c>
      <c r="V150" s="23">
        <f t="shared" si="34"/>
        <v>0.30619243582206546</v>
      </c>
      <c r="W150" s="23">
        <f t="shared" si="35"/>
        <v>0.6651766709237974</v>
      </c>
      <c r="X150" s="904">
        <f t="shared" si="36"/>
        <v>383</v>
      </c>
      <c r="Y150" s="904">
        <f t="shared" si="36"/>
        <v>415</v>
      </c>
      <c r="Z150" s="904">
        <f t="shared" si="36"/>
        <v>374</v>
      </c>
      <c r="AA150" s="904">
        <f t="shared" si="36"/>
        <v>371</v>
      </c>
      <c r="AB150" s="24">
        <v>176</v>
      </c>
    </row>
    <row r="151" spans="1:28" x14ac:dyDescent="0.25">
      <c r="A151" s="903"/>
      <c r="B151" t="s">
        <v>354</v>
      </c>
      <c r="C151" s="906" t="s">
        <v>363</v>
      </c>
      <c r="D151" s="25">
        <v>4</v>
      </c>
      <c r="E151" s="903">
        <v>571</v>
      </c>
      <c r="F151" s="903">
        <v>225</v>
      </c>
      <c r="G151" s="903" t="s">
        <v>364</v>
      </c>
      <c r="H151" s="904">
        <f t="shared" si="25"/>
        <v>5</v>
      </c>
      <c r="I151" s="904">
        <f t="shared" si="26"/>
        <v>10</v>
      </c>
      <c r="J151" s="21">
        <f t="shared" si="27"/>
        <v>8000</v>
      </c>
      <c r="K151" s="21">
        <f t="shared" si="28"/>
        <v>16728</v>
      </c>
      <c r="L151" s="21">
        <f t="shared" si="29"/>
        <v>28600</v>
      </c>
      <c r="M151" s="21">
        <f t="shared" si="30"/>
        <v>49200</v>
      </c>
      <c r="N151" s="904">
        <f t="shared" si="31"/>
        <v>843</v>
      </c>
      <c r="O151" s="21"/>
      <c r="P151" s="22" t="s">
        <v>2</v>
      </c>
      <c r="Q151" s="22">
        <v>0.72</v>
      </c>
      <c r="R151" s="904" t="s">
        <v>38</v>
      </c>
      <c r="S151" s="904" t="str">
        <f t="shared" si="32"/>
        <v>Stove</v>
      </c>
      <c r="T151" s="23">
        <f t="shared" si="33"/>
        <v>0.17923459657877003</v>
      </c>
      <c r="U151" s="23">
        <f t="shared" si="34"/>
        <v>0.527160578172853</v>
      </c>
      <c r="V151" s="23">
        <f t="shared" si="34"/>
        <v>0.30833364166697502</v>
      </c>
      <c r="W151" s="23">
        <f t="shared" si="35"/>
        <v>1.1022927689594357</v>
      </c>
      <c r="X151" s="904">
        <f t="shared" si="36"/>
        <v>303</v>
      </c>
      <c r="Y151" s="904">
        <f t="shared" si="36"/>
        <v>326</v>
      </c>
      <c r="Z151" s="904">
        <f t="shared" si="36"/>
        <v>385</v>
      </c>
      <c r="AA151" s="904">
        <f t="shared" si="36"/>
        <v>781</v>
      </c>
      <c r="AB151" s="24">
        <v>134</v>
      </c>
    </row>
    <row r="152" spans="1:28" x14ac:dyDescent="0.25">
      <c r="A152" s="903"/>
      <c r="B152" t="s">
        <v>354</v>
      </c>
      <c r="C152" s="906" t="s">
        <v>365</v>
      </c>
      <c r="D152" s="25">
        <v>4.1100000000000003</v>
      </c>
      <c r="E152" s="903">
        <v>613</v>
      </c>
      <c r="F152" s="903">
        <v>297</v>
      </c>
      <c r="G152" s="903" t="s">
        <v>366</v>
      </c>
      <c r="H152" s="904">
        <f t="shared" si="25"/>
        <v>6</v>
      </c>
      <c r="I152" s="904">
        <f t="shared" si="26"/>
        <v>11</v>
      </c>
      <c r="J152" s="21">
        <f t="shared" si="27"/>
        <v>11800</v>
      </c>
      <c r="K152" s="21">
        <f t="shared" si="28"/>
        <v>16320.000000000002</v>
      </c>
      <c r="L152" s="21">
        <f t="shared" si="29"/>
        <v>29900</v>
      </c>
      <c r="M152" s="21">
        <f t="shared" si="30"/>
        <v>48000</v>
      </c>
      <c r="N152" s="904">
        <f t="shared" si="31"/>
        <v>878</v>
      </c>
      <c r="O152" s="21"/>
      <c r="P152" s="22" t="s">
        <v>2</v>
      </c>
      <c r="Q152" s="22">
        <v>0.63</v>
      </c>
      <c r="R152" s="904" t="s">
        <v>42</v>
      </c>
      <c r="S152" s="904" t="str">
        <f t="shared" si="32"/>
        <v>Stove</v>
      </c>
      <c r="T152" s="23">
        <f t="shared" si="33"/>
        <v>0.18876763668430338</v>
      </c>
      <c r="U152" s="23">
        <f t="shared" si="34"/>
        <v>0.55519893142442156</v>
      </c>
      <c r="V152" s="23">
        <f t="shared" si="34"/>
        <v>0.30303834651660744</v>
      </c>
      <c r="W152" s="23">
        <f t="shared" si="35"/>
        <v>0.76786835261411546</v>
      </c>
      <c r="X152" s="904">
        <f t="shared" si="36"/>
        <v>340</v>
      </c>
      <c r="Y152" s="904">
        <f t="shared" si="36"/>
        <v>367</v>
      </c>
      <c r="Z152" s="904">
        <f t="shared" si="36"/>
        <v>366</v>
      </c>
      <c r="AA152" s="904">
        <f t="shared" si="36"/>
        <v>487</v>
      </c>
      <c r="AB152" s="24">
        <v>152</v>
      </c>
    </row>
    <row r="153" spans="1:28" x14ac:dyDescent="0.25">
      <c r="A153" s="903"/>
      <c r="B153" t="s">
        <v>354</v>
      </c>
      <c r="C153" s="906" t="s">
        <v>367</v>
      </c>
      <c r="D153" s="25">
        <v>6.6</v>
      </c>
      <c r="E153" s="903">
        <v>884</v>
      </c>
      <c r="F153" s="903">
        <v>529</v>
      </c>
      <c r="G153" s="903" t="s">
        <v>368</v>
      </c>
      <c r="H153" s="904">
        <f t="shared" si="25"/>
        <v>6</v>
      </c>
      <c r="I153" s="904">
        <f t="shared" si="26"/>
        <v>11</v>
      </c>
      <c r="J153" s="21">
        <f t="shared" si="27"/>
        <v>11400</v>
      </c>
      <c r="K153" s="21">
        <f t="shared" si="28"/>
        <v>13158.000000000002</v>
      </c>
      <c r="L153" s="21">
        <f t="shared" si="29"/>
        <v>25050</v>
      </c>
      <c r="M153" s="21">
        <f t="shared" si="30"/>
        <v>38700</v>
      </c>
      <c r="N153" s="904">
        <f t="shared" si="31"/>
        <v>687</v>
      </c>
      <c r="O153" s="21"/>
      <c r="P153" s="22" t="s">
        <v>2</v>
      </c>
      <c r="Q153" s="22">
        <v>0.63</v>
      </c>
      <c r="R153" s="904" t="s">
        <v>42</v>
      </c>
      <c r="S153" s="904" t="str">
        <f t="shared" si="32"/>
        <v>Stove</v>
      </c>
      <c r="T153" s="23">
        <f t="shared" si="33"/>
        <v>0.37597582817221059</v>
      </c>
      <c r="U153" s="23">
        <f t="shared" si="34"/>
        <v>1.1058112593300311</v>
      </c>
      <c r="V153" s="23">
        <f t="shared" si="34"/>
        <v>0.5808488842420978</v>
      </c>
      <c r="W153" s="23">
        <f t="shared" si="35"/>
        <v>1.2763389956372413</v>
      </c>
      <c r="X153" s="904">
        <f t="shared" si="36"/>
        <v>807</v>
      </c>
      <c r="Y153" s="904">
        <f t="shared" si="36"/>
        <v>867</v>
      </c>
      <c r="Z153" s="904">
        <f t="shared" si="36"/>
        <v>824</v>
      </c>
      <c r="AA153" s="904">
        <f t="shared" si="36"/>
        <v>842</v>
      </c>
      <c r="AB153" s="24">
        <v>514</v>
      </c>
    </row>
    <row r="154" spans="1:28" x14ac:dyDescent="0.25">
      <c r="A154" s="903"/>
      <c r="B154" t="s">
        <v>354</v>
      </c>
      <c r="C154" s="906" t="s">
        <v>369</v>
      </c>
      <c r="D154" s="25">
        <v>4.2</v>
      </c>
      <c r="E154" s="903">
        <v>619</v>
      </c>
      <c r="F154" s="903">
        <v>303</v>
      </c>
      <c r="G154" s="903" t="s">
        <v>370</v>
      </c>
      <c r="H154" s="904">
        <f t="shared" si="25"/>
        <v>5</v>
      </c>
      <c r="I154" s="904">
        <f t="shared" si="26"/>
        <v>10</v>
      </c>
      <c r="J154" s="21">
        <f t="shared" si="27"/>
        <v>9500</v>
      </c>
      <c r="K154" s="21">
        <f t="shared" si="28"/>
        <v>12274</v>
      </c>
      <c r="L154" s="21">
        <f t="shared" si="29"/>
        <v>22800</v>
      </c>
      <c r="M154" s="21">
        <f t="shared" si="30"/>
        <v>36100</v>
      </c>
      <c r="N154" s="904">
        <f t="shared" si="31"/>
        <v>527</v>
      </c>
      <c r="O154" s="21"/>
      <c r="P154" s="22" t="s">
        <v>2</v>
      </c>
      <c r="Q154" s="22">
        <v>0.63</v>
      </c>
      <c r="R154" s="904" t="s">
        <v>42</v>
      </c>
      <c r="S154" s="904" t="str">
        <f t="shared" si="32"/>
        <v>Stove</v>
      </c>
      <c r="T154" s="23">
        <f t="shared" si="33"/>
        <v>0.2564891761567662</v>
      </c>
      <c r="U154" s="23">
        <f t="shared" si="34"/>
        <v>0.75437992987284164</v>
      </c>
      <c r="V154" s="23">
        <f t="shared" si="34"/>
        <v>0.4061078622482131</v>
      </c>
      <c r="W154" s="23">
        <f t="shared" si="35"/>
        <v>0.97465886939571145</v>
      </c>
      <c r="X154" s="904">
        <f t="shared" si="36"/>
        <v>578</v>
      </c>
      <c r="Y154" s="904">
        <f t="shared" si="36"/>
        <v>620</v>
      </c>
      <c r="Z154" s="904">
        <f t="shared" si="36"/>
        <v>606</v>
      </c>
      <c r="AA154" s="904">
        <f t="shared" si="36"/>
        <v>703</v>
      </c>
      <c r="AB154" s="24">
        <v>318</v>
      </c>
    </row>
    <row r="155" spans="1:28" x14ac:dyDescent="0.25">
      <c r="A155" s="903"/>
      <c r="B155" t="s">
        <v>354</v>
      </c>
      <c r="C155" s="906" t="s">
        <v>371</v>
      </c>
      <c r="D155" s="25">
        <v>9.6</v>
      </c>
      <c r="E155" s="903">
        <v>961</v>
      </c>
      <c r="F155" s="903">
        <v>604</v>
      </c>
      <c r="G155" s="903" t="s">
        <v>372</v>
      </c>
      <c r="H155" s="904">
        <f t="shared" si="25"/>
        <v>5</v>
      </c>
      <c r="I155" s="904">
        <f t="shared" si="26"/>
        <v>10</v>
      </c>
      <c r="J155" s="21">
        <f t="shared" si="27"/>
        <v>7700</v>
      </c>
      <c r="K155" s="21">
        <f t="shared" si="28"/>
        <v>14790.000000000002</v>
      </c>
      <c r="L155" s="21">
        <f t="shared" si="29"/>
        <v>25600</v>
      </c>
      <c r="M155" s="21">
        <f t="shared" si="30"/>
        <v>43500</v>
      </c>
      <c r="N155" s="904">
        <f t="shared" si="31"/>
        <v>729</v>
      </c>
      <c r="O155" s="21"/>
      <c r="P155" s="22" t="s">
        <v>2</v>
      </c>
      <c r="Q155" s="22">
        <v>0.63</v>
      </c>
      <c r="R155" s="904" t="s">
        <v>42</v>
      </c>
      <c r="S155" s="904" t="str">
        <f t="shared" si="32"/>
        <v>Stove</v>
      </c>
      <c r="T155" s="23">
        <f t="shared" si="33"/>
        <v>0.48652922216140609</v>
      </c>
      <c r="U155" s="23">
        <f t="shared" si="34"/>
        <v>1.4309683004747236</v>
      </c>
      <c r="V155" s="23">
        <f t="shared" si="34"/>
        <v>0.82671957671957674</v>
      </c>
      <c r="W155" s="23">
        <f t="shared" si="35"/>
        <v>2.7485741771456058</v>
      </c>
      <c r="X155" s="904">
        <f t="shared" si="36"/>
        <v>889</v>
      </c>
      <c r="Y155" s="904">
        <f t="shared" si="36"/>
        <v>939</v>
      </c>
      <c r="Z155" s="904">
        <f t="shared" si="36"/>
        <v>932</v>
      </c>
      <c r="AA155" s="904">
        <f t="shared" si="36"/>
        <v>959</v>
      </c>
      <c r="AB155" s="24">
        <v>584</v>
      </c>
    </row>
    <row r="156" spans="1:28" x14ac:dyDescent="0.25">
      <c r="A156" s="903"/>
      <c r="B156" t="s">
        <v>354</v>
      </c>
      <c r="C156" s="906" t="s">
        <v>371</v>
      </c>
      <c r="D156" s="25">
        <v>9.6</v>
      </c>
      <c r="E156" s="903">
        <v>961</v>
      </c>
      <c r="F156" s="903">
        <v>604</v>
      </c>
      <c r="G156" s="903" t="s">
        <v>372</v>
      </c>
      <c r="H156" s="904">
        <f t="shared" si="25"/>
        <v>5</v>
      </c>
      <c r="I156" s="904">
        <f t="shared" si="26"/>
        <v>10</v>
      </c>
      <c r="J156" s="21">
        <f t="shared" si="27"/>
        <v>7700</v>
      </c>
      <c r="K156" s="21">
        <f t="shared" si="28"/>
        <v>14790.000000000002</v>
      </c>
      <c r="L156" s="21">
        <f t="shared" si="29"/>
        <v>25600</v>
      </c>
      <c r="M156" s="21">
        <f t="shared" si="30"/>
        <v>43500</v>
      </c>
      <c r="N156" s="904">
        <f t="shared" si="31"/>
        <v>729</v>
      </c>
      <c r="O156" s="21"/>
      <c r="P156" s="22" t="s">
        <v>2</v>
      </c>
      <c r="Q156" s="22">
        <v>0.63</v>
      </c>
      <c r="R156" s="904" t="s">
        <v>42</v>
      </c>
      <c r="S156" s="904" t="str">
        <f t="shared" si="32"/>
        <v>Stove</v>
      </c>
      <c r="T156" s="23">
        <f t="shared" si="33"/>
        <v>0.48652922216140609</v>
      </c>
      <c r="U156" s="23">
        <f t="shared" si="34"/>
        <v>1.4309683004747236</v>
      </c>
      <c r="V156" s="23">
        <f t="shared" si="34"/>
        <v>0.82671957671957674</v>
      </c>
      <c r="W156" s="23">
        <f t="shared" si="35"/>
        <v>2.7485741771456058</v>
      </c>
      <c r="X156" s="904">
        <f t="shared" si="36"/>
        <v>889</v>
      </c>
      <c r="Y156" s="904">
        <f t="shared" si="36"/>
        <v>939</v>
      </c>
      <c r="Z156" s="904">
        <f t="shared" si="36"/>
        <v>932</v>
      </c>
      <c r="AA156" s="904">
        <f t="shared" si="36"/>
        <v>959</v>
      </c>
      <c r="AB156" s="24">
        <v>584</v>
      </c>
    </row>
    <row r="157" spans="1:28" x14ac:dyDescent="0.25">
      <c r="A157" s="903"/>
      <c r="B157" t="s">
        <v>354</v>
      </c>
      <c r="C157" s="906" t="s">
        <v>373</v>
      </c>
      <c r="D157" s="25">
        <v>5.6</v>
      </c>
      <c r="E157" s="903">
        <v>820</v>
      </c>
      <c r="F157" s="903">
        <v>468</v>
      </c>
      <c r="G157" s="903" t="s">
        <v>374</v>
      </c>
      <c r="H157" s="904">
        <f t="shared" si="25"/>
        <v>5</v>
      </c>
      <c r="I157" s="904">
        <f t="shared" si="26"/>
        <v>10</v>
      </c>
      <c r="J157" s="21">
        <f t="shared" si="27"/>
        <v>9300</v>
      </c>
      <c r="K157" s="21">
        <f t="shared" si="28"/>
        <v>14824.000000000002</v>
      </c>
      <c r="L157" s="21">
        <f t="shared" si="29"/>
        <v>26450</v>
      </c>
      <c r="M157" s="21">
        <f t="shared" si="30"/>
        <v>43600</v>
      </c>
      <c r="N157" s="904">
        <f t="shared" si="31"/>
        <v>769</v>
      </c>
      <c r="O157" s="21"/>
      <c r="P157" s="22" t="s">
        <v>2</v>
      </c>
      <c r="Q157" s="22">
        <v>0.63</v>
      </c>
      <c r="R157" s="904" t="s">
        <v>42</v>
      </c>
      <c r="S157" s="904" t="str">
        <f t="shared" si="32"/>
        <v>Stove</v>
      </c>
      <c r="T157" s="23">
        <f t="shared" si="33"/>
        <v>0.28315777551251559</v>
      </c>
      <c r="U157" s="23">
        <f t="shared" si="34"/>
        <v>0.83281698680151628</v>
      </c>
      <c r="V157" s="23">
        <f t="shared" si="34"/>
        <v>0.46675535018320147</v>
      </c>
      <c r="W157" s="23">
        <f t="shared" si="35"/>
        <v>1.3274923669188903</v>
      </c>
      <c r="X157" s="904">
        <f t="shared" si="36"/>
        <v>638</v>
      </c>
      <c r="Y157" s="904">
        <f t="shared" si="36"/>
        <v>697</v>
      </c>
      <c r="Z157" s="904">
        <f t="shared" si="36"/>
        <v>699</v>
      </c>
      <c r="AA157" s="904">
        <f t="shared" si="36"/>
        <v>870</v>
      </c>
      <c r="AB157" s="24">
        <v>384</v>
      </c>
    </row>
    <row r="158" spans="1:28" x14ac:dyDescent="0.25">
      <c r="A158" s="903"/>
      <c r="B158" t="s">
        <v>354</v>
      </c>
      <c r="C158" s="906" t="s">
        <v>375</v>
      </c>
      <c r="D158" s="25">
        <v>1.6</v>
      </c>
      <c r="E158" s="903">
        <v>86</v>
      </c>
      <c r="F158" s="903">
        <v>22</v>
      </c>
      <c r="G158" s="903" t="s">
        <v>376</v>
      </c>
      <c r="H158" s="904">
        <f t="shared" si="25"/>
        <v>6</v>
      </c>
      <c r="I158" s="904">
        <f t="shared" si="26"/>
        <v>11</v>
      </c>
      <c r="J158" s="21">
        <f t="shared" si="27"/>
        <v>12500</v>
      </c>
      <c r="K158" s="21">
        <f t="shared" si="28"/>
        <v>14008.000000000002</v>
      </c>
      <c r="L158" s="21">
        <f t="shared" si="29"/>
        <v>26850</v>
      </c>
      <c r="M158" s="21">
        <f t="shared" si="30"/>
        <v>41200</v>
      </c>
      <c r="N158" s="904">
        <f t="shared" si="31"/>
        <v>783</v>
      </c>
      <c r="O158" s="21"/>
      <c r="P158" s="22" t="s">
        <v>2</v>
      </c>
      <c r="Q158" s="22">
        <v>0.63</v>
      </c>
      <c r="R158" s="904" t="s">
        <v>42</v>
      </c>
      <c r="S158" s="904" t="str">
        <f t="shared" si="32"/>
        <v>Stove</v>
      </c>
      <c r="T158" s="23">
        <f t="shared" si="33"/>
        <v>8.5614972346363935E-2</v>
      </c>
      <c r="U158" s="23">
        <f t="shared" si="34"/>
        <v>0.25180874219518801</v>
      </c>
      <c r="V158" s="23">
        <f t="shared" si="34"/>
        <v>0.13137195011807054</v>
      </c>
      <c r="W158" s="23">
        <f t="shared" si="35"/>
        <v>0.2821869488536155</v>
      </c>
      <c r="X158" s="904">
        <f t="shared" si="36"/>
        <v>57</v>
      </c>
      <c r="Y158" s="904">
        <f t="shared" si="36"/>
        <v>66</v>
      </c>
      <c r="Z158" s="904">
        <f t="shared" si="36"/>
        <v>59</v>
      </c>
      <c r="AA158" s="904">
        <f t="shared" si="36"/>
        <v>54</v>
      </c>
      <c r="AB158" s="24">
        <v>14</v>
      </c>
    </row>
    <row r="159" spans="1:28" x14ac:dyDescent="0.25">
      <c r="A159" s="903"/>
      <c r="B159" t="s">
        <v>354</v>
      </c>
      <c r="C159" s="906" t="s">
        <v>377</v>
      </c>
      <c r="D159" s="25">
        <v>5.7</v>
      </c>
      <c r="E159" s="903">
        <v>824</v>
      </c>
      <c r="F159" s="903">
        <v>472</v>
      </c>
      <c r="G159" s="903" t="s">
        <v>378</v>
      </c>
      <c r="H159" s="904">
        <f t="shared" si="25"/>
        <v>6</v>
      </c>
      <c r="I159" s="904">
        <f t="shared" si="26"/>
        <v>11</v>
      </c>
      <c r="J159" s="21">
        <f t="shared" si="27"/>
        <v>10700</v>
      </c>
      <c r="K159" s="21">
        <f t="shared" si="28"/>
        <v>13906.000000000002</v>
      </c>
      <c r="L159" s="21">
        <f t="shared" si="29"/>
        <v>25800</v>
      </c>
      <c r="M159" s="21">
        <f t="shared" si="30"/>
        <v>40900</v>
      </c>
      <c r="N159" s="904">
        <f t="shared" si="31"/>
        <v>742</v>
      </c>
      <c r="O159" s="21"/>
      <c r="P159" s="22" t="s">
        <v>2</v>
      </c>
      <c r="Q159" s="22">
        <v>0.63</v>
      </c>
      <c r="R159" s="904" t="s">
        <v>42</v>
      </c>
      <c r="S159" s="904" t="str">
        <f t="shared" si="32"/>
        <v>Stove</v>
      </c>
      <c r="T159" s="23">
        <f t="shared" si="33"/>
        <v>0.30724052728942702</v>
      </c>
      <c r="U159" s="23">
        <f t="shared" si="34"/>
        <v>0.90364860967478522</v>
      </c>
      <c r="V159" s="23">
        <f t="shared" si="34"/>
        <v>0.48705959558672735</v>
      </c>
      <c r="W159" s="23">
        <f t="shared" si="35"/>
        <v>1.1744053800128567</v>
      </c>
      <c r="X159" s="904">
        <f t="shared" si="36"/>
        <v>689</v>
      </c>
      <c r="Y159" s="904">
        <f t="shared" si="36"/>
        <v>745</v>
      </c>
      <c r="Z159" s="904">
        <f t="shared" si="36"/>
        <v>727</v>
      </c>
      <c r="AA159" s="904">
        <f t="shared" si="36"/>
        <v>811</v>
      </c>
      <c r="AB159" s="24">
        <v>419</v>
      </c>
    </row>
    <row r="160" spans="1:28" x14ac:dyDescent="0.25">
      <c r="A160" s="903"/>
      <c r="B160" t="s">
        <v>354</v>
      </c>
      <c r="C160" s="906" t="s">
        <v>379</v>
      </c>
      <c r="D160" s="25">
        <v>4.9000000000000004</v>
      </c>
      <c r="E160" s="903">
        <v>746</v>
      </c>
      <c r="F160" s="903">
        <v>407</v>
      </c>
      <c r="G160" s="903" t="s">
        <v>380</v>
      </c>
      <c r="H160" s="904">
        <f t="shared" si="25"/>
        <v>6</v>
      </c>
      <c r="I160" s="904">
        <f t="shared" si="26"/>
        <v>11</v>
      </c>
      <c r="J160" s="21">
        <f t="shared" si="27"/>
        <v>11300</v>
      </c>
      <c r="K160" s="21">
        <f t="shared" si="28"/>
        <v>14518.000000000002</v>
      </c>
      <c r="L160" s="21">
        <f t="shared" si="29"/>
        <v>27000</v>
      </c>
      <c r="M160" s="21">
        <f t="shared" si="30"/>
        <v>42700</v>
      </c>
      <c r="N160" s="904">
        <f t="shared" si="31"/>
        <v>796</v>
      </c>
      <c r="O160" s="21"/>
      <c r="P160" s="22" t="s">
        <v>2</v>
      </c>
      <c r="Q160" s="22">
        <v>0.63</v>
      </c>
      <c r="R160" s="904" t="s">
        <v>42</v>
      </c>
      <c r="S160" s="904" t="str">
        <f t="shared" si="32"/>
        <v>Stove</v>
      </c>
      <c r="T160" s="23">
        <f t="shared" si="33"/>
        <v>0.25298522566282128</v>
      </c>
      <c r="U160" s="23">
        <f t="shared" si="34"/>
        <v>0.74407419312594492</v>
      </c>
      <c r="V160" s="23">
        <f t="shared" si="34"/>
        <v>0.40009144947416553</v>
      </c>
      <c r="W160" s="23">
        <f t="shared" si="35"/>
        <v>0.95597071998251937</v>
      </c>
      <c r="X160" s="904">
        <f t="shared" si="36"/>
        <v>565</v>
      </c>
      <c r="Y160" s="904">
        <f t="shared" si="36"/>
        <v>605</v>
      </c>
      <c r="Z160" s="904">
        <f t="shared" si="36"/>
        <v>592</v>
      </c>
      <c r="AA160" s="904">
        <f t="shared" si="36"/>
        <v>687</v>
      </c>
      <c r="AB160" s="24">
        <v>309</v>
      </c>
    </row>
    <row r="161" spans="1:28" x14ac:dyDescent="0.25">
      <c r="A161" s="903"/>
      <c r="B161" t="s">
        <v>354</v>
      </c>
      <c r="C161" s="906" t="s">
        <v>381</v>
      </c>
      <c r="D161" s="25">
        <v>1.1399999999999999</v>
      </c>
      <c r="E161" s="903">
        <v>43</v>
      </c>
      <c r="F161" s="903">
        <v>19</v>
      </c>
      <c r="G161" s="903" t="s">
        <v>382</v>
      </c>
      <c r="H161" s="904">
        <f t="shared" si="25"/>
        <v>5</v>
      </c>
      <c r="I161" s="904">
        <f t="shared" si="26"/>
        <v>10</v>
      </c>
      <c r="J161" s="21">
        <f t="shared" si="27"/>
        <v>7476</v>
      </c>
      <c r="K161" s="21">
        <f t="shared" si="28"/>
        <v>7476</v>
      </c>
      <c r="L161" s="21">
        <f t="shared" si="29"/>
        <v>14409.5</v>
      </c>
      <c r="M161" s="21">
        <f t="shared" si="30"/>
        <v>21343</v>
      </c>
      <c r="N161" s="904">
        <f t="shared" si="31"/>
        <v>30</v>
      </c>
      <c r="O161" s="21"/>
      <c r="P161" s="22" t="s">
        <v>2</v>
      </c>
      <c r="Q161" s="22">
        <v>0.78</v>
      </c>
      <c r="R161" s="904" t="s">
        <v>15</v>
      </c>
      <c r="S161" s="904" t="str">
        <f t="shared" si="32"/>
        <v>Stove</v>
      </c>
      <c r="T161" s="23">
        <f t="shared" si="33"/>
        <v>0.11775418231867653</v>
      </c>
      <c r="U161" s="23">
        <f t="shared" si="34"/>
        <v>0.33617275457831902</v>
      </c>
      <c r="V161" s="23">
        <f t="shared" si="34"/>
        <v>0.17441462321576134</v>
      </c>
      <c r="W161" s="23">
        <f t="shared" si="35"/>
        <v>0.33617275457831902</v>
      </c>
      <c r="X161" s="904">
        <f t="shared" si="36"/>
        <v>132</v>
      </c>
      <c r="Y161" s="904">
        <f t="shared" si="36"/>
        <v>138</v>
      </c>
      <c r="Z161" s="904">
        <f t="shared" si="36"/>
        <v>121</v>
      </c>
      <c r="AA161" s="904">
        <f t="shared" si="36"/>
        <v>74</v>
      </c>
      <c r="AB161" s="24">
        <v>51</v>
      </c>
    </row>
    <row r="162" spans="1:28" x14ac:dyDescent="0.25">
      <c r="A162" s="903" t="s">
        <v>77</v>
      </c>
      <c r="B162" t="s">
        <v>383</v>
      </c>
      <c r="C162" s="906" t="s">
        <v>384</v>
      </c>
      <c r="D162" s="25">
        <v>7</v>
      </c>
      <c r="E162" s="903">
        <v>907</v>
      </c>
      <c r="F162" s="903">
        <v>550</v>
      </c>
      <c r="G162" s="903" t="s">
        <v>385</v>
      </c>
      <c r="H162" s="904">
        <f t="shared" si="25"/>
        <v>6</v>
      </c>
      <c r="I162" s="904">
        <f t="shared" si="26"/>
        <v>11</v>
      </c>
      <c r="J162" s="21">
        <f t="shared" si="27"/>
        <v>11700</v>
      </c>
      <c r="K162" s="21">
        <f t="shared" si="28"/>
        <v>11700</v>
      </c>
      <c r="L162" s="21">
        <f t="shared" si="29"/>
        <v>17400</v>
      </c>
      <c r="M162" s="21">
        <f t="shared" si="30"/>
        <v>23100</v>
      </c>
      <c r="N162" s="904">
        <f t="shared" si="31"/>
        <v>124</v>
      </c>
      <c r="O162" s="21"/>
      <c r="P162" s="22" t="s">
        <v>2</v>
      </c>
      <c r="Q162" s="22">
        <v>0.63</v>
      </c>
      <c r="R162" s="904" t="s">
        <v>42</v>
      </c>
      <c r="S162" s="904" t="str">
        <f t="shared" si="32"/>
        <v>Stove</v>
      </c>
      <c r="T162" s="23">
        <f t="shared" si="33"/>
        <v>0.66805622361177919</v>
      </c>
      <c r="U162" s="23">
        <f t="shared" si="34"/>
        <v>1.3189828004642818</v>
      </c>
      <c r="V162" s="23">
        <f t="shared" si="34"/>
        <v>0.88690222789839646</v>
      </c>
      <c r="W162" s="23">
        <f t="shared" si="35"/>
        <v>1.3189828004642818</v>
      </c>
      <c r="X162" s="904">
        <f t="shared" si="36"/>
        <v>950</v>
      </c>
      <c r="Y162" s="904">
        <f t="shared" si="36"/>
        <v>907</v>
      </c>
      <c r="Z162" s="904">
        <f t="shared" si="36"/>
        <v>942</v>
      </c>
      <c r="AA162" s="904">
        <f t="shared" si="36"/>
        <v>861</v>
      </c>
      <c r="AB162" s="24">
        <v>552</v>
      </c>
    </row>
    <row r="163" spans="1:28" x14ac:dyDescent="0.25">
      <c r="A163" s="903" t="s">
        <v>77</v>
      </c>
      <c r="B163" t="s">
        <v>383</v>
      </c>
      <c r="C163" s="906" t="s">
        <v>386</v>
      </c>
      <c r="D163" s="25">
        <v>3.7</v>
      </c>
      <c r="E163" s="903">
        <v>501</v>
      </c>
      <c r="F163" s="903">
        <v>230</v>
      </c>
      <c r="G163" s="903" t="s">
        <v>341</v>
      </c>
      <c r="H163" s="904">
        <f t="shared" si="25"/>
        <v>6</v>
      </c>
      <c r="I163" s="904">
        <f t="shared" si="26"/>
        <v>11</v>
      </c>
      <c r="J163" s="21">
        <f t="shared" si="27"/>
        <v>11400</v>
      </c>
      <c r="K163" s="21">
        <f t="shared" si="28"/>
        <v>14042.000000000002</v>
      </c>
      <c r="L163" s="21">
        <f t="shared" si="29"/>
        <v>26350</v>
      </c>
      <c r="M163" s="21">
        <f t="shared" si="30"/>
        <v>41300</v>
      </c>
      <c r="N163" s="904">
        <f t="shared" si="31"/>
        <v>761</v>
      </c>
      <c r="O163" s="21"/>
      <c r="P163" s="22" t="s">
        <v>2</v>
      </c>
      <c r="Q163" s="22">
        <v>0.63</v>
      </c>
      <c r="R163" s="904" t="s">
        <v>42</v>
      </c>
      <c r="S163" s="904" t="str">
        <f t="shared" si="32"/>
        <v>Stove</v>
      </c>
      <c r="T163" s="23">
        <f t="shared" si="33"/>
        <v>0.19750524189587951</v>
      </c>
      <c r="U163" s="23">
        <f t="shared" si="34"/>
        <v>0.5808977702819984</v>
      </c>
      <c r="V163" s="23">
        <f t="shared" si="34"/>
        <v>0.30956229564705212</v>
      </c>
      <c r="W163" s="23">
        <f t="shared" si="35"/>
        <v>0.71552337634208985</v>
      </c>
      <c r="X163" s="904">
        <f t="shared" si="36"/>
        <v>378</v>
      </c>
      <c r="Y163" s="904">
        <f t="shared" si="36"/>
        <v>407</v>
      </c>
      <c r="Z163" s="904">
        <f t="shared" si="36"/>
        <v>387</v>
      </c>
      <c r="AA163" s="904">
        <f t="shared" si="36"/>
        <v>425</v>
      </c>
      <c r="AB163" s="24">
        <v>173</v>
      </c>
    </row>
    <row r="164" spans="1:28" x14ac:dyDescent="0.25">
      <c r="A164" s="903" t="s">
        <v>77</v>
      </c>
      <c r="B164" t="s">
        <v>383</v>
      </c>
      <c r="C164" s="906" t="s">
        <v>387</v>
      </c>
      <c r="D164" s="25">
        <v>3.2</v>
      </c>
      <c r="E164" s="903">
        <v>376</v>
      </c>
      <c r="F164" s="903">
        <v>141</v>
      </c>
      <c r="G164" s="903" t="s">
        <v>388</v>
      </c>
      <c r="H164" s="904">
        <f t="shared" si="25"/>
        <v>6</v>
      </c>
      <c r="I164" s="904">
        <f t="shared" si="26"/>
        <v>11</v>
      </c>
      <c r="J164" s="21">
        <f t="shared" si="27"/>
        <v>11000</v>
      </c>
      <c r="K164" s="21">
        <f t="shared" si="28"/>
        <v>11000</v>
      </c>
      <c r="L164" s="21">
        <f t="shared" si="29"/>
        <v>21050</v>
      </c>
      <c r="M164" s="21">
        <f t="shared" si="30"/>
        <v>31100</v>
      </c>
      <c r="N164" s="904">
        <f t="shared" si="31"/>
        <v>410</v>
      </c>
      <c r="O164" s="21"/>
      <c r="P164" s="22" t="s">
        <v>2</v>
      </c>
      <c r="Q164" s="22">
        <v>0.63</v>
      </c>
      <c r="R164" s="904" t="s">
        <v>42</v>
      </c>
      <c r="S164" s="904" t="str">
        <f t="shared" si="32"/>
        <v>Stove</v>
      </c>
      <c r="T164" s="23">
        <f t="shared" si="33"/>
        <v>0.22683838332284206</v>
      </c>
      <c r="U164" s="23">
        <f t="shared" si="34"/>
        <v>0.64133397466730802</v>
      </c>
      <c r="V164" s="23">
        <f t="shared" si="34"/>
        <v>0.33513889412543413</v>
      </c>
      <c r="W164" s="23">
        <f t="shared" si="35"/>
        <v>0.64133397466730802</v>
      </c>
      <c r="X164" s="904">
        <f t="shared" si="36"/>
        <v>482</v>
      </c>
      <c r="Y164" s="904">
        <f t="shared" si="36"/>
        <v>484</v>
      </c>
      <c r="Z164" s="904">
        <f t="shared" si="36"/>
        <v>452</v>
      </c>
      <c r="AA164" s="904">
        <f t="shared" si="36"/>
        <v>335</v>
      </c>
      <c r="AB164" s="24">
        <v>224</v>
      </c>
    </row>
    <row r="165" spans="1:28" x14ac:dyDescent="0.25">
      <c r="A165" s="903" t="s">
        <v>77</v>
      </c>
      <c r="B165" t="s">
        <v>383</v>
      </c>
      <c r="C165" s="906" t="s">
        <v>389</v>
      </c>
      <c r="D165" s="25">
        <v>2.9</v>
      </c>
      <c r="E165" s="903">
        <v>295</v>
      </c>
      <c r="F165" s="903">
        <v>96</v>
      </c>
      <c r="G165" s="903" t="s">
        <v>343</v>
      </c>
      <c r="H165" s="904">
        <f t="shared" si="25"/>
        <v>6</v>
      </c>
      <c r="I165" s="904">
        <f t="shared" si="26"/>
        <v>11</v>
      </c>
      <c r="J165" s="21">
        <f t="shared" si="27"/>
        <v>11800</v>
      </c>
      <c r="K165" s="21">
        <f t="shared" si="28"/>
        <v>11800</v>
      </c>
      <c r="L165" s="21">
        <f t="shared" si="29"/>
        <v>22900</v>
      </c>
      <c r="M165" s="21">
        <f t="shared" si="30"/>
        <v>34000</v>
      </c>
      <c r="N165" s="904">
        <f t="shared" si="31"/>
        <v>539</v>
      </c>
      <c r="O165" s="21"/>
      <c r="P165" s="22" t="s">
        <v>2</v>
      </c>
      <c r="Q165" s="22">
        <v>0.63</v>
      </c>
      <c r="R165" s="904" t="s">
        <v>42</v>
      </c>
      <c r="S165" s="904" t="str">
        <f t="shared" si="32"/>
        <v>Stove</v>
      </c>
      <c r="T165" s="23">
        <f t="shared" si="33"/>
        <v>0.18803817823425667</v>
      </c>
      <c r="U165" s="23">
        <f t="shared" si="34"/>
        <v>0.54180492033599381</v>
      </c>
      <c r="V165" s="23">
        <f t="shared" si="34"/>
        <v>0.27918332139583957</v>
      </c>
      <c r="W165" s="23">
        <f t="shared" si="35"/>
        <v>0.54180492033599381</v>
      </c>
      <c r="X165" s="904">
        <f t="shared" si="36"/>
        <v>330</v>
      </c>
      <c r="Y165" s="904">
        <f t="shared" si="36"/>
        <v>355</v>
      </c>
      <c r="Z165" s="904">
        <f t="shared" si="36"/>
        <v>303</v>
      </c>
      <c r="AA165" s="904">
        <f t="shared" si="36"/>
        <v>239</v>
      </c>
      <c r="AB165" s="24">
        <v>143</v>
      </c>
    </row>
    <row r="166" spans="1:28" x14ac:dyDescent="0.25">
      <c r="A166" s="903" t="s">
        <v>77</v>
      </c>
      <c r="B166" t="s">
        <v>383</v>
      </c>
      <c r="C166" s="906" t="s">
        <v>390</v>
      </c>
      <c r="D166" s="25">
        <v>6.5</v>
      </c>
      <c r="E166" s="903">
        <v>875</v>
      </c>
      <c r="F166" s="903">
        <v>521</v>
      </c>
      <c r="G166" s="903" t="s">
        <v>391</v>
      </c>
      <c r="H166" s="904">
        <f t="shared" si="25"/>
        <v>6</v>
      </c>
      <c r="I166" s="904">
        <f t="shared" si="26"/>
        <v>11</v>
      </c>
      <c r="J166" s="21">
        <f t="shared" si="27"/>
        <v>10200</v>
      </c>
      <c r="K166" s="21">
        <f t="shared" si="28"/>
        <v>10472</v>
      </c>
      <c r="L166" s="21">
        <f t="shared" si="29"/>
        <v>20500</v>
      </c>
      <c r="M166" s="21">
        <f t="shared" si="30"/>
        <v>30800</v>
      </c>
      <c r="N166" s="904">
        <f t="shared" si="31"/>
        <v>362</v>
      </c>
      <c r="O166" s="21"/>
      <c r="P166" s="22" t="s">
        <v>2</v>
      </c>
      <c r="Q166" s="22">
        <v>0.63</v>
      </c>
      <c r="R166" s="904" t="s">
        <v>42</v>
      </c>
      <c r="S166" s="904" t="str">
        <f t="shared" si="32"/>
        <v>Stove</v>
      </c>
      <c r="T166" s="23">
        <f t="shared" si="33"/>
        <v>0.46525344144391761</v>
      </c>
      <c r="U166" s="23">
        <f t="shared" si="34"/>
        <v>1.3683924748350518</v>
      </c>
      <c r="V166" s="23">
        <f t="shared" si="34"/>
        <v>0.69901492665720311</v>
      </c>
      <c r="W166" s="23">
        <f t="shared" si="35"/>
        <v>1.4048829408306533</v>
      </c>
      <c r="X166" s="904">
        <f t="shared" si="36"/>
        <v>876</v>
      </c>
      <c r="Y166" s="904">
        <f t="shared" si="36"/>
        <v>921</v>
      </c>
      <c r="Z166" s="904">
        <f t="shared" si="36"/>
        <v>880</v>
      </c>
      <c r="AA166" s="904">
        <f t="shared" si="36"/>
        <v>896</v>
      </c>
      <c r="AB166" s="24">
        <v>566</v>
      </c>
    </row>
    <row r="167" spans="1:28" x14ac:dyDescent="0.25">
      <c r="A167" s="903" t="s">
        <v>77</v>
      </c>
      <c r="B167" t="s">
        <v>383</v>
      </c>
      <c r="C167" s="906" t="s">
        <v>392</v>
      </c>
      <c r="D167" s="25">
        <v>4.2</v>
      </c>
      <c r="E167" s="903">
        <v>619</v>
      </c>
      <c r="F167" s="903">
        <v>303</v>
      </c>
      <c r="G167" s="903" t="s">
        <v>335</v>
      </c>
      <c r="H167" s="904">
        <f t="shared" si="25"/>
        <v>6</v>
      </c>
      <c r="I167" s="904">
        <f t="shared" si="26"/>
        <v>11</v>
      </c>
      <c r="J167" s="21">
        <f t="shared" si="27"/>
        <v>11700</v>
      </c>
      <c r="K167" s="21">
        <f t="shared" si="28"/>
        <v>14348.000000000002</v>
      </c>
      <c r="L167" s="21">
        <f t="shared" si="29"/>
        <v>26950</v>
      </c>
      <c r="M167" s="21">
        <f t="shared" si="30"/>
        <v>42200</v>
      </c>
      <c r="N167" s="904">
        <f t="shared" si="31"/>
        <v>789</v>
      </c>
      <c r="O167" s="21"/>
      <c r="P167" s="22" t="s">
        <v>2</v>
      </c>
      <c r="Q167" s="22">
        <v>0.63</v>
      </c>
      <c r="R167" s="904" t="s">
        <v>42</v>
      </c>
      <c r="S167" s="904" t="str">
        <f t="shared" si="32"/>
        <v>Stove</v>
      </c>
      <c r="T167" s="23">
        <f t="shared" si="33"/>
        <v>0.21941372652273125</v>
      </c>
      <c r="U167" s="23">
        <f t="shared" si="34"/>
        <v>0.64533448977273888</v>
      </c>
      <c r="V167" s="23">
        <f t="shared" si="34"/>
        <v>0.34357177214320073</v>
      </c>
      <c r="W167" s="23">
        <f t="shared" si="35"/>
        <v>0.79138968027856915</v>
      </c>
      <c r="X167" s="904">
        <f t="shared" si="36"/>
        <v>456</v>
      </c>
      <c r="Y167" s="904">
        <f t="shared" si="36"/>
        <v>491</v>
      </c>
      <c r="Z167" s="904">
        <f t="shared" si="36"/>
        <v>476</v>
      </c>
      <c r="AA167" s="904">
        <f t="shared" si="36"/>
        <v>517</v>
      </c>
      <c r="AB167" s="24">
        <v>230</v>
      </c>
    </row>
    <row r="168" spans="1:28" x14ac:dyDescent="0.25">
      <c r="A168" s="903" t="s">
        <v>77</v>
      </c>
      <c r="B168" t="s">
        <v>393</v>
      </c>
      <c r="C168" s="906" t="s">
        <v>394</v>
      </c>
      <c r="D168" s="25">
        <v>0.9</v>
      </c>
      <c r="E168" s="903">
        <v>18</v>
      </c>
      <c r="F168" s="903">
        <v>8</v>
      </c>
      <c r="G168" s="903" t="s">
        <v>395</v>
      </c>
      <c r="H168" s="904">
        <f t="shared" si="25"/>
        <v>6</v>
      </c>
      <c r="I168" s="904">
        <f t="shared" si="26"/>
        <v>11</v>
      </c>
      <c r="J168" s="21">
        <f t="shared" si="27"/>
        <v>10500</v>
      </c>
      <c r="K168" s="21">
        <f t="shared" si="28"/>
        <v>11356</v>
      </c>
      <c r="L168" s="21">
        <f t="shared" si="29"/>
        <v>21950</v>
      </c>
      <c r="M168" s="21">
        <f t="shared" si="30"/>
        <v>33400</v>
      </c>
      <c r="N168" s="904">
        <f t="shared" si="31"/>
        <v>467</v>
      </c>
      <c r="O168" s="21"/>
      <c r="P168" s="22" t="s">
        <v>2</v>
      </c>
      <c r="Q168" s="22">
        <v>0.78</v>
      </c>
      <c r="R168" s="904" t="s">
        <v>15</v>
      </c>
      <c r="S168" s="904" t="str">
        <f t="shared" si="32"/>
        <v>Stove</v>
      </c>
      <c r="T168" s="23">
        <f t="shared" si="33"/>
        <v>5.9404999524760006E-2</v>
      </c>
      <c r="U168" s="23">
        <f t="shared" si="34"/>
        <v>0.17472058683752939</v>
      </c>
      <c r="V168" s="23">
        <f t="shared" si="34"/>
        <v>9.0393028889612037E-2</v>
      </c>
      <c r="W168" s="23">
        <f t="shared" si="35"/>
        <v>0.1889644746787604</v>
      </c>
      <c r="X168" s="904">
        <f t="shared" si="36"/>
        <v>20</v>
      </c>
      <c r="Y168" s="904">
        <f t="shared" si="36"/>
        <v>29</v>
      </c>
      <c r="Z168" s="904">
        <f t="shared" si="36"/>
        <v>20</v>
      </c>
      <c r="AA168" s="904">
        <f t="shared" si="36"/>
        <v>25</v>
      </c>
      <c r="AB168" s="24">
        <v>15</v>
      </c>
    </row>
    <row r="169" spans="1:28" x14ac:dyDescent="0.25">
      <c r="A169" s="903" t="s">
        <v>77</v>
      </c>
      <c r="B169" t="s">
        <v>396</v>
      </c>
      <c r="C169" s="906" t="s">
        <v>397</v>
      </c>
      <c r="D169" s="25">
        <v>1</v>
      </c>
      <c r="E169" s="903">
        <v>23</v>
      </c>
      <c r="F169" s="903">
        <v>11</v>
      </c>
      <c r="G169" s="903" t="s">
        <v>398</v>
      </c>
      <c r="H169" s="904">
        <f t="shared" si="25"/>
        <v>5</v>
      </c>
      <c r="I169" s="904">
        <f t="shared" si="26"/>
        <v>10</v>
      </c>
      <c r="J169" s="21">
        <f t="shared" si="27"/>
        <v>7800</v>
      </c>
      <c r="K169" s="21">
        <f t="shared" si="28"/>
        <v>11254</v>
      </c>
      <c r="L169" s="21">
        <f t="shared" si="29"/>
        <v>20450</v>
      </c>
      <c r="M169" s="21">
        <f t="shared" si="30"/>
        <v>33100</v>
      </c>
      <c r="N169" s="904">
        <f t="shared" si="31"/>
        <v>358</v>
      </c>
      <c r="O169" s="21"/>
      <c r="P169" s="22" t="s">
        <v>2</v>
      </c>
      <c r="Q169" s="22">
        <v>0.78</v>
      </c>
      <c r="R169" s="904" t="s">
        <v>15</v>
      </c>
      <c r="S169" s="904" t="str">
        <f t="shared" si="32"/>
        <v>Stove</v>
      </c>
      <c r="T169" s="23">
        <f t="shared" si="33"/>
        <v>6.6603792686370733E-2</v>
      </c>
      <c r="U169" s="23">
        <f t="shared" si="34"/>
        <v>0.19589350790109036</v>
      </c>
      <c r="V169" s="23">
        <f t="shared" si="34"/>
        <v>0.10780369378576388</v>
      </c>
      <c r="W169" s="23">
        <f t="shared" si="35"/>
        <v>0.2826391715280604</v>
      </c>
      <c r="X169" s="904">
        <f t="shared" si="36"/>
        <v>33</v>
      </c>
      <c r="Y169" s="904">
        <f t="shared" si="36"/>
        <v>43</v>
      </c>
      <c r="Z169" s="904">
        <f t="shared" si="36"/>
        <v>37</v>
      </c>
      <c r="AA169" s="904">
        <f t="shared" si="36"/>
        <v>56</v>
      </c>
      <c r="AB169" s="24">
        <v>20</v>
      </c>
    </row>
    <row r="170" spans="1:28" x14ac:dyDescent="0.25">
      <c r="A170" s="903" t="s">
        <v>77</v>
      </c>
      <c r="B170" t="s">
        <v>399</v>
      </c>
      <c r="C170" s="906" t="s">
        <v>400</v>
      </c>
      <c r="D170" s="25">
        <v>0.6</v>
      </c>
      <c r="E170" s="903">
        <v>7</v>
      </c>
      <c r="F170" s="903">
        <v>4</v>
      </c>
      <c r="G170" s="903" t="s">
        <v>401</v>
      </c>
      <c r="H170" s="904">
        <f t="shared" si="25"/>
        <v>6</v>
      </c>
      <c r="I170" s="904">
        <f t="shared" si="26"/>
        <v>11</v>
      </c>
      <c r="J170" s="21">
        <f t="shared" si="27"/>
        <v>10400</v>
      </c>
      <c r="K170" s="21">
        <f t="shared" si="28"/>
        <v>10400</v>
      </c>
      <c r="L170" s="21">
        <f t="shared" si="29"/>
        <v>17250</v>
      </c>
      <c r="M170" s="21">
        <f t="shared" si="30"/>
        <v>24100</v>
      </c>
      <c r="N170" s="904">
        <f t="shared" si="31"/>
        <v>107</v>
      </c>
      <c r="O170" s="21"/>
      <c r="P170" s="22" t="s">
        <v>2</v>
      </c>
      <c r="Q170" s="22">
        <v>0.78</v>
      </c>
      <c r="R170" s="904" t="s">
        <v>15</v>
      </c>
      <c r="S170" s="904" t="str">
        <f t="shared" si="32"/>
        <v>Stove</v>
      </c>
      <c r="T170" s="23">
        <f t="shared" si="33"/>
        <v>5.4885947002129572E-2</v>
      </c>
      <c r="U170" s="23">
        <f t="shared" si="34"/>
        <v>0.12718762718762719</v>
      </c>
      <c r="V170" s="23">
        <f t="shared" si="34"/>
        <v>7.6681236101525954E-2</v>
      </c>
      <c r="W170" s="23">
        <f t="shared" si="35"/>
        <v>0.12718762718762719</v>
      </c>
      <c r="X170" s="904">
        <f t="shared" si="36"/>
        <v>15</v>
      </c>
      <c r="Y170" s="904">
        <f t="shared" si="36"/>
        <v>12</v>
      </c>
      <c r="Z170" s="904">
        <f t="shared" si="36"/>
        <v>13</v>
      </c>
      <c r="AA170" s="904">
        <f t="shared" si="36"/>
        <v>4</v>
      </c>
      <c r="AB170" s="24">
        <v>4</v>
      </c>
    </row>
    <row r="171" spans="1:28" x14ac:dyDescent="0.25">
      <c r="A171" s="903" t="s">
        <v>77</v>
      </c>
      <c r="B171" t="s">
        <v>402</v>
      </c>
      <c r="C171" s="906" t="s">
        <v>403</v>
      </c>
      <c r="D171" s="25">
        <v>4.7</v>
      </c>
      <c r="E171" s="903">
        <v>728</v>
      </c>
      <c r="F171" s="903">
        <v>250</v>
      </c>
      <c r="G171" s="903" t="s">
        <v>404</v>
      </c>
      <c r="H171" s="904">
        <f t="shared" si="25"/>
        <v>5</v>
      </c>
      <c r="I171" s="904">
        <f t="shared" si="26"/>
        <v>10</v>
      </c>
      <c r="J171" s="21">
        <f t="shared" si="27"/>
        <v>7200</v>
      </c>
      <c r="K171" s="21">
        <f t="shared" si="28"/>
        <v>9656</v>
      </c>
      <c r="L171" s="21">
        <f t="shared" si="29"/>
        <v>17800</v>
      </c>
      <c r="M171" s="21">
        <f t="shared" si="30"/>
        <v>28400</v>
      </c>
      <c r="N171" s="904">
        <f t="shared" si="31"/>
        <v>146</v>
      </c>
      <c r="O171" s="21"/>
      <c r="P171" s="22" t="s">
        <v>2</v>
      </c>
      <c r="Q171" s="22">
        <v>0.72</v>
      </c>
      <c r="R171" s="904" t="s">
        <v>38</v>
      </c>
      <c r="S171" s="904" t="str">
        <f t="shared" si="32"/>
        <v>Stove</v>
      </c>
      <c r="T171" s="23">
        <f t="shared" si="33"/>
        <v>0.36484338127530613</v>
      </c>
      <c r="U171" s="23">
        <f t="shared" si="34"/>
        <v>1.0730687684567828</v>
      </c>
      <c r="V171" s="23">
        <f t="shared" si="34"/>
        <v>0.58210966450666823</v>
      </c>
      <c r="W171" s="23">
        <f t="shared" si="35"/>
        <v>1.4391044483637077</v>
      </c>
      <c r="X171" s="904">
        <f t="shared" si="36"/>
        <v>791</v>
      </c>
      <c r="Y171" s="904">
        <f t="shared" si="36"/>
        <v>848</v>
      </c>
      <c r="Z171" s="904">
        <f t="shared" si="36"/>
        <v>825</v>
      </c>
      <c r="AA171" s="904">
        <f t="shared" si="36"/>
        <v>911</v>
      </c>
      <c r="AB171" s="24">
        <v>266</v>
      </c>
    </row>
    <row r="172" spans="1:28" x14ac:dyDescent="0.25">
      <c r="A172" s="903" t="s">
        <v>77</v>
      </c>
      <c r="B172" t="s">
        <v>402</v>
      </c>
      <c r="C172" s="906" t="s">
        <v>403</v>
      </c>
      <c r="D172" s="25">
        <v>4.7</v>
      </c>
      <c r="E172" s="903">
        <v>728</v>
      </c>
      <c r="F172" s="903">
        <v>250</v>
      </c>
      <c r="G172" s="903" t="s">
        <v>404</v>
      </c>
      <c r="H172" s="904">
        <f t="shared" si="25"/>
        <v>5</v>
      </c>
      <c r="I172" s="904">
        <f t="shared" si="26"/>
        <v>10</v>
      </c>
      <c r="J172" s="21">
        <f t="shared" si="27"/>
        <v>7200</v>
      </c>
      <c r="K172" s="21">
        <f t="shared" si="28"/>
        <v>9656</v>
      </c>
      <c r="L172" s="21">
        <f t="shared" si="29"/>
        <v>17800</v>
      </c>
      <c r="M172" s="21">
        <f t="shared" si="30"/>
        <v>28400</v>
      </c>
      <c r="N172" s="904">
        <f t="shared" si="31"/>
        <v>146</v>
      </c>
      <c r="O172" s="21"/>
      <c r="P172" s="22" t="s">
        <v>2</v>
      </c>
      <c r="Q172" s="22">
        <v>0.72</v>
      </c>
      <c r="R172" s="904" t="s">
        <v>38</v>
      </c>
      <c r="S172" s="904" t="str">
        <f t="shared" si="32"/>
        <v>Stove</v>
      </c>
      <c r="T172" s="23">
        <f t="shared" si="33"/>
        <v>0.36484338127530613</v>
      </c>
      <c r="U172" s="23">
        <f t="shared" si="34"/>
        <v>1.0730687684567828</v>
      </c>
      <c r="V172" s="23">
        <f t="shared" si="34"/>
        <v>0.58210966450666823</v>
      </c>
      <c r="W172" s="23">
        <f t="shared" si="35"/>
        <v>1.4391044483637077</v>
      </c>
      <c r="X172" s="904">
        <f t="shared" si="36"/>
        <v>791</v>
      </c>
      <c r="Y172" s="904">
        <f t="shared" si="36"/>
        <v>848</v>
      </c>
      <c r="Z172" s="904">
        <f t="shared" si="36"/>
        <v>825</v>
      </c>
      <c r="AA172" s="904">
        <f t="shared" si="36"/>
        <v>911</v>
      </c>
      <c r="AB172" s="24">
        <v>266</v>
      </c>
    </row>
    <row r="173" spans="1:28" x14ac:dyDescent="0.25">
      <c r="A173" s="903" t="s">
        <v>77</v>
      </c>
      <c r="B173" t="s">
        <v>402</v>
      </c>
      <c r="C173" s="906" t="s">
        <v>405</v>
      </c>
      <c r="D173" s="25">
        <v>2.4</v>
      </c>
      <c r="E173" s="903">
        <v>196</v>
      </c>
      <c r="F173" s="903">
        <v>75</v>
      </c>
      <c r="G173" s="903" t="s">
        <v>406</v>
      </c>
      <c r="H173" s="904">
        <f t="shared" si="25"/>
        <v>5</v>
      </c>
      <c r="I173" s="904">
        <f t="shared" si="26"/>
        <v>10</v>
      </c>
      <c r="J173" s="21">
        <f t="shared" si="27"/>
        <v>9800</v>
      </c>
      <c r="K173" s="21">
        <f t="shared" si="28"/>
        <v>11628</v>
      </c>
      <c r="L173" s="21">
        <f t="shared" si="29"/>
        <v>22000</v>
      </c>
      <c r="M173" s="21">
        <f t="shared" si="30"/>
        <v>34200</v>
      </c>
      <c r="N173" s="904">
        <f t="shared" si="31"/>
        <v>473</v>
      </c>
      <c r="O173" s="21"/>
      <c r="P173" s="22" t="s">
        <v>2</v>
      </c>
      <c r="Q173" s="22">
        <v>0.72</v>
      </c>
      <c r="R173" s="904" t="s">
        <v>38</v>
      </c>
      <c r="S173" s="904" t="str">
        <f t="shared" si="32"/>
        <v>Stove</v>
      </c>
      <c r="T173" s="23">
        <f t="shared" si="33"/>
        <v>0.15470775704693834</v>
      </c>
      <c r="U173" s="23">
        <f t="shared" si="34"/>
        <v>0.45502281484393631</v>
      </c>
      <c r="V173" s="23">
        <f t="shared" si="34"/>
        <v>0.24050024050024049</v>
      </c>
      <c r="W173" s="23">
        <f t="shared" si="35"/>
        <v>0.53989849908217258</v>
      </c>
      <c r="X173" s="904">
        <f t="shared" si="36"/>
        <v>232</v>
      </c>
      <c r="Y173" s="904">
        <f t="shared" si="36"/>
        <v>244</v>
      </c>
      <c r="Z173" s="904">
        <f t="shared" si="36"/>
        <v>229</v>
      </c>
      <c r="AA173" s="904">
        <f t="shared" si="36"/>
        <v>236</v>
      </c>
      <c r="AB173" s="24">
        <v>98</v>
      </c>
    </row>
    <row r="174" spans="1:28" x14ac:dyDescent="0.25">
      <c r="A174" s="903" t="s">
        <v>77</v>
      </c>
      <c r="B174" t="s">
        <v>407</v>
      </c>
      <c r="C174" s="906" t="s">
        <v>408</v>
      </c>
      <c r="D174" s="25">
        <v>6.9</v>
      </c>
      <c r="E174" s="903">
        <v>900</v>
      </c>
      <c r="F174" s="903">
        <v>543</v>
      </c>
      <c r="G174" s="903" t="s">
        <v>409</v>
      </c>
      <c r="H174" s="904">
        <f t="shared" si="25"/>
        <v>6</v>
      </c>
      <c r="I174" s="904">
        <f t="shared" si="26"/>
        <v>11</v>
      </c>
      <c r="J174" s="21">
        <f t="shared" si="27"/>
        <v>11300</v>
      </c>
      <c r="K174" s="21">
        <f t="shared" si="28"/>
        <v>11934</v>
      </c>
      <c r="L174" s="21">
        <f t="shared" si="29"/>
        <v>23200</v>
      </c>
      <c r="M174" s="21">
        <f t="shared" si="30"/>
        <v>35100</v>
      </c>
      <c r="N174" s="904">
        <f t="shared" si="31"/>
        <v>564</v>
      </c>
      <c r="O174" s="21"/>
      <c r="P174" s="22" t="s">
        <v>2</v>
      </c>
      <c r="Q174" s="22">
        <v>0.63</v>
      </c>
      <c r="R174" s="904" t="s">
        <v>42</v>
      </c>
      <c r="S174" s="904" t="str">
        <f t="shared" si="32"/>
        <v>Stove</v>
      </c>
      <c r="T174" s="23">
        <f t="shared" si="33"/>
        <v>0.43338006300969262</v>
      </c>
      <c r="U174" s="23">
        <f t="shared" si="34"/>
        <v>1.2746472441461547</v>
      </c>
      <c r="V174" s="23">
        <f t="shared" si="34"/>
        <v>0.65567414705345739</v>
      </c>
      <c r="W174" s="23">
        <f t="shared" si="35"/>
        <v>1.3461628505876293</v>
      </c>
      <c r="X174" s="904">
        <f t="shared" si="36"/>
        <v>852</v>
      </c>
      <c r="Y174" s="904">
        <f t="shared" si="36"/>
        <v>894</v>
      </c>
      <c r="Z174" s="904">
        <f t="shared" si="36"/>
        <v>869</v>
      </c>
      <c r="AA174" s="904">
        <f t="shared" si="36"/>
        <v>875</v>
      </c>
      <c r="AB174" s="24">
        <v>539</v>
      </c>
    </row>
    <row r="175" spans="1:28" x14ac:dyDescent="0.25">
      <c r="A175" s="903" t="s">
        <v>77</v>
      </c>
      <c r="B175" t="s">
        <v>410</v>
      </c>
      <c r="C175" s="906" t="s">
        <v>411</v>
      </c>
      <c r="D175" s="25">
        <v>4.5</v>
      </c>
      <c r="E175" s="903">
        <v>700</v>
      </c>
      <c r="F175" s="903">
        <v>244</v>
      </c>
      <c r="G175" s="903" t="s">
        <v>412</v>
      </c>
      <c r="H175" s="904">
        <f t="shared" si="25"/>
        <v>6</v>
      </c>
      <c r="I175" s="904">
        <f t="shared" si="26"/>
        <v>11</v>
      </c>
      <c r="J175" s="21">
        <f t="shared" si="27"/>
        <v>11600</v>
      </c>
      <c r="K175" s="21">
        <f t="shared" si="28"/>
        <v>15334.000000000002</v>
      </c>
      <c r="L175" s="21">
        <f t="shared" si="29"/>
        <v>28350</v>
      </c>
      <c r="M175" s="21">
        <f t="shared" si="30"/>
        <v>45100</v>
      </c>
      <c r="N175" s="904">
        <f t="shared" si="31"/>
        <v>837</v>
      </c>
      <c r="O175" s="21"/>
      <c r="P175" s="22" t="s">
        <v>2</v>
      </c>
      <c r="Q175" s="22">
        <v>0.72</v>
      </c>
      <c r="R175" s="904" t="s">
        <v>38</v>
      </c>
      <c r="S175" s="904" t="str">
        <f t="shared" si="32"/>
        <v>Stove</v>
      </c>
      <c r="T175" s="23">
        <f t="shared" si="33"/>
        <v>0.2199697321648541</v>
      </c>
      <c r="U175" s="23">
        <f t="shared" si="34"/>
        <v>0.64696980048486497</v>
      </c>
      <c r="V175" s="23">
        <f t="shared" si="34"/>
        <v>0.34993421236807482</v>
      </c>
      <c r="W175" s="23">
        <f t="shared" si="35"/>
        <v>0.85522714833059665</v>
      </c>
      <c r="X175" s="904">
        <f t="shared" si="36"/>
        <v>460</v>
      </c>
      <c r="Y175" s="904">
        <f t="shared" si="36"/>
        <v>495</v>
      </c>
      <c r="Z175" s="904">
        <f t="shared" si="36"/>
        <v>488</v>
      </c>
      <c r="AA175" s="904">
        <f t="shared" si="36"/>
        <v>604</v>
      </c>
      <c r="AB175" s="24">
        <v>188</v>
      </c>
    </row>
    <row r="176" spans="1:28" x14ac:dyDescent="0.25">
      <c r="A176" s="903" t="s">
        <v>77</v>
      </c>
      <c r="B176" t="s">
        <v>410</v>
      </c>
      <c r="C176" s="906" t="s">
        <v>413</v>
      </c>
      <c r="D176" s="25">
        <v>2.9</v>
      </c>
      <c r="E176" s="903">
        <v>295</v>
      </c>
      <c r="F176" s="903">
        <v>128</v>
      </c>
      <c r="G176" s="903" t="s">
        <v>414</v>
      </c>
      <c r="H176" s="904">
        <f t="shared" si="25"/>
        <v>6</v>
      </c>
      <c r="I176" s="904">
        <f t="shared" si="26"/>
        <v>11</v>
      </c>
      <c r="J176" s="21">
        <f t="shared" si="27"/>
        <v>10300</v>
      </c>
      <c r="K176" s="21">
        <f t="shared" si="28"/>
        <v>11492</v>
      </c>
      <c r="L176" s="21">
        <f t="shared" si="29"/>
        <v>22050</v>
      </c>
      <c r="M176" s="21">
        <f t="shared" si="30"/>
        <v>33800</v>
      </c>
      <c r="N176" s="904">
        <f t="shared" si="31"/>
        <v>479</v>
      </c>
      <c r="O176" s="21"/>
      <c r="P176" s="22" t="s">
        <v>2</v>
      </c>
      <c r="Q176" s="22">
        <v>0.72</v>
      </c>
      <c r="R176" s="904" t="s">
        <v>38</v>
      </c>
      <c r="S176" s="904" t="str">
        <f t="shared" si="32"/>
        <v>Stove</v>
      </c>
      <c r="T176" s="23">
        <f t="shared" si="33"/>
        <v>0.18915083017647119</v>
      </c>
      <c r="U176" s="23">
        <f t="shared" si="34"/>
        <v>0.55632597110726822</v>
      </c>
      <c r="V176" s="23">
        <f t="shared" si="34"/>
        <v>0.28994549024783339</v>
      </c>
      <c r="W176" s="23">
        <f t="shared" si="35"/>
        <v>0.62070854951113852</v>
      </c>
      <c r="X176" s="904">
        <f t="shared" si="36"/>
        <v>343</v>
      </c>
      <c r="Y176" s="904">
        <f t="shared" si="36"/>
        <v>370</v>
      </c>
      <c r="Z176" s="904">
        <f t="shared" si="36"/>
        <v>335</v>
      </c>
      <c r="AA176" s="904">
        <f t="shared" si="36"/>
        <v>307</v>
      </c>
      <c r="AB176" s="24">
        <v>147</v>
      </c>
    </row>
    <row r="177" spans="1:28" x14ac:dyDescent="0.25">
      <c r="A177" s="903" t="s">
        <v>77</v>
      </c>
      <c r="B177" t="s">
        <v>410</v>
      </c>
      <c r="C177" s="906" t="s">
        <v>413</v>
      </c>
      <c r="D177" s="25">
        <v>3.6</v>
      </c>
      <c r="E177" s="903">
        <v>467</v>
      </c>
      <c r="F177" s="903">
        <v>186</v>
      </c>
      <c r="G177" s="903" t="s">
        <v>258</v>
      </c>
      <c r="H177" s="904">
        <f t="shared" si="25"/>
        <v>5</v>
      </c>
      <c r="I177" s="904">
        <f t="shared" si="26"/>
        <v>10</v>
      </c>
      <c r="J177" s="21">
        <f t="shared" si="27"/>
        <v>8300</v>
      </c>
      <c r="K177" s="21">
        <f t="shared" si="28"/>
        <v>9520</v>
      </c>
      <c r="L177" s="21">
        <f t="shared" si="29"/>
        <v>18150</v>
      </c>
      <c r="M177" s="21">
        <f t="shared" si="30"/>
        <v>28000</v>
      </c>
      <c r="N177" s="904">
        <f t="shared" si="31"/>
        <v>168</v>
      </c>
      <c r="O177" s="21"/>
      <c r="P177" s="22" t="s">
        <v>2</v>
      </c>
      <c r="Q177" s="22">
        <v>0.72</v>
      </c>
      <c r="R177" s="904" t="s">
        <v>38</v>
      </c>
      <c r="S177" s="904" t="str">
        <f t="shared" si="32"/>
        <v>Stove</v>
      </c>
      <c r="T177" s="23">
        <f t="shared" si="33"/>
        <v>0.28344671201814059</v>
      </c>
      <c r="U177" s="23">
        <f t="shared" si="34"/>
        <v>0.8336668000533547</v>
      </c>
      <c r="V177" s="23">
        <f t="shared" si="34"/>
        <v>0.43727316454589182</v>
      </c>
      <c r="W177" s="23">
        <f t="shared" si="35"/>
        <v>0.95620577548288388</v>
      </c>
      <c r="X177" s="904">
        <f t="shared" si="36"/>
        <v>639</v>
      </c>
      <c r="Y177" s="904">
        <f t="shared" si="36"/>
        <v>699</v>
      </c>
      <c r="Z177" s="904">
        <f t="shared" si="36"/>
        <v>656</v>
      </c>
      <c r="AA177" s="904">
        <f t="shared" si="36"/>
        <v>688</v>
      </c>
      <c r="AB177" s="24">
        <v>236</v>
      </c>
    </row>
    <row r="178" spans="1:28" x14ac:dyDescent="0.25">
      <c r="A178" s="903" t="s">
        <v>77</v>
      </c>
      <c r="B178" t="s">
        <v>415</v>
      </c>
      <c r="C178" s="906" t="s">
        <v>416</v>
      </c>
      <c r="D178" s="25">
        <v>2.8</v>
      </c>
      <c r="E178" s="903">
        <v>283</v>
      </c>
      <c r="F178" s="903">
        <v>119</v>
      </c>
      <c r="G178" s="903" t="s">
        <v>417</v>
      </c>
      <c r="H178" s="904">
        <f t="shared" si="25"/>
        <v>5</v>
      </c>
      <c r="I178" s="904">
        <f t="shared" si="26"/>
        <v>10</v>
      </c>
      <c r="J178" s="21">
        <f t="shared" si="27"/>
        <v>9100</v>
      </c>
      <c r="K178" s="21">
        <f t="shared" si="28"/>
        <v>10812</v>
      </c>
      <c r="L178" s="21">
        <f t="shared" si="29"/>
        <v>20450</v>
      </c>
      <c r="M178" s="21">
        <f t="shared" si="30"/>
        <v>31800</v>
      </c>
      <c r="N178" s="904">
        <f t="shared" si="31"/>
        <v>358</v>
      </c>
      <c r="O178" s="21"/>
      <c r="P178" s="22" t="s">
        <v>2</v>
      </c>
      <c r="Q178" s="22">
        <v>0.72</v>
      </c>
      <c r="R178" s="904" t="s">
        <v>38</v>
      </c>
      <c r="S178" s="904" t="str">
        <f t="shared" si="32"/>
        <v>Stove</v>
      </c>
      <c r="T178" s="23">
        <f t="shared" si="33"/>
        <v>0.19411444987964904</v>
      </c>
      <c r="U178" s="23">
        <f t="shared" si="34"/>
        <v>0.57092485258720305</v>
      </c>
      <c r="V178" s="23">
        <f t="shared" si="34"/>
        <v>0.30185034260013888</v>
      </c>
      <c r="W178" s="23">
        <f t="shared" si="35"/>
        <v>0.67833401166734497</v>
      </c>
      <c r="X178" s="904">
        <f t="shared" si="36"/>
        <v>364</v>
      </c>
      <c r="Y178" s="904">
        <f t="shared" si="36"/>
        <v>392</v>
      </c>
      <c r="Z178" s="904">
        <f t="shared" si="36"/>
        <v>362</v>
      </c>
      <c r="AA178" s="904">
        <f t="shared" si="36"/>
        <v>391</v>
      </c>
      <c r="AB178" s="24">
        <v>157</v>
      </c>
    </row>
    <row r="179" spans="1:28" x14ac:dyDescent="0.25">
      <c r="A179" s="903"/>
      <c r="B179" t="s">
        <v>418</v>
      </c>
      <c r="C179" s="906" t="s">
        <v>419</v>
      </c>
      <c r="D179" s="25">
        <v>1.6</v>
      </c>
      <c r="E179" s="903">
        <v>86</v>
      </c>
      <c r="F179" s="903">
        <v>37</v>
      </c>
      <c r="G179" s="903" t="s">
        <v>420</v>
      </c>
      <c r="H179" s="904">
        <f t="shared" si="25"/>
        <v>6</v>
      </c>
      <c r="I179" s="904">
        <f t="shared" si="26"/>
        <v>11</v>
      </c>
      <c r="J179" s="21">
        <f t="shared" si="27"/>
        <v>10455</v>
      </c>
      <c r="K179" s="21">
        <f t="shared" si="28"/>
        <v>10455</v>
      </c>
      <c r="L179" s="21">
        <f t="shared" si="29"/>
        <v>17510.5</v>
      </c>
      <c r="M179" s="21">
        <f t="shared" si="30"/>
        <v>24566</v>
      </c>
      <c r="N179" s="904">
        <f t="shared" si="31"/>
        <v>134</v>
      </c>
      <c r="O179" s="21"/>
      <c r="P179" s="22" t="s">
        <v>2</v>
      </c>
      <c r="Q179" s="22">
        <v>0.78</v>
      </c>
      <c r="R179" s="904" t="s">
        <v>15</v>
      </c>
      <c r="S179" s="904" t="str">
        <f t="shared" si="32"/>
        <v>Stove</v>
      </c>
      <c r="T179" s="23">
        <f t="shared" si="33"/>
        <v>0.14358612963731146</v>
      </c>
      <c r="U179" s="23">
        <f t="shared" si="34"/>
        <v>0.33738277003062594</v>
      </c>
      <c r="V179" s="23">
        <f t="shared" si="34"/>
        <v>0.20144124157906362</v>
      </c>
      <c r="W179" s="23">
        <f t="shared" si="35"/>
        <v>0.33738277003062594</v>
      </c>
      <c r="X179" s="904">
        <f t="shared" si="36"/>
        <v>195</v>
      </c>
      <c r="Y179" s="904">
        <f t="shared" si="36"/>
        <v>140</v>
      </c>
      <c r="Z179" s="904">
        <f t="shared" si="36"/>
        <v>170</v>
      </c>
      <c r="AA179" s="904">
        <f t="shared" si="36"/>
        <v>77</v>
      </c>
      <c r="AB179" s="24">
        <v>53</v>
      </c>
    </row>
    <row r="180" spans="1:28" x14ac:dyDescent="0.25">
      <c r="A180" s="903"/>
      <c r="B180" t="s">
        <v>418</v>
      </c>
      <c r="C180" s="906" t="s">
        <v>421</v>
      </c>
      <c r="D180" s="25">
        <v>2.35</v>
      </c>
      <c r="E180" s="903">
        <v>194</v>
      </c>
      <c r="F180" s="903">
        <v>55</v>
      </c>
      <c r="G180" s="903" t="s">
        <v>422</v>
      </c>
      <c r="H180" s="904">
        <f t="shared" si="25"/>
        <v>6</v>
      </c>
      <c r="I180" s="904">
        <f t="shared" si="26"/>
        <v>11</v>
      </c>
      <c r="J180" s="21">
        <f t="shared" si="27"/>
        <v>11579</v>
      </c>
      <c r="K180" s="21">
        <f t="shared" si="28"/>
        <v>11579</v>
      </c>
      <c r="L180" s="21">
        <f t="shared" si="29"/>
        <v>21798</v>
      </c>
      <c r="M180" s="21">
        <f t="shared" si="30"/>
        <v>32017</v>
      </c>
      <c r="N180" s="904">
        <f t="shared" si="31"/>
        <v>456</v>
      </c>
      <c r="O180" s="21"/>
      <c r="P180" s="22" t="s">
        <v>2</v>
      </c>
      <c r="Q180" s="22">
        <v>0.63</v>
      </c>
      <c r="R180" s="904" t="s">
        <v>42</v>
      </c>
      <c r="S180" s="904" t="str">
        <f t="shared" si="32"/>
        <v>Stove</v>
      </c>
      <c r="T180" s="23">
        <f t="shared" si="33"/>
        <v>0.16181328713212814</v>
      </c>
      <c r="U180" s="23">
        <f t="shared" si="34"/>
        <v>0.44742862199752542</v>
      </c>
      <c r="V180" s="23">
        <f t="shared" si="34"/>
        <v>0.23767208065461726</v>
      </c>
      <c r="W180" s="23">
        <f t="shared" si="35"/>
        <v>0.44742862199752542</v>
      </c>
      <c r="X180" s="904">
        <f t="shared" si="36"/>
        <v>243</v>
      </c>
      <c r="Y180" s="904">
        <f t="shared" si="36"/>
        <v>232</v>
      </c>
      <c r="Z180" s="904">
        <f t="shared" si="36"/>
        <v>220</v>
      </c>
      <c r="AA180" s="904">
        <f t="shared" si="36"/>
        <v>147</v>
      </c>
      <c r="AB180" s="24">
        <v>78</v>
      </c>
    </row>
    <row r="181" spans="1:28" x14ac:dyDescent="0.25">
      <c r="A181" s="903"/>
      <c r="B181" t="s">
        <v>418</v>
      </c>
      <c r="C181" s="906" t="s">
        <v>423</v>
      </c>
      <c r="D181" s="25">
        <v>4.3</v>
      </c>
      <c r="E181" s="903">
        <v>635</v>
      </c>
      <c r="F181" s="903">
        <v>318</v>
      </c>
      <c r="G181" s="903" t="s">
        <v>424</v>
      </c>
      <c r="H181" s="904">
        <f t="shared" si="25"/>
        <v>6</v>
      </c>
      <c r="I181" s="904">
        <f t="shared" si="26"/>
        <v>11</v>
      </c>
      <c r="J181" s="21">
        <f t="shared" si="27"/>
        <v>12791</v>
      </c>
      <c r="K181" s="21">
        <f t="shared" si="28"/>
        <v>14796.800000000001</v>
      </c>
      <c r="L181" s="21">
        <f t="shared" si="29"/>
        <v>28155.5</v>
      </c>
      <c r="M181" s="21">
        <f t="shared" si="30"/>
        <v>43520</v>
      </c>
      <c r="N181" s="904">
        <f t="shared" si="31"/>
        <v>835</v>
      </c>
      <c r="O181" s="21"/>
      <c r="P181" s="22" t="s">
        <v>2</v>
      </c>
      <c r="Q181" s="22">
        <v>0.63</v>
      </c>
      <c r="R181" s="904" t="s">
        <v>42</v>
      </c>
      <c r="S181" s="904" t="str">
        <f t="shared" si="32"/>
        <v>Stove</v>
      </c>
      <c r="T181" s="23">
        <f t="shared" si="33"/>
        <v>0.21782439827782965</v>
      </c>
      <c r="U181" s="23">
        <f t="shared" si="34"/>
        <v>0.64065999493479309</v>
      </c>
      <c r="V181" s="23">
        <f t="shared" si="34"/>
        <v>0.33669151011529347</v>
      </c>
      <c r="W181" s="23">
        <f t="shared" si="35"/>
        <v>0.74112405699719686</v>
      </c>
      <c r="X181" s="904">
        <f t="shared" si="36"/>
        <v>453</v>
      </c>
      <c r="Y181" s="904">
        <f t="shared" si="36"/>
        <v>482</v>
      </c>
      <c r="Z181" s="904">
        <f t="shared" si="36"/>
        <v>459</v>
      </c>
      <c r="AA181" s="904">
        <f t="shared" si="36"/>
        <v>450</v>
      </c>
      <c r="AB181" s="24">
        <v>222</v>
      </c>
    </row>
    <row r="182" spans="1:28" x14ac:dyDescent="0.25">
      <c r="A182" s="903"/>
      <c r="B182" t="s">
        <v>418</v>
      </c>
      <c r="C182" s="906" t="s">
        <v>423</v>
      </c>
      <c r="D182" s="25">
        <v>4.3</v>
      </c>
      <c r="E182" s="903">
        <v>635</v>
      </c>
      <c r="F182" s="903">
        <v>318</v>
      </c>
      <c r="G182" s="903" t="s">
        <v>425</v>
      </c>
      <c r="H182" s="904">
        <f t="shared" si="25"/>
        <v>6</v>
      </c>
      <c r="I182" s="904">
        <f t="shared" si="26"/>
        <v>11</v>
      </c>
      <c r="J182" s="21">
        <f t="shared" si="27"/>
        <v>11875</v>
      </c>
      <c r="K182" s="21">
        <f t="shared" si="28"/>
        <v>11875</v>
      </c>
      <c r="L182" s="21">
        <f t="shared" si="29"/>
        <v>15556.5</v>
      </c>
      <c r="M182" s="21">
        <f t="shared" si="30"/>
        <v>19238</v>
      </c>
      <c r="N182" s="904">
        <f t="shared" si="31"/>
        <v>53</v>
      </c>
      <c r="O182" s="21"/>
      <c r="P182" s="22" t="s">
        <v>2</v>
      </c>
      <c r="Q182" s="22">
        <v>0.63</v>
      </c>
      <c r="R182" s="904" t="s">
        <v>42</v>
      </c>
      <c r="S182" s="904" t="str">
        <f t="shared" si="32"/>
        <v>Stove</v>
      </c>
      <c r="T182" s="23">
        <f t="shared" si="33"/>
        <v>0.49276004850042343</v>
      </c>
      <c r="U182" s="23">
        <f t="shared" si="34"/>
        <v>0.79829202636220176</v>
      </c>
      <c r="V182" s="23">
        <f t="shared" si="34"/>
        <v>0.60937343316627424</v>
      </c>
      <c r="W182" s="23">
        <f t="shared" si="35"/>
        <v>0.79829202636220176</v>
      </c>
      <c r="X182" s="904">
        <f t="shared" si="36"/>
        <v>892</v>
      </c>
      <c r="Y182" s="904">
        <f t="shared" si="36"/>
        <v>659</v>
      </c>
      <c r="Z182" s="904">
        <f t="shared" si="36"/>
        <v>845</v>
      </c>
      <c r="AA182" s="904">
        <f t="shared" si="36"/>
        <v>528</v>
      </c>
      <c r="AB182" s="24">
        <v>352</v>
      </c>
    </row>
    <row r="183" spans="1:28" x14ac:dyDescent="0.25">
      <c r="A183" s="903"/>
      <c r="B183" t="s">
        <v>418</v>
      </c>
      <c r="C183" s="906" t="s">
        <v>426</v>
      </c>
      <c r="D183" s="25">
        <v>5.0999999999999996</v>
      </c>
      <c r="E183" s="903">
        <v>766</v>
      </c>
      <c r="F183" s="903">
        <v>259</v>
      </c>
      <c r="G183" s="903" t="s">
        <v>427</v>
      </c>
      <c r="H183" s="904">
        <f t="shared" si="25"/>
        <v>5</v>
      </c>
      <c r="I183" s="904">
        <f t="shared" si="26"/>
        <v>10</v>
      </c>
      <c r="J183" s="21">
        <f t="shared" si="27"/>
        <v>9000</v>
      </c>
      <c r="K183" s="21">
        <f t="shared" si="28"/>
        <v>10268</v>
      </c>
      <c r="L183" s="21">
        <f t="shared" si="29"/>
        <v>19600</v>
      </c>
      <c r="M183" s="21">
        <f t="shared" si="30"/>
        <v>30200</v>
      </c>
      <c r="N183" s="904">
        <f t="shared" si="31"/>
        <v>285</v>
      </c>
      <c r="O183" s="21"/>
      <c r="P183" s="22" t="s">
        <v>2</v>
      </c>
      <c r="Q183" s="22">
        <v>0.72</v>
      </c>
      <c r="R183" s="904" t="s">
        <v>38</v>
      </c>
      <c r="S183" s="904" t="str">
        <f t="shared" si="32"/>
        <v>Stove</v>
      </c>
      <c r="T183" s="23">
        <f t="shared" si="33"/>
        <v>0.37229755772802131</v>
      </c>
      <c r="U183" s="23">
        <f t="shared" si="34"/>
        <v>1.0949928168471215</v>
      </c>
      <c r="V183" s="23">
        <f t="shared" si="34"/>
        <v>0.57364215527480833</v>
      </c>
      <c r="W183" s="23">
        <f t="shared" si="35"/>
        <v>1.249265138154027</v>
      </c>
      <c r="X183" s="904">
        <f t="shared" si="36"/>
        <v>800</v>
      </c>
      <c r="Y183" s="904">
        <f t="shared" si="36"/>
        <v>856</v>
      </c>
      <c r="Z183" s="904">
        <f t="shared" si="36"/>
        <v>822</v>
      </c>
      <c r="AA183" s="904">
        <f t="shared" si="36"/>
        <v>838</v>
      </c>
      <c r="AB183" s="24">
        <v>269</v>
      </c>
    </row>
    <row r="184" spans="1:28" x14ac:dyDescent="0.25">
      <c r="A184" s="903"/>
      <c r="B184" t="s">
        <v>418</v>
      </c>
      <c r="C184" s="906" t="s">
        <v>428</v>
      </c>
      <c r="D184" s="25">
        <v>2.7</v>
      </c>
      <c r="E184" s="903">
        <v>257</v>
      </c>
      <c r="F184" s="903">
        <v>109</v>
      </c>
      <c r="G184" s="903" t="s">
        <v>429</v>
      </c>
      <c r="H184" s="904">
        <f t="shared" si="25"/>
        <v>5</v>
      </c>
      <c r="I184" s="904">
        <f t="shared" si="26"/>
        <v>10</v>
      </c>
      <c r="J184" s="21">
        <f t="shared" si="27"/>
        <v>9000</v>
      </c>
      <c r="K184" s="21">
        <f t="shared" si="28"/>
        <v>9000</v>
      </c>
      <c r="L184" s="21">
        <f t="shared" si="29"/>
        <v>14550</v>
      </c>
      <c r="M184" s="21">
        <f t="shared" si="30"/>
        <v>20100</v>
      </c>
      <c r="N184" s="904">
        <f t="shared" si="31"/>
        <v>33</v>
      </c>
      <c r="O184" s="21"/>
      <c r="P184" s="22" t="s">
        <v>2</v>
      </c>
      <c r="Q184" s="22">
        <v>0.72</v>
      </c>
      <c r="R184" s="904" t="s">
        <v>38</v>
      </c>
      <c r="S184" s="904" t="str">
        <f t="shared" si="32"/>
        <v>Stove</v>
      </c>
      <c r="T184" s="23">
        <f t="shared" si="33"/>
        <v>0.29613835583984838</v>
      </c>
      <c r="U184" s="23">
        <f t="shared" si="34"/>
        <v>0.66137566137566139</v>
      </c>
      <c r="V184" s="23">
        <f t="shared" si="34"/>
        <v>0.40909834724267713</v>
      </c>
      <c r="W184" s="23">
        <f t="shared" si="35"/>
        <v>0.66137566137566139</v>
      </c>
      <c r="X184" s="904">
        <f t="shared" si="36"/>
        <v>663</v>
      </c>
      <c r="Y184" s="904">
        <f t="shared" si="36"/>
        <v>512</v>
      </c>
      <c r="Z184" s="904">
        <f t="shared" si="36"/>
        <v>614</v>
      </c>
      <c r="AA184" s="904">
        <f t="shared" si="36"/>
        <v>364</v>
      </c>
      <c r="AB184" s="24">
        <v>192</v>
      </c>
    </row>
    <row r="185" spans="1:28" x14ac:dyDescent="0.25">
      <c r="A185" s="903"/>
      <c r="B185" t="s">
        <v>418</v>
      </c>
      <c r="C185" s="906" t="s">
        <v>430</v>
      </c>
      <c r="D185" s="25">
        <v>1.43</v>
      </c>
      <c r="E185" s="903">
        <v>75</v>
      </c>
      <c r="F185" s="903">
        <v>32</v>
      </c>
      <c r="G185" s="903" t="s">
        <v>431</v>
      </c>
      <c r="H185" s="904">
        <f t="shared" si="25"/>
        <v>6</v>
      </c>
      <c r="I185" s="904">
        <f t="shared" si="26"/>
        <v>11</v>
      </c>
      <c r="J185" s="21">
        <f t="shared" si="27"/>
        <v>10700</v>
      </c>
      <c r="K185" s="21">
        <f t="shared" si="28"/>
        <v>10700</v>
      </c>
      <c r="L185" s="21">
        <f t="shared" si="29"/>
        <v>17900</v>
      </c>
      <c r="M185" s="21">
        <f t="shared" si="30"/>
        <v>25100</v>
      </c>
      <c r="N185" s="904">
        <f t="shared" si="31"/>
        <v>151</v>
      </c>
      <c r="O185" s="21"/>
      <c r="P185" s="22" t="s">
        <v>2</v>
      </c>
      <c r="Q185" s="22">
        <v>0.78</v>
      </c>
      <c r="R185" s="904" t="s">
        <v>15</v>
      </c>
      <c r="S185" s="904" t="str">
        <f t="shared" si="32"/>
        <v>Stove</v>
      </c>
      <c r="T185" s="23">
        <f t="shared" si="33"/>
        <v>0.12559989319617473</v>
      </c>
      <c r="U185" s="23">
        <f t="shared" si="34"/>
        <v>0.29463152516112018</v>
      </c>
      <c r="V185" s="23">
        <f t="shared" si="34"/>
        <v>0.17612052062703831</v>
      </c>
      <c r="W185" s="23">
        <f t="shared" si="35"/>
        <v>0.29463152516112018</v>
      </c>
      <c r="X185" s="904">
        <f t="shared" si="36"/>
        <v>155</v>
      </c>
      <c r="Y185" s="904">
        <f t="shared" si="36"/>
        <v>96</v>
      </c>
      <c r="Z185" s="904">
        <f t="shared" si="36"/>
        <v>124</v>
      </c>
      <c r="AA185" s="904">
        <f t="shared" si="36"/>
        <v>62</v>
      </c>
      <c r="AB185" s="24">
        <v>34</v>
      </c>
    </row>
    <row r="186" spans="1:28" x14ac:dyDescent="0.25">
      <c r="A186" s="903"/>
      <c r="B186" t="s">
        <v>418</v>
      </c>
      <c r="C186" s="906" t="s">
        <v>432</v>
      </c>
      <c r="D186" s="25">
        <v>1.63</v>
      </c>
      <c r="E186" s="903">
        <v>100</v>
      </c>
      <c r="F186" s="903">
        <v>25</v>
      </c>
      <c r="G186" s="903" t="s">
        <v>433</v>
      </c>
      <c r="H186" s="904">
        <f t="shared" si="25"/>
        <v>6</v>
      </c>
      <c r="I186" s="904">
        <f t="shared" si="26"/>
        <v>11</v>
      </c>
      <c r="J186" s="21">
        <f t="shared" si="27"/>
        <v>11950</v>
      </c>
      <c r="K186" s="21">
        <f t="shared" si="28"/>
        <v>11950</v>
      </c>
      <c r="L186" s="21">
        <f t="shared" si="29"/>
        <v>20143.5</v>
      </c>
      <c r="M186" s="21">
        <f t="shared" si="30"/>
        <v>28337</v>
      </c>
      <c r="N186" s="904">
        <f t="shared" si="31"/>
        <v>334</v>
      </c>
      <c r="O186" s="21"/>
      <c r="P186" s="22" t="s">
        <v>2</v>
      </c>
      <c r="Q186" s="22">
        <v>0.63</v>
      </c>
      <c r="R186" s="904" t="s">
        <v>42</v>
      </c>
      <c r="S186" s="904" t="str">
        <f t="shared" si="32"/>
        <v>Stove</v>
      </c>
      <c r="T186" s="23">
        <f t="shared" si="33"/>
        <v>0.12681209820403572</v>
      </c>
      <c r="U186" s="23">
        <f t="shared" si="34"/>
        <v>0.3007091570550427</v>
      </c>
      <c r="V186" s="23">
        <f t="shared" si="34"/>
        <v>0.17839374621132179</v>
      </c>
      <c r="W186" s="23">
        <f t="shared" si="35"/>
        <v>0.3007091570550427</v>
      </c>
      <c r="X186" s="904">
        <f t="shared" si="36"/>
        <v>160</v>
      </c>
      <c r="Y186" s="904">
        <f t="shared" si="36"/>
        <v>102</v>
      </c>
      <c r="Z186" s="904">
        <f t="shared" si="36"/>
        <v>127</v>
      </c>
      <c r="AA186" s="904">
        <f t="shared" si="36"/>
        <v>64</v>
      </c>
      <c r="AB186" s="24">
        <v>25</v>
      </c>
    </row>
    <row r="187" spans="1:28" x14ac:dyDescent="0.25">
      <c r="A187" s="903"/>
      <c r="B187" t="s">
        <v>418</v>
      </c>
      <c r="C187" s="906" t="s">
        <v>434</v>
      </c>
      <c r="D187" s="25">
        <v>2.6</v>
      </c>
      <c r="E187" s="903">
        <v>235</v>
      </c>
      <c r="F187" s="903">
        <v>66</v>
      </c>
      <c r="G187" s="903" t="s">
        <v>435</v>
      </c>
      <c r="H187" s="904">
        <f t="shared" si="25"/>
        <v>6</v>
      </c>
      <c r="I187" s="904">
        <f t="shared" si="26"/>
        <v>11</v>
      </c>
      <c r="J187" s="21">
        <f t="shared" si="27"/>
        <v>10000</v>
      </c>
      <c r="K187" s="21">
        <f t="shared" si="28"/>
        <v>10000</v>
      </c>
      <c r="L187" s="21">
        <f t="shared" si="29"/>
        <v>19600</v>
      </c>
      <c r="M187" s="21">
        <f t="shared" si="30"/>
        <v>29200</v>
      </c>
      <c r="N187" s="904">
        <f t="shared" si="31"/>
        <v>285</v>
      </c>
      <c r="O187" s="21"/>
      <c r="P187" s="22" t="s">
        <v>2</v>
      </c>
      <c r="Q187" s="22">
        <v>0.63</v>
      </c>
      <c r="R187" s="904" t="s">
        <v>42</v>
      </c>
      <c r="S187" s="904" t="str">
        <f t="shared" si="32"/>
        <v>Insert</v>
      </c>
      <c r="T187" s="23">
        <f t="shared" si="33"/>
        <v>0.19629871228044743</v>
      </c>
      <c r="U187" s="23">
        <f t="shared" si="34"/>
        <v>0.57319223985890655</v>
      </c>
      <c r="V187" s="23">
        <f t="shared" si="34"/>
        <v>0.29244502033617681</v>
      </c>
      <c r="W187" s="23">
        <f t="shared" si="35"/>
        <v>0.57319223985890655</v>
      </c>
      <c r="X187" s="904">
        <f t="shared" si="36"/>
        <v>369</v>
      </c>
      <c r="Y187" s="904">
        <f t="shared" si="36"/>
        <v>393</v>
      </c>
      <c r="Z187" s="904">
        <f t="shared" si="36"/>
        <v>346</v>
      </c>
      <c r="AA187" s="904">
        <f t="shared" si="36"/>
        <v>266</v>
      </c>
      <c r="AB187" s="24">
        <v>164</v>
      </c>
    </row>
    <row r="188" spans="1:28" x14ac:dyDescent="0.25">
      <c r="A188" s="903"/>
      <c r="B188" t="s">
        <v>418</v>
      </c>
      <c r="C188" s="906" t="s">
        <v>436</v>
      </c>
      <c r="D188" s="25">
        <v>2.6</v>
      </c>
      <c r="E188" s="903">
        <v>235</v>
      </c>
      <c r="F188" s="903">
        <v>66</v>
      </c>
      <c r="G188" s="903" t="s">
        <v>435</v>
      </c>
      <c r="H188" s="904">
        <f t="shared" si="25"/>
        <v>6</v>
      </c>
      <c r="I188" s="904">
        <f t="shared" si="26"/>
        <v>11</v>
      </c>
      <c r="J188" s="21">
        <f t="shared" si="27"/>
        <v>10000</v>
      </c>
      <c r="K188" s="21">
        <f t="shared" si="28"/>
        <v>10000</v>
      </c>
      <c r="L188" s="21">
        <f t="shared" si="29"/>
        <v>19600</v>
      </c>
      <c r="M188" s="21">
        <f t="shared" si="30"/>
        <v>29200</v>
      </c>
      <c r="N188" s="904">
        <f t="shared" si="31"/>
        <v>285</v>
      </c>
      <c r="O188" s="21"/>
      <c r="P188" s="22" t="s">
        <v>2</v>
      </c>
      <c r="Q188" s="22">
        <v>0.63</v>
      </c>
      <c r="R188" s="904" t="s">
        <v>42</v>
      </c>
      <c r="S188" s="904" t="str">
        <f t="shared" si="32"/>
        <v>Stove</v>
      </c>
      <c r="T188" s="23">
        <f t="shared" si="33"/>
        <v>0.19629871228044743</v>
      </c>
      <c r="U188" s="23">
        <f t="shared" si="34"/>
        <v>0.57319223985890655</v>
      </c>
      <c r="V188" s="23">
        <f t="shared" si="34"/>
        <v>0.29244502033617681</v>
      </c>
      <c r="W188" s="23">
        <f t="shared" si="35"/>
        <v>0.57319223985890655</v>
      </c>
      <c r="X188" s="904">
        <f t="shared" si="36"/>
        <v>369</v>
      </c>
      <c r="Y188" s="904">
        <f t="shared" si="36"/>
        <v>393</v>
      </c>
      <c r="Z188" s="904">
        <f t="shared" si="36"/>
        <v>346</v>
      </c>
      <c r="AA188" s="904">
        <f t="shared" si="36"/>
        <v>266</v>
      </c>
      <c r="AB188" s="24">
        <v>164</v>
      </c>
    </row>
    <row r="189" spans="1:28" x14ac:dyDescent="0.25">
      <c r="A189" s="903"/>
      <c r="B189" t="s">
        <v>418</v>
      </c>
      <c r="C189" s="906" t="s">
        <v>437</v>
      </c>
      <c r="D189" s="25">
        <v>2.6</v>
      </c>
      <c r="E189" s="903">
        <v>235</v>
      </c>
      <c r="F189" s="903">
        <v>69</v>
      </c>
      <c r="G189" s="903" t="s">
        <v>438</v>
      </c>
      <c r="H189" s="904">
        <f t="shared" si="25"/>
        <v>6</v>
      </c>
      <c r="I189" s="904">
        <f t="shared" si="26"/>
        <v>11</v>
      </c>
      <c r="J189" s="21">
        <f t="shared" si="27"/>
        <v>10700</v>
      </c>
      <c r="K189" s="21">
        <f t="shared" si="28"/>
        <v>10700</v>
      </c>
      <c r="L189" s="21">
        <f t="shared" si="29"/>
        <v>17600</v>
      </c>
      <c r="M189" s="21">
        <f t="shared" si="30"/>
        <v>24500</v>
      </c>
      <c r="N189" s="904">
        <f t="shared" si="31"/>
        <v>140</v>
      </c>
      <c r="O189" s="21"/>
      <c r="P189" s="22" t="s">
        <v>2</v>
      </c>
      <c r="Q189" s="22">
        <v>0.78</v>
      </c>
      <c r="R189" s="904" t="s">
        <v>15</v>
      </c>
      <c r="S189" s="904" t="str">
        <f t="shared" si="32"/>
        <v>Stove</v>
      </c>
      <c r="T189" s="23">
        <f t="shared" si="33"/>
        <v>0.23395601626894144</v>
      </c>
      <c r="U189" s="23">
        <f t="shared" si="34"/>
        <v>0.53569368211112756</v>
      </c>
      <c r="V189" s="23">
        <f t="shared" si="34"/>
        <v>0.32567740901074232</v>
      </c>
      <c r="W189" s="23">
        <f t="shared" si="35"/>
        <v>0.53569368211112756</v>
      </c>
      <c r="X189" s="904">
        <f t="shared" si="36"/>
        <v>511</v>
      </c>
      <c r="Y189" s="904">
        <f t="shared" si="36"/>
        <v>342</v>
      </c>
      <c r="Z189" s="904">
        <f t="shared" si="36"/>
        <v>424</v>
      </c>
      <c r="AA189" s="904">
        <f t="shared" si="36"/>
        <v>232</v>
      </c>
      <c r="AB189" s="24">
        <v>68</v>
      </c>
    </row>
    <row r="190" spans="1:28" x14ac:dyDescent="0.25">
      <c r="A190" s="903"/>
      <c r="B190" t="s">
        <v>418</v>
      </c>
      <c r="C190" s="906" t="s">
        <v>439</v>
      </c>
      <c r="D190" s="25">
        <v>3.6</v>
      </c>
      <c r="E190" s="903">
        <v>467</v>
      </c>
      <c r="F190" s="903">
        <v>186</v>
      </c>
      <c r="G190" s="903" t="s">
        <v>440</v>
      </c>
      <c r="H190" s="904">
        <f t="shared" si="25"/>
        <v>5</v>
      </c>
      <c r="I190" s="904">
        <f t="shared" si="26"/>
        <v>10</v>
      </c>
      <c r="J190" s="21">
        <f t="shared" si="27"/>
        <v>8500</v>
      </c>
      <c r="K190" s="21">
        <f t="shared" si="28"/>
        <v>10540</v>
      </c>
      <c r="L190" s="21">
        <f t="shared" si="29"/>
        <v>19750</v>
      </c>
      <c r="M190" s="21">
        <f t="shared" si="30"/>
        <v>31000</v>
      </c>
      <c r="N190" s="904">
        <f t="shared" si="31"/>
        <v>294</v>
      </c>
      <c r="O190" s="21"/>
      <c r="P190" s="22" t="s">
        <v>2</v>
      </c>
      <c r="Q190" s="22">
        <v>0.72</v>
      </c>
      <c r="R190" s="904" t="s">
        <v>38</v>
      </c>
      <c r="S190" s="904" t="str">
        <f t="shared" si="32"/>
        <v>Stove</v>
      </c>
      <c r="T190" s="23">
        <f t="shared" si="33"/>
        <v>0.2560163850486431</v>
      </c>
      <c r="U190" s="23">
        <f t="shared" si="34"/>
        <v>0.75298936779012682</v>
      </c>
      <c r="V190" s="23">
        <f t="shared" si="34"/>
        <v>0.40184850311432591</v>
      </c>
      <c r="W190" s="23">
        <f t="shared" si="35"/>
        <v>0.93370681605975725</v>
      </c>
      <c r="X190" s="904">
        <f t="shared" si="36"/>
        <v>576</v>
      </c>
      <c r="Y190" s="904">
        <f t="shared" si="36"/>
        <v>617</v>
      </c>
      <c r="Z190" s="904">
        <f t="shared" si="36"/>
        <v>594</v>
      </c>
      <c r="AA190" s="904">
        <f t="shared" si="36"/>
        <v>668</v>
      </c>
      <c r="AB190" s="24">
        <v>223</v>
      </c>
    </row>
    <row r="191" spans="1:28" x14ac:dyDescent="0.25">
      <c r="A191" s="903"/>
      <c r="B191" t="s">
        <v>418</v>
      </c>
      <c r="C191" s="906" t="s">
        <v>441</v>
      </c>
      <c r="D191" s="25">
        <v>4.4000000000000004</v>
      </c>
      <c r="E191" s="903">
        <v>660</v>
      </c>
      <c r="F191" s="903">
        <v>243</v>
      </c>
      <c r="G191" s="903" t="s">
        <v>442</v>
      </c>
      <c r="H191" s="904">
        <f t="shared" si="25"/>
        <v>5</v>
      </c>
      <c r="I191" s="904">
        <f t="shared" si="26"/>
        <v>10</v>
      </c>
      <c r="J191" s="21">
        <f t="shared" si="27"/>
        <v>8400</v>
      </c>
      <c r="K191" s="21">
        <f t="shared" si="28"/>
        <v>9894</v>
      </c>
      <c r="L191" s="21">
        <f t="shared" si="29"/>
        <v>18750</v>
      </c>
      <c r="M191" s="21">
        <f t="shared" si="30"/>
        <v>29100</v>
      </c>
      <c r="N191" s="904">
        <f t="shared" si="31"/>
        <v>213</v>
      </c>
      <c r="O191" s="21"/>
      <c r="P191" s="22" t="s">
        <v>2</v>
      </c>
      <c r="Q191" s="22">
        <v>0.72</v>
      </c>
      <c r="R191" s="904" t="s">
        <v>38</v>
      </c>
      <c r="S191" s="904" t="str">
        <f t="shared" si="32"/>
        <v>Insert</v>
      </c>
      <c r="T191" s="23">
        <f t="shared" si="33"/>
        <v>0.33333939404958879</v>
      </c>
      <c r="U191" s="23">
        <f t="shared" si="34"/>
        <v>0.98040998249879041</v>
      </c>
      <c r="V191" s="23">
        <f t="shared" si="34"/>
        <v>0.5173427395649618</v>
      </c>
      <c r="W191" s="23">
        <f t="shared" si="35"/>
        <v>1.1547829008146469</v>
      </c>
      <c r="X191" s="904">
        <f t="shared" si="36"/>
        <v>746</v>
      </c>
      <c r="Y191" s="904">
        <f t="shared" si="36"/>
        <v>802</v>
      </c>
      <c r="Z191" s="904">
        <f t="shared" si="36"/>
        <v>761</v>
      </c>
      <c r="AA191" s="904">
        <f t="shared" si="36"/>
        <v>807</v>
      </c>
      <c r="AB191" s="24">
        <v>251</v>
      </c>
    </row>
    <row r="192" spans="1:28" x14ac:dyDescent="0.25">
      <c r="A192" s="903"/>
      <c r="B192" t="s">
        <v>418</v>
      </c>
      <c r="C192" s="906" t="s">
        <v>443</v>
      </c>
      <c r="D192" s="25">
        <v>2.4</v>
      </c>
      <c r="E192" s="903">
        <v>196</v>
      </c>
      <c r="F192" s="903">
        <v>75</v>
      </c>
      <c r="G192" s="903" t="s">
        <v>444</v>
      </c>
      <c r="H192" s="904">
        <f t="shared" si="25"/>
        <v>5</v>
      </c>
      <c r="I192" s="904">
        <f t="shared" si="26"/>
        <v>10</v>
      </c>
      <c r="J192" s="21">
        <f t="shared" si="27"/>
        <v>7200</v>
      </c>
      <c r="K192" s="21">
        <f t="shared" si="28"/>
        <v>12104</v>
      </c>
      <c r="L192" s="21">
        <f t="shared" si="29"/>
        <v>21400</v>
      </c>
      <c r="M192" s="21">
        <f t="shared" si="30"/>
        <v>35600</v>
      </c>
      <c r="N192" s="904">
        <f t="shared" si="31"/>
        <v>435</v>
      </c>
      <c r="O192" s="21"/>
      <c r="P192" s="22" t="s">
        <v>2</v>
      </c>
      <c r="Q192" s="22">
        <v>0.72</v>
      </c>
      <c r="R192" s="904" t="s">
        <v>38</v>
      </c>
      <c r="S192" s="904" t="str">
        <f t="shared" si="32"/>
        <v>Stove</v>
      </c>
      <c r="T192" s="23">
        <f t="shared" si="33"/>
        <v>0.14862374412936211</v>
      </c>
      <c r="U192" s="23">
        <f t="shared" si="34"/>
        <v>0.43712865920400618</v>
      </c>
      <c r="V192" s="23">
        <f t="shared" si="34"/>
        <v>0.24724323789744351</v>
      </c>
      <c r="W192" s="23">
        <f t="shared" si="35"/>
        <v>0.73486184597295712</v>
      </c>
      <c r="X192" s="904">
        <f t="shared" si="36"/>
        <v>207</v>
      </c>
      <c r="Y192" s="904">
        <f t="shared" si="36"/>
        <v>218</v>
      </c>
      <c r="Z192" s="904">
        <f t="shared" si="36"/>
        <v>240</v>
      </c>
      <c r="AA192" s="904">
        <f t="shared" si="36"/>
        <v>441</v>
      </c>
      <c r="AB192" s="24">
        <v>86</v>
      </c>
    </row>
    <row r="193" spans="1:28" x14ac:dyDescent="0.25">
      <c r="A193" s="903"/>
      <c r="B193" t="s">
        <v>418</v>
      </c>
      <c r="C193" s="906" t="s">
        <v>445</v>
      </c>
      <c r="D193" s="25">
        <v>2.5</v>
      </c>
      <c r="E193" s="903">
        <v>218</v>
      </c>
      <c r="F193" s="903">
        <v>89</v>
      </c>
      <c r="G193" s="903" t="s">
        <v>446</v>
      </c>
      <c r="H193" s="904">
        <f t="shared" si="25"/>
        <v>5</v>
      </c>
      <c r="I193" s="904">
        <f t="shared" si="26"/>
        <v>10</v>
      </c>
      <c r="J193" s="21">
        <f t="shared" si="27"/>
        <v>8200</v>
      </c>
      <c r="K193" s="21">
        <f t="shared" si="28"/>
        <v>8296</v>
      </c>
      <c r="L193" s="21">
        <f t="shared" si="29"/>
        <v>16300</v>
      </c>
      <c r="M193" s="21">
        <f t="shared" si="30"/>
        <v>24400</v>
      </c>
      <c r="N193" s="904">
        <f t="shared" si="31"/>
        <v>72</v>
      </c>
      <c r="O193" s="21"/>
      <c r="P193" s="22" t="s">
        <v>2</v>
      </c>
      <c r="Q193" s="22">
        <v>0.72</v>
      </c>
      <c r="R193" s="904" t="s">
        <v>38</v>
      </c>
      <c r="S193" s="904" t="str">
        <f t="shared" si="32"/>
        <v>Stove</v>
      </c>
      <c r="T193" s="23">
        <f t="shared" si="33"/>
        <v>0.22587966577037616</v>
      </c>
      <c r="U193" s="23">
        <f t="shared" si="34"/>
        <v>0.66435195814816517</v>
      </c>
      <c r="V193" s="23">
        <f t="shared" si="34"/>
        <v>0.33812661624522566</v>
      </c>
      <c r="W193" s="23">
        <f t="shared" si="35"/>
        <v>0.6721297371703876</v>
      </c>
      <c r="X193" s="904">
        <f t="shared" si="36"/>
        <v>477</v>
      </c>
      <c r="Y193" s="904">
        <f t="shared" si="36"/>
        <v>515</v>
      </c>
      <c r="Z193" s="904">
        <f t="shared" si="36"/>
        <v>463</v>
      </c>
      <c r="AA193" s="904">
        <f t="shared" si="36"/>
        <v>386</v>
      </c>
      <c r="AB193" s="24">
        <v>194</v>
      </c>
    </row>
    <row r="194" spans="1:28" x14ac:dyDescent="0.25">
      <c r="A194" s="903"/>
      <c r="B194" t="s">
        <v>418</v>
      </c>
      <c r="C194" s="906" t="s">
        <v>447</v>
      </c>
      <c r="D194" s="25">
        <v>2.7</v>
      </c>
      <c r="E194" s="903">
        <v>257</v>
      </c>
      <c r="F194" s="903">
        <v>109</v>
      </c>
      <c r="G194" s="903" t="s">
        <v>448</v>
      </c>
      <c r="H194" s="904">
        <f t="shared" si="25"/>
        <v>5</v>
      </c>
      <c r="I194" s="904">
        <f t="shared" si="26"/>
        <v>10</v>
      </c>
      <c r="J194" s="21">
        <f t="shared" si="27"/>
        <v>7900</v>
      </c>
      <c r="K194" s="21">
        <f t="shared" si="28"/>
        <v>8670</v>
      </c>
      <c r="L194" s="21">
        <f t="shared" si="29"/>
        <v>16700</v>
      </c>
      <c r="M194" s="21">
        <f t="shared" si="30"/>
        <v>25500</v>
      </c>
      <c r="N194" s="904">
        <f t="shared" si="31"/>
        <v>85</v>
      </c>
      <c r="O194" s="21"/>
      <c r="P194" s="22" t="s">
        <v>2</v>
      </c>
      <c r="Q194" s="22">
        <v>0.72</v>
      </c>
      <c r="R194" s="904" t="s">
        <v>38</v>
      </c>
      <c r="S194" s="904" t="str">
        <f t="shared" si="32"/>
        <v>Stove</v>
      </c>
      <c r="T194" s="23">
        <f t="shared" si="33"/>
        <v>0.23342670401493931</v>
      </c>
      <c r="U194" s="23">
        <f t="shared" si="34"/>
        <v>0.6865491294557039</v>
      </c>
      <c r="V194" s="23">
        <f t="shared" si="34"/>
        <v>0.35642999714856</v>
      </c>
      <c r="W194" s="23">
        <f t="shared" si="35"/>
        <v>0.75346594333936101</v>
      </c>
      <c r="X194" s="904">
        <f t="shared" si="36"/>
        <v>507</v>
      </c>
      <c r="Y194" s="904">
        <f t="shared" si="36"/>
        <v>552</v>
      </c>
      <c r="Z194" s="904">
        <f t="shared" si="36"/>
        <v>501</v>
      </c>
      <c r="AA194" s="904">
        <f t="shared" si="36"/>
        <v>470</v>
      </c>
      <c r="AB194" s="24">
        <v>209</v>
      </c>
    </row>
    <row r="195" spans="1:28" x14ac:dyDescent="0.25">
      <c r="A195" s="903"/>
      <c r="B195" t="s">
        <v>418</v>
      </c>
      <c r="C195" s="906" t="s">
        <v>449</v>
      </c>
      <c r="D195" s="25">
        <v>2.2000000000000002</v>
      </c>
      <c r="E195" s="903">
        <v>169</v>
      </c>
      <c r="F195" s="903">
        <v>64</v>
      </c>
      <c r="G195" s="903" t="s">
        <v>450</v>
      </c>
      <c r="H195" s="904">
        <f t="shared" si="25"/>
        <v>5</v>
      </c>
      <c r="I195" s="904">
        <f t="shared" si="26"/>
        <v>10</v>
      </c>
      <c r="J195" s="21">
        <f t="shared" si="27"/>
        <v>8700</v>
      </c>
      <c r="K195" s="21">
        <f t="shared" si="28"/>
        <v>8976</v>
      </c>
      <c r="L195" s="21">
        <f t="shared" si="29"/>
        <v>17550</v>
      </c>
      <c r="M195" s="21">
        <f t="shared" si="30"/>
        <v>26400</v>
      </c>
      <c r="N195" s="904">
        <f t="shared" si="31"/>
        <v>135</v>
      </c>
      <c r="O195" s="21"/>
      <c r="P195" s="22" t="s">
        <v>2</v>
      </c>
      <c r="Q195" s="22">
        <v>0.72</v>
      </c>
      <c r="R195" s="904" t="s">
        <v>38</v>
      </c>
      <c r="S195" s="904" t="str">
        <f t="shared" si="32"/>
        <v>Stove</v>
      </c>
      <c r="T195" s="23">
        <f t="shared" si="33"/>
        <v>0.18371546149323928</v>
      </c>
      <c r="U195" s="23">
        <f t="shared" si="34"/>
        <v>0.54033959262717435</v>
      </c>
      <c r="V195" s="23">
        <f t="shared" si="34"/>
        <v>0.27635830104965908</v>
      </c>
      <c r="W195" s="23">
        <f t="shared" si="35"/>
        <v>0.55748140039327776</v>
      </c>
      <c r="X195" s="904">
        <f t="shared" si="36"/>
        <v>326</v>
      </c>
      <c r="Y195" s="904">
        <f t="shared" si="36"/>
        <v>351</v>
      </c>
      <c r="Z195" s="904">
        <f t="shared" si="36"/>
        <v>296</v>
      </c>
      <c r="AA195" s="904">
        <f t="shared" si="36"/>
        <v>251</v>
      </c>
      <c r="AB195" s="24">
        <v>141</v>
      </c>
    </row>
    <row r="196" spans="1:28" x14ac:dyDescent="0.25">
      <c r="A196" s="903"/>
      <c r="B196" t="s">
        <v>418</v>
      </c>
      <c r="C196" s="906" t="s">
        <v>451</v>
      </c>
      <c r="D196" s="25">
        <v>2</v>
      </c>
      <c r="E196" s="903">
        <v>131</v>
      </c>
      <c r="F196" s="903">
        <v>46</v>
      </c>
      <c r="G196" s="903" t="s">
        <v>452</v>
      </c>
      <c r="H196" s="904">
        <f t="shared" si="25"/>
        <v>5</v>
      </c>
      <c r="I196" s="904">
        <f t="shared" si="26"/>
        <v>10</v>
      </c>
      <c r="J196" s="21">
        <f t="shared" si="27"/>
        <v>7800</v>
      </c>
      <c r="K196" s="21">
        <f t="shared" si="28"/>
        <v>9146</v>
      </c>
      <c r="L196" s="21">
        <f t="shared" si="29"/>
        <v>17350</v>
      </c>
      <c r="M196" s="21">
        <f t="shared" si="30"/>
        <v>26900</v>
      </c>
      <c r="N196" s="904">
        <f t="shared" si="31"/>
        <v>120</v>
      </c>
      <c r="O196" s="21"/>
      <c r="P196" s="22" t="s">
        <v>2</v>
      </c>
      <c r="Q196" s="22">
        <v>0.72</v>
      </c>
      <c r="R196" s="904" t="s">
        <v>38</v>
      </c>
      <c r="S196" s="904" t="str">
        <f t="shared" si="32"/>
        <v>Stove</v>
      </c>
      <c r="T196" s="23">
        <f t="shared" si="33"/>
        <v>0.16390970542147743</v>
      </c>
      <c r="U196" s="23">
        <f t="shared" si="34"/>
        <v>0.48208736888669829</v>
      </c>
      <c r="V196" s="23">
        <f t="shared" si="34"/>
        <v>0.25413089774280939</v>
      </c>
      <c r="W196" s="23">
        <f t="shared" si="35"/>
        <v>0.56527834305612079</v>
      </c>
      <c r="X196" s="904">
        <f t="shared" si="36"/>
        <v>250</v>
      </c>
      <c r="Y196" s="904">
        <f t="shared" si="36"/>
        <v>266</v>
      </c>
      <c r="Z196" s="904">
        <f t="shared" si="36"/>
        <v>254</v>
      </c>
      <c r="AA196" s="904">
        <f t="shared" si="36"/>
        <v>261</v>
      </c>
      <c r="AB196" s="24">
        <v>108</v>
      </c>
    </row>
    <row r="197" spans="1:28" ht="15" customHeight="1" x14ac:dyDescent="0.25">
      <c r="A197" s="903"/>
      <c r="B197" t="s">
        <v>418</v>
      </c>
      <c r="C197" s="906" t="s">
        <v>453</v>
      </c>
      <c r="D197" s="25">
        <v>2.6</v>
      </c>
      <c r="E197" s="903">
        <v>235</v>
      </c>
      <c r="F197" s="903">
        <v>102</v>
      </c>
      <c r="G197" s="903" t="s">
        <v>454</v>
      </c>
      <c r="H197" s="904">
        <f t="shared" si="25"/>
        <v>6</v>
      </c>
      <c r="I197" s="904">
        <f t="shared" si="26"/>
        <v>11</v>
      </c>
      <c r="J197" s="21">
        <f t="shared" si="27"/>
        <v>10200</v>
      </c>
      <c r="K197" s="21">
        <f t="shared" si="28"/>
        <v>10200</v>
      </c>
      <c r="L197" s="21">
        <f t="shared" si="29"/>
        <v>18650</v>
      </c>
      <c r="M197" s="21">
        <f t="shared" si="30"/>
        <v>27100</v>
      </c>
      <c r="N197" s="904">
        <f t="shared" si="31"/>
        <v>211</v>
      </c>
      <c r="O197" s="21"/>
      <c r="P197" s="22" t="s">
        <v>2</v>
      </c>
      <c r="Q197" s="22">
        <v>0.72</v>
      </c>
      <c r="R197" s="904" t="s">
        <v>38</v>
      </c>
      <c r="S197" s="904" t="str">
        <f t="shared" si="32"/>
        <v>Stove</v>
      </c>
      <c r="T197" s="23">
        <f t="shared" si="33"/>
        <v>0.2115100516084526</v>
      </c>
      <c r="U197" s="23">
        <f t="shared" si="34"/>
        <v>0.56195317633226127</v>
      </c>
      <c r="V197" s="23">
        <f t="shared" si="34"/>
        <v>0.30734168357045927</v>
      </c>
      <c r="W197" s="23">
        <f t="shared" si="35"/>
        <v>0.56195317633226127</v>
      </c>
      <c r="X197" s="904">
        <f t="shared" si="36"/>
        <v>428</v>
      </c>
      <c r="Y197" s="904">
        <f t="shared" si="36"/>
        <v>380</v>
      </c>
      <c r="Z197" s="904">
        <f t="shared" si="36"/>
        <v>378</v>
      </c>
      <c r="AA197" s="904">
        <f t="shared" si="36"/>
        <v>259</v>
      </c>
      <c r="AB197" s="24">
        <v>151</v>
      </c>
    </row>
    <row r="198" spans="1:28" ht="15" customHeight="1" x14ac:dyDescent="0.25">
      <c r="A198" s="903"/>
      <c r="B198" t="s">
        <v>418</v>
      </c>
      <c r="C198" s="906" t="s">
        <v>455</v>
      </c>
      <c r="D198" s="25">
        <v>3.1</v>
      </c>
      <c r="E198" s="903">
        <v>347</v>
      </c>
      <c r="F198" s="903">
        <v>73</v>
      </c>
      <c r="G198" s="903" t="s">
        <v>456</v>
      </c>
      <c r="H198" s="904">
        <f t="shared" si="25"/>
        <v>5</v>
      </c>
      <c r="I198" s="904">
        <f t="shared" si="26"/>
        <v>10</v>
      </c>
      <c r="J198" s="21">
        <f t="shared" si="27"/>
        <v>8200</v>
      </c>
      <c r="K198" s="21">
        <f t="shared" si="28"/>
        <v>8200</v>
      </c>
      <c r="L198" s="21">
        <f t="shared" si="29"/>
        <v>15300</v>
      </c>
      <c r="M198" s="21">
        <f t="shared" si="30"/>
        <v>22400</v>
      </c>
      <c r="N198" s="904">
        <f t="shared" si="31"/>
        <v>46</v>
      </c>
      <c r="O198" s="21"/>
      <c r="P198" s="22" t="s">
        <v>2</v>
      </c>
      <c r="Q198" s="22">
        <v>0.78</v>
      </c>
      <c r="R198" s="904" t="s">
        <v>15</v>
      </c>
      <c r="S198" s="904" t="str">
        <f t="shared" si="32"/>
        <v>Stove</v>
      </c>
      <c r="T198" s="23">
        <f t="shared" si="33"/>
        <v>0.30509889140841523</v>
      </c>
      <c r="U198" s="23">
        <f t="shared" si="34"/>
        <v>0.83344087409128065</v>
      </c>
      <c r="V198" s="23">
        <f t="shared" si="34"/>
        <v>0.4466807299051308</v>
      </c>
      <c r="W198" s="23">
        <f t="shared" si="35"/>
        <v>0.83344087409128065</v>
      </c>
      <c r="X198" s="904">
        <f t="shared" si="36"/>
        <v>684</v>
      </c>
      <c r="Y198" s="904">
        <f t="shared" si="36"/>
        <v>698</v>
      </c>
      <c r="Z198" s="904">
        <f t="shared" si="36"/>
        <v>670</v>
      </c>
      <c r="AA198" s="904">
        <f t="shared" si="36"/>
        <v>578</v>
      </c>
      <c r="AB198" s="24">
        <v>79</v>
      </c>
    </row>
    <row r="199" spans="1:28" ht="15" customHeight="1" x14ac:dyDescent="0.25">
      <c r="A199" s="903"/>
      <c r="B199" t="s">
        <v>418</v>
      </c>
      <c r="C199" s="906" t="s">
        <v>457</v>
      </c>
      <c r="D199" s="25">
        <v>2.1</v>
      </c>
      <c r="E199" s="903">
        <v>145</v>
      </c>
      <c r="F199" s="903">
        <v>53</v>
      </c>
      <c r="G199" s="903" t="s">
        <v>458</v>
      </c>
      <c r="H199" s="904">
        <f t="shared" si="25"/>
        <v>5</v>
      </c>
      <c r="I199" s="904">
        <f t="shared" si="26"/>
        <v>10</v>
      </c>
      <c r="J199" s="21">
        <f t="shared" si="27"/>
        <v>7200</v>
      </c>
      <c r="K199" s="21">
        <f t="shared" si="28"/>
        <v>9724</v>
      </c>
      <c r="L199" s="21">
        <f t="shared" si="29"/>
        <v>17900</v>
      </c>
      <c r="M199" s="21">
        <f t="shared" si="30"/>
        <v>28600</v>
      </c>
      <c r="N199" s="904">
        <f t="shared" si="31"/>
        <v>151</v>
      </c>
      <c r="O199" s="21"/>
      <c r="P199" s="22" t="s">
        <v>2</v>
      </c>
      <c r="Q199" s="22">
        <v>0.72</v>
      </c>
      <c r="R199" s="904" t="s">
        <v>38</v>
      </c>
      <c r="S199" s="904" t="str">
        <f t="shared" si="32"/>
        <v>Stove</v>
      </c>
      <c r="T199" s="23">
        <f t="shared" si="33"/>
        <v>0.16187516187516188</v>
      </c>
      <c r="U199" s="23">
        <f t="shared" si="34"/>
        <v>0.47610341727988781</v>
      </c>
      <c r="V199" s="23">
        <f t="shared" si="34"/>
        <v>0.25863852679495136</v>
      </c>
      <c r="W199" s="23">
        <f t="shared" si="35"/>
        <v>0.64300411522633749</v>
      </c>
      <c r="X199" s="904">
        <f t="shared" si="36"/>
        <v>244</v>
      </c>
      <c r="Y199" s="904">
        <f t="shared" si="36"/>
        <v>260</v>
      </c>
      <c r="Z199" s="904">
        <f t="shared" si="36"/>
        <v>258</v>
      </c>
      <c r="AA199" s="904">
        <f t="shared" si="36"/>
        <v>339</v>
      </c>
      <c r="AB199" s="24">
        <v>104</v>
      </c>
    </row>
    <row r="200" spans="1:28" ht="15" customHeight="1" x14ac:dyDescent="0.25">
      <c r="A200" s="903"/>
      <c r="B200" t="s">
        <v>418</v>
      </c>
      <c r="C200" s="906" t="s">
        <v>459</v>
      </c>
      <c r="D200" s="25">
        <v>3.8</v>
      </c>
      <c r="E200" s="903">
        <v>518</v>
      </c>
      <c r="F200" s="903">
        <v>205</v>
      </c>
      <c r="G200" s="903" t="s">
        <v>460</v>
      </c>
      <c r="H200" s="904">
        <f t="shared" si="25"/>
        <v>5</v>
      </c>
      <c r="I200" s="904">
        <f t="shared" si="26"/>
        <v>10</v>
      </c>
      <c r="J200" s="21">
        <f t="shared" si="27"/>
        <v>9100</v>
      </c>
      <c r="K200" s="21">
        <f t="shared" si="28"/>
        <v>9100</v>
      </c>
      <c r="L200" s="21">
        <f t="shared" si="29"/>
        <v>17250</v>
      </c>
      <c r="M200" s="21">
        <f t="shared" si="30"/>
        <v>25400</v>
      </c>
      <c r="N200" s="904">
        <f t="shared" si="31"/>
        <v>107</v>
      </c>
      <c r="O200" s="21"/>
      <c r="P200" s="22" t="s">
        <v>2</v>
      </c>
      <c r="Q200" s="22">
        <v>0.72</v>
      </c>
      <c r="R200" s="904" t="s">
        <v>38</v>
      </c>
      <c r="S200" s="904" t="str">
        <f t="shared" si="32"/>
        <v>Stove</v>
      </c>
      <c r="T200" s="23">
        <f t="shared" si="33"/>
        <v>0.32981988362565789</v>
      </c>
      <c r="U200" s="23">
        <f t="shared" si="34"/>
        <v>0.92059615869139677</v>
      </c>
      <c r="V200" s="23">
        <f t="shared" si="34"/>
        <v>0.48564782864299771</v>
      </c>
      <c r="W200" s="23">
        <f t="shared" si="35"/>
        <v>0.92059615869139677</v>
      </c>
      <c r="X200" s="904">
        <f t="shared" si="36"/>
        <v>734</v>
      </c>
      <c r="Y200" s="904">
        <f t="shared" si="36"/>
        <v>762</v>
      </c>
      <c r="Z200" s="904">
        <f t="shared" si="36"/>
        <v>726</v>
      </c>
      <c r="AA200" s="904">
        <f t="shared" si="36"/>
        <v>663</v>
      </c>
      <c r="AB200" s="24">
        <v>247</v>
      </c>
    </row>
    <row r="201" spans="1:28" x14ac:dyDescent="0.25">
      <c r="A201" s="903"/>
      <c r="B201" t="s">
        <v>418</v>
      </c>
      <c r="C201" s="906" t="s">
        <v>461</v>
      </c>
      <c r="D201" s="25">
        <v>2.4</v>
      </c>
      <c r="E201" s="903">
        <v>196</v>
      </c>
      <c r="F201" s="903">
        <v>75</v>
      </c>
      <c r="G201" s="903" t="s">
        <v>462</v>
      </c>
      <c r="H201" s="904">
        <f t="shared" si="25"/>
        <v>5</v>
      </c>
      <c r="I201" s="904">
        <f t="shared" si="26"/>
        <v>10</v>
      </c>
      <c r="J201" s="21">
        <f t="shared" si="27"/>
        <v>5400</v>
      </c>
      <c r="K201" s="21">
        <f t="shared" si="28"/>
        <v>5916</v>
      </c>
      <c r="L201" s="21">
        <f t="shared" si="29"/>
        <v>11400</v>
      </c>
      <c r="M201" s="21">
        <f t="shared" si="30"/>
        <v>17400</v>
      </c>
      <c r="N201" s="904">
        <f t="shared" si="31"/>
        <v>6</v>
      </c>
      <c r="O201" s="21"/>
      <c r="P201" s="22" t="s">
        <v>2</v>
      </c>
      <c r="Q201" s="22">
        <v>0.72</v>
      </c>
      <c r="R201" s="904" t="s">
        <v>38</v>
      </c>
      <c r="S201" s="904" t="str">
        <f t="shared" si="32"/>
        <v>Stove</v>
      </c>
      <c r="T201" s="23">
        <f t="shared" si="33"/>
        <v>0.30408076385087879</v>
      </c>
      <c r="U201" s="23">
        <f t="shared" si="34"/>
        <v>0.89435518779670231</v>
      </c>
      <c r="V201" s="23">
        <f t="shared" si="34"/>
        <v>0.46412327114081497</v>
      </c>
      <c r="W201" s="23">
        <f t="shared" si="35"/>
        <v>0.97981579463060942</v>
      </c>
      <c r="X201" s="904">
        <f t="shared" si="36"/>
        <v>680</v>
      </c>
      <c r="Y201" s="904">
        <f t="shared" si="36"/>
        <v>740</v>
      </c>
      <c r="Z201" s="904">
        <f t="shared" si="36"/>
        <v>690</v>
      </c>
      <c r="AA201" s="904">
        <f t="shared" si="36"/>
        <v>707</v>
      </c>
      <c r="AB201" s="24">
        <v>243</v>
      </c>
    </row>
    <row r="202" spans="1:28" ht="15" customHeight="1" x14ac:dyDescent="0.25">
      <c r="A202" s="903" t="s">
        <v>77</v>
      </c>
      <c r="B202" t="s">
        <v>463</v>
      </c>
      <c r="C202" s="906" t="s">
        <v>464</v>
      </c>
      <c r="D202" s="25">
        <v>4.4000000000000004</v>
      </c>
      <c r="E202" s="903">
        <v>660</v>
      </c>
      <c r="F202" s="903">
        <v>338</v>
      </c>
      <c r="G202" s="903" t="s">
        <v>465</v>
      </c>
      <c r="H202" s="904">
        <f t="shared" si="25"/>
        <v>6</v>
      </c>
      <c r="I202" s="904">
        <f t="shared" si="26"/>
        <v>11</v>
      </c>
      <c r="J202" s="21">
        <f t="shared" si="27"/>
        <v>11000</v>
      </c>
      <c r="K202" s="21">
        <f t="shared" si="28"/>
        <v>12070</v>
      </c>
      <c r="L202" s="21">
        <f t="shared" si="29"/>
        <v>23250</v>
      </c>
      <c r="M202" s="21">
        <f t="shared" si="30"/>
        <v>35500</v>
      </c>
      <c r="N202" s="904">
        <f t="shared" si="31"/>
        <v>566</v>
      </c>
      <c r="O202" s="21"/>
      <c r="P202" s="22" t="s">
        <v>2</v>
      </c>
      <c r="Q202" s="22">
        <v>0.63</v>
      </c>
      <c r="R202" s="904" t="s">
        <v>42</v>
      </c>
      <c r="S202" s="904" t="str">
        <f t="shared" si="32"/>
        <v>Stove</v>
      </c>
      <c r="T202" s="23">
        <f t="shared" si="33"/>
        <v>0.27324440469980377</v>
      </c>
      <c r="U202" s="23">
        <f t="shared" si="34"/>
        <v>0.80366001382295227</v>
      </c>
      <c r="V202" s="23">
        <f t="shared" si="34"/>
        <v>0.4172118867459369</v>
      </c>
      <c r="W202" s="23">
        <f t="shared" si="35"/>
        <v>0.88183421516754845</v>
      </c>
      <c r="X202" s="904">
        <f t="shared" si="36"/>
        <v>611</v>
      </c>
      <c r="Y202" s="904">
        <f t="shared" si="36"/>
        <v>664</v>
      </c>
      <c r="Z202" s="904">
        <f t="shared" si="36"/>
        <v>625</v>
      </c>
      <c r="AA202" s="904">
        <f t="shared" ref="AA202:AA265" si="37">RANK(W202,W$11:W$973,1)</f>
        <v>623</v>
      </c>
      <c r="AB202" s="24">
        <v>355</v>
      </c>
    </row>
    <row r="203" spans="1:28" x14ac:dyDescent="0.25">
      <c r="A203" s="903" t="s">
        <v>77</v>
      </c>
      <c r="B203" t="s">
        <v>466</v>
      </c>
      <c r="C203" s="906" t="s">
        <v>467</v>
      </c>
      <c r="D203" s="25">
        <v>3.8</v>
      </c>
      <c r="E203" s="903">
        <v>518</v>
      </c>
      <c r="F203" s="903">
        <v>205</v>
      </c>
      <c r="G203" s="903" t="s">
        <v>468</v>
      </c>
      <c r="H203" s="904">
        <f t="shared" ref="H203:H266" si="38">FIND("-",$G203)</f>
        <v>5</v>
      </c>
      <c r="I203" s="904">
        <f t="shared" ref="I203:I266" si="39">LEN($G203)</f>
        <v>10</v>
      </c>
      <c r="J203" s="21">
        <f t="shared" ref="J203:J266" si="40">VALUE(LEFT($G203,H203-1))</f>
        <v>4700</v>
      </c>
      <c r="K203" s="21">
        <f t="shared" ref="K203:K266" si="41">IF(K$8*M203&gt;J203,K$8*M203,J203)</f>
        <v>4862</v>
      </c>
      <c r="L203" s="21">
        <f t="shared" ref="L203:L266" si="42">AVERAGE(J203,M203)</f>
        <v>9500</v>
      </c>
      <c r="M203" s="21">
        <f t="shared" ref="M203:M266" si="43">VALUE(RIGHT($G203,I203-H203))</f>
        <v>14300</v>
      </c>
      <c r="N203" s="904">
        <f t="shared" ref="N203:N266" si="44">RANK($L203,$L$11:$L$973,1)</f>
        <v>2</v>
      </c>
      <c r="O203" s="21"/>
      <c r="P203" s="22" t="s">
        <v>2</v>
      </c>
      <c r="Q203" s="22">
        <v>0.72</v>
      </c>
      <c r="R203" s="904" t="s">
        <v>38</v>
      </c>
      <c r="S203" s="904" t="str">
        <f t="shared" ref="S203:S266" si="45">IF(AND(ISERROR(FIND("Insert",B203&amp;C203)),ISERROR(FIND("insert",B203&amp;C203))),"Stove","Insert")</f>
        <v>Stove</v>
      </c>
      <c r="T203" s="23">
        <f t="shared" ref="T203:T266" si="46">$D203*10^6/(M203*453.6)</f>
        <v>0.58583391916725247</v>
      </c>
      <c r="U203" s="23">
        <f t="shared" ref="U203:V266" si="47">$D203*10^6/(K203*453.6)</f>
        <v>1.7230409387272132</v>
      </c>
      <c r="V203" s="23">
        <f t="shared" si="47"/>
        <v>0.88183421516754845</v>
      </c>
      <c r="W203" s="23">
        <f t="shared" ref="W203:W266" si="48">$D203*10^6/(J203*453.6)</f>
        <v>1.782430860445045</v>
      </c>
      <c r="X203" s="904">
        <f t="shared" ref="X203:AA266" si="49">RANK(T203,T$11:T$973,1)</f>
        <v>934</v>
      </c>
      <c r="Y203" s="904">
        <f t="shared" si="49"/>
        <v>958</v>
      </c>
      <c r="Z203" s="904">
        <f t="shared" si="49"/>
        <v>940</v>
      </c>
      <c r="AA203" s="904">
        <f t="shared" si="37"/>
        <v>945</v>
      </c>
      <c r="AB203" s="24">
        <v>272</v>
      </c>
    </row>
    <row r="204" spans="1:28" x14ac:dyDescent="0.25">
      <c r="A204" s="903" t="s">
        <v>77</v>
      </c>
      <c r="B204" t="s">
        <v>469</v>
      </c>
      <c r="C204" s="906" t="s">
        <v>470</v>
      </c>
      <c r="D204" s="25">
        <v>1</v>
      </c>
      <c r="E204" s="903">
        <v>23</v>
      </c>
      <c r="F204" s="903">
        <v>11</v>
      </c>
      <c r="G204" s="903" t="s">
        <v>471</v>
      </c>
      <c r="H204" s="904">
        <f t="shared" si="38"/>
        <v>6</v>
      </c>
      <c r="I204" s="904">
        <f t="shared" si="39"/>
        <v>11</v>
      </c>
      <c r="J204" s="21">
        <f t="shared" si="40"/>
        <v>11000</v>
      </c>
      <c r="K204" s="21">
        <f t="shared" si="41"/>
        <v>11118</v>
      </c>
      <c r="L204" s="21">
        <f t="shared" si="42"/>
        <v>21850</v>
      </c>
      <c r="M204" s="21">
        <f t="shared" si="43"/>
        <v>32700</v>
      </c>
      <c r="N204" s="904">
        <f t="shared" si="44"/>
        <v>458</v>
      </c>
      <c r="O204" s="21"/>
      <c r="P204" s="22" t="s">
        <v>2</v>
      </c>
      <c r="Q204" s="22">
        <v>0.78</v>
      </c>
      <c r="R204" s="904" t="s">
        <v>15</v>
      </c>
      <c r="S204" s="904" t="str">
        <f t="shared" si="45"/>
        <v>Stove</v>
      </c>
      <c r="T204" s="23">
        <f t="shared" si="46"/>
        <v>6.7418517979170381E-2</v>
      </c>
      <c r="U204" s="23">
        <f t="shared" si="47"/>
        <v>0.19828975876226582</v>
      </c>
      <c r="V204" s="23">
        <f t="shared" si="47"/>
        <v>0.10089636329148152</v>
      </c>
      <c r="W204" s="23">
        <f t="shared" si="48"/>
        <v>0.20041686708353376</v>
      </c>
      <c r="X204" s="904">
        <f t="shared" si="49"/>
        <v>37</v>
      </c>
      <c r="Y204" s="904">
        <f t="shared" si="49"/>
        <v>47</v>
      </c>
      <c r="Z204" s="904">
        <f t="shared" si="49"/>
        <v>34</v>
      </c>
      <c r="AA204" s="904">
        <f t="shared" si="37"/>
        <v>30</v>
      </c>
      <c r="AB204" s="24">
        <v>23</v>
      </c>
    </row>
    <row r="205" spans="1:28" x14ac:dyDescent="0.25">
      <c r="A205" s="903" t="s">
        <v>77</v>
      </c>
      <c r="B205" t="s">
        <v>472</v>
      </c>
      <c r="C205" s="906" t="s">
        <v>473</v>
      </c>
      <c r="D205" s="25">
        <v>1.3</v>
      </c>
      <c r="E205" s="903">
        <v>53</v>
      </c>
      <c r="F205" s="903">
        <v>25</v>
      </c>
      <c r="G205" s="903" t="s">
        <v>474</v>
      </c>
      <c r="H205" s="904">
        <f t="shared" si="38"/>
        <v>5</v>
      </c>
      <c r="I205" s="904">
        <f t="shared" si="39"/>
        <v>10</v>
      </c>
      <c r="J205" s="21">
        <f t="shared" si="40"/>
        <v>8500</v>
      </c>
      <c r="K205" s="21">
        <f t="shared" si="41"/>
        <v>14280.000000000002</v>
      </c>
      <c r="L205" s="21">
        <f t="shared" si="42"/>
        <v>25250</v>
      </c>
      <c r="M205" s="21">
        <f t="shared" si="43"/>
        <v>42000</v>
      </c>
      <c r="N205" s="904">
        <f t="shared" si="44"/>
        <v>718</v>
      </c>
      <c r="O205" s="21"/>
      <c r="P205" s="22" t="s">
        <v>2</v>
      </c>
      <c r="Q205" s="22">
        <v>0.78</v>
      </c>
      <c r="R205" s="904" t="s">
        <v>15</v>
      </c>
      <c r="S205" s="904" t="str">
        <f t="shared" si="45"/>
        <v>Stove</v>
      </c>
      <c r="T205" s="23">
        <f t="shared" si="46"/>
        <v>6.8237171411774586E-2</v>
      </c>
      <c r="U205" s="23">
        <f t="shared" si="47"/>
        <v>0.20069756297580757</v>
      </c>
      <c r="V205" s="23">
        <f t="shared" si="47"/>
        <v>0.11350341383344684</v>
      </c>
      <c r="W205" s="23">
        <f t="shared" si="48"/>
        <v>0.3371719057993568</v>
      </c>
      <c r="X205" s="904">
        <f t="shared" si="49"/>
        <v>38</v>
      </c>
      <c r="Y205" s="904">
        <f t="shared" si="49"/>
        <v>49</v>
      </c>
      <c r="Z205" s="904">
        <f t="shared" si="49"/>
        <v>44</v>
      </c>
      <c r="AA205" s="904">
        <f t="shared" si="37"/>
        <v>76</v>
      </c>
      <c r="AB205" s="24">
        <v>25</v>
      </c>
    </row>
    <row r="206" spans="1:28" ht="15" customHeight="1" x14ac:dyDescent="0.25">
      <c r="A206" s="903"/>
      <c r="B206" t="s">
        <v>475</v>
      </c>
      <c r="C206" s="906" t="s">
        <v>476</v>
      </c>
      <c r="D206" s="25">
        <v>3</v>
      </c>
      <c r="E206" s="903">
        <v>322</v>
      </c>
      <c r="F206" s="903">
        <v>117</v>
      </c>
      <c r="G206" s="903" t="s">
        <v>477</v>
      </c>
      <c r="H206" s="904">
        <f t="shared" si="38"/>
        <v>6</v>
      </c>
      <c r="I206" s="904">
        <f t="shared" si="39"/>
        <v>11</v>
      </c>
      <c r="J206" s="21">
        <f t="shared" si="40"/>
        <v>10600</v>
      </c>
      <c r="K206" s="21">
        <f t="shared" si="41"/>
        <v>11798</v>
      </c>
      <c r="L206" s="21">
        <f t="shared" si="42"/>
        <v>22650</v>
      </c>
      <c r="M206" s="21">
        <f t="shared" si="43"/>
        <v>34700</v>
      </c>
      <c r="N206" s="904">
        <f t="shared" si="44"/>
        <v>519</v>
      </c>
      <c r="O206" s="21"/>
      <c r="P206" s="22" t="s">
        <v>2</v>
      </c>
      <c r="Q206" s="22">
        <v>0.63</v>
      </c>
      <c r="R206" s="904" t="s">
        <v>42</v>
      </c>
      <c r="S206" s="904" t="str">
        <f t="shared" si="45"/>
        <v>Insert</v>
      </c>
      <c r="T206" s="23">
        <f t="shared" si="46"/>
        <v>0.19059817330710702</v>
      </c>
      <c r="U206" s="23">
        <f t="shared" si="47"/>
        <v>0.56058286266796187</v>
      </c>
      <c r="V206" s="23">
        <f t="shared" si="47"/>
        <v>0.2919980844925657</v>
      </c>
      <c r="W206" s="23">
        <f t="shared" si="48"/>
        <v>0.62393930318458624</v>
      </c>
      <c r="X206" s="904">
        <f t="shared" si="49"/>
        <v>350</v>
      </c>
      <c r="Y206" s="904">
        <f t="shared" si="49"/>
        <v>379</v>
      </c>
      <c r="Z206" s="904">
        <f t="shared" si="49"/>
        <v>342</v>
      </c>
      <c r="AA206" s="904">
        <f t="shared" si="37"/>
        <v>309</v>
      </c>
      <c r="AB206" s="24">
        <v>159</v>
      </c>
    </row>
    <row r="207" spans="1:28" ht="15" customHeight="1" x14ac:dyDescent="0.25">
      <c r="A207" s="903"/>
      <c r="B207" t="s">
        <v>475</v>
      </c>
      <c r="C207" s="906" t="s">
        <v>478</v>
      </c>
      <c r="D207" s="25">
        <v>3.8</v>
      </c>
      <c r="E207" s="903">
        <v>518</v>
      </c>
      <c r="F207" s="903">
        <v>238</v>
      </c>
      <c r="G207" s="903" t="s">
        <v>479</v>
      </c>
      <c r="H207" s="904">
        <f t="shared" si="38"/>
        <v>6</v>
      </c>
      <c r="I207" s="904">
        <f t="shared" si="39"/>
        <v>11</v>
      </c>
      <c r="J207" s="21">
        <f t="shared" si="40"/>
        <v>9400</v>
      </c>
      <c r="K207" s="21">
        <f t="shared" si="41"/>
        <v>13158.000000000002</v>
      </c>
      <c r="L207" s="21">
        <f t="shared" si="42"/>
        <v>24050</v>
      </c>
      <c r="M207" s="21">
        <f t="shared" si="43"/>
        <v>38700</v>
      </c>
      <c r="N207" s="904">
        <f t="shared" si="44"/>
        <v>637</v>
      </c>
      <c r="O207" s="21"/>
      <c r="P207" s="22" t="s">
        <v>2</v>
      </c>
      <c r="Q207" s="22">
        <v>0.63</v>
      </c>
      <c r="R207" s="904" t="s">
        <v>42</v>
      </c>
      <c r="S207" s="904" t="str">
        <f t="shared" si="45"/>
        <v>Insert</v>
      </c>
      <c r="T207" s="23">
        <f t="shared" si="46"/>
        <v>0.21647093137187884</v>
      </c>
      <c r="U207" s="23">
        <f t="shared" si="47"/>
        <v>0.63667920991729055</v>
      </c>
      <c r="V207" s="23">
        <f t="shared" si="47"/>
        <v>0.348333681667015</v>
      </c>
      <c r="W207" s="23">
        <f t="shared" si="48"/>
        <v>0.89121543022252248</v>
      </c>
      <c r="X207" s="904">
        <f t="shared" si="49"/>
        <v>445</v>
      </c>
      <c r="Y207" s="904">
        <f t="shared" si="49"/>
        <v>476</v>
      </c>
      <c r="Z207" s="904">
        <f t="shared" si="49"/>
        <v>486</v>
      </c>
      <c r="AA207" s="904">
        <f t="shared" si="37"/>
        <v>639</v>
      </c>
      <c r="AB207" s="24">
        <v>216</v>
      </c>
    </row>
    <row r="208" spans="1:28" ht="15" customHeight="1" x14ac:dyDescent="0.25">
      <c r="A208" s="903"/>
      <c r="B208" t="s">
        <v>475</v>
      </c>
      <c r="C208" s="906" t="s">
        <v>480</v>
      </c>
      <c r="D208" s="25">
        <v>7.1</v>
      </c>
      <c r="E208" s="903">
        <v>925</v>
      </c>
      <c r="F208" s="903">
        <v>568</v>
      </c>
      <c r="G208" s="903" t="s">
        <v>481</v>
      </c>
      <c r="H208" s="904">
        <f t="shared" si="38"/>
        <v>6</v>
      </c>
      <c r="I208" s="904">
        <f t="shared" si="39"/>
        <v>11</v>
      </c>
      <c r="J208" s="21">
        <f t="shared" si="40"/>
        <v>11800</v>
      </c>
      <c r="K208" s="21">
        <f t="shared" si="41"/>
        <v>11800</v>
      </c>
      <c r="L208" s="21">
        <f t="shared" si="42"/>
        <v>23000</v>
      </c>
      <c r="M208" s="21">
        <f t="shared" si="43"/>
        <v>34200</v>
      </c>
      <c r="N208" s="904">
        <f t="shared" si="44"/>
        <v>548</v>
      </c>
      <c r="O208" s="21"/>
      <c r="P208" s="22" t="s">
        <v>2</v>
      </c>
      <c r="Q208" s="22">
        <v>0.63</v>
      </c>
      <c r="R208" s="904" t="s">
        <v>42</v>
      </c>
      <c r="S208" s="904" t="str">
        <f t="shared" si="45"/>
        <v>Stove</v>
      </c>
      <c r="T208" s="23">
        <f t="shared" si="46"/>
        <v>0.45767711459719257</v>
      </c>
      <c r="U208" s="23">
        <f t="shared" si="47"/>
        <v>1.3264879084088124</v>
      </c>
      <c r="V208" s="23">
        <f t="shared" si="47"/>
        <v>0.68054597040104281</v>
      </c>
      <c r="W208" s="23">
        <f t="shared" si="48"/>
        <v>1.3264879084088124</v>
      </c>
      <c r="X208" s="904">
        <f t="shared" si="49"/>
        <v>871</v>
      </c>
      <c r="Y208" s="904">
        <f t="shared" si="49"/>
        <v>913</v>
      </c>
      <c r="Z208" s="904">
        <f t="shared" si="49"/>
        <v>875</v>
      </c>
      <c r="AA208" s="904">
        <f t="shared" si="37"/>
        <v>868</v>
      </c>
      <c r="AB208" s="24">
        <v>558</v>
      </c>
    </row>
    <row r="209" spans="1:28" ht="15" customHeight="1" x14ac:dyDescent="0.25">
      <c r="A209" s="903"/>
      <c r="B209" t="s">
        <v>475</v>
      </c>
      <c r="C209" s="906" t="s">
        <v>482</v>
      </c>
      <c r="D209" s="25">
        <v>3.8</v>
      </c>
      <c r="E209" s="903">
        <v>518</v>
      </c>
      <c r="F209" s="903">
        <v>238</v>
      </c>
      <c r="G209" s="903" t="s">
        <v>483</v>
      </c>
      <c r="H209" s="904">
        <f t="shared" si="38"/>
        <v>6</v>
      </c>
      <c r="I209" s="904">
        <f t="shared" si="39"/>
        <v>11</v>
      </c>
      <c r="J209" s="21">
        <f t="shared" si="40"/>
        <v>11700</v>
      </c>
      <c r="K209" s="21">
        <f t="shared" si="41"/>
        <v>13158.000000000002</v>
      </c>
      <c r="L209" s="21">
        <f t="shared" si="42"/>
        <v>25200</v>
      </c>
      <c r="M209" s="21">
        <f t="shared" si="43"/>
        <v>38700</v>
      </c>
      <c r="N209" s="904">
        <f t="shared" si="44"/>
        <v>711</v>
      </c>
      <c r="O209" s="21"/>
      <c r="P209" s="22" t="s">
        <v>2</v>
      </c>
      <c r="Q209" s="22">
        <v>0.63</v>
      </c>
      <c r="R209" s="904" t="s">
        <v>42</v>
      </c>
      <c r="S209" s="904" t="str">
        <f t="shared" si="45"/>
        <v>Insert</v>
      </c>
      <c r="T209" s="23">
        <f t="shared" si="46"/>
        <v>0.21647093137187884</v>
      </c>
      <c r="U209" s="23">
        <f t="shared" si="47"/>
        <v>0.63667920991729055</v>
      </c>
      <c r="V209" s="23">
        <f t="shared" si="47"/>
        <v>0.33243750174967107</v>
      </c>
      <c r="W209" s="23">
        <f t="shared" si="48"/>
        <v>0.71601923453775307</v>
      </c>
      <c r="X209" s="904">
        <f t="shared" si="49"/>
        <v>445</v>
      </c>
      <c r="Y209" s="904">
        <f t="shared" si="49"/>
        <v>476</v>
      </c>
      <c r="Z209" s="904">
        <f t="shared" si="49"/>
        <v>445</v>
      </c>
      <c r="AA209" s="904">
        <f t="shared" si="37"/>
        <v>428</v>
      </c>
      <c r="AB209" s="24">
        <v>216</v>
      </c>
    </row>
    <row r="210" spans="1:28" ht="15" customHeight="1" x14ac:dyDescent="0.25">
      <c r="A210" s="903"/>
      <c r="B210" t="s">
        <v>475</v>
      </c>
      <c r="C210" s="906" t="s">
        <v>484</v>
      </c>
      <c r="D210" s="25">
        <v>3.9</v>
      </c>
      <c r="E210" s="903">
        <v>548</v>
      </c>
      <c r="F210" s="903">
        <v>253</v>
      </c>
      <c r="G210" s="903" t="s">
        <v>485</v>
      </c>
      <c r="H210" s="904">
        <f t="shared" si="38"/>
        <v>6</v>
      </c>
      <c r="I210" s="904">
        <f t="shared" si="39"/>
        <v>11</v>
      </c>
      <c r="J210" s="21">
        <f t="shared" si="40"/>
        <v>11300</v>
      </c>
      <c r="K210" s="21">
        <f t="shared" si="41"/>
        <v>13192.000000000002</v>
      </c>
      <c r="L210" s="21">
        <f t="shared" si="42"/>
        <v>25050</v>
      </c>
      <c r="M210" s="21">
        <f t="shared" si="43"/>
        <v>38800</v>
      </c>
      <c r="N210" s="904">
        <f t="shared" si="44"/>
        <v>687</v>
      </c>
      <c r="O210" s="21"/>
      <c r="P210" s="22" t="s">
        <v>2</v>
      </c>
      <c r="Q210" s="22">
        <v>0.63</v>
      </c>
      <c r="R210" s="904" t="s">
        <v>42</v>
      </c>
      <c r="S210" s="904" t="str">
        <f t="shared" si="45"/>
        <v>Stove</v>
      </c>
      <c r="T210" s="23">
        <f t="shared" si="46"/>
        <v>0.22159493808978345</v>
      </c>
      <c r="U210" s="23">
        <f t="shared" si="47"/>
        <v>0.65174981791112763</v>
      </c>
      <c r="V210" s="23">
        <f t="shared" si="47"/>
        <v>0.3432288861430578</v>
      </c>
      <c r="W210" s="23">
        <f t="shared" si="48"/>
        <v>0.7608746546799644</v>
      </c>
      <c r="X210" s="904">
        <f t="shared" si="49"/>
        <v>470</v>
      </c>
      <c r="Y210" s="904">
        <f t="shared" si="49"/>
        <v>503</v>
      </c>
      <c r="Z210" s="904">
        <f t="shared" si="49"/>
        <v>475</v>
      </c>
      <c r="AA210" s="904">
        <f t="shared" si="37"/>
        <v>481</v>
      </c>
      <c r="AB210" s="24">
        <v>240</v>
      </c>
    </row>
    <row r="211" spans="1:28" ht="15" customHeight="1" x14ac:dyDescent="0.25">
      <c r="A211" s="903"/>
      <c r="B211" t="s">
        <v>475</v>
      </c>
      <c r="C211" s="906" t="s">
        <v>486</v>
      </c>
      <c r="D211" s="25">
        <v>3.44</v>
      </c>
      <c r="E211" s="903">
        <v>430</v>
      </c>
      <c r="F211" s="903">
        <v>179</v>
      </c>
      <c r="G211" s="903" t="s">
        <v>487</v>
      </c>
      <c r="H211" s="904">
        <f t="shared" si="38"/>
        <v>6</v>
      </c>
      <c r="I211" s="904">
        <f t="shared" si="39"/>
        <v>11</v>
      </c>
      <c r="J211" s="21">
        <f t="shared" si="40"/>
        <v>12000</v>
      </c>
      <c r="K211" s="21">
        <f t="shared" si="41"/>
        <v>12512</v>
      </c>
      <c r="L211" s="21">
        <f t="shared" si="42"/>
        <v>24400</v>
      </c>
      <c r="M211" s="21">
        <f t="shared" si="43"/>
        <v>36800</v>
      </c>
      <c r="N211" s="904">
        <f t="shared" si="44"/>
        <v>665</v>
      </c>
      <c r="O211" s="21"/>
      <c r="P211" s="22" t="s">
        <v>2</v>
      </c>
      <c r="Q211" s="22">
        <v>0.63</v>
      </c>
      <c r="R211" s="904" t="s">
        <v>42</v>
      </c>
      <c r="S211" s="904" t="str">
        <f t="shared" si="45"/>
        <v>Insert</v>
      </c>
      <c r="T211" s="23">
        <f t="shared" si="46"/>
        <v>0.206080822022851</v>
      </c>
      <c r="U211" s="23">
        <f t="shared" si="47"/>
        <v>0.60612006477309122</v>
      </c>
      <c r="V211" s="23">
        <f t="shared" si="47"/>
        <v>0.31081042010003757</v>
      </c>
      <c r="W211" s="23">
        <f t="shared" si="48"/>
        <v>0.63198118753674304</v>
      </c>
      <c r="X211" s="904">
        <f t="shared" si="49"/>
        <v>406</v>
      </c>
      <c r="Y211" s="904">
        <f t="shared" si="49"/>
        <v>441</v>
      </c>
      <c r="Z211" s="904">
        <f t="shared" si="49"/>
        <v>390</v>
      </c>
      <c r="AA211" s="904">
        <f t="shared" si="37"/>
        <v>322</v>
      </c>
      <c r="AB211" s="24">
        <v>191</v>
      </c>
    </row>
    <row r="212" spans="1:28" ht="15" customHeight="1" x14ac:dyDescent="0.25">
      <c r="A212" s="903"/>
      <c r="B212" t="s">
        <v>475</v>
      </c>
      <c r="C212" s="906" t="s">
        <v>488</v>
      </c>
      <c r="D212" s="25">
        <v>4.1900000000000004</v>
      </c>
      <c r="E212" s="903">
        <v>618</v>
      </c>
      <c r="F212" s="903">
        <v>302</v>
      </c>
      <c r="G212" s="903" t="s">
        <v>489</v>
      </c>
      <c r="H212" s="904">
        <f t="shared" si="38"/>
        <v>6</v>
      </c>
      <c r="I212" s="904">
        <f t="shared" si="39"/>
        <v>11</v>
      </c>
      <c r="J212" s="21">
        <f t="shared" si="40"/>
        <v>11900</v>
      </c>
      <c r="K212" s="21">
        <f t="shared" si="41"/>
        <v>14586.000000000002</v>
      </c>
      <c r="L212" s="21">
        <f t="shared" si="42"/>
        <v>27400</v>
      </c>
      <c r="M212" s="21">
        <f t="shared" si="43"/>
        <v>42900</v>
      </c>
      <c r="N212" s="904">
        <f t="shared" si="44"/>
        <v>807</v>
      </c>
      <c r="O212" s="21"/>
      <c r="P212" s="22" t="s">
        <v>2</v>
      </c>
      <c r="Q212" s="22">
        <v>0.63</v>
      </c>
      <c r="R212" s="904" t="s">
        <v>42</v>
      </c>
      <c r="S212" s="904" t="str">
        <f t="shared" si="45"/>
        <v>Insert</v>
      </c>
      <c r="T212" s="23">
        <f t="shared" si="46"/>
        <v>0.21531965976410422</v>
      </c>
      <c r="U212" s="23">
        <f t="shared" si="47"/>
        <v>0.63329311695324764</v>
      </c>
      <c r="V212" s="23">
        <f t="shared" si="47"/>
        <v>0.3371245767839442</v>
      </c>
      <c r="W212" s="23">
        <f t="shared" si="48"/>
        <v>0.77623642049412367</v>
      </c>
      <c r="X212" s="904">
        <f t="shared" si="49"/>
        <v>442</v>
      </c>
      <c r="Y212" s="904">
        <f t="shared" si="49"/>
        <v>472</v>
      </c>
      <c r="Z212" s="904">
        <f t="shared" si="49"/>
        <v>462</v>
      </c>
      <c r="AA212" s="904">
        <f t="shared" si="37"/>
        <v>500</v>
      </c>
      <c r="AB212" s="24">
        <v>212</v>
      </c>
    </row>
    <row r="213" spans="1:28" ht="15" customHeight="1" x14ac:dyDescent="0.25">
      <c r="A213" s="903"/>
      <c r="B213" t="s">
        <v>475</v>
      </c>
      <c r="C213" s="906" t="s">
        <v>490</v>
      </c>
      <c r="D213" s="25">
        <v>1.46</v>
      </c>
      <c r="E213" s="903">
        <v>78</v>
      </c>
      <c r="F213" s="903">
        <v>26</v>
      </c>
      <c r="G213" s="903" t="s">
        <v>491</v>
      </c>
      <c r="H213" s="904">
        <f t="shared" si="38"/>
        <v>6</v>
      </c>
      <c r="I213" s="904">
        <f t="shared" si="39"/>
        <v>11</v>
      </c>
      <c r="J213" s="21">
        <f t="shared" si="40"/>
        <v>11738</v>
      </c>
      <c r="K213" s="21">
        <f t="shared" si="41"/>
        <v>14273.880000000001</v>
      </c>
      <c r="L213" s="21">
        <f t="shared" si="42"/>
        <v>26860</v>
      </c>
      <c r="M213" s="21">
        <f t="shared" si="43"/>
        <v>41982</v>
      </c>
      <c r="N213" s="904">
        <f t="shared" si="44"/>
        <v>786</v>
      </c>
      <c r="O213" s="21"/>
      <c r="P213" s="22" t="s">
        <v>2</v>
      </c>
      <c r="Q213" s="22">
        <v>0.63</v>
      </c>
      <c r="R213" s="904" t="s">
        <v>38</v>
      </c>
      <c r="S213" s="904" t="str">
        <f t="shared" si="45"/>
        <v>Stove</v>
      </c>
      <c r="T213" s="23">
        <f t="shared" si="46"/>
        <v>7.6668450415929498E-2</v>
      </c>
      <c r="U213" s="23">
        <f t="shared" si="47"/>
        <v>0.22549544239979261</v>
      </c>
      <c r="V213" s="23">
        <f t="shared" si="47"/>
        <v>0.11983227421301385</v>
      </c>
      <c r="W213" s="23">
        <f t="shared" si="48"/>
        <v>0.27421152541843175</v>
      </c>
      <c r="X213" s="904">
        <f t="shared" si="49"/>
        <v>49</v>
      </c>
      <c r="Y213" s="904">
        <f t="shared" si="49"/>
        <v>57</v>
      </c>
      <c r="Z213" s="904">
        <f t="shared" si="49"/>
        <v>47</v>
      </c>
      <c r="AA213" s="904">
        <f t="shared" si="37"/>
        <v>50</v>
      </c>
      <c r="AB213" s="24">
        <v>18</v>
      </c>
    </row>
    <row r="214" spans="1:28" x14ac:dyDescent="0.25">
      <c r="A214" s="903"/>
      <c r="B214" t="s">
        <v>475</v>
      </c>
      <c r="C214" s="906" t="s">
        <v>492</v>
      </c>
      <c r="D214" s="25">
        <v>3.78</v>
      </c>
      <c r="E214" s="903">
        <v>517</v>
      </c>
      <c r="F214" s="903">
        <v>237</v>
      </c>
      <c r="G214" s="903" t="s">
        <v>493</v>
      </c>
      <c r="H214" s="904">
        <f t="shared" si="38"/>
        <v>6</v>
      </c>
      <c r="I214" s="904">
        <f t="shared" si="39"/>
        <v>11</v>
      </c>
      <c r="J214" s="21">
        <f t="shared" si="40"/>
        <v>11700</v>
      </c>
      <c r="K214" s="21">
        <f t="shared" si="41"/>
        <v>14382.000000000002</v>
      </c>
      <c r="L214" s="21">
        <f t="shared" si="42"/>
        <v>27000</v>
      </c>
      <c r="M214" s="21">
        <f t="shared" si="43"/>
        <v>42300</v>
      </c>
      <c r="N214" s="904">
        <f t="shared" si="44"/>
        <v>796</v>
      </c>
      <c r="O214" s="21"/>
      <c r="P214" s="22" t="s">
        <v>2</v>
      </c>
      <c r="Q214" s="22">
        <v>0.63</v>
      </c>
      <c r="R214" s="904" t="s">
        <v>42</v>
      </c>
      <c r="S214" s="904" t="str">
        <f t="shared" si="45"/>
        <v>Stove</v>
      </c>
      <c r="T214" s="23">
        <f t="shared" si="46"/>
        <v>0.19700551615445233</v>
      </c>
      <c r="U214" s="23">
        <f t="shared" si="47"/>
        <v>0.57942798868956558</v>
      </c>
      <c r="V214" s="23">
        <f t="shared" si="47"/>
        <v>0.30864197530864196</v>
      </c>
      <c r="W214" s="23">
        <f t="shared" si="48"/>
        <v>0.71225071225071224</v>
      </c>
      <c r="X214" s="904">
        <f t="shared" si="49"/>
        <v>375</v>
      </c>
      <c r="Y214" s="904">
        <f t="shared" si="49"/>
        <v>405</v>
      </c>
      <c r="Z214" s="904">
        <f t="shared" si="49"/>
        <v>386</v>
      </c>
      <c r="AA214" s="904">
        <f t="shared" si="37"/>
        <v>423</v>
      </c>
      <c r="AB214" s="24">
        <v>172</v>
      </c>
    </row>
    <row r="215" spans="1:28" ht="15" customHeight="1" x14ac:dyDescent="0.25">
      <c r="A215" s="903"/>
      <c r="B215" t="s">
        <v>475</v>
      </c>
      <c r="C215" s="906" t="s">
        <v>494</v>
      </c>
      <c r="D215" s="25">
        <v>2</v>
      </c>
      <c r="E215" s="903">
        <v>131</v>
      </c>
      <c r="F215" s="903">
        <v>54</v>
      </c>
      <c r="G215" s="903" t="s">
        <v>495</v>
      </c>
      <c r="H215" s="904">
        <f t="shared" si="38"/>
        <v>5</v>
      </c>
      <c r="I215" s="904">
        <f t="shared" si="39"/>
        <v>10</v>
      </c>
      <c r="J215" s="21">
        <f t="shared" si="40"/>
        <v>9363</v>
      </c>
      <c r="K215" s="21">
        <f t="shared" si="41"/>
        <v>15462.52</v>
      </c>
      <c r="L215" s="21">
        <f t="shared" si="42"/>
        <v>27420.5</v>
      </c>
      <c r="M215" s="21">
        <f t="shared" si="43"/>
        <v>45478</v>
      </c>
      <c r="N215" s="904">
        <f t="shared" si="44"/>
        <v>808</v>
      </c>
      <c r="O215" s="21"/>
      <c r="P215" s="22" t="s">
        <v>2</v>
      </c>
      <c r="Q215" s="22">
        <v>0.78</v>
      </c>
      <c r="R215" s="904" t="s">
        <v>15</v>
      </c>
      <c r="S215" s="904" t="str">
        <f t="shared" si="45"/>
        <v>Insert</v>
      </c>
      <c r="T215" s="23">
        <f t="shared" si="46"/>
        <v>9.695173657235899E-2</v>
      </c>
      <c r="U215" s="23">
        <f t="shared" si="47"/>
        <v>0.28515216638929114</v>
      </c>
      <c r="V215" s="23">
        <f t="shared" si="47"/>
        <v>0.16079834707017532</v>
      </c>
      <c r="W215" s="23">
        <f t="shared" si="48"/>
        <v>0.47091435179298757</v>
      </c>
      <c r="X215" s="904">
        <f t="shared" si="49"/>
        <v>77</v>
      </c>
      <c r="Y215" s="904">
        <f t="shared" si="49"/>
        <v>87</v>
      </c>
      <c r="Z215" s="904">
        <f t="shared" si="49"/>
        <v>93</v>
      </c>
      <c r="AA215" s="904">
        <f t="shared" si="37"/>
        <v>164</v>
      </c>
      <c r="AB215" s="24">
        <v>32</v>
      </c>
    </row>
    <row r="216" spans="1:28" ht="15" customHeight="1" x14ac:dyDescent="0.25">
      <c r="A216" s="903"/>
      <c r="B216" t="s">
        <v>475</v>
      </c>
      <c r="C216" s="906" t="s">
        <v>496</v>
      </c>
      <c r="D216" s="25">
        <v>1.96</v>
      </c>
      <c r="E216" s="903">
        <v>126</v>
      </c>
      <c r="F216" s="903">
        <v>49</v>
      </c>
      <c r="G216" s="903" t="s">
        <v>497</v>
      </c>
      <c r="H216" s="904">
        <f t="shared" si="38"/>
        <v>5</v>
      </c>
      <c r="I216" s="904">
        <f t="shared" si="39"/>
        <v>10</v>
      </c>
      <c r="J216" s="21">
        <f t="shared" si="40"/>
        <v>6500</v>
      </c>
      <c r="K216" s="21">
        <f t="shared" si="41"/>
        <v>13600.000000000002</v>
      </c>
      <c r="L216" s="21">
        <f t="shared" si="42"/>
        <v>23250</v>
      </c>
      <c r="M216" s="21">
        <f t="shared" si="43"/>
        <v>40000</v>
      </c>
      <c r="N216" s="904">
        <f t="shared" si="44"/>
        <v>566</v>
      </c>
      <c r="O216" s="21"/>
      <c r="P216" s="22" t="s">
        <v>2</v>
      </c>
      <c r="Q216" s="22">
        <v>0.78</v>
      </c>
      <c r="R216" s="904" t="s">
        <v>15</v>
      </c>
      <c r="S216" s="904" t="str">
        <f t="shared" si="45"/>
        <v>Insert</v>
      </c>
      <c r="T216" s="23">
        <f t="shared" si="46"/>
        <v>0.10802469135802469</v>
      </c>
      <c r="U216" s="23">
        <f t="shared" si="47"/>
        <v>0.31771968046477844</v>
      </c>
      <c r="V216" s="23">
        <f t="shared" si="47"/>
        <v>0.18584893136864464</v>
      </c>
      <c r="W216" s="23">
        <f t="shared" si="48"/>
        <v>0.66476733143399813</v>
      </c>
      <c r="X216" s="904">
        <f t="shared" si="49"/>
        <v>107</v>
      </c>
      <c r="Y216" s="904">
        <f t="shared" si="49"/>
        <v>123</v>
      </c>
      <c r="Z216" s="904">
        <f t="shared" si="49"/>
        <v>140</v>
      </c>
      <c r="AA216" s="904">
        <f t="shared" si="37"/>
        <v>367</v>
      </c>
      <c r="AB216" s="24">
        <v>43</v>
      </c>
    </row>
    <row r="217" spans="1:28" ht="15" customHeight="1" x14ac:dyDescent="0.25">
      <c r="A217" s="903"/>
      <c r="B217" t="s">
        <v>475</v>
      </c>
      <c r="C217" s="906" t="s">
        <v>498</v>
      </c>
      <c r="D217" s="25">
        <v>3.9</v>
      </c>
      <c r="E217" s="903">
        <v>548</v>
      </c>
      <c r="F217" s="903">
        <v>253</v>
      </c>
      <c r="G217" s="903" t="s">
        <v>499</v>
      </c>
      <c r="H217" s="904">
        <f t="shared" si="38"/>
        <v>6</v>
      </c>
      <c r="I217" s="904">
        <f t="shared" si="39"/>
        <v>11</v>
      </c>
      <c r="J217" s="21">
        <f t="shared" si="40"/>
        <v>10900</v>
      </c>
      <c r="K217" s="21">
        <f t="shared" si="41"/>
        <v>10900</v>
      </c>
      <c r="L217" s="21">
        <f t="shared" si="42"/>
        <v>15150</v>
      </c>
      <c r="M217" s="21">
        <f t="shared" si="43"/>
        <v>19400</v>
      </c>
      <c r="N217" s="904">
        <f t="shared" si="44"/>
        <v>40</v>
      </c>
      <c r="O217" s="21"/>
      <c r="P217" s="22" t="s">
        <v>2</v>
      </c>
      <c r="Q217" s="22">
        <v>0.63</v>
      </c>
      <c r="R217" s="904" t="s">
        <v>42</v>
      </c>
      <c r="S217" s="904" t="str">
        <f t="shared" si="45"/>
        <v>Stove</v>
      </c>
      <c r="T217" s="23">
        <f t="shared" si="46"/>
        <v>0.4431898761795669</v>
      </c>
      <c r="U217" s="23">
        <f t="shared" si="47"/>
        <v>0.78879666035629337</v>
      </c>
      <c r="V217" s="23">
        <f t="shared" si="47"/>
        <v>0.56751706916723421</v>
      </c>
      <c r="W217" s="23">
        <f t="shared" si="48"/>
        <v>0.78879666035629337</v>
      </c>
      <c r="X217" s="904">
        <f t="shared" si="49"/>
        <v>860</v>
      </c>
      <c r="Y217" s="904">
        <f t="shared" si="49"/>
        <v>649</v>
      </c>
      <c r="Z217" s="904">
        <f t="shared" si="49"/>
        <v>814</v>
      </c>
      <c r="AA217" s="904">
        <f t="shared" si="37"/>
        <v>511</v>
      </c>
      <c r="AB217" s="24">
        <v>343</v>
      </c>
    </row>
    <row r="218" spans="1:28" ht="15" customHeight="1" x14ac:dyDescent="0.25">
      <c r="A218" s="903"/>
      <c r="B218" t="s">
        <v>475</v>
      </c>
      <c r="C218" s="906" t="s">
        <v>500</v>
      </c>
      <c r="D218" s="25">
        <v>3.5</v>
      </c>
      <c r="E218" s="903">
        <v>432</v>
      </c>
      <c r="F218" s="903">
        <v>181</v>
      </c>
      <c r="G218" s="903" t="s">
        <v>501</v>
      </c>
      <c r="H218" s="904">
        <f t="shared" si="38"/>
        <v>6</v>
      </c>
      <c r="I218" s="904">
        <f t="shared" si="39"/>
        <v>11</v>
      </c>
      <c r="J218" s="21">
        <f t="shared" si="40"/>
        <v>10800</v>
      </c>
      <c r="K218" s="21">
        <f t="shared" si="41"/>
        <v>15946.000000000002</v>
      </c>
      <c r="L218" s="21">
        <f t="shared" si="42"/>
        <v>28850</v>
      </c>
      <c r="M218" s="21">
        <f t="shared" si="43"/>
        <v>46900</v>
      </c>
      <c r="N218" s="904">
        <f t="shared" si="44"/>
        <v>849</v>
      </c>
      <c r="O218" s="21"/>
      <c r="P218" s="22" t="s">
        <v>2</v>
      </c>
      <c r="Q218" s="22">
        <v>0.63</v>
      </c>
      <c r="R218" s="904" t="s">
        <v>42</v>
      </c>
      <c r="S218" s="904" t="str">
        <f t="shared" si="45"/>
        <v>Stove</v>
      </c>
      <c r="T218" s="23">
        <f t="shared" si="46"/>
        <v>0.16452130879991578</v>
      </c>
      <c r="U218" s="23">
        <f t="shared" si="47"/>
        <v>0.48388620235269331</v>
      </c>
      <c r="V218" s="23">
        <f t="shared" si="47"/>
        <v>0.26745405139397049</v>
      </c>
      <c r="W218" s="23">
        <f t="shared" si="48"/>
        <v>0.71444901691815277</v>
      </c>
      <c r="X218" s="904">
        <f t="shared" si="49"/>
        <v>258</v>
      </c>
      <c r="Y218" s="904">
        <f t="shared" si="49"/>
        <v>274</v>
      </c>
      <c r="Z218" s="904">
        <f t="shared" si="49"/>
        <v>277</v>
      </c>
      <c r="AA218" s="904">
        <f t="shared" si="37"/>
        <v>424</v>
      </c>
      <c r="AB218" s="24">
        <v>96</v>
      </c>
    </row>
    <row r="219" spans="1:28" ht="15" customHeight="1" x14ac:dyDescent="0.25">
      <c r="A219" s="903"/>
      <c r="B219" t="s">
        <v>475</v>
      </c>
      <c r="C219" s="906" t="s">
        <v>502</v>
      </c>
      <c r="D219" s="25">
        <v>4.2</v>
      </c>
      <c r="E219" s="903">
        <v>619</v>
      </c>
      <c r="F219" s="903">
        <v>303</v>
      </c>
      <c r="G219" s="903" t="s">
        <v>503</v>
      </c>
      <c r="H219" s="904">
        <f t="shared" si="38"/>
        <v>6</v>
      </c>
      <c r="I219" s="904">
        <f t="shared" si="39"/>
        <v>11</v>
      </c>
      <c r="J219" s="21">
        <f t="shared" si="40"/>
        <v>10600</v>
      </c>
      <c r="K219" s="21">
        <f t="shared" si="41"/>
        <v>10600</v>
      </c>
      <c r="L219" s="21">
        <f t="shared" si="42"/>
        <v>19550</v>
      </c>
      <c r="M219" s="21">
        <f t="shared" si="43"/>
        <v>28500</v>
      </c>
      <c r="N219" s="904">
        <f t="shared" si="44"/>
        <v>279</v>
      </c>
      <c r="O219" s="21"/>
      <c r="P219" s="22" t="s">
        <v>2</v>
      </c>
      <c r="Q219" s="22">
        <v>0.63</v>
      </c>
      <c r="R219" s="904" t="s">
        <v>42</v>
      </c>
      <c r="S219" s="904" t="str">
        <f t="shared" si="45"/>
        <v>Stove</v>
      </c>
      <c r="T219" s="23">
        <f t="shared" si="46"/>
        <v>0.32488628979857048</v>
      </c>
      <c r="U219" s="23">
        <f t="shared" si="47"/>
        <v>0.87351502445842066</v>
      </c>
      <c r="V219" s="23">
        <f t="shared" si="47"/>
        <v>0.4736193994506015</v>
      </c>
      <c r="W219" s="23">
        <f t="shared" si="48"/>
        <v>0.87351502445842066</v>
      </c>
      <c r="X219" s="904">
        <f t="shared" si="49"/>
        <v>723</v>
      </c>
      <c r="Y219" s="904">
        <f t="shared" si="49"/>
        <v>722</v>
      </c>
      <c r="Z219" s="904">
        <f t="shared" si="49"/>
        <v>706</v>
      </c>
      <c r="AA219" s="904">
        <f t="shared" si="37"/>
        <v>614</v>
      </c>
      <c r="AB219" s="24">
        <v>402</v>
      </c>
    </row>
    <row r="220" spans="1:28" ht="15" customHeight="1" x14ac:dyDescent="0.25">
      <c r="A220" s="903"/>
      <c r="B220" t="s">
        <v>475</v>
      </c>
      <c r="C220" s="906" t="s">
        <v>504</v>
      </c>
      <c r="D220" s="25">
        <v>4.5</v>
      </c>
      <c r="E220" s="903">
        <v>700</v>
      </c>
      <c r="F220" s="903">
        <v>376</v>
      </c>
      <c r="G220" s="903" t="s">
        <v>505</v>
      </c>
      <c r="H220" s="904">
        <f t="shared" si="38"/>
        <v>6</v>
      </c>
      <c r="I220" s="904">
        <f t="shared" si="39"/>
        <v>11</v>
      </c>
      <c r="J220" s="21">
        <f t="shared" si="40"/>
        <v>11200</v>
      </c>
      <c r="K220" s="21">
        <f t="shared" si="41"/>
        <v>14518.000000000002</v>
      </c>
      <c r="L220" s="21">
        <f t="shared" si="42"/>
        <v>26950</v>
      </c>
      <c r="M220" s="21">
        <f t="shared" si="43"/>
        <v>42700</v>
      </c>
      <c r="N220" s="904">
        <f t="shared" si="44"/>
        <v>789</v>
      </c>
      <c r="O220" s="21"/>
      <c r="P220" s="22" t="s">
        <v>2</v>
      </c>
      <c r="Q220" s="22">
        <v>0.63</v>
      </c>
      <c r="R220" s="904" t="s">
        <v>42</v>
      </c>
      <c r="S220" s="904" t="str">
        <f t="shared" si="45"/>
        <v>Insert</v>
      </c>
      <c r="T220" s="23">
        <f t="shared" si="46"/>
        <v>0.2323333705066726</v>
      </c>
      <c r="U220" s="23">
        <f t="shared" si="47"/>
        <v>0.68333344266668405</v>
      </c>
      <c r="V220" s="23">
        <f t="shared" si="47"/>
        <v>0.36811261301057219</v>
      </c>
      <c r="W220" s="23">
        <f t="shared" si="48"/>
        <v>0.88577097505668934</v>
      </c>
      <c r="X220" s="904">
        <f t="shared" si="49"/>
        <v>504</v>
      </c>
      <c r="Y220" s="904">
        <f t="shared" si="49"/>
        <v>546</v>
      </c>
      <c r="Z220" s="904">
        <f t="shared" si="49"/>
        <v>527</v>
      </c>
      <c r="AA220" s="904">
        <f t="shared" si="37"/>
        <v>632</v>
      </c>
      <c r="AB220" s="24">
        <v>266</v>
      </c>
    </row>
    <row r="221" spans="1:28" x14ac:dyDescent="0.25">
      <c r="A221" s="903"/>
      <c r="B221" t="s">
        <v>475</v>
      </c>
      <c r="C221" s="906" t="s">
        <v>506</v>
      </c>
      <c r="D221" s="25">
        <v>5</v>
      </c>
      <c r="E221" s="903">
        <v>756</v>
      </c>
      <c r="F221" s="903">
        <v>417</v>
      </c>
      <c r="G221" s="903" t="s">
        <v>507</v>
      </c>
      <c r="H221" s="904">
        <f t="shared" si="38"/>
        <v>6</v>
      </c>
      <c r="I221" s="904">
        <f t="shared" si="39"/>
        <v>11</v>
      </c>
      <c r="J221" s="21">
        <f t="shared" si="40"/>
        <v>11500</v>
      </c>
      <c r="K221" s="21">
        <f t="shared" si="41"/>
        <v>12750.000000000002</v>
      </c>
      <c r="L221" s="21">
        <f t="shared" si="42"/>
        <v>24500</v>
      </c>
      <c r="M221" s="21">
        <f t="shared" si="43"/>
        <v>37500</v>
      </c>
      <c r="N221" s="904">
        <f t="shared" si="44"/>
        <v>671</v>
      </c>
      <c r="O221" s="21"/>
      <c r="P221" s="22" t="s">
        <v>2</v>
      </c>
      <c r="Q221" s="22">
        <v>0.63</v>
      </c>
      <c r="R221" s="904" t="s">
        <v>42</v>
      </c>
      <c r="S221" s="904" t="str">
        <f t="shared" si="45"/>
        <v>Stove</v>
      </c>
      <c r="T221" s="23">
        <f t="shared" si="46"/>
        <v>0.29394473838918284</v>
      </c>
      <c r="U221" s="23">
        <f t="shared" si="47"/>
        <v>0.86454334820347878</v>
      </c>
      <c r="V221" s="23">
        <f t="shared" si="47"/>
        <v>0.44991541590181044</v>
      </c>
      <c r="W221" s="23">
        <f t="shared" si="48"/>
        <v>0.95851545126907445</v>
      </c>
      <c r="X221" s="904">
        <f t="shared" si="49"/>
        <v>656</v>
      </c>
      <c r="Y221" s="904">
        <f t="shared" si="49"/>
        <v>715</v>
      </c>
      <c r="Z221" s="904">
        <f t="shared" si="49"/>
        <v>675</v>
      </c>
      <c r="AA221" s="904">
        <f t="shared" si="37"/>
        <v>689</v>
      </c>
      <c r="AB221" s="24">
        <v>396</v>
      </c>
    </row>
    <row r="222" spans="1:28" ht="15" customHeight="1" x14ac:dyDescent="0.25">
      <c r="A222" s="903"/>
      <c r="B222" t="s">
        <v>475</v>
      </c>
      <c r="C222" s="906" t="s">
        <v>508</v>
      </c>
      <c r="D222" s="25">
        <v>6.6</v>
      </c>
      <c r="E222" s="903">
        <v>884</v>
      </c>
      <c r="F222" s="903">
        <v>529</v>
      </c>
      <c r="G222" s="903" t="s">
        <v>509</v>
      </c>
      <c r="H222" s="904">
        <f t="shared" si="38"/>
        <v>6</v>
      </c>
      <c r="I222" s="904">
        <f t="shared" si="39"/>
        <v>11</v>
      </c>
      <c r="J222" s="21">
        <f t="shared" si="40"/>
        <v>11100</v>
      </c>
      <c r="K222" s="21">
        <f t="shared" si="41"/>
        <v>11186</v>
      </c>
      <c r="L222" s="21">
        <f t="shared" si="42"/>
        <v>22000</v>
      </c>
      <c r="M222" s="21">
        <f t="shared" si="43"/>
        <v>32900</v>
      </c>
      <c r="N222" s="904">
        <f t="shared" si="44"/>
        <v>473</v>
      </c>
      <c r="O222" s="21"/>
      <c r="P222" s="22" t="s">
        <v>2</v>
      </c>
      <c r="Q222" s="22">
        <v>0.63</v>
      </c>
      <c r="R222" s="904" t="s">
        <v>42</v>
      </c>
      <c r="S222" s="904" t="str">
        <f t="shared" si="45"/>
        <v>Insert</v>
      </c>
      <c r="T222" s="23">
        <f t="shared" si="46"/>
        <v>0.44225728116305624</v>
      </c>
      <c r="U222" s="23">
        <f t="shared" si="47"/>
        <v>1.3007567093031065</v>
      </c>
      <c r="V222" s="23">
        <f t="shared" si="47"/>
        <v>0.66137566137566139</v>
      </c>
      <c r="W222" s="23">
        <f t="shared" si="48"/>
        <v>1.3108346441679775</v>
      </c>
      <c r="X222" s="904">
        <f t="shared" si="49"/>
        <v>857</v>
      </c>
      <c r="Y222" s="904">
        <f t="shared" si="49"/>
        <v>902</v>
      </c>
      <c r="Z222" s="904">
        <f t="shared" si="49"/>
        <v>871</v>
      </c>
      <c r="AA222" s="904">
        <f t="shared" si="37"/>
        <v>860</v>
      </c>
      <c r="AB222" s="24">
        <v>547</v>
      </c>
    </row>
    <row r="223" spans="1:28" ht="15" customHeight="1" x14ac:dyDescent="0.25">
      <c r="A223" s="903"/>
      <c r="B223" t="s">
        <v>475</v>
      </c>
      <c r="C223" s="906" t="s">
        <v>510</v>
      </c>
      <c r="D223" s="25">
        <v>4.2</v>
      </c>
      <c r="E223" s="903">
        <v>619</v>
      </c>
      <c r="F223" s="903">
        <v>303</v>
      </c>
      <c r="G223" s="903" t="s">
        <v>511</v>
      </c>
      <c r="H223" s="904">
        <f t="shared" si="38"/>
        <v>6</v>
      </c>
      <c r="I223" s="904">
        <f t="shared" si="39"/>
        <v>11</v>
      </c>
      <c r="J223" s="21">
        <f t="shared" si="40"/>
        <v>11200</v>
      </c>
      <c r="K223" s="21">
        <f t="shared" si="41"/>
        <v>12070</v>
      </c>
      <c r="L223" s="21">
        <f t="shared" si="42"/>
        <v>23350</v>
      </c>
      <c r="M223" s="21">
        <f t="shared" si="43"/>
        <v>35500</v>
      </c>
      <c r="N223" s="904">
        <f t="shared" si="44"/>
        <v>579</v>
      </c>
      <c r="O223" s="21"/>
      <c r="P223" s="22" t="s">
        <v>2</v>
      </c>
      <c r="Q223" s="22">
        <v>0.63</v>
      </c>
      <c r="R223" s="904" t="s">
        <v>42</v>
      </c>
      <c r="S223" s="904" t="str">
        <f t="shared" si="45"/>
        <v>Stove</v>
      </c>
      <c r="T223" s="23">
        <f t="shared" si="46"/>
        <v>0.26082420448617633</v>
      </c>
      <c r="U223" s="23">
        <f t="shared" si="47"/>
        <v>0.76713001319463625</v>
      </c>
      <c r="V223" s="23">
        <f t="shared" si="47"/>
        <v>0.39654215243080337</v>
      </c>
      <c r="W223" s="23">
        <f t="shared" si="48"/>
        <v>0.82671957671957674</v>
      </c>
      <c r="X223" s="904">
        <f t="shared" si="49"/>
        <v>591</v>
      </c>
      <c r="Y223" s="904">
        <f t="shared" si="49"/>
        <v>631</v>
      </c>
      <c r="Z223" s="904">
        <f t="shared" si="49"/>
        <v>590</v>
      </c>
      <c r="AA223" s="904">
        <f t="shared" si="37"/>
        <v>570</v>
      </c>
      <c r="AB223" s="24">
        <v>327</v>
      </c>
    </row>
    <row r="224" spans="1:28" ht="15" customHeight="1" x14ac:dyDescent="0.25">
      <c r="A224" s="903"/>
      <c r="B224" t="s">
        <v>475</v>
      </c>
      <c r="C224" s="906" t="s">
        <v>512</v>
      </c>
      <c r="D224" s="25">
        <v>3.9</v>
      </c>
      <c r="E224" s="903">
        <v>548</v>
      </c>
      <c r="F224" s="903">
        <v>253</v>
      </c>
      <c r="G224" s="903" t="s">
        <v>513</v>
      </c>
      <c r="H224" s="904">
        <f t="shared" si="38"/>
        <v>6</v>
      </c>
      <c r="I224" s="904">
        <f t="shared" si="39"/>
        <v>11</v>
      </c>
      <c r="J224" s="21">
        <f t="shared" si="40"/>
        <v>11500</v>
      </c>
      <c r="K224" s="21">
        <f t="shared" si="41"/>
        <v>20060</v>
      </c>
      <c r="L224" s="21">
        <f t="shared" si="42"/>
        <v>35250</v>
      </c>
      <c r="M224" s="21">
        <f t="shared" si="43"/>
        <v>59000</v>
      </c>
      <c r="N224" s="904">
        <f t="shared" si="44"/>
        <v>941</v>
      </c>
      <c r="O224" s="21"/>
      <c r="P224" s="22" t="s">
        <v>2</v>
      </c>
      <c r="Q224" s="22">
        <v>0.63</v>
      </c>
      <c r="R224" s="904" t="s">
        <v>42</v>
      </c>
      <c r="S224" s="904" t="str">
        <f t="shared" si="45"/>
        <v>Stove</v>
      </c>
      <c r="T224" s="23">
        <f t="shared" si="46"/>
        <v>0.14572684064209487</v>
      </c>
      <c r="U224" s="23">
        <f t="shared" si="47"/>
        <v>0.42860835482969084</v>
      </c>
      <c r="V224" s="23">
        <f t="shared" si="47"/>
        <v>0.24391159142932192</v>
      </c>
      <c r="W224" s="23">
        <f t="shared" si="48"/>
        <v>0.7476420519898781</v>
      </c>
      <c r="X224" s="904">
        <f t="shared" si="49"/>
        <v>199</v>
      </c>
      <c r="Y224" s="904">
        <f t="shared" si="49"/>
        <v>208</v>
      </c>
      <c r="Z224" s="904">
        <f t="shared" si="49"/>
        <v>235</v>
      </c>
      <c r="AA224" s="904">
        <f t="shared" si="37"/>
        <v>461</v>
      </c>
      <c r="AB224" s="24">
        <v>65</v>
      </c>
    </row>
    <row r="225" spans="1:28" ht="15" customHeight="1" x14ac:dyDescent="0.25">
      <c r="A225" s="903"/>
      <c r="B225" t="s">
        <v>475</v>
      </c>
      <c r="C225" s="906" t="s">
        <v>514</v>
      </c>
      <c r="D225" s="25">
        <v>8.3000000000000007</v>
      </c>
      <c r="E225" s="903">
        <v>957</v>
      </c>
      <c r="F225" s="903">
        <v>600</v>
      </c>
      <c r="G225" s="903" t="s">
        <v>515</v>
      </c>
      <c r="H225" s="904">
        <f t="shared" si="38"/>
        <v>5</v>
      </c>
      <c r="I225" s="904">
        <f t="shared" si="39"/>
        <v>10</v>
      </c>
      <c r="J225" s="21">
        <f t="shared" si="40"/>
        <v>5900</v>
      </c>
      <c r="K225" s="21">
        <f t="shared" si="41"/>
        <v>11390</v>
      </c>
      <c r="L225" s="21">
        <f t="shared" si="42"/>
        <v>19700</v>
      </c>
      <c r="M225" s="21">
        <f t="shared" si="43"/>
        <v>33500</v>
      </c>
      <c r="N225" s="904">
        <f t="shared" si="44"/>
        <v>291</v>
      </c>
      <c r="O225" s="21"/>
      <c r="P225" s="22" t="s">
        <v>2</v>
      </c>
      <c r="Q225" s="22">
        <v>0.63</v>
      </c>
      <c r="R225" s="904" t="s">
        <v>42</v>
      </c>
      <c r="S225" s="904" t="str">
        <f t="shared" si="45"/>
        <v>Stove</v>
      </c>
      <c r="T225" s="23">
        <f t="shared" si="46"/>
        <v>0.54621074521572044</v>
      </c>
      <c r="U225" s="23">
        <f t="shared" si="47"/>
        <v>1.6065021918109423</v>
      </c>
      <c r="V225" s="23">
        <f t="shared" si="47"/>
        <v>0.92883553120439766</v>
      </c>
      <c r="W225" s="23">
        <f t="shared" si="48"/>
        <v>3.1013660957163784</v>
      </c>
      <c r="X225" s="904">
        <f t="shared" si="49"/>
        <v>920</v>
      </c>
      <c r="Y225" s="904">
        <f t="shared" si="49"/>
        <v>951</v>
      </c>
      <c r="Z225" s="904">
        <f t="shared" si="49"/>
        <v>951</v>
      </c>
      <c r="AA225" s="904">
        <f t="shared" si="37"/>
        <v>962</v>
      </c>
      <c r="AB225" s="24">
        <v>596</v>
      </c>
    </row>
    <row r="226" spans="1:28" x14ac:dyDescent="0.25">
      <c r="A226" s="903"/>
      <c r="B226" t="s">
        <v>475</v>
      </c>
      <c r="C226" s="906" t="s">
        <v>516</v>
      </c>
      <c r="D226" s="25">
        <v>5.2</v>
      </c>
      <c r="E226" s="903">
        <v>784</v>
      </c>
      <c r="F226" s="903">
        <v>437</v>
      </c>
      <c r="G226" s="903" t="s">
        <v>517</v>
      </c>
      <c r="H226" s="904">
        <f t="shared" si="38"/>
        <v>6</v>
      </c>
      <c r="I226" s="904">
        <f t="shared" si="39"/>
        <v>11</v>
      </c>
      <c r="J226" s="21">
        <f t="shared" si="40"/>
        <v>10600</v>
      </c>
      <c r="K226" s="21">
        <f t="shared" si="41"/>
        <v>13498.000000000002</v>
      </c>
      <c r="L226" s="21">
        <f t="shared" si="42"/>
        <v>25150</v>
      </c>
      <c r="M226" s="21">
        <f t="shared" si="43"/>
        <v>39700</v>
      </c>
      <c r="N226" s="904">
        <f t="shared" si="44"/>
        <v>702</v>
      </c>
      <c r="O226" s="21"/>
      <c r="P226" s="22" t="s">
        <v>2</v>
      </c>
      <c r="Q226" s="22">
        <v>0.63</v>
      </c>
      <c r="R226" s="904" t="s">
        <v>42</v>
      </c>
      <c r="S226" s="904" t="str">
        <f t="shared" si="45"/>
        <v>Stove</v>
      </c>
      <c r="T226" s="23">
        <f t="shared" si="46"/>
        <v>0.28876183368206876</v>
      </c>
      <c r="U226" s="23">
        <f t="shared" si="47"/>
        <v>0.84929951082961397</v>
      </c>
      <c r="V226" s="23">
        <f t="shared" si="47"/>
        <v>0.45581887861543263</v>
      </c>
      <c r="W226" s="23">
        <f t="shared" si="48"/>
        <v>1.081494792186616</v>
      </c>
      <c r="X226" s="904">
        <f t="shared" si="49"/>
        <v>649</v>
      </c>
      <c r="Y226" s="904">
        <f t="shared" si="49"/>
        <v>710</v>
      </c>
      <c r="Z226" s="904">
        <f t="shared" si="49"/>
        <v>680</v>
      </c>
      <c r="AA226" s="904">
        <f t="shared" si="37"/>
        <v>769</v>
      </c>
      <c r="AB226" s="24">
        <v>393</v>
      </c>
    </row>
    <row r="227" spans="1:28" ht="15" customHeight="1" x14ac:dyDescent="0.25">
      <c r="A227" s="903"/>
      <c r="B227" t="s">
        <v>518</v>
      </c>
      <c r="C227" s="906" t="s">
        <v>519</v>
      </c>
      <c r="D227" s="25">
        <v>4.0999999999999996</v>
      </c>
      <c r="E227" s="903">
        <v>594</v>
      </c>
      <c r="F227" s="903">
        <v>283</v>
      </c>
      <c r="G227" s="903" t="s">
        <v>130</v>
      </c>
      <c r="H227" s="904">
        <f t="shared" si="38"/>
        <v>6</v>
      </c>
      <c r="I227" s="904">
        <f t="shared" si="39"/>
        <v>11</v>
      </c>
      <c r="J227" s="21">
        <f t="shared" si="40"/>
        <v>11300</v>
      </c>
      <c r="K227" s="21">
        <f t="shared" si="41"/>
        <v>11356</v>
      </c>
      <c r="L227" s="21">
        <f t="shared" si="42"/>
        <v>22350</v>
      </c>
      <c r="M227" s="21">
        <f t="shared" si="43"/>
        <v>33400</v>
      </c>
      <c r="N227" s="904">
        <f t="shared" si="44"/>
        <v>504</v>
      </c>
      <c r="O227" s="21"/>
      <c r="P227" s="22" t="s">
        <v>2</v>
      </c>
      <c r="Q227" s="22">
        <v>0.63</v>
      </c>
      <c r="R227" s="904" t="s">
        <v>42</v>
      </c>
      <c r="S227" s="904" t="str">
        <f t="shared" si="45"/>
        <v>Stove</v>
      </c>
      <c r="T227" s="23">
        <f t="shared" si="46"/>
        <v>0.27062277561279552</v>
      </c>
      <c r="U227" s="23">
        <f t="shared" si="47"/>
        <v>0.79594934003763385</v>
      </c>
      <c r="V227" s="23">
        <f t="shared" si="47"/>
        <v>0.4044206132200166</v>
      </c>
      <c r="W227" s="23">
        <f t="shared" si="48"/>
        <v>0.79989386774047533</v>
      </c>
      <c r="X227" s="904">
        <f t="shared" si="49"/>
        <v>605</v>
      </c>
      <c r="Y227" s="904">
        <f t="shared" si="49"/>
        <v>655</v>
      </c>
      <c r="Z227" s="904">
        <f t="shared" si="49"/>
        <v>598</v>
      </c>
      <c r="AA227" s="904">
        <f t="shared" si="37"/>
        <v>529</v>
      </c>
      <c r="AB227" s="24">
        <v>348</v>
      </c>
    </row>
    <row r="228" spans="1:28" ht="15" customHeight="1" x14ac:dyDescent="0.25">
      <c r="A228" s="903"/>
      <c r="B228" t="s">
        <v>518</v>
      </c>
      <c r="C228" s="906" t="s">
        <v>520</v>
      </c>
      <c r="D228" s="25">
        <v>2.2999999999999998</v>
      </c>
      <c r="E228" s="903">
        <v>182</v>
      </c>
      <c r="F228" s="903">
        <v>71</v>
      </c>
      <c r="G228" s="903" t="s">
        <v>521</v>
      </c>
      <c r="H228" s="904">
        <f t="shared" si="38"/>
        <v>6</v>
      </c>
      <c r="I228" s="904">
        <f t="shared" si="39"/>
        <v>11</v>
      </c>
      <c r="J228" s="21">
        <f t="shared" si="40"/>
        <v>11900</v>
      </c>
      <c r="K228" s="21">
        <f t="shared" si="41"/>
        <v>16014.000000000002</v>
      </c>
      <c r="L228" s="21">
        <f t="shared" si="42"/>
        <v>29500</v>
      </c>
      <c r="M228" s="21">
        <f t="shared" si="43"/>
        <v>47100</v>
      </c>
      <c r="N228" s="904">
        <f t="shared" si="44"/>
        <v>864</v>
      </c>
      <c r="O228" s="21"/>
      <c r="P228" s="22" t="s">
        <v>2</v>
      </c>
      <c r="Q228" s="22">
        <v>0.72</v>
      </c>
      <c r="R228" s="904" t="s">
        <v>38</v>
      </c>
      <c r="S228" s="904" t="str">
        <f t="shared" si="45"/>
        <v>Stove</v>
      </c>
      <c r="T228" s="23">
        <f t="shared" si="46"/>
        <v>0.10765492011068797</v>
      </c>
      <c r="U228" s="23">
        <f t="shared" si="47"/>
        <v>0.31663211797261165</v>
      </c>
      <c r="V228" s="23">
        <f t="shared" si="47"/>
        <v>0.17188294024452216</v>
      </c>
      <c r="W228" s="23">
        <f t="shared" si="48"/>
        <v>0.42609636447171462</v>
      </c>
      <c r="X228" s="904">
        <f t="shared" si="49"/>
        <v>105</v>
      </c>
      <c r="Y228" s="904">
        <f t="shared" si="49"/>
        <v>121</v>
      </c>
      <c r="Z228" s="904">
        <f t="shared" si="49"/>
        <v>112</v>
      </c>
      <c r="AA228" s="904">
        <f t="shared" si="37"/>
        <v>132</v>
      </c>
      <c r="AB228" s="24">
        <v>49</v>
      </c>
    </row>
    <row r="229" spans="1:28" ht="15" customHeight="1" x14ac:dyDescent="0.25">
      <c r="A229" s="903"/>
      <c r="B229" t="s">
        <v>518</v>
      </c>
      <c r="C229" s="906" t="s">
        <v>522</v>
      </c>
      <c r="D229" s="25">
        <v>2.5</v>
      </c>
      <c r="E229" s="903">
        <v>218</v>
      </c>
      <c r="F229" s="903">
        <v>89</v>
      </c>
      <c r="G229" s="903" t="s">
        <v>523</v>
      </c>
      <c r="H229" s="904">
        <f t="shared" si="38"/>
        <v>6</v>
      </c>
      <c r="I229" s="904">
        <f t="shared" si="39"/>
        <v>11</v>
      </c>
      <c r="J229" s="21">
        <f t="shared" si="40"/>
        <v>11000</v>
      </c>
      <c r="K229" s="21">
        <f t="shared" si="41"/>
        <v>15402.000000000002</v>
      </c>
      <c r="L229" s="21">
        <f t="shared" si="42"/>
        <v>28150</v>
      </c>
      <c r="M229" s="21">
        <f t="shared" si="43"/>
        <v>45300</v>
      </c>
      <c r="N229" s="904">
        <f t="shared" si="44"/>
        <v>833</v>
      </c>
      <c r="O229" s="21"/>
      <c r="P229" s="22" t="s">
        <v>2</v>
      </c>
      <c r="Q229" s="22">
        <v>0.72</v>
      </c>
      <c r="R229" s="904" t="s">
        <v>38</v>
      </c>
      <c r="S229" s="904" t="str">
        <f t="shared" si="45"/>
        <v>Stove</v>
      </c>
      <c r="T229" s="23">
        <f t="shared" si="46"/>
        <v>0.12166586853856905</v>
      </c>
      <c r="U229" s="23">
        <f t="shared" si="47"/>
        <v>0.35784078981932071</v>
      </c>
      <c r="V229" s="23">
        <f t="shared" si="47"/>
        <v>0.19578912414910046</v>
      </c>
      <c r="W229" s="23">
        <f t="shared" si="48"/>
        <v>0.50104216770883436</v>
      </c>
      <c r="X229" s="904">
        <f t="shared" si="49"/>
        <v>145</v>
      </c>
      <c r="Y229" s="904">
        <f t="shared" si="49"/>
        <v>157</v>
      </c>
      <c r="Z229" s="904">
        <f t="shared" si="49"/>
        <v>158</v>
      </c>
      <c r="AA229" s="904">
        <f t="shared" si="37"/>
        <v>190</v>
      </c>
      <c r="AB229" s="24">
        <v>62</v>
      </c>
    </row>
    <row r="230" spans="1:28" ht="15" customHeight="1" x14ac:dyDescent="0.25">
      <c r="A230" s="903"/>
      <c r="B230" t="s">
        <v>524</v>
      </c>
      <c r="C230" s="906" t="s">
        <v>525</v>
      </c>
      <c r="D230" s="25">
        <v>3.8</v>
      </c>
      <c r="E230" s="903">
        <v>518</v>
      </c>
      <c r="F230" s="903">
        <v>205</v>
      </c>
      <c r="G230" s="903" t="s">
        <v>526</v>
      </c>
      <c r="H230" s="904">
        <f t="shared" si="38"/>
        <v>5</v>
      </c>
      <c r="I230" s="904">
        <f t="shared" si="39"/>
        <v>10</v>
      </c>
      <c r="J230" s="21">
        <f t="shared" si="40"/>
        <v>7100</v>
      </c>
      <c r="K230" s="21">
        <f t="shared" si="41"/>
        <v>17340</v>
      </c>
      <c r="L230" s="21">
        <f t="shared" si="42"/>
        <v>29050</v>
      </c>
      <c r="M230" s="21">
        <f t="shared" si="43"/>
        <v>51000</v>
      </c>
      <c r="N230" s="904">
        <f t="shared" si="44"/>
        <v>854</v>
      </c>
      <c r="O230" s="21"/>
      <c r="P230" s="22" t="s">
        <v>2</v>
      </c>
      <c r="Q230" s="22">
        <v>0.72</v>
      </c>
      <c r="R230" s="904" t="s">
        <v>38</v>
      </c>
      <c r="S230" s="904" t="str">
        <f t="shared" si="45"/>
        <v>Stove</v>
      </c>
      <c r="T230" s="23">
        <f t="shared" si="46"/>
        <v>0.16426323615866101</v>
      </c>
      <c r="U230" s="23">
        <f t="shared" si="47"/>
        <v>0.48312716517253235</v>
      </c>
      <c r="V230" s="23">
        <f t="shared" si="47"/>
        <v>0.28837951959007613</v>
      </c>
      <c r="W230" s="23">
        <f t="shared" si="48"/>
        <v>1.179919020294607</v>
      </c>
      <c r="X230" s="904">
        <f t="shared" si="49"/>
        <v>253</v>
      </c>
      <c r="Y230" s="904">
        <f t="shared" si="49"/>
        <v>269</v>
      </c>
      <c r="Z230" s="904">
        <f t="shared" si="49"/>
        <v>328</v>
      </c>
      <c r="AA230" s="904">
        <f t="shared" si="37"/>
        <v>812</v>
      </c>
      <c r="AB230" s="24">
        <v>110</v>
      </c>
    </row>
    <row r="231" spans="1:28" x14ac:dyDescent="0.25">
      <c r="A231" s="903"/>
      <c r="B231" t="s">
        <v>524</v>
      </c>
      <c r="C231" s="906" t="s">
        <v>527</v>
      </c>
      <c r="D231" s="25">
        <v>5.0999999999999996</v>
      </c>
      <c r="E231" s="903">
        <v>766</v>
      </c>
      <c r="F231" s="903">
        <v>259</v>
      </c>
      <c r="G231" s="903" t="s">
        <v>528</v>
      </c>
      <c r="H231" s="904">
        <f t="shared" si="38"/>
        <v>6</v>
      </c>
      <c r="I231" s="904">
        <f t="shared" si="39"/>
        <v>11</v>
      </c>
      <c r="J231" s="21">
        <f t="shared" si="40"/>
        <v>10600</v>
      </c>
      <c r="K231" s="21">
        <f t="shared" si="41"/>
        <v>16898</v>
      </c>
      <c r="L231" s="21">
        <f t="shared" si="42"/>
        <v>30150</v>
      </c>
      <c r="M231" s="21">
        <f t="shared" si="43"/>
        <v>49700</v>
      </c>
      <c r="N231" s="904">
        <f t="shared" si="44"/>
        <v>882</v>
      </c>
      <c r="O231" s="21"/>
      <c r="P231" s="22" t="s">
        <v>2</v>
      </c>
      <c r="Q231" s="22">
        <v>0.72</v>
      </c>
      <c r="R231" s="904" t="s">
        <v>38</v>
      </c>
      <c r="S231" s="904" t="str">
        <f t="shared" si="45"/>
        <v>Stove</v>
      </c>
      <c r="T231" s="23">
        <f t="shared" si="46"/>
        <v>0.22622507531964273</v>
      </c>
      <c r="U231" s="23">
        <f t="shared" si="47"/>
        <v>0.66536786858718444</v>
      </c>
      <c r="V231" s="23">
        <f t="shared" si="47"/>
        <v>0.37291496661314238</v>
      </c>
      <c r="W231" s="23">
        <f t="shared" si="48"/>
        <v>1.0606968154137966</v>
      </c>
      <c r="X231" s="904">
        <f t="shared" si="49"/>
        <v>478</v>
      </c>
      <c r="Y231" s="904">
        <f t="shared" si="49"/>
        <v>516</v>
      </c>
      <c r="Z231" s="904">
        <f t="shared" si="49"/>
        <v>548</v>
      </c>
      <c r="AA231" s="904">
        <f t="shared" si="37"/>
        <v>752</v>
      </c>
      <c r="AB231" s="24">
        <v>195</v>
      </c>
    </row>
    <row r="232" spans="1:28" x14ac:dyDescent="0.25">
      <c r="A232" s="903"/>
      <c r="B232" t="s">
        <v>524</v>
      </c>
      <c r="C232" s="906" t="s">
        <v>529</v>
      </c>
      <c r="D232" s="25">
        <v>1.8</v>
      </c>
      <c r="E232" s="903">
        <v>106</v>
      </c>
      <c r="F232" s="903">
        <v>38</v>
      </c>
      <c r="G232" s="903" t="s">
        <v>530</v>
      </c>
      <c r="H232" s="904">
        <f t="shared" si="38"/>
        <v>6</v>
      </c>
      <c r="I232" s="904">
        <f t="shared" si="39"/>
        <v>11</v>
      </c>
      <c r="J232" s="21">
        <f t="shared" si="40"/>
        <v>10700</v>
      </c>
      <c r="K232" s="21">
        <f t="shared" si="41"/>
        <v>11220</v>
      </c>
      <c r="L232" s="21">
        <f t="shared" si="42"/>
        <v>21850</v>
      </c>
      <c r="M232" s="21">
        <f t="shared" si="43"/>
        <v>33000</v>
      </c>
      <c r="N232" s="904">
        <f t="shared" si="44"/>
        <v>458</v>
      </c>
      <c r="O232" s="21"/>
      <c r="P232" s="22" t="s">
        <v>2</v>
      </c>
      <c r="Q232" s="22">
        <v>0.72</v>
      </c>
      <c r="R232" s="904" t="s">
        <v>38</v>
      </c>
      <c r="S232" s="904" t="str">
        <f t="shared" si="45"/>
        <v>Stove</v>
      </c>
      <c r="T232" s="23">
        <f t="shared" si="46"/>
        <v>0.12025012025012025</v>
      </c>
      <c r="U232" s="23">
        <f t="shared" si="47"/>
        <v>0.35367682426505959</v>
      </c>
      <c r="V232" s="23">
        <f t="shared" si="47"/>
        <v>0.18161345392466674</v>
      </c>
      <c r="W232" s="23">
        <f t="shared" si="48"/>
        <v>0.37086485684616527</v>
      </c>
      <c r="X232" s="904">
        <f t="shared" si="49"/>
        <v>140</v>
      </c>
      <c r="Y232" s="904">
        <f t="shared" si="49"/>
        <v>151</v>
      </c>
      <c r="Z232" s="904">
        <f t="shared" si="49"/>
        <v>133</v>
      </c>
      <c r="AA232" s="904">
        <f t="shared" si="37"/>
        <v>90</v>
      </c>
      <c r="AB232" s="24">
        <v>57</v>
      </c>
    </row>
    <row r="233" spans="1:28" x14ac:dyDescent="0.25">
      <c r="A233" s="903"/>
      <c r="B233" t="s">
        <v>524</v>
      </c>
      <c r="C233" s="906" t="s">
        <v>531</v>
      </c>
      <c r="D233" s="25">
        <v>4.4000000000000004</v>
      </c>
      <c r="E233" s="903">
        <v>660</v>
      </c>
      <c r="F233" s="903">
        <v>338</v>
      </c>
      <c r="G233" s="903" t="s">
        <v>532</v>
      </c>
      <c r="H233" s="904">
        <f t="shared" si="38"/>
        <v>6</v>
      </c>
      <c r="I233" s="904">
        <f t="shared" si="39"/>
        <v>11</v>
      </c>
      <c r="J233" s="21">
        <f t="shared" si="40"/>
        <v>11800</v>
      </c>
      <c r="K233" s="21">
        <f t="shared" si="41"/>
        <v>18700</v>
      </c>
      <c r="L233" s="21">
        <f t="shared" si="42"/>
        <v>33400</v>
      </c>
      <c r="M233" s="21">
        <f t="shared" si="43"/>
        <v>55000</v>
      </c>
      <c r="N233" s="904">
        <f t="shared" si="44"/>
        <v>919</v>
      </c>
      <c r="O233" s="21"/>
      <c r="P233" s="22" t="s">
        <v>2</v>
      </c>
      <c r="Q233" s="22">
        <v>0.63</v>
      </c>
      <c r="R233" s="904" t="s">
        <v>42</v>
      </c>
      <c r="S233" s="904" t="str">
        <f t="shared" si="45"/>
        <v>Stove</v>
      </c>
      <c r="T233" s="23">
        <f t="shared" si="46"/>
        <v>0.17636684303350969</v>
      </c>
      <c r="U233" s="23">
        <f t="shared" si="47"/>
        <v>0.51872600892208731</v>
      </c>
      <c r="V233" s="23">
        <f t="shared" si="47"/>
        <v>0.2904244421210489</v>
      </c>
      <c r="W233" s="23">
        <f t="shared" si="48"/>
        <v>0.82204884464771466</v>
      </c>
      <c r="X233" s="904">
        <f t="shared" si="49"/>
        <v>295</v>
      </c>
      <c r="Y233" s="904">
        <f t="shared" si="49"/>
        <v>316</v>
      </c>
      <c r="Z233" s="904">
        <f t="shared" si="49"/>
        <v>339</v>
      </c>
      <c r="AA233" s="904">
        <f t="shared" si="37"/>
        <v>562</v>
      </c>
      <c r="AB233" s="24">
        <v>119</v>
      </c>
    </row>
    <row r="234" spans="1:28" x14ac:dyDescent="0.25">
      <c r="A234" s="903"/>
      <c r="B234" t="s">
        <v>524</v>
      </c>
      <c r="C234" s="906" t="s">
        <v>533</v>
      </c>
      <c r="D234" s="25">
        <v>2.7</v>
      </c>
      <c r="E234" s="903">
        <v>257</v>
      </c>
      <c r="F234" s="903">
        <v>79</v>
      </c>
      <c r="G234" s="903" t="s">
        <v>534</v>
      </c>
      <c r="H234" s="904">
        <f t="shared" si="38"/>
        <v>6</v>
      </c>
      <c r="I234" s="904">
        <f t="shared" si="39"/>
        <v>11</v>
      </c>
      <c r="J234" s="21">
        <f t="shared" si="40"/>
        <v>11200</v>
      </c>
      <c r="K234" s="21">
        <f t="shared" si="41"/>
        <v>19482</v>
      </c>
      <c r="L234" s="21">
        <f t="shared" si="42"/>
        <v>34250</v>
      </c>
      <c r="M234" s="21">
        <f t="shared" si="43"/>
        <v>57300</v>
      </c>
      <c r="N234" s="904">
        <f t="shared" si="44"/>
        <v>934</v>
      </c>
      <c r="O234" s="21"/>
      <c r="P234" s="22" t="s">
        <v>2</v>
      </c>
      <c r="Q234" s="22">
        <v>0.63</v>
      </c>
      <c r="R234" s="904" t="s">
        <v>42</v>
      </c>
      <c r="S234" s="904" t="str">
        <f t="shared" si="45"/>
        <v>Stove</v>
      </c>
      <c r="T234" s="23">
        <f t="shared" si="46"/>
        <v>0.10388099393334996</v>
      </c>
      <c r="U234" s="23">
        <f t="shared" si="47"/>
        <v>0.30553233509808808</v>
      </c>
      <c r="V234" s="23">
        <f t="shared" si="47"/>
        <v>0.17379214459506431</v>
      </c>
      <c r="W234" s="23">
        <f t="shared" si="48"/>
        <v>0.53146258503401356</v>
      </c>
      <c r="X234" s="904">
        <f t="shared" si="49"/>
        <v>95</v>
      </c>
      <c r="Y234" s="904">
        <f t="shared" si="49"/>
        <v>111</v>
      </c>
      <c r="Z234" s="904">
        <f t="shared" si="49"/>
        <v>118</v>
      </c>
      <c r="AA234" s="904">
        <f t="shared" si="37"/>
        <v>223</v>
      </c>
      <c r="AB234" s="24">
        <v>26</v>
      </c>
    </row>
    <row r="235" spans="1:28" x14ac:dyDescent="0.25">
      <c r="A235" s="903"/>
      <c r="B235" t="s">
        <v>524</v>
      </c>
      <c r="C235" s="906" t="s">
        <v>535</v>
      </c>
      <c r="D235" s="25">
        <v>3.3</v>
      </c>
      <c r="E235" s="903">
        <v>393</v>
      </c>
      <c r="F235" s="903">
        <v>152</v>
      </c>
      <c r="G235" s="903" t="s">
        <v>536</v>
      </c>
      <c r="H235" s="904">
        <f t="shared" si="38"/>
        <v>5</v>
      </c>
      <c r="I235" s="904">
        <f t="shared" si="39"/>
        <v>10</v>
      </c>
      <c r="J235" s="21">
        <f t="shared" si="40"/>
        <v>8600</v>
      </c>
      <c r="K235" s="21">
        <f t="shared" si="41"/>
        <v>12682.000000000002</v>
      </c>
      <c r="L235" s="21">
        <f t="shared" si="42"/>
        <v>22950</v>
      </c>
      <c r="M235" s="21">
        <f t="shared" si="43"/>
        <v>37300</v>
      </c>
      <c r="N235" s="904">
        <f t="shared" si="44"/>
        <v>543</v>
      </c>
      <c r="O235" s="21"/>
      <c r="P235" s="22" t="s">
        <v>2</v>
      </c>
      <c r="Q235" s="22">
        <v>0.63</v>
      </c>
      <c r="R235" s="904" t="s">
        <v>42</v>
      </c>
      <c r="S235" s="904" t="str">
        <f t="shared" si="45"/>
        <v>Stove</v>
      </c>
      <c r="T235" s="23">
        <f t="shared" si="46"/>
        <v>0.19504376072740684</v>
      </c>
      <c r="U235" s="23">
        <f t="shared" si="47"/>
        <v>0.57365811978649062</v>
      </c>
      <c r="V235" s="23">
        <f t="shared" si="47"/>
        <v>0.31699922767460892</v>
      </c>
      <c r="W235" s="23">
        <f t="shared" si="48"/>
        <v>0.84594561338747387</v>
      </c>
      <c r="X235" s="904">
        <f t="shared" si="49"/>
        <v>365</v>
      </c>
      <c r="Y235" s="904">
        <f t="shared" si="49"/>
        <v>395</v>
      </c>
      <c r="Z235" s="904">
        <f t="shared" si="49"/>
        <v>404</v>
      </c>
      <c r="AA235" s="904">
        <f t="shared" si="37"/>
        <v>592</v>
      </c>
      <c r="AB235" s="24">
        <v>166</v>
      </c>
    </row>
    <row r="236" spans="1:28" x14ac:dyDescent="0.25">
      <c r="A236" s="19"/>
      <c r="B236" s="16" t="s">
        <v>537</v>
      </c>
      <c r="C236" s="17" t="s">
        <v>538</v>
      </c>
      <c r="D236" s="18">
        <v>3.5</v>
      </c>
      <c r="E236" s="19">
        <v>432</v>
      </c>
      <c r="F236" s="903">
        <v>181</v>
      </c>
      <c r="G236" s="19" t="s">
        <v>539</v>
      </c>
      <c r="H236" s="904">
        <f t="shared" si="38"/>
        <v>6</v>
      </c>
      <c r="I236" s="904">
        <f t="shared" si="39"/>
        <v>11</v>
      </c>
      <c r="J236" s="21">
        <f t="shared" si="40"/>
        <v>12833</v>
      </c>
      <c r="K236" s="21">
        <f t="shared" si="41"/>
        <v>12833</v>
      </c>
      <c r="L236" s="21">
        <f t="shared" si="42"/>
        <v>19963</v>
      </c>
      <c r="M236" s="21">
        <f t="shared" si="43"/>
        <v>27093</v>
      </c>
      <c r="N236" s="904">
        <f t="shared" si="44"/>
        <v>320</v>
      </c>
      <c r="O236" s="21"/>
      <c r="P236" s="22" t="s">
        <v>2</v>
      </c>
      <c r="Q236" s="22">
        <v>0.63</v>
      </c>
      <c r="R236" s="904" t="s">
        <v>42</v>
      </c>
      <c r="S236" s="904" t="str">
        <f t="shared" si="45"/>
        <v>Stove</v>
      </c>
      <c r="T236" s="23">
        <f t="shared" si="46"/>
        <v>0.28479863369564273</v>
      </c>
      <c r="U236" s="23">
        <f t="shared" si="47"/>
        <v>0.60126621855497919</v>
      </c>
      <c r="V236" s="23">
        <f t="shared" si="47"/>
        <v>0.38651752655993832</v>
      </c>
      <c r="W236" s="23">
        <f t="shared" si="48"/>
        <v>0.60126621855497919</v>
      </c>
      <c r="X236" s="904">
        <f t="shared" si="49"/>
        <v>642</v>
      </c>
      <c r="Y236" s="904">
        <f t="shared" si="49"/>
        <v>437</v>
      </c>
      <c r="Z236" s="904">
        <f t="shared" si="49"/>
        <v>574</v>
      </c>
      <c r="AA236" s="904">
        <f t="shared" si="37"/>
        <v>294</v>
      </c>
      <c r="AB236" s="24">
        <v>188</v>
      </c>
    </row>
    <row r="237" spans="1:28" x14ac:dyDescent="0.25">
      <c r="A237" s="903"/>
      <c r="B237" t="s">
        <v>537</v>
      </c>
      <c r="C237" s="906" t="s">
        <v>540</v>
      </c>
      <c r="D237" s="25">
        <v>7</v>
      </c>
      <c r="E237" s="903">
        <v>907</v>
      </c>
      <c r="F237" s="903">
        <v>550</v>
      </c>
      <c r="G237" s="903" t="s">
        <v>541</v>
      </c>
      <c r="H237" s="904">
        <f t="shared" si="38"/>
        <v>5</v>
      </c>
      <c r="I237" s="904">
        <f t="shared" si="39"/>
        <v>10</v>
      </c>
      <c r="J237" s="21">
        <f t="shared" si="40"/>
        <v>9600</v>
      </c>
      <c r="K237" s="21">
        <f t="shared" si="41"/>
        <v>9600</v>
      </c>
      <c r="L237" s="21">
        <f t="shared" si="42"/>
        <v>12950</v>
      </c>
      <c r="M237" s="21">
        <f t="shared" si="43"/>
        <v>16300</v>
      </c>
      <c r="N237" s="904">
        <f t="shared" si="44"/>
        <v>12</v>
      </c>
      <c r="O237" s="21"/>
      <c r="P237" s="22" t="s">
        <v>2</v>
      </c>
      <c r="Q237" s="22">
        <v>0.63</v>
      </c>
      <c r="R237" s="904" t="s">
        <v>42</v>
      </c>
      <c r="S237" s="904" t="str">
        <f t="shared" si="45"/>
        <v>Stove</v>
      </c>
      <c r="T237" s="23">
        <f t="shared" si="46"/>
        <v>0.94675452548663186</v>
      </c>
      <c r="U237" s="23">
        <f t="shared" si="47"/>
        <v>1.6075102880658436</v>
      </c>
      <c r="V237" s="23">
        <f t="shared" si="47"/>
        <v>1.191667858334525</v>
      </c>
      <c r="W237" s="23">
        <f t="shared" si="48"/>
        <v>1.6075102880658436</v>
      </c>
      <c r="X237" s="904">
        <f t="shared" si="49"/>
        <v>963</v>
      </c>
      <c r="Y237" s="904">
        <f t="shared" si="49"/>
        <v>952</v>
      </c>
      <c r="Z237" s="904">
        <f t="shared" si="49"/>
        <v>962</v>
      </c>
      <c r="AA237" s="904">
        <f t="shared" si="37"/>
        <v>932</v>
      </c>
      <c r="AB237" s="24">
        <v>597</v>
      </c>
    </row>
    <row r="238" spans="1:28" x14ac:dyDescent="0.25">
      <c r="A238" s="903"/>
      <c r="B238" t="s">
        <v>542</v>
      </c>
      <c r="C238" s="906" t="s">
        <v>543</v>
      </c>
      <c r="D238" s="25">
        <v>5</v>
      </c>
      <c r="E238" s="903">
        <v>756</v>
      </c>
      <c r="F238" s="903">
        <v>417</v>
      </c>
      <c r="G238" s="903" t="s">
        <v>544</v>
      </c>
      <c r="H238" s="904">
        <f t="shared" si="38"/>
        <v>6</v>
      </c>
      <c r="I238" s="904">
        <f t="shared" si="39"/>
        <v>11</v>
      </c>
      <c r="J238" s="21">
        <f t="shared" si="40"/>
        <v>10213</v>
      </c>
      <c r="K238" s="21">
        <f t="shared" si="41"/>
        <v>10255.42</v>
      </c>
      <c r="L238" s="21">
        <f t="shared" si="42"/>
        <v>20188</v>
      </c>
      <c r="M238" s="21">
        <f t="shared" si="43"/>
        <v>30163</v>
      </c>
      <c r="N238" s="904">
        <f t="shared" si="44"/>
        <v>341</v>
      </c>
      <c r="O238" s="21"/>
      <c r="P238" s="22" t="s">
        <v>2</v>
      </c>
      <c r="Q238" s="22">
        <v>0.63</v>
      </c>
      <c r="R238" s="904" t="s">
        <v>42</v>
      </c>
      <c r="S238" s="904" t="str">
        <f t="shared" si="45"/>
        <v>Stove</v>
      </c>
      <c r="T238" s="23">
        <f t="shared" si="46"/>
        <v>0.36544533665730716</v>
      </c>
      <c r="U238" s="23">
        <f t="shared" si="47"/>
        <v>1.0748392254626682</v>
      </c>
      <c r="V238" s="23">
        <f t="shared" si="47"/>
        <v>0.54601385424976989</v>
      </c>
      <c r="W238" s="23">
        <f t="shared" si="48"/>
        <v>1.0793036022318963</v>
      </c>
      <c r="X238" s="904">
        <f t="shared" si="49"/>
        <v>793</v>
      </c>
      <c r="Y238" s="904">
        <f t="shared" si="49"/>
        <v>850</v>
      </c>
      <c r="Z238" s="904">
        <f t="shared" si="49"/>
        <v>792</v>
      </c>
      <c r="AA238" s="904">
        <f t="shared" si="37"/>
        <v>764</v>
      </c>
      <c r="AB238" s="24">
        <v>499</v>
      </c>
    </row>
    <row r="239" spans="1:28" x14ac:dyDescent="0.25">
      <c r="A239" s="903"/>
      <c r="B239" t="s">
        <v>542</v>
      </c>
      <c r="C239" s="906" t="s">
        <v>545</v>
      </c>
      <c r="D239" s="25">
        <v>4.3</v>
      </c>
      <c r="E239" s="903">
        <v>635</v>
      </c>
      <c r="F239" s="903">
        <v>318</v>
      </c>
      <c r="G239" s="903" t="s">
        <v>546</v>
      </c>
      <c r="H239" s="904">
        <f t="shared" si="38"/>
        <v>6</v>
      </c>
      <c r="I239" s="904">
        <f t="shared" si="39"/>
        <v>11</v>
      </c>
      <c r="J239" s="21">
        <f t="shared" si="40"/>
        <v>11310</v>
      </c>
      <c r="K239" s="21">
        <f t="shared" si="41"/>
        <v>11310</v>
      </c>
      <c r="L239" s="21">
        <f t="shared" si="42"/>
        <v>18249.5</v>
      </c>
      <c r="M239" s="21">
        <f t="shared" si="43"/>
        <v>25189</v>
      </c>
      <c r="N239" s="904">
        <f t="shared" si="44"/>
        <v>175</v>
      </c>
      <c r="O239" s="21"/>
      <c r="P239" s="22" t="s">
        <v>2</v>
      </c>
      <c r="Q239" s="22">
        <v>0.63</v>
      </c>
      <c r="R239" s="904" t="s">
        <v>42</v>
      </c>
      <c r="S239" s="904" t="str">
        <f t="shared" si="45"/>
        <v>Stove</v>
      </c>
      <c r="T239" s="23">
        <f t="shared" si="46"/>
        <v>0.37634355524439822</v>
      </c>
      <c r="U239" s="23">
        <f t="shared" si="47"/>
        <v>0.83817133625562745</v>
      </c>
      <c r="V239" s="23">
        <f t="shared" si="47"/>
        <v>0.51945082402537857</v>
      </c>
      <c r="W239" s="23">
        <f t="shared" si="48"/>
        <v>0.83817133625562745</v>
      </c>
      <c r="X239" s="904">
        <f t="shared" si="49"/>
        <v>808</v>
      </c>
      <c r="Y239" s="904">
        <f t="shared" si="49"/>
        <v>701</v>
      </c>
      <c r="Z239" s="904">
        <f t="shared" si="49"/>
        <v>764</v>
      </c>
      <c r="AA239" s="904">
        <f t="shared" si="37"/>
        <v>586</v>
      </c>
      <c r="AB239" s="24">
        <v>386</v>
      </c>
    </row>
    <row r="240" spans="1:28" x14ac:dyDescent="0.25">
      <c r="A240" s="903" t="s">
        <v>77</v>
      </c>
      <c r="B240" t="s">
        <v>547</v>
      </c>
      <c r="C240" s="906" t="s">
        <v>548</v>
      </c>
      <c r="D240" s="25">
        <v>7</v>
      </c>
      <c r="E240" s="903">
        <v>907</v>
      </c>
      <c r="F240" s="903">
        <v>550</v>
      </c>
      <c r="G240" s="903" t="s">
        <v>385</v>
      </c>
      <c r="H240" s="904">
        <f t="shared" si="38"/>
        <v>6</v>
      </c>
      <c r="I240" s="904">
        <f t="shared" si="39"/>
        <v>11</v>
      </c>
      <c r="J240" s="21">
        <f t="shared" si="40"/>
        <v>11700</v>
      </c>
      <c r="K240" s="21">
        <f t="shared" si="41"/>
        <v>11700</v>
      </c>
      <c r="L240" s="21">
        <f t="shared" si="42"/>
        <v>17400</v>
      </c>
      <c r="M240" s="21">
        <f t="shared" si="43"/>
        <v>23100</v>
      </c>
      <c r="N240" s="904">
        <f t="shared" si="44"/>
        <v>124</v>
      </c>
      <c r="O240" s="21"/>
      <c r="P240" s="22" t="s">
        <v>2</v>
      </c>
      <c r="Q240" s="22">
        <v>0.63</v>
      </c>
      <c r="R240" s="904" t="s">
        <v>42</v>
      </c>
      <c r="S240" s="904" t="str">
        <f t="shared" si="45"/>
        <v>Stove</v>
      </c>
      <c r="T240" s="23">
        <f t="shared" si="46"/>
        <v>0.66805622361177919</v>
      </c>
      <c r="U240" s="23">
        <f t="shared" si="47"/>
        <v>1.3189828004642818</v>
      </c>
      <c r="V240" s="23">
        <f t="shared" si="47"/>
        <v>0.88690222789839646</v>
      </c>
      <c r="W240" s="23">
        <f t="shared" si="48"/>
        <v>1.3189828004642818</v>
      </c>
      <c r="X240" s="904">
        <f t="shared" si="49"/>
        <v>950</v>
      </c>
      <c r="Y240" s="904">
        <f t="shared" si="49"/>
        <v>907</v>
      </c>
      <c r="Z240" s="904">
        <f t="shared" si="49"/>
        <v>942</v>
      </c>
      <c r="AA240" s="904">
        <f t="shared" si="37"/>
        <v>861</v>
      </c>
      <c r="AB240" s="24">
        <v>552</v>
      </c>
    </row>
    <row r="241" spans="1:28" x14ac:dyDescent="0.25">
      <c r="A241" s="903" t="s">
        <v>77</v>
      </c>
      <c r="B241" t="s">
        <v>547</v>
      </c>
      <c r="C241" s="906" t="s">
        <v>549</v>
      </c>
      <c r="D241" s="25">
        <v>3.2</v>
      </c>
      <c r="E241" s="903">
        <v>376</v>
      </c>
      <c r="F241" s="903">
        <v>141</v>
      </c>
      <c r="G241" s="903" t="s">
        <v>388</v>
      </c>
      <c r="H241" s="904">
        <f t="shared" si="38"/>
        <v>6</v>
      </c>
      <c r="I241" s="904">
        <f t="shared" si="39"/>
        <v>11</v>
      </c>
      <c r="J241" s="21">
        <f t="shared" si="40"/>
        <v>11000</v>
      </c>
      <c r="K241" s="21">
        <f t="shared" si="41"/>
        <v>11000</v>
      </c>
      <c r="L241" s="21">
        <f t="shared" si="42"/>
        <v>21050</v>
      </c>
      <c r="M241" s="21">
        <f t="shared" si="43"/>
        <v>31100</v>
      </c>
      <c r="N241" s="904">
        <f t="shared" si="44"/>
        <v>410</v>
      </c>
      <c r="O241" s="21"/>
      <c r="P241" s="22" t="s">
        <v>2</v>
      </c>
      <c r="Q241" s="22">
        <v>0.63</v>
      </c>
      <c r="R241" s="904" t="s">
        <v>42</v>
      </c>
      <c r="S241" s="904" t="str">
        <f t="shared" si="45"/>
        <v>Stove</v>
      </c>
      <c r="T241" s="23">
        <f t="shared" si="46"/>
        <v>0.22683838332284206</v>
      </c>
      <c r="U241" s="23">
        <f t="shared" si="47"/>
        <v>0.64133397466730802</v>
      </c>
      <c r="V241" s="23">
        <f t="shared" si="47"/>
        <v>0.33513889412543413</v>
      </c>
      <c r="W241" s="23">
        <f t="shared" si="48"/>
        <v>0.64133397466730802</v>
      </c>
      <c r="X241" s="904">
        <f t="shared" si="49"/>
        <v>482</v>
      </c>
      <c r="Y241" s="904">
        <f t="shared" si="49"/>
        <v>484</v>
      </c>
      <c r="Z241" s="904">
        <f t="shared" si="49"/>
        <v>452</v>
      </c>
      <c r="AA241" s="904">
        <f t="shared" si="37"/>
        <v>335</v>
      </c>
      <c r="AB241" s="24">
        <v>224</v>
      </c>
    </row>
    <row r="242" spans="1:28" x14ac:dyDescent="0.25">
      <c r="A242" s="903" t="s">
        <v>77</v>
      </c>
      <c r="B242" t="s">
        <v>547</v>
      </c>
      <c r="C242" s="906" t="s">
        <v>550</v>
      </c>
      <c r="D242" s="25">
        <v>6.5</v>
      </c>
      <c r="E242" s="903">
        <v>875</v>
      </c>
      <c r="F242" s="903">
        <v>521</v>
      </c>
      <c r="G242" s="903" t="s">
        <v>391</v>
      </c>
      <c r="H242" s="904">
        <f t="shared" si="38"/>
        <v>6</v>
      </c>
      <c r="I242" s="904">
        <f t="shared" si="39"/>
        <v>11</v>
      </c>
      <c r="J242" s="21">
        <f t="shared" si="40"/>
        <v>10200</v>
      </c>
      <c r="K242" s="21">
        <f t="shared" si="41"/>
        <v>10472</v>
      </c>
      <c r="L242" s="21">
        <f t="shared" si="42"/>
        <v>20500</v>
      </c>
      <c r="M242" s="21">
        <f t="shared" si="43"/>
        <v>30800</v>
      </c>
      <c r="N242" s="904">
        <f t="shared" si="44"/>
        <v>362</v>
      </c>
      <c r="O242" s="21"/>
      <c r="P242" s="22" t="s">
        <v>2</v>
      </c>
      <c r="Q242" s="22">
        <v>0.63</v>
      </c>
      <c r="R242" s="904" t="s">
        <v>42</v>
      </c>
      <c r="S242" s="904" t="str">
        <f t="shared" si="45"/>
        <v>Stove</v>
      </c>
      <c r="T242" s="23">
        <f t="shared" si="46"/>
        <v>0.46525344144391761</v>
      </c>
      <c r="U242" s="23">
        <f t="shared" si="47"/>
        <v>1.3683924748350518</v>
      </c>
      <c r="V242" s="23">
        <f t="shared" si="47"/>
        <v>0.69901492665720311</v>
      </c>
      <c r="W242" s="23">
        <f t="shared" si="48"/>
        <v>1.4048829408306533</v>
      </c>
      <c r="X242" s="904">
        <f t="shared" si="49"/>
        <v>876</v>
      </c>
      <c r="Y242" s="904">
        <f t="shared" si="49"/>
        <v>921</v>
      </c>
      <c r="Z242" s="904">
        <f t="shared" si="49"/>
        <v>880</v>
      </c>
      <c r="AA242" s="904">
        <f t="shared" si="37"/>
        <v>896</v>
      </c>
      <c r="AB242" s="24">
        <v>566</v>
      </c>
    </row>
    <row r="243" spans="1:28" x14ac:dyDescent="0.25">
      <c r="A243" s="903"/>
      <c r="B243" t="s">
        <v>551</v>
      </c>
      <c r="C243" s="906" t="s">
        <v>552</v>
      </c>
      <c r="D243" s="25">
        <v>5.0999999999999996</v>
      </c>
      <c r="E243" s="903">
        <v>766</v>
      </c>
      <c r="F243" s="903">
        <v>425</v>
      </c>
      <c r="G243" s="903" t="s">
        <v>553</v>
      </c>
      <c r="H243" s="904">
        <f t="shared" si="38"/>
        <v>6</v>
      </c>
      <c r="I243" s="904">
        <f t="shared" si="39"/>
        <v>11</v>
      </c>
      <c r="J243" s="21">
        <f t="shared" si="40"/>
        <v>11638</v>
      </c>
      <c r="K243" s="21">
        <f t="shared" si="41"/>
        <v>11638</v>
      </c>
      <c r="L243" s="21">
        <f t="shared" si="42"/>
        <v>17041</v>
      </c>
      <c r="M243" s="21">
        <f t="shared" si="43"/>
        <v>22444</v>
      </c>
      <c r="N243" s="904">
        <f t="shared" si="44"/>
        <v>93</v>
      </c>
      <c r="O243" s="21"/>
      <c r="P243" s="22" t="s">
        <v>2</v>
      </c>
      <c r="Q243" s="22">
        <v>0.63</v>
      </c>
      <c r="R243" s="904" t="s">
        <v>42</v>
      </c>
      <c r="S243" s="904" t="str">
        <f t="shared" si="45"/>
        <v>Stove</v>
      </c>
      <c r="T243" s="23">
        <f t="shared" si="46"/>
        <v>0.50095287129683852</v>
      </c>
      <c r="U243" s="23">
        <f t="shared" si="47"/>
        <v>0.96609264851230825</v>
      </c>
      <c r="V243" s="23">
        <f t="shared" si="47"/>
        <v>0.65978441660619935</v>
      </c>
      <c r="W243" s="23">
        <f t="shared" si="48"/>
        <v>0.96609264851230825</v>
      </c>
      <c r="X243" s="904">
        <f t="shared" si="49"/>
        <v>898</v>
      </c>
      <c r="Y243" s="904">
        <f t="shared" si="49"/>
        <v>796</v>
      </c>
      <c r="Z243" s="904">
        <f t="shared" si="49"/>
        <v>870</v>
      </c>
      <c r="AA243" s="904">
        <f t="shared" si="37"/>
        <v>696</v>
      </c>
      <c r="AB243" s="24">
        <v>462</v>
      </c>
    </row>
    <row r="244" spans="1:28" x14ac:dyDescent="0.25">
      <c r="A244" s="903"/>
      <c r="B244" t="s">
        <v>551</v>
      </c>
      <c r="C244" s="906" t="s">
        <v>554</v>
      </c>
      <c r="D244" s="25">
        <v>4.3</v>
      </c>
      <c r="E244" s="903">
        <v>635</v>
      </c>
      <c r="F244" s="903">
        <v>318</v>
      </c>
      <c r="G244" s="903" t="s">
        <v>555</v>
      </c>
      <c r="H244" s="904">
        <f t="shared" si="38"/>
        <v>5</v>
      </c>
      <c r="I244" s="904">
        <f t="shared" si="39"/>
        <v>10</v>
      </c>
      <c r="J244" s="21">
        <f t="shared" si="40"/>
        <v>9238</v>
      </c>
      <c r="K244" s="21">
        <f t="shared" si="41"/>
        <v>9238</v>
      </c>
      <c r="L244" s="21">
        <f t="shared" si="42"/>
        <v>12991</v>
      </c>
      <c r="M244" s="21">
        <f t="shared" si="43"/>
        <v>16744</v>
      </c>
      <c r="N244" s="904">
        <f t="shared" si="44"/>
        <v>14</v>
      </c>
      <c r="O244" s="21"/>
      <c r="P244" s="22" t="s">
        <v>2</v>
      </c>
      <c r="Q244" s="22">
        <v>0.63</v>
      </c>
      <c r="R244" s="904" t="s">
        <v>42</v>
      </c>
      <c r="S244" s="904" t="str">
        <f t="shared" si="45"/>
        <v>Stove</v>
      </c>
      <c r="T244" s="23">
        <f t="shared" si="46"/>
        <v>0.56615610445838183</v>
      </c>
      <c r="U244" s="23">
        <f t="shared" si="47"/>
        <v>1.0261656000271862</v>
      </c>
      <c r="V244" s="23">
        <f t="shared" si="47"/>
        <v>0.72971424933039375</v>
      </c>
      <c r="W244" s="23">
        <f t="shared" si="48"/>
        <v>1.0261656000271862</v>
      </c>
      <c r="X244" s="904">
        <f t="shared" si="49"/>
        <v>927</v>
      </c>
      <c r="Y244" s="904">
        <f t="shared" si="49"/>
        <v>817</v>
      </c>
      <c r="Z244" s="904">
        <f t="shared" si="49"/>
        <v>906</v>
      </c>
      <c r="AA244" s="904">
        <f t="shared" si="37"/>
        <v>729</v>
      </c>
      <c r="AB244" s="24">
        <v>478</v>
      </c>
    </row>
    <row r="245" spans="1:28" x14ac:dyDescent="0.25">
      <c r="A245" s="903"/>
      <c r="B245" t="s">
        <v>551</v>
      </c>
      <c r="C245" s="906" t="s">
        <v>556</v>
      </c>
      <c r="D245" s="25">
        <v>3.6</v>
      </c>
      <c r="E245" s="903">
        <v>467</v>
      </c>
      <c r="F245" s="903">
        <v>207</v>
      </c>
      <c r="G245" s="903" t="s">
        <v>557</v>
      </c>
      <c r="H245" s="904">
        <f t="shared" si="38"/>
        <v>6</v>
      </c>
      <c r="I245" s="904">
        <f t="shared" si="39"/>
        <v>11</v>
      </c>
      <c r="J245" s="21">
        <f t="shared" si="40"/>
        <v>12084</v>
      </c>
      <c r="K245" s="21">
        <f t="shared" si="41"/>
        <v>12777.2</v>
      </c>
      <c r="L245" s="21">
        <f t="shared" si="42"/>
        <v>24832</v>
      </c>
      <c r="M245" s="21">
        <f t="shared" si="43"/>
        <v>37580</v>
      </c>
      <c r="N245" s="904">
        <f t="shared" si="44"/>
        <v>679</v>
      </c>
      <c r="O245" s="21"/>
      <c r="P245" s="22" t="s">
        <v>2</v>
      </c>
      <c r="Q245" s="22">
        <v>0.63</v>
      </c>
      <c r="R245" s="904" t="s">
        <v>42</v>
      </c>
      <c r="S245" s="904" t="str">
        <f t="shared" si="45"/>
        <v>Stove</v>
      </c>
      <c r="T245" s="23">
        <f t="shared" si="46"/>
        <v>0.21118967366971625</v>
      </c>
      <c r="U245" s="23">
        <f t="shared" si="47"/>
        <v>0.62114609902857709</v>
      </c>
      <c r="V245" s="23">
        <f t="shared" si="47"/>
        <v>0.31960808378334149</v>
      </c>
      <c r="W245" s="23">
        <f t="shared" si="48"/>
        <v>0.65677821387851176</v>
      </c>
      <c r="X245" s="904">
        <f t="shared" si="49"/>
        <v>423</v>
      </c>
      <c r="Y245" s="904">
        <f t="shared" si="49"/>
        <v>454</v>
      </c>
      <c r="Z245" s="904">
        <f t="shared" si="49"/>
        <v>411</v>
      </c>
      <c r="AA245" s="904">
        <f t="shared" si="37"/>
        <v>359</v>
      </c>
      <c r="AB245" s="24">
        <v>198</v>
      </c>
    </row>
    <row r="246" spans="1:28" x14ac:dyDescent="0.25">
      <c r="A246" s="903" t="s">
        <v>77</v>
      </c>
      <c r="B246" t="s">
        <v>558</v>
      </c>
      <c r="C246" s="906" t="s">
        <v>559</v>
      </c>
      <c r="D246" s="25">
        <v>2.75</v>
      </c>
      <c r="E246" s="903">
        <v>281</v>
      </c>
      <c r="F246" s="903">
        <v>118</v>
      </c>
      <c r="G246" s="903" t="s">
        <v>560</v>
      </c>
      <c r="H246" s="904">
        <f t="shared" si="38"/>
        <v>5</v>
      </c>
      <c r="I246" s="904">
        <f t="shared" si="39"/>
        <v>10</v>
      </c>
      <c r="J246" s="21">
        <f t="shared" si="40"/>
        <v>8400</v>
      </c>
      <c r="K246" s="21">
        <f t="shared" si="41"/>
        <v>9758</v>
      </c>
      <c r="L246" s="21">
        <f t="shared" si="42"/>
        <v>18550</v>
      </c>
      <c r="M246" s="21">
        <f t="shared" si="43"/>
        <v>28700</v>
      </c>
      <c r="N246" s="904">
        <f t="shared" si="44"/>
        <v>196</v>
      </c>
      <c r="O246" s="21"/>
      <c r="P246" s="22" t="s">
        <v>2</v>
      </c>
      <c r="Q246" s="22">
        <v>0.72</v>
      </c>
      <c r="R246" s="904" t="s">
        <v>38</v>
      </c>
      <c r="S246" s="904" t="str">
        <f t="shared" si="45"/>
        <v>Stove</v>
      </c>
      <c r="T246" s="23">
        <f t="shared" si="46"/>
        <v>0.21124077453926468</v>
      </c>
      <c r="U246" s="23">
        <f t="shared" si="47"/>
        <v>0.62129639570371964</v>
      </c>
      <c r="V246" s="23">
        <f t="shared" si="47"/>
        <v>0.32682534928716422</v>
      </c>
      <c r="W246" s="23">
        <f t="shared" si="48"/>
        <v>0.72173931300915428</v>
      </c>
      <c r="X246" s="904">
        <f t="shared" si="49"/>
        <v>424</v>
      </c>
      <c r="Y246" s="904">
        <f t="shared" si="49"/>
        <v>455</v>
      </c>
      <c r="Z246" s="904">
        <f t="shared" si="49"/>
        <v>427</v>
      </c>
      <c r="AA246" s="904">
        <f t="shared" si="37"/>
        <v>433</v>
      </c>
      <c r="AB246" s="24">
        <v>183</v>
      </c>
    </row>
    <row r="247" spans="1:28" x14ac:dyDescent="0.25">
      <c r="A247" s="903" t="s">
        <v>77</v>
      </c>
      <c r="B247" t="s">
        <v>561</v>
      </c>
      <c r="C247" s="906" t="s">
        <v>562</v>
      </c>
      <c r="D247" s="25">
        <v>3.8</v>
      </c>
      <c r="E247" s="903">
        <v>518</v>
      </c>
      <c r="F247" s="903">
        <v>238</v>
      </c>
      <c r="G247" s="903" t="s">
        <v>563</v>
      </c>
      <c r="H247" s="904">
        <f t="shared" si="38"/>
        <v>6</v>
      </c>
      <c r="I247" s="904">
        <f t="shared" si="39"/>
        <v>11</v>
      </c>
      <c r="J247" s="21">
        <f t="shared" si="40"/>
        <v>11300</v>
      </c>
      <c r="K247" s="21">
        <f t="shared" si="41"/>
        <v>12002</v>
      </c>
      <c r="L247" s="21">
        <f t="shared" si="42"/>
        <v>23300</v>
      </c>
      <c r="M247" s="21">
        <f t="shared" si="43"/>
        <v>35300</v>
      </c>
      <c r="N247" s="904">
        <f t="shared" si="44"/>
        <v>575</v>
      </c>
      <c r="O247" s="21"/>
      <c r="P247" s="22" t="s">
        <v>2</v>
      </c>
      <c r="Q247" s="22">
        <v>0.63</v>
      </c>
      <c r="R247" s="904" t="s">
        <v>42</v>
      </c>
      <c r="S247" s="904" t="str">
        <f t="shared" si="45"/>
        <v>Stove</v>
      </c>
      <c r="T247" s="23">
        <f t="shared" si="46"/>
        <v>0.23732082277880201</v>
      </c>
      <c r="U247" s="23">
        <f t="shared" si="47"/>
        <v>0.69800241993765288</v>
      </c>
      <c r="V247" s="23">
        <f t="shared" si="47"/>
        <v>0.35954613923140388</v>
      </c>
      <c r="W247" s="23">
        <f t="shared" si="48"/>
        <v>0.74136504814970894</v>
      </c>
      <c r="X247" s="904">
        <f t="shared" si="49"/>
        <v>520</v>
      </c>
      <c r="Y247" s="904">
        <f t="shared" si="49"/>
        <v>566</v>
      </c>
      <c r="Z247" s="904">
        <f t="shared" si="49"/>
        <v>510</v>
      </c>
      <c r="AA247" s="904">
        <f t="shared" si="37"/>
        <v>453</v>
      </c>
      <c r="AB247" s="24">
        <v>278</v>
      </c>
    </row>
    <row r="248" spans="1:28" x14ac:dyDescent="0.25">
      <c r="A248" s="903"/>
      <c r="B248" t="s">
        <v>564</v>
      </c>
      <c r="C248" s="906" t="s">
        <v>565</v>
      </c>
      <c r="D248" s="25">
        <v>7</v>
      </c>
      <c r="E248" s="903">
        <v>907</v>
      </c>
      <c r="F248" s="903">
        <v>550</v>
      </c>
      <c r="G248" s="903" t="s">
        <v>566</v>
      </c>
      <c r="H248" s="904">
        <f t="shared" si="38"/>
        <v>6</v>
      </c>
      <c r="I248" s="904">
        <f t="shared" si="39"/>
        <v>11</v>
      </c>
      <c r="J248" s="21">
        <f t="shared" si="40"/>
        <v>10000</v>
      </c>
      <c r="K248" s="21">
        <f t="shared" si="41"/>
        <v>13668.000000000002</v>
      </c>
      <c r="L248" s="21">
        <f t="shared" si="42"/>
        <v>25100</v>
      </c>
      <c r="M248" s="21">
        <f t="shared" si="43"/>
        <v>40200</v>
      </c>
      <c r="N248" s="904">
        <f t="shared" si="44"/>
        <v>699</v>
      </c>
      <c r="O248" s="21"/>
      <c r="P248" s="22" t="s">
        <v>2</v>
      </c>
      <c r="Q248" s="22">
        <v>0.63</v>
      </c>
      <c r="R248" s="904" t="s">
        <v>42</v>
      </c>
      <c r="S248" s="904" t="str">
        <f t="shared" si="45"/>
        <v>Stove</v>
      </c>
      <c r="T248" s="23">
        <f t="shared" si="46"/>
        <v>0.38388305386647009</v>
      </c>
      <c r="U248" s="23">
        <f t="shared" si="47"/>
        <v>1.1290678054896179</v>
      </c>
      <c r="V248" s="23">
        <f t="shared" si="47"/>
        <v>0.61482465200924696</v>
      </c>
      <c r="W248" s="23">
        <f t="shared" si="48"/>
        <v>1.5432098765432098</v>
      </c>
      <c r="X248" s="904">
        <f t="shared" si="49"/>
        <v>812</v>
      </c>
      <c r="Y248" s="904">
        <f t="shared" si="49"/>
        <v>869</v>
      </c>
      <c r="Z248" s="904">
        <f t="shared" si="49"/>
        <v>848</v>
      </c>
      <c r="AA248" s="904">
        <f t="shared" si="37"/>
        <v>928</v>
      </c>
      <c r="AB248" s="24">
        <v>516</v>
      </c>
    </row>
    <row r="249" spans="1:28" x14ac:dyDescent="0.25">
      <c r="A249" s="903"/>
      <c r="B249" t="s">
        <v>564</v>
      </c>
      <c r="C249" s="906" t="s">
        <v>567</v>
      </c>
      <c r="D249" s="25">
        <v>3.2</v>
      </c>
      <c r="E249" s="903">
        <v>376</v>
      </c>
      <c r="F249" s="903">
        <v>141</v>
      </c>
      <c r="G249" s="903" t="s">
        <v>568</v>
      </c>
      <c r="H249" s="904">
        <f t="shared" si="38"/>
        <v>6</v>
      </c>
      <c r="I249" s="904">
        <f t="shared" si="39"/>
        <v>11</v>
      </c>
      <c r="J249" s="21">
        <f t="shared" si="40"/>
        <v>10600</v>
      </c>
      <c r="K249" s="21">
        <f t="shared" si="41"/>
        <v>20876</v>
      </c>
      <c r="L249" s="21">
        <f t="shared" si="42"/>
        <v>36000</v>
      </c>
      <c r="M249" s="21">
        <f t="shared" si="43"/>
        <v>61400</v>
      </c>
      <c r="N249" s="904">
        <f t="shared" si="44"/>
        <v>945</v>
      </c>
      <c r="O249" s="21"/>
      <c r="P249" s="22" t="s">
        <v>2</v>
      </c>
      <c r="Q249" s="22">
        <v>0.63</v>
      </c>
      <c r="R249" s="904" t="s">
        <v>42</v>
      </c>
      <c r="S249" s="904" t="str">
        <f t="shared" si="45"/>
        <v>Stove</v>
      </c>
      <c r="T249" s="23">
        <f t="shared" si="46"/>
        <v>0.11489696614560893</v>
      </c>
      <c r="U249" s="23">
        <f t="shared" si="47"/>
        <v>0.33793225336943805</v>
      </c>
      <c r="V249" s="23">
        <f t="shared" si="47"/>
        <v>0.1959631589261219</v>
      </c>
      <c r="W249" s="23">
        <f t="shared" si="48"/>
        <v>0.66553525673022529</v>
      </c>
      <c r="X249" s="904">
        <f t="shared" si="49"/>
        <v>125</v>
      </c>
      <c r="Y249" s="904">
        <f t="shared" si="49"/>
        <v>141</v>
      </c>
      <c r="Z249" s="904">
        <f t="shared" si="49"/>
        <v>160</v>
      </c>
      <c r="AA249" s="904">
        <f t="shared" si="37"/>
        <v>373</v>
      </c>
      <c r="AB249" s="24">
        <v>37</v>
      </c>
    </row>
    <row r="250" spans="1:28" x14ac:dyDescent="0.25">
      <c r="A250" s="903"/>
      <c r="B250" t="s">
        <v>564</v>
      </c>
      <c r="C250" s="906" t="s">
        <v>569</v>
      </c>
      <c r="D250" s="25">
        <v>7</v>
      </c>
      <c r="E250" s="903">
        <v>907</v>
      </c>
      <c r="F250" s="903">
        <v>550</v>
      </c>
      <c r="G250" s="903" t="s">
        <v>570</v>
      </c>
      <c r="H250" s="904">
        <f t="shared" si="38"/>
        <v>6</v>
      </c>
      <c r="I250" s="904">
        <f t="shared" si="39"/>
        <v>11</v>
      </c>
      <c r="J250" s="21">
        <f t="shared" si="40"/>
        <v>11000</v>
      </c>
      <c r="K250" s="21">
        <f t="shared" si="41"/>
        <v>11000</v>
      </c>
      <c r="L250" s="21">
        <f t="shared" si="42"/>
        <v>21000</v>
      </c>
      <c r="M250" s="21">
        <f t="shared" si="43"/>
        <v>31000</v>
      </c>
      <c r="N250" s="904">
        <f t="shared" si="44"/>
        <v>404</v>
      </c>
      <c r="O250" s="21"/>
      <c r="P250" s="22" t="s">
        <v>2</v>
      </c>
      <c r="Q250" s="22">
        <v>0.63</v>
      </c>
      <c r="R250" s="904" t="s">
        <v>42</v>
      </c>
      <c r="S250" s="904" t="str">
        <f t="shared" si="45"/>
        <v>Stove</v>
      </c>
      <c r="T250" s="23">
        <f t="shared" si="46"/>
        <v>0.49780963759458385</v>
      </c>
      <c r="U250" s="23">
        <f t="shared" si="47"/>
        <v>1.4029180695847363</v>
      </c>
      <c r="V250" s="23">
        <f t="shared" si="47"/>
        <v>0.73486184597295712</v>
      </c>
      <c r="W250" s="23">
        <f t="shared" si="48"/>
        <v>1.4029180695847363</v>
      </c>
      <c r="X250" s="904">
        <f t="shared" si="49"/>
        <v>895</v>
      </c>
      <c r="Y250" s="904">
        <f t="shared" si="49"/>
        <v>933</v>
      </c>
      <c r="Z250" s="904">
        <f t="shared" si="49"/>
        <v>907</v>
      </c>
      <c r="AA250" s="904">
        <f t="shared" si="37"/>
        <v>894</v>
      </c>
      <c r="AB250" s="24">
        <v>578</v>
      </c>
    </row>
    <row r="251" spans="1:28" x14ac:dyDescent="0.25">
      <c r="A251" s="903"/>
      <c r="B251" t="s">
        <v>564</v>
      </c>
      <c r="C251" s="906" t="s">
        <v>571</v>
      </c>
      <c r="D251" s="25">
        <v>6.4</v>
      </c>
      <c r="E251" s="903">
        <v>868</v>
      </c>
      <c r="F251" s="903">
        <v>514</v>
      </c>
      <c r="G251" s="903" t="s">
        <v>572</v>
      </c>
      <c r="H251" s="904">
        <f t="shared" si="38"/>
        <v>6</v>
      </c>
      <c r="I251" s="904">
        <f t="shared" si="39"/>
        <v>11</v>
      </c>
      <c r="J251" s="21">
        <f t="shared" si="40"/>
        <v>10000</v>
      </c>
      <c r="K251" s="21">
        <f t="shared" si="41"/>
        <v>10000</v>
      </c>
      <c r="L251" s="21">
        <f t="shared" si="42"/>
        <v>16200</v>
      </c>
      <c r="M251" s="21">
        <f t="shared" si="43"/>
        <v>22400</v>
      </c>
      <c r="N251" s="904">
        <f t="shared" si="44"/>
        <v>69</v>
      </c>
      <c r="O251" s="21"/>
      <c r="P251" s="22" t="s">
        <v>2</v>
      </c>
      <c r="Q251" s="22">
        <v>0.63</v>
      </c>
      <c r="R251" s="904" t="s">
        <v>42</v>
      </c>
      <c r="S251" s="904" t="str">
        <f t="shared" si="45"/>
        <v>Stove</v>
      </c>
      <c r="T251" s="23">
        <f t="shared" si="46"/>
        <v>0.62988158226253466</v>
      </c>
      <c r="U251" s="23">
        <f t="shared" si="47"/>
        <v>1.4109347442680775</v>
      </c>
      <c r="V251" s="23">
        <f t="shared" si="47"/>
        <v>0.87094737300498615</v>
      </c>
      <c r="W251" s="23">
        <f t="shared" si="48"/>
        <v>1.4109347442680775</v>
      </c>
      <c r="X251" s="904">
        <f t="shared" si="49"/>
        <v>941</v>
      </c>
      <c r="Y251" s="904">
        <f t="shared" si="49"/>
        <v>936</v>
      </c>
      <c r="Z251" s="904">
        <f t="shared" si="49"/>
        <v>938</v>
      </c>
      <c r="AA251" s="904">
        <f t="shared" si="37"/>
        <v>901</v>
      </c>
      <c r="AB251" s="24">
        <v>581</v>
      </c>
    </row>
    <row r="252" spans="1:28" x14ac:dyDescent="0.25">
      <c r="A252" s="903"/>
      <c r="B252" t="s">
        <v>573</v>
      </c>
      <c r="C252" s="906" t="s">
        <v>394</v>
      </c>
      <c r="D252" s="25">
        <v>0.9</v>
      </c>
      <c r="E252" s="903">
        <v>18</v>
      </c>
      <c r="F252" s="903">
        <v>8</v>
      </c>
      <c r="G252" s="903" t="s">
        <v>395</v>
      </c>
      <c r="H252" s="904">
        <f t="shared" si="38"/>
        <v>6</v>
      </c>
      <c r="I252" s="904">
        <f t="shared" si="39"/>
        <v>11</v>
      </c>
      <c r="J252" s="21">
        <f t="shared" si="40"/>
        <v>10500</v>
      </c>
      <c r="K252" s="21">
        <f t="shared" si="41"/>
        <v>11356</v>
      </c>
      <c r="L252" s="21">
        <f t="shared" si="42"/>
        <v>21950</v>
      </c>
      <c r="M252" s="21">
        <f t="shared" si="43"/>
        <v>33400</v>
      </c>
      <c r="N252" s="904">
        <f t="shared" si="44"/>
        <v>467</v>
      </c>
      <c r="O252" s="21"/>
      <c r="P252" s="22" t="s">
        <v>2</v>
      </c>
      <c r="Q252" s="22">
        <v>0.78</v>
      </c>
      <c r="R252" s="904" t="s">
        <v>15</v>
      </c>
      <c r="S252" s="904" t="str">
        <f t="shared" si="45"/>
        <v>Stove</v>
      </c>
      <c r="T252" s="23">
        <f t="shared" si="46"/>
        <v>5.9404999524760006E-2</v>
      </c>
      <c r="U252" s="23">
        <f t="shared" si="47"/>
        <v>0.17472058683752939</v>
      </c>
      <c r="V252" s="23">
        <f t="shared" si="47"/>
        <v>9.0393028889612037E-2</v>
      </c>
      <c r="W252" s="23">
        <f t="shared" si="48"/>
        <v>0.1889644746787604</v>
      </c>
      <c r="X252" s="904">
        <f t="shared" si="49"/>
        <v>20</v>
      </c>
      <c r="Y252" s="904">
        <f t="shared" si="49"/>
        <v>29</v>
      </c>
      <c r="Z252" s="904">
        <f t="shared" si="49"/>
        <v>20</v>
      </c>
      <c r="AA252" s="904">
        <f t="shared" si="37"/>
        <v>25</v>
      </c>
      <c r="AB252" s="24">
        <v>15</v>
      </c>
    </row>
    <row r="253" spans="1:28" x14ac:dyDescent="0.25">
      <c r="A253" s="903"/>
      <c r="B253" t="s">
        <v>574</v>
      </c>
      <c r="C253" s="906" t="s">
        <v>575</v>
      </c>
      <c r="D253" s="25">
        <v>3.9</v>
      </c>
      <c r="E253" s="903">
        <v>548</v>
      </c>
      <c r="F253" s="903">
        <v>219</v>
      </c>
      <c r="G253" s="903" t="s">
        <v>576</v>
      </c>
      <c r="H253" s="904">
        <f t="shared" si="38"/>
        <v>6</v>
      </c>
      <c r="I253" s="904">
        <f t="shared" si="39"/>
        <v>11</v>
      </c>
      <c r="J253" s="21">
        <f t="shared" si="40"/>
        <v>10500</v>
      </c>
      <c r="K253" s="21">
        <f t="shared" si="41"/>
        <v>10500</v>
      </c>
      <c r="L253" s="21">
        <f t="shared" si="42"/>
        <v>15600</v>
      </c>
      <c r="M253" s="21">
        <f t="shared" si="43"/>
        <v>20700</v>
      </c>
      <c r="N253" s="904">
        <f t="shared" si="44"/>
        <v>54</v>
      </c>
      <c r="O253" s="21"/>
      <c r="P253" s="22" t="s">
        <v>2</v>
      </c>
      <c r="Q253" s="22">
        <v>0.72</v>
      </c>
      <c r="R253" s="904" t="s">
        <v>38</v>
      </c>
      <c r="S253" s="904" t="str">
        <f t="shared" si="45"/>
        <v>Stove</v>
      </c>
      <c r="T253" s="23">
        <f t="shared" si="46"/>
        <v>0.41535669554993226</v>
      </c>
      <c r="U253" s="23">
        <f t="shared" si="47"/>
        <v>0.81884605694129509</v>
      </c>
      <c r="V253" s="23">
        <f t="shared" si="47"/>
        <v>0.55114638447971787</v>
      </c>
      <c r="W253" s="23">
        <f t="shared" si="48"/>
        <v>0.81884605694129509</v>
      </c>
      <c r="X253" s="904">
        <f t="shared" si="49"/>
        <v>843</v>
      </c>
      <c r="Y253" s="904">
        <f t="shared" si="49"/>
        <v>681</v>
      </c>
      <c r="Z253" s="904">
        <f t="shared" si="49"/>
        <v>798</v>
      </c>
      <c r="AA253" s="904">
        <f t="shared" si="37"/>
        <v>556</v>
      </c>
      <c r="AB253" s="24">
        <v>233</v>
      </c>
    </row>
    <row r="254" spans="1:28" x14ac:dyDescent="0.25">
      <c r="A254" s="19"/>
      <c r="B254" s="16" t="s">
        <v>577</v>
      </c>
      <c r="C254" s="17">
        <v>904</v>
      </c>
      <c r="D254" s="18">
        <v>7.5</v>
      </c>
      <c r="E254" s="19">
        <v>944</v>
      </c>
      <c r="F254" s="903">
        <v>587</v>
      </c>
      <c r="G254" s="19" t="s">
        <v>578</v>
      </c>
      <c r="H254" s="904">
        <f t="shared" si="38"/>
        <v>5</v>
      </c>
      <c r="I254" s="904">
        <f t="shared" si="39"/>
        <v>10</v>
      </c>
      <c r="J254" s="21">
        <f t="shared" si="40"/>
        <v>6700</v>
      </c>
      <c r="K254" s="21">
        <f t="shared" si="41"/>
        <v>9622</v>
      </c>
      <c r="L254" s="21">
        <f t="shared" si="42"/>
        <v>17500</v>
      </c>
      <c r="M254" s="21">
        <f t="shared" si="43"/>
        <v>28300</v>
      </c>
      <c r="N254" s="904">
        <f t="shared" si="44"/>
        <v>131</v>
      </c>
      <c r="O254" s="21"/>
      <c r="P254" s="22" t="s">
        <v>2</v>
      </c>
      <c r="Q254" s="22">
        <v>0.63</v>
      </c>
      <c r="R254" s="904" t="s">
        <v>42</v>
      </c>
      <c r="S254" s="904" t="str">
        <f t="shared" si="45"/>
        <v>Stove</v>
      </c>
      <c r="T254" s="23">
        <f t="shared" si="46"/>
        <v>0.58425411782302239</v>
      </c>
      <c r="U254" s="23">
        <f t="shared" si="47"/>
        <v>1.7183944641853599</v>
      </c>
      <c r="V254" s="23">
        <f t="shared" si="47"/>
        <v>0.94482237339380193</v>
      </c>
      <c r="W254" s="23">
        <f t="shared" si="48"/>
        <v>2.4678196319987364</v>
      </c>
      <c r="X254" s="904">
        <f t="shared" si="49"/>
        <v>933</v>
      </c>
      <c r="Y254" s="904">
        <f t="shared" si="49"/>
        <v>957</v>
      </c>
      <c r="Z254" s="904">
        <f t="shared" si="49"/>
        <v>953</v>
      </c>
      <c r="AA254" s="904">
        <f t="shared" si="37"/>
        <v>958</v>
      </c>
      <c r="AB254" s="24">
        <v>602</v>
      </c>
    </row>
    <row r="255" spans="1:28" x14ac:dyDescent="0.25">
      <c r="A255" s="19"/>
      <c r="B255" s="16" t="s">
        <v>577</v>
      </c>
      <c r="C255" s="17" t="s">
        <v>579</v>
      </c>
      <c r="D255" s="18">
        <v>6.8</v>
      </c>
      <c r="E255" s="19">
        <v>895</v>
      </c>
      <c r="F255" s="903">
        <v>539</v>
      </c>
      <c r="G255" s="19" t="s">
        <v>580</v>
      </c>
      <c r="H255" s="904">
        <f t="shared" si="38"/>
        <v>6</v>
      </c>
      <c r="I255" s="904">
        <f t="shared" si="39"/>
        <v>11</v>
      </c>
      <c r="J255" s="21">
        <f t="shared" si="40"/>
        <v>11600</v>
      </c>
      <c r="K255" s="21">
        <f t="shared" si="41"/>
        <v>11600</v>
      </c>
      <c r="L255" s="21">
        <f t="shared" si="42"/>
        <v>20950</v>
      </c>
      <c r="M255" s="21">
        <f t="shared" si="43"/>
        <v>30300</v>
      </c>
      <c r="N255" s="904">
        <f t="shared" si="44"/>
        <v>398</v>
      </c>
      <c r="O255" s="21"/>
      <c r="P255" s="22" t="s">
        <v>2</v>
      </c>
      <c r="Q255" s="22">
        <v>0.63</v>
      </c>
      <c r="R255" s="904" t="s">
        <v>42</v>
      </c>
      <c r="S255" s="904" t="str">
        <f t="shared" si="45"/>
        <v>Stove</v>
      </c>
      <c r="T255" s="23">
        <f t="shared" si="46"/>
        <v>0.49475847055605032</v>
      </c>
      <c r="U255" s="23">
        <f t="shared" si="47"/>
        <v>1.2923432463662348</v>
      </c>
      <c r="V255" s="23">
        <f t="shared" si="47"/>
        <v>0.7155695302075572</v>
      </c>
      <c r="W255" s="23">
        <f t="shared" si="48"/>
        <v>1.2923432463662348</v>
      </c>
      <c r="X255" s="904">
        <f t="shared" si="49"/>
        <v>893</v>
      </c>
      <c r="Y255" s="904">
        <f t="shared" si="49"/>
        <v>899</v>
      </c>
      <c r="Z255" s="904">
        <f t="shared" si="49"/>
        <v>898</v>
      </c>
      <c r="AA255" s="904">
        <f t="shared" si="37"/>
        <v>849</v>
      </c>
      <c r="AB255" s="24">
        <v>544</v>
      </c>
    </row>
    <row r="256" spans="1:28" x14ac:dyDescent="0.25">
      <c r="A256" s="19"/>
      <c r="B256" s="16" t="s">
        <v>577</v>
      </c>
      <c r="C256" s="17" t="s">
        <v>581</v>
      </c>
      <c r="D256" s="18">
        <v>2.15</v>
      </c>
      <c r="E256" s="19">
        <v>166</v>
      </c>
      <c r="F256" s="903">
        <v>61</v>
      </c>
      <c r="G256" s="19" t="s">
        <v>582</v>
      </c>
      <c r="H256" s="904">
        <f t="shared" si="38"/>
        <v>5</v>
      </c>
      <c r="I256" s="904">
        <f t="shared" si="39"/>
        <v>10</v>
      </c>
      <c r="J256" s="21">
        <f t="shared" si="40"/>
        <v>9912</v>
      </c>
      <c r="K256" s="21">
        <f t="shared" si="41"/>
        <v>12637.460000000001</v>
      </c>
      <c r="L256" s="21">
        <f t="shared" si="42"/>
        <v>23540.5</v>
      </c>
      <c r="M256" s="21">
        <f t="shared" si="43"/>
        <v>37169</v>
      </c>
      <c r="N256" s="904">
        <f t="shared" si="44"/>
        <v>592</v>
      </c>
      <c r="O256" s="21"/>
      <c r="P256" s="22" t="s">
        <v>2</v>
      </c>
      <c r="Q256" s="22">
        <v>0.78</v>
      </c>
      <c r="R256" s="904" t="s">
        <v>15</v>
      </c>
      <c r="S256" s="904" t="str">
        <f t="shared" si="45"/>
        <v>Stove</v>
      </c>
      <c r="T256" s="23">
        <f t="shared" si="46"/>
        <v>0.12752183019520494</v>
      </c>
      <c r="U256" s="23">
        <f t="shared" si="47"/>
        <v>0.37506420645648514</v>
      </c>
      <c r="V256" s="23">
        <f t="shared" si="47"/>
        <v>0.20134911775559453</v>
      </c>
      <c r="W256" s="23">
        <f t="shared" si="48"/>
        <v>0.47819399783349203</v>
      </c>
      <c r="X256" s="904">
        <f t="shared" si="49"/>
        <v>168</v>
      </c>
      <c r="Y256" s="904">
        <f t="shared" si="49"/>
        <v>175</v>
      </c>
      <c r="Z256" s="904">
        <f t="shared" si="49"/>
        <v>169</v>
      </c>
      <c r="AA256" s="904">
        <f t="shared" si="37"/>
        <v>173</v>
      </c>
      <c r="AB256" s="24">
        <v>60</v>
      </c>
    </row>
    <row r="257" spans="1:29" x14ac:dyDescent="0.25">
      <c r="A257" s="903"/>
      <c r="B257" t="s">
        <v>577</v>
      </c>
      <c r="C257" s="906" t="s">
        <v>583</v>
      </c>
      <c r="D257" s="25">
        <v>2.2799999999999998</v>
      </c>
      <c r="E257" s="903">
        <v>181</v>
      </c>
      <c r="F257" s="903">
        <v>64</v>
      </c>
      <c r="G257" s="903" t="s">
        <v>584</v>
      </c>
      <c r="H257" s="904">
        <f t="shared" si="38"/>
        <v>5</v>
      </c>
      <c r="I257" s="904">
        <f t="shared" si="39"/>
        <v>10</v>
      </c>
      <c r="J257" s="21">
        <f t="shared" si="40"/>
        <v>9000</v>
      </c>
      <c r="K257" s="21">
        <f t="shared" si="41"/>
        <v>10098</v>
      </c>
      <c r="L257" s="21">
        <f t="shared" si="42"/>
        <v>19350</v>
      </c>
      <c r="M257" s="21">
        <f t="shared" si="43"/>
        <v>29700</v>
      </c>
      <c r="N257" s="904">
        <f t="shared" si="44"/>
        <v>265</v>
      </c>
      <c r="O257" s="21"/>
      <c r="P257" s="22" t="s">
        <v>2</v>
      </c>
      <c r="Q257" s="22">
        <v>0.78</v>
      </c>
      <c r="R257" s="904" t="s">
        <v>15</v>
      </c>
      <c r="S257" s="904" t="str">
        <f t="shared" si="45"/>
        <v>Stove</v>
      </c>
      <c r="T257" s="23">
        <f t="shared" si="46"/>
        <v>0.16924090998165073</v>
      </c>
      <c r="U257" s="23">
        <f t="shared" si="47"/>
        <v>0.49776738229897272</v>
      </c>
      <c r="V257" s="23">
        <f t="shared" si="47"/>
        <v>0.2597651176462546</v>
      </c>
      <c r="W257" s="23">
        <f t="shared" si="48"/>
        <v>0.55849500293944743</v>
      </c>
      <c r="X257" s="904">
        <f t="shared" si="49"/>
        <v>277</v>
      </c>
      <c r="Y257" s="904">
        <f t="shared" si="49"/>
        <v>293</v>
      </c>
      <c r="Z257" s="904">
        <f t="shared" si="49"/>
        <v>263</v>
      </c>
      <c r="AA257" s="904">
        <f t="shared" si="37"/>
        <v>256</v>
      </c>
      <c r="AB257" s="24">
        <v>67</v>
      </c>
    </row>
    <row r="258" spans="1:29" x14ac:dyDescent="0.25">
      <c r="A258" s="903"/>
      <c r="B258" t="s">
        <v>577</v>
      </c>
      <c r="C258" s="906" t="s">
        <v>585</v>
      </c>
      <c r="D258" s="25">
        <v>1.98</v>
      </c>
      <c r="E258" s="903">
        <v>130</v>
      </c>
      <c r="F258" s="903">
        <v>53</v>
      </c>
      <c r="G258" s="903" t="s">
        <v>586</v>
      </c>
      <c r="H258" s="904">
        <f t="shared" si="38"/>
        <v>6</v>
      </c>
      <c r="I258" s="904">
        <f t="shared" si="39"/>
        <v>11</v>
      </c>
      <c r="J258" s="21">
        <f t="shared" si="40"/>
        <v>10000</v>
      </c>
      <c r="K258" s="21">
        <f t="shared" si="41"/>
        <v>13090.000000000002</v>
      </c>
      <c r="L258" s="21">
        <f t="shared" si="42"/>
        <v>24250</v>
      </c>
      <c r="M258" s="21">
        <f t="shared" si="43"/>
        <v>38500</v>
      </c>
      <c r="N258" s="904">
        <f t="shared" si="44"/>
        <v>655</v>
      </c>
      <c r="O258" s="21"/>
      <c r="P258" s="22" t="s">
        <v>2</v>
      </c>
      <c r="Q258" s="22">
        <v>0.78</v>
      </c>
      <c r="R258" s="904" t="s">
        <v>15</v>
      </c>
      <c r="S258" s="904" t="str">
        <f t="shared" si="45"/>
        <v>Stove</v>
      </c>
      <c r="T258" s="23">
        <f t="shared" si="46"/>
        <v>0.11337868480725624</v>
      </c>
      <c r="U258" s="23">
        <f t="shared" si="47"/>
        <v>0.33346672002134181</v>
      </c>
      <c r="V258" s="23">
        <f t="shared" si="47"/>
        <v>0.18000327278677794</v>
      </c>
      <c r="W258" s="23">
        <f t="shared" si="48"/>
        <v>0.43650793650793651</v>
      </c>
      <c r="X258" s="904">
        <f t="shared" si="49"/>
        <v>124</v>
      </c>
      <c r="Y258" s="904">
        <f t="shared" si="49"/>
        <v>137</v>
      </c>
      <c r="Z258" s="904">
        <f t="shared" si="49"/>
        <v>130</v>
      </c>
      <c r="AA258" s="904">
        <f t="shared" si="37"/>
        <v>138</v>
      </c>
      <c r="AB258" s="24">
        <v>50</v>
      </c>
    </row>
    <row r="259" spans="1:29" x14ac:dyDescent="0.25">
      <c r="A259" s="19"/>
      <c r="B259" s="16" t="s">
        <v>577</v>
      </c>
      <c r="C259" s="17" t="s">
        <v>587</v>
      </c>
      <c r="D259" s="18">
        <v>2.3050000000000002</v>
      </c>
      <c r="E259" s="19">
        <v>192</v>
      </c>
      <c r="F259" s="903">
        <v>65</v>
      </c>
      <c r="G259" s="19" t="s">
        <v>582</v>
      </c>
      <c r="H259" s="904">
        <f t="shared" si="38"/>
        <v>5</v>
      </c>
      <c r="I259" s="904">
        <f t="shared" si="39"/>
        <v>10</v>
      </c>
      <c r="J259" s="21">
        <f t="shared" si="40"/>
        <v>9912</v>
      </c>
      <c r="K259" s="21">
        <f t="shared" si="41"/>
        <v>12637.460000000001</v>
      </c>
      <c r="L259" s="21">
        <f t="shared" si="42"/>
        <v>23540.5</v>
      </c>
      <c r="M259" s="21">
        <f t="shared" si="43"/>
        <v>37169</v>
      </c>
      <c r="N259" s="904">
        <f t="shared" si="44"/>
        <v>592</v>
      </c>
      <c r="O259" s="21"/>
      <c r="P259" s="22" t="s">
        <v>2</v>
      </c>
      <c r="Q259" s="22">
        <v>0.78</v>
      </c>
      <c r="R259" s="904" t="s">
        <v>15</v>
      </c>
      <c r="S259" s="904" t="str">
        <f t="shared" si="45"/>
        <v>Stove</v>
      </c>
      <c r="T259" s="23">
        <f t="shared" si="46"/>
        <v>0.1367152644650918</v>
      </c>
      <c r="U259" s="23">
        <f t="shared" si="47"/>
        <v>0.40210371901497594</v>
      </c>
      <c r="V259" s="23">
        <f t="shared" si="47"/>
        <v>0.21586498438448623</v>
      </c>
      <c r="W259" s="23">
        <f t="shared" si="48"/>
        <v>0.51266844884009266</v>
      </c>
      <c r="X259" s="904">
        <f t="shared" si="49"/>
        <v>182</v>
      </c>
      <c r="Y259" s="904">
        <f t="shared" si="49"/>
        <v>193</v>
      </c>
      <c r="Z259" s="904">
        <f t="shared" si="49"/>
        <v>181</v>
      </c>
      <c r="AA259" s="904">
        <f t="shared" si="37"/>
        <v>208</v>
      </c>
      <c r="AB259" s="24">
        <v>63</v>
      </c>
    </row>
    <row r="260" spans="1:29" x14ac:dyDescent="0.25">
      <c r="A260" s="903"/>
      <c r="B260" t="s">
        <v>588</v>
      </c>
      <c r="C260" s="906" t="s">
        <v>589</v>
      </c>
      <c r="D260" s="25">
        <v>6.1</v>
      </c>
      <c r="E260" s="903">
        <v>853</v>
      </c>
      <c r="F260" s="903">
        <v>500</v>
      </c>
      <c r="G260" s="903" t="s">
        <v>590</v>
      </c>
      <c r="H260" s="904">
        <f t="shared" si="38"/>
        <v>6</v>
      </c>
      <c r="I260" s="904">
        <f t="shared" si="39"/>
        <v>11</v>
      </c>
      <c r="J260" s="21">
        <f t="shared" si="40"/>
        <v>12300</v>
      </c>
      <c r="K260" s="21">
        <f t="shared" si="41"/>
        <v>12580</v>
      </c>
      <c r="L260" s="21">
        <f t="shared" si="42"/>
        <v>24650</v>
      </c>
      <c r="M260" s="21">
        <f t="shared" si="43"/>
        <v>37000</v>
      </c>
      <c r="N260" s="904">
        <f t="shared" si="44"/>
        <v>674</v>
      </c>
      <c r="O260" s="21"/>
      <c r="P260" s="22" t="s">
        <v>2</v>
      </c>
      <c r="Q260" s="22">
        <v>0.63</v>
      </c>
      <c r="R260" s="904" t="s">
        <v>42</v>
      </c>
      <c r="S260" s="904" t="str">
        <f t="shared" si="45"/>
        <v>Stove</v>
      </c>
      <c r="T260" s="23">
        <f t="shared" si="46"/>
        <v>0.36345869679203013</v>
      </c>
      <c r="U260" s="23">
        <f t="shared" si="47"/>
        <v>1.0689961670353827</v>
      </c>
      <c r="V260" s="23">
        <f t="shared" si="47"/>
        <v>0.54555666455598839</v>
      </c>
      <c r="W260" s="23">
        <f t="shared" si="48"/>
        <v>1.0933310391304971</v>
      </c>
      <c r="X260" s="904">
        <f t="shared" si="49"/>
        <v>786</v>
      </c>
      <c r="Y260" s="904">
        <f t="shared" si="49"/>
        <v>845</v>
      </c>
      <c r="Z260" s="904">
        <f t="shared" si="49"/>
        <v>789</v>
      </c>
      <c r="AA260" s="904">
        <f t="shared" si="37"/>
        <v>777</v>
      </c>
      <c r="AB260" s="24">
        <v>498</v>
      </c>
    </row>
    <row r="261" spans="1:29" x14ac:dyDescent="0.25">
      <c r="A261" s="903"/>
      <c r="B261" t="s">
        <v>591</v>
      </c>
      <c r="C261" s="906" t="s">
        <v>592</v>
      </c>
      <c r="D261" s="25">
        <v>3.8</v>
      </c>
      <c r="E261" s="903">
        <v>518</v>
      </c>
      <c r="F261" s="903">
        <v>238</v>
      </c>
      <c r="G261" s="903" t="s">
        <v>593</v>
      </c>
      <c r="H261" s="904">
        <f t="shared" si="38"/>
        <v>6</v>
      </c>
      <c r="I261" s="904">
        <f t="shared" si="39"/>
        <v>11</v>
      </c>
      <c r="J261" s="21">
        <f t="shared" si="40"/>
        <v>11636</v>
      </c>
      <c r="K261" s="21">
        <f t="shared" si="41"/>
        <v>11983.640000000001</v>
      </c>
      <c r="L261" s="21">
        <f t="shared" si="42"/>
        <v>23441</v>
      </c>
      <c r="M261" s="21">
        <f t="shared" si="43"/>
        <v>35246</v>
      </c>
      <c r="N261" s="904">
        <f t="shared" si="44"/>
        <v>584</v>
      </c>
      <c r="O261" s="21"/>
      <c r="P261" s="22" t="s">
        <v>2</v>
      </c>
      <c r="Q261" s="22">
        <v>0.63</v>
      </c>
      <c r="R261" s="904" t="s">
        <v>42</v>
      </c>
      <c r="S261" s="904" t="str">
        <f t="shared" si="45"/>
        <v>Stove</v>
      </c>
      <c r="T261" s="23">
        <f t="shared" si="46"/>
        <v>0.23768441934096662</v>
      </c>
      <c r="U261" s="23">
        <f t="shared" si="47"/>
        <v>0.69907182159107828</v>
      </c>
      <c r="V261" s="23">
        <f t="shared" si="47"/>
        <v>0.35738343262197481</v>
      </c>
      <c r="W261" s="23">
        <f t="shared" si="48"/>
        <v>0.71995746339736244</v>
      </c>
      <c r="X261" s="904">
        <f t="shared" si="49"/>
        <v>523</v>
      </c>
      <c r="Y261" s="904">
        <f t="shared" si="49"/>
        <v>570</v>
      </c>
      <c r="Z261" s="904">
        <f t="shared" si="49"/>
        <v>505</v>
      </c>
      <c r="AA261" s="904">
        <f t="shared" si="37"/>
        <v>431</v>
      </c>
      <c r="AB261" s="24">
        <v>281</v>
      </c>
    </row>
    <row r="262" spans="1:29" x14ac:dyDescent="0.25">
      <c r="A262" s="903"/>
      <c r="B262" t="s">
        <v>594</v>
      </c>
      <c r="C262" s="906" t="s">
        <v>595</v>
      </c>
      <c r="D262" s="25">
        <v>3.6</v>
      </c>
      <c r="E262" s="903">
        <v>467</v>
      </c>
      <c r="F262" s="903">
        <v>207</v>
      </c>
      <c r="G262" s="903" t="s">
        <v>596</v>
      </c>
      <c r="H262" s="904">
        <f t="shared" si="38"/>
        <v>6</v>
      </c>
      <c r="I262" s="904">
        <f t="shared" si="39"/>
        <v>11</v>
      </c>
      <c r="J262" s="21">
        <f t="shared" si="40"/>
        <v>10000</v>
      </c>
      <c r="K262" s="21">
        <f t="shared" si="41"/>
        <v>11560</v>
      </c>
      <c r="L262" s="21">
        <f t="shared" si="42"/>
        <v>22000</v>
      </c>
      <c r="M262" s="21">
        <f t="shared" si="43"/>
        <v>34000</v>
      </c>
      <c r="N262" s="904">
        <f t="shared" si="44"/>
        <v>473</v>
      </c>
      <c r="O262" s="21"/>
      <c r="P262" s="22" t="s">
        <v>2</v>
      </c>
      <c r="Q262" s="22">
        <v>0.63</v>
      </c>
      <c r="R262" s="904" t="s">
        <v>42</v>
      </c>
      <c r="S262" s="904" t="str">
        <f t="shared" si="45"/>
        <v>Stove</v>
      </c>
      <c r="T262" s="23">
        <f t="shared" si="46"/>
        <v>0.23342670401493931</v>
      </c>
      <c r="U262" s="23">
        <f t="shared" si="47"/>
        <v>0.6865491294557039</v>
      </c>
      <c r="V262" s="23">
        <f t="shared" si="47"/>
        <v>0.36075036075036077</v>
      </c>
      <c r="W262" s="23">
        <f t="shared" si="48"/>
        <v>0.79365079365079361</v>
      </c>
      <c r="X262" s="904">
        <f t="shared" si="49"/>
        <v>507</v>
      </c>
      <c r="Y262" s="904">
        <f t="shared" si="49"/>
        <v>552</v>
      </c>
      <c r="Z262" s="904">
        <f t="shared" si="49"/>
        <v>515</v>
      </c>
      <c r="AA262" s="904">
        <f t="shared" si="37"/>
        <v>521</v>
      </c>
      <c r="AB262" s="24">
        <v>268</v>
      </c>
    </row>
    <row r="263" spans="1:29" x14ac:dyDescent="0.25">
      <c r="A263" s="903"/>
      <c r="B263" t="s">
        <v>594</v>
      </c>
      <c r="C263" s="906" t="s">
        <v>597</v>
      </c>
      <c r="D263" s="25">
        <v>1.53</v>
      </c>
      <c r="E263" s="903">
        <v>85</v>
      </c>
      <c r="F263" s="903">
        <v>36</v>
      </c>
      <c r="G263" s="903" t="s">
        <v>598</v>
      </c>
      <c r="H263" s="904">
        <f t="shared" si="38"/>
        <v>5</v>
      </c>
      <c r="I263" s="904">
        <f t="shared" si="39"/>
        <v>10</v>
      </c>
      <c r="J263" s="21">
        <f t="shared" si="40"/>
        <v>6200</v>
      </c>
      <c r="K263" s="21">
        <f t="shared" si="41"/>
        <v>11152</v>
      </c>
      <c r="L263" s="21">
        <f t="shared" si="42"/>
        <v>19500</v>
      </c>
      <c r="M263" s="21">
        <f t="shared" si="43"/>
        <v>32800</v>
      </c>
      <c r="N263" s="904">
        <f t="shared" si="44"/>
        <v>277</v>
      </c>
      <c r="O263" s="21"/>
      <c r="P263" s="22" t="s">
        <v>2</v>
      </c>
      <c r="Q263" s="22">
        <v>0.78</v>
      </c>
      <c r="R263" s="904" t="s">
        <v>15</v>
      </c>
      <c r="S263" s="904" t="str">
        <f t="shared" si="45"/>
        <v>Stove</v>
      </c>
      <c r="T263" s="23">
        <f t="shared" si="46"/>
        <v>0.10283584978706931</v>
      </c>
      <c r="U263" s="23">
        <f t="shared" si="47"/>
        <v>0.30245838172667439</v>
      </c>
      <c r="V263" s="23">
        <f t="shared" si="47"/>
        <v>0.17297517297517298</v>
      </c>
      <c r="W263" s="23">
        <f t="shared" si="48"/>
        <v>0.54403481822836663</v>
      </c>
      <c r="X263" s="904">
        <f t="shared" si="49"/>
        <v>93</v>
      </c>
      <c r="Y263" s="904">
        <f t="shared" si="49"/>
        <v>108</v>
      </c>
      <c r="Z263" s="904">
        <f t="shared" si="49"/>
        <v>117</v>
      </c>
      <c r="AA263" s="904">
        <f t="shared" si="37"/>
        <v>244</v>
      </c>
      <c r="AB263" s="24">
        <v>37</v>
      </c>
    </row>
    <row r="264" spans="1:29" x14ac:dyDescent="0.25">
      <c r="A264" s="903"/>
      <c r="B264" t="s">
        <v>594</v>
      </c>
      <c r="C264" s="906" t="s">
        <v>599</v>
      </c>
      <c r="D264" s="25">
        <v>4.4000000000000004</v>
      </c>
      <c r="E264" s="903">
        <v>660</v>
      </c>
      <c r="F264" s="903">
        <v>338</v>
      </c>
      <c r="G264" s="903" t="s">
        <v>600</v>
      </c>
      <c r="H264" s="904">
        <f t="shared" si="38"/>
        <v>6</v>
      </c>
      <c r="I264" s="904">
        <f t="shared" si="39"/>
        <v>11</v>
      </c>
      <c r="J264" s="21">
        <f t="shared" si="40"/>
        <v>11000</v>
      </c>
      <c r="K264" s="21">
        <f t="shared" si="41"/>
        <v>14416.000000000002</v>
      </c>
      <c r="L264" s="21">
        <f t="shared" si="42"/>
        <v>26700</v>
      </c>
      <c r="M264" s="21">
        <f t="shared" si="43"/>
        <v>42400</v>
      </c>
      <c r="N264" s="904">
        <f t="shared" si="44"/>
        <v>779</v>
      </c>
      <c r="O264" s="21"/>
      <c r="P264" s="22" t="s">
        <v>2</v>
      </c>
      <c r="Q264" s="22">
        <v>0.63</v>
      </c>
      <c r="R264" s="904" t="s">
        <v>42</v>
      </c>
      <c r="S264" s="904" t="str">
        <f t="shared" si="45"/>
        <v>Stove</v>
      </c>
      <c r="T264" s="23">
        <f t="shared" si="46"/>
        <v>0.22877774450101493</v>
      </c>
      <c r="U264" s="23">
        <f t="shared" si="47"/>
        <v>0.67287571912063204</v>
      </c>
      <c r="V264" s="23">
        <f t="shared" si="47"/>
        <v>0.36330248564955181</v>
      </c>
      <c r="W264" s="23">
        <f t="shared" si="48"/>
        <v>0.88183421516754845</v>
      </c>
      <c r="X264" s="904">
        <f t="shared" si="49"/>
        <v>489</v>
      </c>
      <c r="Y264" s="904">
        <f t="shared" si="49"/>
        <v>532</v>
      </c>
      <c r="Z264" s="904">
        <f t="shared" si="49"/>
        <v>520</v>
      </c>
      <c r="AA264" s="904">
        <f t="shared" si="37"/>
        <v>623</v>
      </c>
      <c r="AB264" s="24">
        <v>257</v>
      </c>
    </row>
    <row r="265" spans="1:29" x14ac:dyDescent="0.25">
      <c r="A265" s="903"/>
      <c r="B265" t="s">
        <v>594</v>
      </c>
      <c r="C265" s="906" t="s">
        <v>601</v>
      </c>
      <c r="D265" s="25">
        <v>1.1000000000000001</v>
      </c>
      <c r="E265" s="903">
        <v>36</v>
      </c>
      <c r="F265" s="903">
        <v>9</v>
      </c>
      <c r="G265" s="903" t="s">
        <v>602</v>
      </c>
      <c r="H265" s="904">
        <f t="shared" si="38"/>
        <v>6</v>
      </c>
      <c r="I265" s="904">
        <f t="shared" si="39"/>
        <v>11</v>
      </c>
      <c r="J265" s="21">
        <f t="shared" si="40"/>
        <v>11238</v>
      </c>
      <c r="K265" s="21">
        <f t="shared" si="41"/>
        <v>11873.140000000001</v>
      </c>
      <c r="L265" s="21">
        <f t="shared" si="42"/>
        <v>23079.5</v>
      </c>
      <c r="M265" s="21">
        <f t="shared" si="43"/>
        <v>34921</v>
      </c>
      <c r="N265" s="904">
        <f t="shared" si="44"/>
        <v>559</v>
      </c>
      <c r="O265" s="21"/>
      <c r="P265" s="22" t="s">
        <v>2</v>
      </c>
      <c r="Q265" s="22">
        <v>0.63</v>
      </c>
      <c r="R265" s="904" t="s">
        <v>42</v>
      </c>
      <c r="S265" s="904" t="str">
        <f t="shared" si="45"/>
        <v>Stove</v>
      </c>
      <c r="T265" s="23">
        <f t="shared" si="46"/>
        <v>6.944371844193345E-2</v>
      </c>
      <c r="U265" s="23">
        <f t="shared" si="47"/>
        <v>0.20424623071156897</v>
      </c>
      <c r="V265" s="23">
        <f t="shared" si="47"/>
        <v>0.10507351076543071</v>
      </c>
      <c r="W265" s="23">
        <f t="shared" si="48"/>
        <v>0.21578965044587636</v>
      </c>
      <c r="X265" s="904">
        <f t="shared" si="49"/>
        <v>43</v>
      </c>
      <c r="Y265" s="904">
        <f t="shared" si="49"/>
        <v>51</v>
      </c>
      <c r="Z265" s="904">
        <f t="shared" si="49"/>
        <v>36</v>
      </c>
      <c r="AA265" s="904">
        <f t="shared" si="37"/>
        <v>37</v>
      </c>
      <c r="AB265" s="24">
        <v>12</v>
      </c>
    </row>
    <row r="266" spans="1:29" x14ac:dyDescent="0.25">
      <c r="A266" s="903"/>
      <c r="B266" t="s">
        <v>594</v>
      </c>
      <c r="C266" s="906" t="s">
        <v>22</v>
      </c>
      <c r="D266" s="25">
        <v>2.2999999999999998</v>
      </c>
      <c r="E266" s="903">
        <v>182</v>
      </c>
      <c r="F266" s="903">
        <v>48</v>
      </c>
      <c r="G266" s="903" t="s">
        <v>603</v>
      </c>
      <c r="H266" s="904">
        <f t="shared" si="38"/>
        <v>6</v>
      </c>
      <c r="I266" s="904">
        <f t="shared" si="39"/>
        <v>11</v>
      </c>
      <c r="J266" s="21">
        <f t="shared" si="40"/>
        <v>10900</v>
      </c>
      <c r="K266" s="21">
        <f t="shared" si="41"/>
        <v>10900</v>
      </c>
      <c r="L266" s="21">
        <f t="shared" si="42"/>
        <v>20700</v>
      </c>
      <c r="M266" s="21">
        <f t="shared" si="43"/>
        <v>30500</v>
      </c>
      <c r="N266" s="904">
        <f t="shared" si="44"/>
        <v>377</v>
      </c>
      <c r="O266" s="21"/>
      <c r="P266" s="22" t="s">
        <v>2</v>
      </c>
      <c r="Q266" s="22">
        <v>0.63</v>
      </c>
      <c r="R266" s="904" t="s">
        <v>42</v>
      </c>
      <c r="S266" s="904" t="str">
        <f t="shared" si="45"/>
        <v>Stove</v>
      </c>
      <c r="T266" s="23">
        <f t="shared" si="46"/>
        <v>0.16624743400699685</v>
      </c>
      <c r="U266" s="23">
        <f t="shared" si="47"/>
        <v>0.46518777405627559</v>
      </c>
      <c r="V266" s="23">
        <f t="shared" si="47"/>
        <v>0.24495394865765235</v>
      </c>
      <c r="W266" s="23">
        <f t="shared" si="48"/>
        <v>0.46518777405627559</v>
      </c>
      <c r="X266" s="904">
        <f t="shared" si="49"/>
        <v>267</v>
      </c>
      <c r="Y266" s="904">
        <f t="shared" si="49"/>
        <v>253</v>
      </c>
      <c r="Z266" s="904">
        <f t="shared" si="49"/>
        <v>236</v>
      </c>
      <c r="AA266" s="904">
        <f t="shared" si="49"/>
        <v>158</v>
      </c>
      <c r="AB266" s="24">
        <v>89</v>
      </c>
    </row>
    <row r="267" spans="1:29" x14ac:dyDescent="0.25">
      <c r="A267" s="903"/>
      <c r="B267" t="s">
        <v>594</v>
      </c>
      <c r="C267" s="906" t="s">
        <v>604</v>
      </c>
      <c r="D267" s="25">
        <v>2.6</v>
      </c>
      <c r="E267" s="903">
        <v>235</v>
      </c>
      <c r="F267" s="903">
        <v>66</v>
      </c>
      <c r="G267" s="903" t="s">
        <v>605</v>
      </c>
      <c r="H267" s="904">
        <f t="shared" ref="H267:H330" si="50">FIND("-",$G267)</f>
        <v>5</v>
      </c>
      <c r="I267" s="904">
        <f t="shared" ref="I267:I330" si="51">LEN($G267)</f>
        <v>10</v>
      </c>
      <c r="J267" s="21">
        <f t="shared" ref="J267:J330" si="52">VALUE(LEFT($G267,H267-1))</f>
        <v>9619</v>
      </c>
      <c r="K267" s="21">
        <f t="shared" ref="K267:K330" si="53">IF(K$8*M267&gt;J267,K$8*M267,J267)</f>
        <v>10820.5</v>
      </c>
      <c r="L267" s="21">
        <f t="shared" ref="L267:L330" si="54">AVERAGE(J267,M267)</f>
        <v>20722</v>
      </c>
      <c r="M267" s="21">
        <f t="shared" ref="M267:M330" si="55">VALUE(RIGHT($G267,I267-H267))</f>
        <v>31825</v>
      </c>
      <c r="N267" s="904">
        <f t="shared" ref="N267:N330" si="56">RANK($L267,$L$11:$L$973,1)</f>
        <v>380</v>
      </c>
      <c r="O267" s="21"/>
      <c r="P267" s="22" t="s">
        <v>2</v>
      </c>
      <c r="Q267" s="22">
        <v>0.63</v>
      </c>
      <c r="R267" s="904" t="s">
        <v>42</v>
      </c>
      <c r="S267" s="904" t="str">
        <f t="shared" ref="S267:S330" si="57">IF(AND(ISERROR(FIND("Insert",B267&amp;C267)),ISERROR(FIND("insert",B267&amp;C267))),"Stove","Insert")</f>
        <v>Stove</v>
      </c>
      <c r="T267" s="23">
        <f t="shared" ref="T267:T330" si="58">$D267*10^6/(M267*453.6)</f>
        <v>0.18010753805464463</v>
      </c>
      <c r="U267" s="23">
        <f t="shared" ref="U267:V330" si="59">$D267*10^6/(K267*453.6)</f>
        <v>0.52972805310189597</v>
      </c>
      <c r="V267" s="23">
        <f t="shared" si="59"/>
        <v>0.2766104815456551</v>
      </c>
      <c r="W267" s="23">
        <f t="shared" ref="W267:W330" si="60">$D267*10^6/(J267*453.6)</f>
        <v>0.59589587260516319</v>
      </c>
      <c r="X267" s="904">
        <f t="shared" ref="X267:AA330" si="61">RANK(T267,T$11:T$973,1)</f>
        <v>313</v>
      </c>
      <c r="Y267" s="904">
        <f t="shared" si="61"/>
        <v>337</v>
      </c>
      <c r="Z267" s="904">
        <f t="shared" si="61"/>
        <v>297</v>
      </c>
      <c r="AA267" s="904">
        <f t="shared" si="61"/>
        <v>289</v>
      </c>
      <c r="AB267" s="24">
        <v>133</v>
      </c>
    </row>
    <row r="268" spans="1:29" x14ac:dyDescent="0.25">
      <c r="A268" s="903"/>
      <c r="B268" t="s">
        <v>594</v>
      </c>
      <c r="C268" s="906" t="s">
        <v>607</v>
      </c>
      <c r="D268" s="25">
        <v>3.7</v>
      </c>
      <c r="E268" s="903">
        <v>501</v>
      </c>
      <c r="F268" s="903">
        <v>230</v>
      </c>
      <c r="G268" s="903" t="s">
        <v>608</v>
      </c>
      <c r="H268" s="904">
        <f t="shared" si="50"/>
        <v>6</v>
      </c>
      <c r="I268" s="904">
        <f t="shared" si="51"/>
        <v>11</v>
      </c>
      <c r="J268" s="21">
        <f t="shared" si="52"/>
        <v>11281</v>
      </c>
      <c r="K268" s="21">
        <f t="shared" si="53"/>
        <v>11281</v>
      </c>
      <c r="L268" s="21">
        <f t="shared" si="54"/>
        <v>21969</v>
      </c>
      <c r="M268" s="21">
        <f t="shared" si="55"/>
        <v>32657</v>
      </c>
      <c r="N268" s="904">
        <f t="shared" si="56"/>
        <v>472</v>
      </c>
      <c r="O268" s="21"/>
      <c r="P268" s="22" t="s">
        <v>2</v>
      </c>
      <c r="Q268" s="22">
        <v>0.63</v>
      </c>
      <c r="R268" s="904" t="s">
        <v>42</v>
      </c>
      <c r="S268" s="904" t="str">
        <f t="shared" si="57"/>
        <v>Stove</v>
      </c>
      <c r="T268" s="23">
        <f t="shared" si="58"/>
        <v>0.24977696941849598</v>
      </c>
      <c r="U268" s="23">
        <f t="shared" si="59"/>
        <v>0.72307122509527721</v>
      </c>
      <c r="V268" s="23">
        <f t="shared" si="59"/>
        <v>0.37129439165641692</v>
      </c>
      <c r="W268" s="23">
        <f t="shared" si="60"/>
        <v>0.72307122509527721</v>
      </c>
      <c r="X268" s="904">
        <f t="shared" si="61"/>
        <v>554</v>
      </c>
      <c r="Y268" s="904">
        <f t="shared" si="61"/>
        <v>589</v>
      </c>
      <c r="Z268" s="904">
        <f t="shared" si="61"/>
        <v>542</v>
      </c>
      <c r="AA268" s="904">
        <f t="shared" si="61"/>
        <v>434</v>
      </c>
      <c r="AB268" s="24">
        <v>295</v>
      </c>
    </row>
    <row r="269" spans="1:29" x14ac:dyDescent="0.25">
      <c r="A269" s="903"/>
      <c r="B269" t="s">
        <v>594</v>
      </c>
      <c r="C269" s="906" t="s">
        <v>610</v>
      </c>
      <c r="D269" s="25">
        <v>3.9</v>
      </c>
      <c r="E269" s="903">
        <v>548</v>
      </c>
      <c r="F269" s="903">
        <v>219</v>
      </c>
      <c r="G269" s="903" t="s">
        <v>611</v>
      </c>
      <c r="H269" s="904">
        <f t="shared" si="50"/>
        <v>5</v>
      </c>
      <c r="I269" s="904">
        <f t="shared" si="51"/>
        <v>10</v>
      </c>
      <c r="J269" s="21">
        <f t="shared" si="52"/>
        <v>8400</v>
      </c>
      <c r="K269" s="21">
        <f t="shared" si="53"/>
        <v>13838.000000000002</v>
      </c>
      <c r="L269" s="21">
        <f t="shared" si="54"/>
        <v>24550</v>
      </c>
      <c r="M269" s="21">
        <f t="shared" si="55"/>
        <v>40700</v>
      </c>
      <c r="N269" s="904">
        <f t="shared" si="56"/>
        <v>672</v>
      </c>
      <c r="O269" s="21"/>
      <c r="P269" s="22" t="s">
        <v>2</v>
      </c>
      <c r="Q269" s="22">
        <v>0.72</v>
      </c>
      <c r="R269" s="904" t="s">
        <v>38</v>
      </c>
      <c r="S269" s="904" t="str">
        <f t="shared" si="57"/>
        <v>Stove</v>
      </c>
      <c r="T269" s="23">
        <f t="shared" si="58"/>
        <v>0.21125021125021126</v>
      </c>
      <c r="U269" s="23">
        <f t="shared" si="59"/>
        <v>0.6213241507359154</v>
      </c>
      <c r="V269" s="23">
        <f t="shared" si="59"/>
        <v>0.35021929115615469</v>
      </c>
      <c r="W269" s="23">
        <f t="shared" si="60"/>
        <v>1.0235575711766187</v>
      </c>
      <c r="X269" s="904">
        <f t="shared" si="61"/>
        <v>425</v>
      </c>
      <c r="Y269" s="904">
        <f t="shared" si="61"/>
        <v>456</v>
      </c>
      <c r="Z269" s="904">
        <f t="shared" si="61"/>
        <v>489</v>
      </c>
      <c r="AA269" s="904">
        <f t="shared" si="61"/>
        <v>727</v>
      </c>
      <c r="AB269" s="24">
        <v>184</v>
      </c>
      <c r="AC269" t="s">
        <v>606</v>
      </c>
    </row>
    <row r="270" spans="1:29" x14ac:dyDescent="0.25">
      <c r="A270" s="903"/>
      <c r="B270" t="s">
        <v>594</v>
      </c>
      <c r="C270" s="906" t="s">
        <v>612</v>
      </c>
      <c r="D270" s="25">
        <v>2.8</v>
      </c>
      <c r="E270" s="903">
        <v>283</v>
      </c>
      <c r="F270" s="903">
        <v>119</v>
      </c>
      <c r="G270" s="903" t="s">
        <v>613</v>
      </c>
      <c r="H270" s="904">
        <f t="shared" si="50"/>
        <v>5</v>
      </c>
      <c r="I270" s="904">
        <f t="shared" si="51"/>
        <v>10</v>
      </c>
      <c r="J270" s="21">
        <f t="shared" si="52"/>
        <v>7400</v>
      </c>
      <c r="K270" s="21">
        <f t="shared" si="53"/>
        <v>11492</v>
      </c>
      <c r="L270" s="21">
        <f t="shared" si="54"/>
        <v>20600</v>
      </c>
      <c r="M270" s="21">
        <f t="shared" si="55"/>
        <v>33800</v>
      </c>
      <c r="N270" s="904">
        <f t="shared" si="56"/>
        <v>370</v>
      </c>
      <c r="O270" s="21"/>
      <c r="P270" s="22" t="s">
        <v>2</v>
      </c>
      <c r="Q270" s="22">
        <v>0.72</v>
      </c>
      <c r="R270" s="904" t="s">
        <v>38</v>
      </c>
      <c r="S270" s="904" t="str">
        <f t="shared" si="57"/>
        <v>Stove</v>
      </c>
      <c r="T270" s="23">
        <f t="shared" si="58"/>
        <v>0.18262838775659287</v>
      </c>
      <c r="U270" s="23">
        <f t="shared" si="59"/>
        <v>0.53714231693115555</v>
      </c>
      <c r="V270" s="23">
        <f t="shared" si="59"/>
        <v>0.29965240321227377</v>
      </c>
      <c r="W270" s="23">
        <f t="shared" si="60"/>
        <v>0.83416750083416746</v>
      </c>
      <c r="X270" s="904">
        <f t="shared" si="61"/>
        <v>321</v>
      </c>
      <c r="Y270" s="904">
        <f t="shared" si="61"/>
        <v>345</v>
      </c>
      <c r="Z270" s="904">
        <f t="shared" si="61"/>
        <v>358</v>
      </c>
      <c r="AA270" s="904">
        <f t="shared" si="61"/>
        <v>579</v>
      </c>
      <c r="AB270" s="24">
        <v>140</v>
      </c>
      <c r="AC270" t="s">
        <v>609</v>
      </c>
    </row>
    <row r="271" spans="1:29" x14ac:dyDescent="0.25">
      <c r="A271" s="903"/>
      <c r="B271" t="s">
        <v>594</v>
      </c>
      <c r="C271" s="906" t="s">
        <v>614</v>
      </c>
      <c r="D271" s="25">
        <v>5.2</v>
      </c>
      <c r="E271" s="903">
        <v>784</v>
      </c>
      <c r="F271" s="903">
        <v>265</v>
      </c>
      <c r="G271" s="903" t="s">
        <v>615</v>
      </c>
      <c r="H271" s="904">
        <f t="shared" si="50"/>
        <v>6</v>
      </c>
      <c r="I271" s="904">
        <f t="shared" si="51"/>
        <v>11</v>
      </c>
      <c r="J271" s="21">
        <f t="shared" si="52"/>
        <v>12000</v>
      </c>
      <c r="K271" s="21">
        <f t="shared" si="53"/>
        <v>12682.000000000002</v>
      </c>
      <c r="L271" s="21">
        <f t="shared" si="54"/>
        <v>24650</v>
      </c>
      <c r="M271" s="21">
        <f t="shared" si="55"/>
        <v>37300</v>
      </c>
      <c r="N271" s="904">
        <f t="shared" si="56"/>
        <v>674</v>
      </c>
      <c r="O271" s="21"/>
      <c r="P271" s="22" t="s">
        <v>2</v>
      </c>
      <c r="Q271" s="22">
        <v>0.72</v>
      </c>
      <c r="R271" s="904" t="s">
        <v>38</v>
      </c>
      <c r="S271" s="904" t="str">
        <f t="shared" si="57"/>
        <v>Stove</v>
      </c>
      <c r="T271" s="23">
        <f t="shared" si="58"/>
        <v>0.30734168357045927</v>
      </c>
      <c r="U271" s="23">
        <f t="shared" si="59"/>
        <v>0.90394612814840947</v>
      </c>
      <c r="V271" s="23">
        <f t="shared" si="59"/>
        <v>0.46506469765428521</v>
      </c>
      <c r="W271" s="23">
        <f t="shared" si="60"/>
        <v>0.95532039976484417</v>
      </c>
      <c r="X271" s="904">
        <f t="shared" si="61"/>
        <v>691</v>
      </c>
      <c r="Y271" s="904">
        <f t="shared" si="61"/>
        <v>747</v>
      </c>
      <c r="Z271" s="904">
        <f t="shared" si="61"/>
        <v>692</v>
      </c>
      <c r="AA271" s="904">
        <f t="shared" si="61"/>
        <v>686</v>
      </c>
      <c r="AB271" s="24">
        <v>245</v>
      </c>
    </row>
    <row r="272" spans="1:29" x14ac:dyDescent="0.25">
      <c r="A272" s="903"/>
      <c r="B272" t="s">
        <v>616</v>
      </c>
      <c r="C272" s="906" t="s">
        <v>617</v>
      </c>
      <c r="D272" s="25">
        <v>3.57</v>
      </c>
      <c r="E272" s="903">
        <v>466</v>
      </c>
      <c r="F272" s="903">
        <v>206</v>
      </c>
      <c r="G272" s="903" t="s">
        <v>618</v>
      </c>
      <c r="H272" s="904">
        <f t="shared" si="50"/>
        <v>6</v>
      </c>
      <c r="I272" s="904">
        <f t="shared" si="51"/>
        <v>11</v>
      </c>
      <c r="J272" s="21">
        <f t="shared" si="52"/>
        <v>11805</v>
      </c>
      <c r="K272" s="21">
        <f t="shared" si="53"/>
        <v>11805</v>
      </c>
      <c r="L272" s="21">
        <f t="shared" si="54"/>
        <v>21729</v>
      </c>
      <c r="M272" s="21">
        <f t="shared" si="55"/>
        <v>31653</v>
      </c>
      <c r="N272" s="904">
        <f t="shared" si="56"/>
        <v>448</v>
      </c>
      <c r="O272" s="21"/>
      <c r="P272" s="22" t="s">
        <v>2</v>
      </c>
      <c r="Q272" s="22">
        <v>0.63</v>
      </c>
      <c r="R272" s="904" t="s">
        <v>42</v>
      </c>
      <c r="S272" s="904" t="str">
        <f t="shared" si="57"/>
        <v>Stove</v>
      </c>
      <c r="T272" s="23">
        <f t="shared" si="58"/>
        <v>0.24864532178214924</v>
      </c>
      <c r="U272" s="23">
        <f t="shared" si="59"/>
        <v>0.66669804069211103</v>
      </c>
      <c r="V272" s="23">
        <f t="shared" si="59"/>
        <v>0.36220582495146442</v>
      </c>
      <c r="W272" s="23">
        <f t="shared" si="60"/>
        <v>0.66669804069211103</v>
      </c>
      <c r="X272" s="904">
        <f t="shared" si="61"/>
        <v>551</v>
      </c>
      <c r="Y272" s="904">
        <f t="shared" si="61"/>
        <v>520</v>
      </c>
      <c r="Z272" s="904">
        <f t="shared" si="61"/>
        <v>518</v>
      </c>
      <c r="AA272" s="904">
        <f t="shared" si="61"/>
        <v>375</v>
      </c>
      <c r="AB272" s="24">
        <v>249</v>
      </c>
    </row>
    <row r="273" spans="1:28" x14ac:dyDescent="0.25">
      <c r="A273" s="903" t="s">
        <v>77</v>
      </c>
      <c r="B273" t="s">
        <v>619</v>
      </c>
      <c r="C273" s="906" t="s">
        <v>620</v>
      </c>
      <c r="D273" s="25">
        <v>2.6</v>
      </c>
      <c r="E273" s="903">
        <v>235</v>
      </c>
      <c r="F273" s="903">
        <v>102</v>
      </c>
      <c r="G273" s="903" t="s">
        <v>621</v>
      </c>
      <c r="H273" s="904">
        <f t="shared" si="50"/>
        <v>5</v>
      </c>
      <c r="I273" s="904">
        <f t="shared" si="51"/>
        <v>10</v>
      </c>
      <c r="J273" s="21">
        <f t="shared" si="52"/>
        <v>6100</v>
      </c>
      <c r="K273" s="21">
        <f t="shared" si="53"/>
        <v>13464.000000000002</v>
      </c>
      <c r="L273" s="21">
        <f t="shared" si="54"/>
        <v>22850</v>
      </c>
      <c r="M273" s="21">
        <f t="shared" si="55"/>
        <v>39600</v>
      </c>
      <c r="N273" s="904">
        <f t="shared" si="56"/>
        <v>535</v>
      </c>
      <c r="O273" s="21"/>
      <c r="P273" s="22" t="s">
        <v>2</v>
      </c>
      <c r="Q273" s="22">
        <v>0.72</v>
      </c>
      <c r="R273" s="904" t="s">
        <v>38</v>
      </c>
      <c r="S273" s="904" t="str">
        <f t="shared" si="57"/>
        <v>Stove</v>
      </c>
      <c r="T273" s="23">
        <f t="shared" si="58"/>
        <v>0.14474551511588549</v>
      </c>
      <c r="U273" s="23">
        <f t="shared" si="59"/>
        <v>0.42572210328201604</v>
      </c>
      <c r="V273" s="23">
        <f t="shared" si="59"/>
        <v>0.2508499955618847</v>
      </c>
      <c r="W273" s="23">
        <f t="shared" si="60"/>
        <v>0.93965940960476479</v>
      </c>
      <c r="X273" s="904">
        <f t="shared" si="61"/>
        <v>197</v>
      </c>
      <c r="Y273" s="904">
        <f t="shared" si="61"/>
        <v>206</v>
      </c>
      <c r="Z273" s="904">
        <f t="shared" si="61"/>
        <v>248</v>
      </c>
      <c r="AA273" s="904">
        <f t="shared" si="61"/>
        <v>672</v>
      </c>
      <c r="AB273" s="24">
        <v>79</v>
      </c>
    </row>
    <row r="274" spans="1:28" x14ac:dyDescent="0.25">
      <c r="A274" s="903"/>
      <c r="B274" t="s">
        <v>622</v>
      </c>
      <c r="C274" s="906" t="s">
        <v>623</v>
      </c>
      <c r="D274" s="25">
        <v>2.1</v>
      </c>
      <c r="E274" s="903">
        <v>145</v>
      </c>
      <c r="F274" s="903">
        <v>37</v>
      </c>
      <c r="G274" s="903" t="s">
        <v>624</v>
      </c>
      <c r="H274" s="904">
        <f t="shared" si="50"/>
        <v>6</v>
      </c>
      <c r="I274" s="904">
        <f t="shared" si="51"/>
        <v>11</v>
      </c>
      <c r="J274" s="21">
        <f t="shared" si="52"/>
        <v>12000</v>
      </c>
      <c r="K274" s="21">
        <f t="shared" si="53"/>
        <v>12000</v>
      </c>
      <c r="L274" s="21">
        <f t="shared" si="54"/>
        <v>20000</v>
      </c>
      <c r="M274" s="21">
        <f t="shared" si="55"/>
        <v>28000</v>
      </c>
      <c r="N274" s="904">
        <f t="shared" si="56"/>
        <v>321</v>
      </c>
      <c r="O274" s="21"/>
      <c r="P274" s="22" t="s">
        <v>2</v>
      </c>
      <c r="Q274" s="22">
        <v>0.63</v>
      </c>
      <c r="R274" s="904" t="s">
        <v>42</v>
      </c>
      <c r="S274" s="904" t="str">
        <f t="shared" si="57"/>
        <v>Stove</v>
      </c>
      <c r="T274" s="23">
        <f t="shared" si="58"/>
        <v>0.16534391534391535</v>
      </c>
      <c r="U274" s="23">
        <f t="shared" si="59"/>
        <v>0.38580246913580246</v>
      </c>
      <c r="V274" s="23">
        <f t="shared" si="59"/>
        <v>0.23148148148148148</v>
      </c>
      <c r="W274" s="23">
        <f t="shared" si="60"/>
        <v>0.38580246913580246</v>
      </c>
      <c r="X274" s="904">
        <f t="shared" si="61"/>
        <v>262</v>
      </c>
      <c r="Y274" s="904">
        <f t="shared" si="61"/>
        <v>180</v>
      </c>
      <c r="Z274" s="904">
        <f t="shared" si="61"/>
        <v>205</v>
      </c>
      <c r="AA274" s="904">
        <f t="shared" si="61"/>
        <v>95</v>
      </c>
      <c r="AB274" s="24">
        <v>52</v>
      </c>
    </row>
    <row r="275" spans="1:28" x14ac:dyDescent="0.25">
      <c r="A275" s="903"/>
      <c r="B275" t="s">
        <v>622</v>
      </c>
      <c r="C275" s="906" t="s">
        <v>625</v>
      </c>
      <c r="D275" s="25">
        <v>4.3</v>
      </c>
      <c r="E275" s="903">
        <v>635</v>
      </c>
      <c r="F275" s="903">
        <v>318</v>
      </c>
      <c r="G275" s="903" t="s">
        <v>626</v>
      </c>
      <c r="H275" s="904">
        <f t="shared" si="50"/>
        <v>6</v>
      </c>
      <c r="I275" s="904">
        <f t="shared" si="51"/>
        <v>11</v>
      </c>
      <c r="J275" s="21">
        <f t="shared" si="52"/>
        <v>11696</v>
      </c>
      <c r="K275" s="21">
        <f t="shared" si="53"/>
        <v>11696</v>
      </c>
      <c r="L275" s="21">
        <f t="shared" si="54"/>
        <v>18810.5</v>
      </c>
      <c r="M275" s="21">
        <f t="shared" si="55"/>
        <v>25925</v>
      </c>
      <c r="N275" s="904">
        <f t="shared" si="56"/>
        <v>225</v>
      </c>
      <c r="O275" s="21"/>
      <c r="P275" s="22" t="s">
        <v>2</v>
      </c>
      <c r="Q275" s="22">
        <v>0.63</v>
      </c>
      <c r="R275" s="904" t="s">
        <v>42</v>
      </c>
      <c r="S275" s="904" t="str">
        <f t="shared" si="57"/>
        <v>Stove</v>
      </c>
      <c r="T275" s="23">
        <f t="shared" si="58"/>
        <v>0.36565931776475008</v>
      </c>
      <c r="U275" s="23">
        <f t="shared" si="59"/>
        <v>0.81050938894076141</v>
      </c>
      <c r="V275" s="23">
        <f t="shared" si="59"/>
        <v>0.50395884282986336</v>
      </c>
      <c r="W275" s="23">
        <f t="shared" si="60"/>
        <v>0.81050938894076141</v>
      </c>
      <c r="X275" s="904">
        <f t="shared" si="61"/>
        <v>794</v>
      </c>
      <c r="Y275" s="904">
        <f t="shared" si="61"/>
        <v>673</v>
      </c>
      <c r="Z275" s="904">
        <f t="shared" si="61"/>
        <v>753</v>
      </c>
      <c r="AA275" s="904">
        <f t="shared" si="61"/>
        <v>550</v>
      </c>
      <c r="AB275" s="24">
        <v>364</v>
      </c>
    </row>
    <row r="276" spans="1:28" x14ac:dyDescent="0.25">
      <c r="A276" s="903"/>
      <c r="B276" t="s">
        <v>622</v>
      </c>
      <c r="C276" s="906" t="s">
        <v>627</v>
      </c>
      <c r="D276" s="25">
        <v>1.1000000000000001</v>
      </c>
      <c r="E276" s="903">
        <v>36</v>
      </c>
      <c r="F276" s="903">
        <v>9</v>
      </c>
      <c r="G276" s="903" t="s">
        <v>628</v>
      </c>
      <c r="H276" s="904">
        <f t="shared" si="50"/>
        <v>6</v>
      </c>
      <c r="I276" s="904">
        <f t="shared" si="51"/>
        <v>11</v>
      </c>
      <c r="J276" s="21">
        <f t="shared" si="52"/>
        <v>11842</v>
      </c>
      <c r="K276" s="21">
        <f t="shared" si="53"/>
        <v>13023.7</v>
      </c>
      <c r="L276" s="21">
        <f t="shared" si="54"/>
        <v>25073.5</v>
      </c>
      <c r="M276" s="21">
        <f t="shared" si="55"/>
        <v>38305</v>
      </c>
      <c r="N276" s="904">
        <f t="shared" si="56"/>
        <v>697</v>
      </c>
      <c r="O276" s="21"/>
      <c r="P276" s="22" t="s">
        <v>2</v>
      </c>
      <c r="Q276" s="22">
        <v>0.63</v>
      </c>
      <c r="R276" s="904" t="s">
        <v>42</v>
      </c>
      <c r="S276" s="904" t="str">
        <f t="shared" si="57"/>
        <v>Stove</v>
      </c>
      <c r="T276" s="23">
        <f t="shared" si="58"/>
        <v>6.3308813254425222E-2</v>
      </c>
      <c r="U276" s="23">
        <f t="shared" si="59"/>
        <v>0.18620239192478008</v>
      </c>
      <c r="V276" s="23">
        <f t="shared" si="59"/>
        <v>9.6717414469888852E-2</v>
      </c>
      <c r="W276" s="23">
        <f t="shared" si="60"/>
        <v>0.20478332137398736</v>
      </c>
      <c r="X276" s="904">
        <f t="shared" si="61"/>
        <v>27</v>
      </c>
      <c r="Y276" s="904">
        <f t="shared" si="61"/>
        <v>35</v>
      </c>
      <c r="Z276" s="904">
        <f t="shared" si="61"/>
        <v>29</v>
      </c>
      <c r="AA276" s="904">
        <f t="shared" si="61"/>
        <v>33</v>
      </c>
      <c r="AB276" s="24">
        <v>6</v>
      </c>
    </row>
    <row r="277" spans="1:28" x14ac:dyDescent="0.25">
      <c r="A277" s="903"/>
      <c r="B277" t="s">
        <v>622</v>
      </c>
      <c r="C277" s="906" t="s">
        <v>629</v>
      </c>
      <c r="D277" s="25">
        <v>4.2</v>
      </c>
      <c r="E277" s="903">
        <v>619</v>
      </c>
      <c r="F277" s="903">
        <v>303</v>
      </c>
      <c r="G277" s="903" t="s">
        <v>630</v>
      </c>
      <c r="H277" s="904">
        <f t="shared" si="50"/>
        <v>6</v>
      </c>
      <c r="I277" s="904">
        <f t="shared" si="51"/>
        <v>11</v>
      </c>
      <c r="J277" s="21">
        <f t="shared" si="52"/>
        <v>10491</v>
      </c>
      <c r="K277" s="21">
        <f t="shared" si="53"/>
        <v>10491</v>
      </c>
      <c r="L277" s="21">
        <f t="shared" si="54"/>
        <v>19172.5</v>
      </c>
      <c r="M277" s="21">
        <f t="shared" si="55"/>
        <v>27854</v>
      </c>
      <c r="N277" s="904">
        <f t="shared" si="56"/>
        <v>253</v>
      </c>
      <c r="O277" s="21"/>
      <c r="P277" s="22" t="s">
        <v>2</v>
      </c>
      <c r="Q277" s="22">
        <v>0.63</v>
      </c>
      <c r="R277" s="904" t="s">
        <v>42</v>
      </c>
      <c r="S277" s="904" t="str">
        <f t="shared" si="57"/>
        <v>Stove</v>
      </c>
      <c r="T277" s="23">
        <f t="shared" si="58"/>
        <v>0.33242116964383067</v>
      </c>
      <c r="U277" s="23">
        <f t="shared" si="59"/>
        <v>0.88259072150026285</v>
      </c>
      <c r="V277" s="23">
        <f t="shared" si="59"/>
        <v>0.48294480423832359</v>
      </c>
      <c r="W277" s="23">
        <f t="shared" si="60"/>
        <v>0.88259072150026285</v>
      </c>
      <c r="X277" s="904">
        <f t="shared" si="61"/>
        <v>743</v>
      </c>
      <c r="Y277" s="904">
        <f t="shared" si="61"/>
        <v>729</v>
      </c>
      <c r="Z277" s="904">
        <f t="shared" si="61"/>
        <v>720</v>
      </c>
      <c r="AA277" s="904">
        <f t="shared" si="61"/>
        <v>630</v>
      </c>
      <c r="AB277" s="24">
        <v>407</v>
      </c>
    </row>
    <row r="278" spans="1:28" x14ac:dyDescent="0.25">
      <c r="A278" s="903"/>
      <c r="B278" t="s">
        <v>622</v>
      </c>
      <c r="C278" s="906" t="s">
        <v>631</v>
      </c>
      <c r="D278" s="25">
        <v>4.2</v>
      </c>
      <c r="E278" s="903">
        <v>619</v>
      </c>
      <c r="F278" s="903">
        <v>303</v>
      </c>
      <c r="G278" s="903" t="s">
        <v>632</v>
      </c>
      <c r="H278" s="904">
        <f t="shared" si="50"/>
        <v>6</v>
      </c>
      <c r="I278" s="904">
        <f t="shared" si="51"/>
        <v>11</v>
      </c>
      <c r="J278" s="21">
        <f t="shared" si="52"/>
        <v>11800</v>
      </c>
      <c r="K278" s="21">
        <f t="shared" si="53"/>
        <v>15606.000000000002</v>
      </c>
      <c r="L278" s="21">
        <f t="shared" si="54"/>
        <v>28850</v>
      </c>
      <c r="M278" s="21">
        <f t="shared" si="55"/>
        <v>45900</v>
      </c>
      <c r="N278" s="904">
        <f t="shared" si="56"/>
        <v>849</v>
      </c>
      <c r="O278" s="21"/>
      <c r="P278" s="22" t="s">
        <v>2</v>
      </c>
      <c r="Q278" s="22">
        <v>0.63</v>
      </c>
      <c r="R278" s="904" t="s">
        <v>42</v>
      </c>
      <c r="S278" s="904" t="str">
        <f t="shared" si="57"/>
        <v>Stove</v>
      </c>
      <c r="T278" s="23">
        <f t="shared" si="58"/>
        <v>0.20172678124747842</v>
      </c>
      <c r="U278" s="23">
        <f t="shared" si="59"/>
        <v>0.59331406249258345</v>
      </c>
      <c r="V278" s="23">
        <f t="shared" si="59"/>
        <v>0.32094486167276459</v>
      </c>
      <c r="W278" s="23">
        <f t="shared" si="60"/>
        <v>0.78468298807281855</v>
      </c>
      <c r="X278" s="904">
        <f t="shared" si="61"/>
        <v>389</v>
      </c>
      <c r="Y278" s="904">
        <f t="shared" si="61"/>
        <v>425</v>
      </c>
      <c r="Z278" s="904">
        <f t="shared" si="61"/>
        <v>417</v>
      </c>
      <c r="AA278" s="904">
        <f t="shared" si="61"/>
        <v>508</v>
      </c>
      <c r="AB278" s="24">
        <v>184</v>
      </c>
    </row>
    <row r="279" spans="1:28" x14ac:dyDescent="0.25">
      <c r="A279" s="903"/>
      <c r="B279" t="s">
        <v>622</v>
      </c>
      <c r="C279" s="906" t="s">
        <v>633</v>
      </c>
      <c r="D279" s="25">
        <v>3.1</v>
      </c>
      <c r="E279" s="903">
        <v>347</v>
      </c>
      <c r="F279" s="903">
        <v>130</v>
      </c>
      <c r="G279" s="903" t="s">
        <v>634</v>
      </c>
      <c r="H279" s="904">
        <f t="shared" si="50"/>
        <v>6</v>
      </c>
      <c r="I279" s="904">
        <f t="shared" si="51"/>
        <v>11</v>
      </c>
      <c r="J279" s="21">
        <f t="shared" si="52"/>
        <v>13800</v>
      </c>
      <c r="K279" s="21">
        <f t="shared" si="53"/>
        <v>22882</v>
      </c>
      <c r="L279" s="21">
        <f t="shared" si="54"/>
        <v>40550</v>
      </c>
      <c r="M279" s="21">
        <f t="shared" si="55"/>
        <v>67300</v>
      </c>
      <c r="N279" s="904">
        <f t="shared" si="56"/>
        <v>955</v>
      </c>
      <c r="O279" s="21"/>
      <c r="P279" s="22" t="s">
        <v>2</v>
      </c>
      <c r="Q279" s="22">
        <v>0.63</v>
      </c>
      <c r="R279" s="904" t="s">
        <v>42</v>
      </c>
      <c r="S279" s="904" t="str">
        <f t="shared" si="57"/>
        <v>Stove</v>
      </c>
      <c r="T279" s="23">
        <f t="shared" si="58"/>
        <v>0.10154851660547549</v>
      </c>
      <c r="U279" s="23">
        <f t="shared" si="59"/>
        <v>0.29867210766316321</v>
      </c>
      <c r="V279" s="23">
        <f t="shared" si="59"/>
        <v>0.1685379819370777</v>
      </c>
      <c r="W279" s="23">
        <f t="shared" si="60"/>
        <v>0.49523298315568848</v>
      </c>
      <c r="X279" s="904">
        <f t="shared" si="61"/>
        <v>87</v>
      </c>
      <c r="Y279" s="904">
        <f t="shared" si="61"/>
        <v>101</v>
      </c>
      <c r="Z279" s="904">
        <f t="shared" si="61"/>
        <v>109</v>
      </c>
      <c r="AA279" s="904">
        <f t="shared" si="61"/>
        <v>187</v>
      </c>
      <c r="AB279" s="24">
        <v>24</v>
      </c>
    </row>
    <row r="280" spans="1:28" x14ac:dyDescent="0.25">
      <c r="A280" s="903"/>
      <c r="B280" t="s">
        <v>622</v>
      </c>
      <c r="C280" s="906" t="s">
        <v>635</v>
      </c>
      <c r="D280" s="25">
        <v>4</v>
      </c>
      <c r="E280" s="903">
        <v>571</v>
      </c>
      <c r="F280" s="903">
        <v>270</v>
      </c>
      <c r="G280" s="903" t="s">
        <v>636</v>
      </c>
      <c r="H280" s="904">
        <f t="shared" si="50"/>
        <v>6</v>
      </c>
      <c r="I280" s="904">
        <f t="shared" si="51"/>
        <v>11</v>
      </c>
      <c r="J280" s="21">
        <f t="shared" si="52"/>
        <v>14000</v>
      </c>
      <c r="K280" s="21">
        <f t="shared" si="53"/>
        <v>14000</v>
      </c>
      <c r="L280" s="21">
        <f t="shared" si="54"/>
        <v>25050</v>
      </c>
      <c r="M280" s="21">
        <f t="shared" si="55"/>
        <v>36100</v>
      </c>
      <c r="N280" s="904">
        <f t="shared" si="56"/>
        <v>687</v>
      </c>
      <c r="O280" s="21"/>
      <c r="P280" s="22" t="s">
        <v>2</v>
      </c>
      <c r="Q280" s="22">
        <v>0.63</v>
      </c>
      <c r="R280" s="904" t="s">
        <v>42</v>
      </c>
      <c r="S280" s="904" t="str">
        <f t="shared" si="57"/>
        <v>Stove</v>
      </c>
      <c r="T280" s="23">
        <f t="shared" si="58"/>
        <v>0.24427540586358684</v>
      </c>
      <c r="U280" s="23">
        <f t="shared" si="59"/>
        <v>0.62988158226253466</v>
      </c>
      <c r="V280" s="23">
        <f t="shared" si="59"/>
        <v>0.35202962681339262</v>
      </c>
      <c r="W280" s="23">
        <f t="shared" si="60"/>
        <v>0.62988158226253466</v>
      </c>
      <c r="X280" s="904">
        <f t="shared" si="61"/>
        <v>544</v>
      </c>
      <c r="Y280" s="904">
        <f t="shared" si="61"/>
        <v>469</v>
      </c>
      <c r="Z280" s="904">
        <f t="shared" si="61"/>
        <v>495</v>
      </c>
      <c r="AA280" s="904">
        <f t="shared" si="61"/>
        <v>317</v>
      </c>
      <c r="AB280" s="24">
        <v>209</v>
      </c>
    </row>
    <row r="281" spans="1:28" x14ac:dyDescent="0.25">
      <c r="A281" s="903"/>
      <c r="B281" t="s">
        <v>622</v>
      </c>
      <c r="C281" s="906" t="s">
        <v>637</v>
      </c>
      <c r="D281" s="25">
        <v>7.2</v>
      </c>
      <c r="E281" s="903">
        <v>932</v>
      </c>
      <c r="F281" s="903">
        <v>575</v>
      </c>
      <c r="G281" s="903" t="s">
        <v>638</v>
      </c>
      <c r="H281" s="904">
        <f t="shared" si="50"/>
        <v>6</v>
      </c>
      <c r="I281" s="904">
        <f t="shared" si="51"/>
        <v>11</v>
      </c>
      <c r="J281" s="21">
        <f t="shared" si="52"/>
        <v>14500</v>
      </c>
      <c r="K281" s="21">
        <f t="shared" si="53"/>
        <v>14500</v>
      </c>
      <c r="L281" s="21">
        <f t="shared" si="54"/>
        <v>24450</v>
      </c>
      <c r="M281" s="21">
        <f t="shared" si="55"/>
        <v>34400</v>
      </c>
      <c r="N281" s="904">
        <f t="shared" si="56"/>
        <v>668</v>
      </c>
      <c r="O281" s="21"/>
      <c r="P281" s="22" t="s">
        <v>2</v>
      </c>
      <c r="Q281" s="22">
        <v>0.63</v>
      </c>
      <c r="R281" s="904" t="s">
        <v>42</v>
      </c>
      <c r="S281" s="904" t="str">
        <f t="shared" si="57"/>
        <v>Stove</v>
      </c>
      <c r="T281" s="23">
        <f t="shared" si="58"/>
        <v>0.46142488002953119</v>
      </c>
      <c r="U281" s="23">
        <f t="shared" si="59"/>
        <v>1.0946907498631637</v>
      </c>
      <c r="V281" s="23">
        <f t="shared" si="59"/>
        <v>0.6492031031908333</v>
      </c>
      <c r="W281" s="23">
        <f t="shared" si="60"/>
        <v>1.0946907498631637</v>
      </c>
      <c r="X281" s="904">
        <f t="shared" si="61"/>
        <v>875</v>
      </c>
      <c r="Y281" s="904">
        <f t="shared" si="61"/>
        <v>854</v>
      </c>
      <c r="Z281" s="904">
        <f t="shared" si="61"/>
        <v>868</v>
      </c>
      <c r="AA281" s="904">
        <f t="shared" si="61"/>
        <v>779</v>
      </c>
      <c r="AB281" s="24">
        <v>502</v>
      </c>
    </row>
    <row r="282" spans="1:28" x14ac:dyDescent="0.25">
      <c r="A282" s="903"/>
      <c r="B282" t="s">
        <v>622</v>
      </c>
      <c r="C282" s="906" t="s">
        <v>639</v>
      </c>
      <c r="D282" s="25">
        <v>3</v>
      </c>
      <c r="E282" s="903">
        <v>322</v>
      </c>
      <c r="F282" s="903">
        <v>134</v>
      </c>
      <c r="G282" s="903" t="s">
        <v>640</v>
      </c>
      <c r="H282" s="904">
        <f t="shared" si="50"/>
        <v>5</v>
      </c>
      <c r="I282" s="904">
        <f t="shared" si="51"/>
        <v>10</v>
      </c>
      <c r="J282" s="21">
        <f t="shared" si="52"/>
        <v>9900</v>
      </c>
      <c r="K282" s="21">
        <f t="shared" si="53"/>
        <v>12750.000000000002</v>
      </c>
      <c r="L282" s="21">
        <f t="shared" si="54"/>
        <v>23700</v>
      </c>
      <c r="M282" s="21">
        <f t="shared" si="55"/>
        <v>37500</v>
      </c>
      <c r="N282" s="904">
        <f t="shared" si="56"/>
        <v>605</v>
      </c>
      <c r="O282" s="21"/>
      <c r="P282" s="22" t="s">
        <v>2</v>
      </c>
      <c r="Q282" s="22">
        <v>0.72</v>
      </c>
      <c r="R282" s="904" t="s">
        <v>38</v>
      </c>
      <c r="S282" s="904" t="str">
        <f t="shared" si="57"/>
        <v>Stove</v>
      </c>
      <c r="T282" s="23">
        <f t="shared" si="58"/>
        <v>0.17636684303350969</v>
      </c>
      <c r="U282" s="23">
        <f t="shared" si="59"/>
        <v>0.51872600892208731</v>
      </c>
      <c r="V282" s="23">
        <f t="shared" si="59"/>
        <v>0.27906146049605968</v>
      </c>
      <c r="W282" s="23">
        <f t="shared" si="60"/>
        <v>0.66805622361177919</v>
      </c>
      <c r="X282" s="904">
        <f t="shared" si="61"/>
        <v>295</v>
      </c>
      <c r="Y282" s="904">
        <f t="shared" si="61"/>
        <v>316</v>
      </c>
      <c r="Z282" s="904">
        <f t="shared" si="61"/>
        <v>302</v>
      </c>
      <c r="AA282" s="904">
        <f t="shared" si="61"/>
        <v>379</v>
      </c>
      <c r="AB282" s="24">
        <v>131</v>
      </c>
    </row>
    <row r="283" spans="1:28" x14ac:dyDescent="0.25">
      <c r="A283" s="903"/>
      <c r="B283" t="s">
        <v>622</v>
      </c>
      <c r="C283" s="906" t="s">
        <v>641</v>
      </c>
      <c r="D283" s="25">
        <v>4.7</v>
      </c>
      <c r="E283" s="903">
        <v>728</v>
      </c>
      <c r="F283" s="903">
        <v>250</v>
      </c>
      <c r="G283" s="903" t="s">
        <v>642</v>
      </c>
      <c r="H283" s="904">
        <f t="shared" si="50"/>
        <v>6</v>
      </c>
      <c r="I283" s="904">
        <f t="shared" si="51"/>
        <v>11</v>
      </c>
      <c r="J283" s="21">
        <f t="shared" si="52"/>
        <v>11300</v>
      </c>
      <c r="K283" s="21">
        <f t="shared" si="53"/>
        <v>18700</v>
      </c>
      <c r="L283" s="21">
        <f t="shared" si="54"/>
        <v>33150</v>
      </c>
      <c r="M283" s="21">
        <f t="shared" si="55"/>
        <v>55000</v>
      </c>
      <c r="N283" s="904">
        <f t="shared" si="56"/>
        <v>915</v>
      </c>
      <c r="O283" s="21"/>
      <c r="P283" s="22" t="s">
        <v>2</v>
      </c>
      <c r="Q283" s="22">
        <v>0.72</v>
      </c>
      <c r="R283" s="904" t="s">
        <v>38</v>
      </c>
      <c r="S283" s="904" t="str">
        <f t="shared" si="57"/>
        <v>Insert</v>
      </c>
      <c r="T283" s="23">
        <f t="shared" si="58"/>
        <v>0.18839185505852171</v>
      </c>
      <c r="U283" s="23">
        <f t="shared" si="59"/>
        <v>0.55409369134859332</v>
      </c>
      <c r="V283" s="23">
        <f t="shared" si="59"/>
        <v>0.31256567204279623</v>
      </c>
      <c r="W283" s="23">
        <f t="shared" si="60"/>
        <v>0.91695150692200844</v>
      </c>
      <c r="X283" s="904">
        <f t="shared" si="61"/>
        <v>336</v>
      </c>
      <c r="Y283" s="904">
        <f t="shared" si="61"/>
        <v>363</v>
      </c>
      <c r="Z283" s="904">
        <f t="shared" si="61"/>
        <v>397</v>
      </c>
      <c r="AA283" s="904">
        <f t="shared" si="61"/>
        <v>660</v>
      </c>
      <c r="AB283" s="24">
        <v>146</v>
      </c>
    </row>
    <row r="284" spans="1:28" x14ac:dyDescent="0.25">
      <c r="A284" s="903"/>
      <c r="B284" t="s">
        <v>622</v>
      </c>
      <c r="C284" s="906" t="s">
        <v>643</v>
      </c>
      <c r="D284" s="25">
        <v>3.7</v>
      </c>
      <c r="E284" s="903">
        <v>501</v>
      </c>
      <c r="F284" s="903">
        <v>230</v>
      </c>
      <c r="G284" s="903" t="s">
        <v>644</v>
      </c>
      <c r="H284" s="904">
        <f t="shared" si="50"/>
        <v>5</v>
      </c>
      <c r="I284" s="904">
        <f t="shared" si="51"/>
        <v>10</v>
      </c>
      <c r="J284" s="21">
        <f t="shared" si="52"/>
        <v>9900</v>
      </c>
      <c r="K284" s="21">
        <f t="shared" si="53"/>
        <v>10914</v>
      </c>
      <c r="L284" s="21">
        <f t="shared" si="54"/>
        <v>21000</v>
      </c>
      <c r="M284" s="21">
        <f t="shared" si="55"/>
        <v>32100</v>
      </c>
      <c r="N284" s="904">
        <f t="shared" si="56"/>
        <v>404</v>
      </c>
      <c r="O284" s="21"/>
      <c r="P284" s="22" t="s">
        <v>2</v>
      </c>
      <c r="Q284" s="22">
        <v>0.63</v>
      </c>
      <c r="R284" s="904" t="s">
        <v>42</v>
      </c>
      <c r="S284" s="904" t="str">
        <f t="shared" si="57"/>
        <v>Insert</v>
      </c>
      <c r="T284" s="23">
        <f t="shared" si="58"/>
        <v>0.25411110561681693</v>
      </c>
      <c r="U284" s="23">
        <f t="shared" si="59"/>
        <v>0.74738560475534388</v>
      </c>
      <c r="V284" s="23">
        <f t="shared" si="59"/>
        <v>0.38842697572856305</v>
      </c>
      <c r="W284" s="23">
        <f t="shared" si="60"/>
        <v>0.82393600912119436</v>
      </c>
      <c r="X284" s="904">
        <f t="shared" si="61"/>
        <v>573</v>
      </c>
      <c r="Y284" s="904">
        <f t="shared" si="61"/>
        <v>612</v>
      </c>
      <c r="Z284" s="904">
        <f t="shared" si="61"/>
        <v>580</v>
      </c>
      <c r="AA284" s="904">
        <f t="shared" si="61"/>
        <v>568</v>
      </c>
      <c r="AB284" s="24">
        <v>313</v>
      </c>
    </row>
    <row r="285" spans="1:28" x14ac:dyDescent="0.25">
      <c r="A285" s="903"/>
      <c r="B285" t="s">
        <v>622</v>
      </c>
      <c r="C285" s="906" t="s">
        <v>645</v>
      </c>
      <c r="D285" s="25">
        <v>4.24</v>
      </c>
      <c r="E285" s="903">
        <v>634</v>
      </c>
      <c r="F285" s="903">
        <v>317</v>
      </c>
      <c r="G285" s="903" t="s">
        <v>646</v>
      </c>
      <c r="H285" s="904">
        <f t="shared" si="50"/>
        <v>6</v>
      </c>
      <c r="I285" s="904">
        <f t="shared" si="51"/>
        <v>11</v>
      </c>
      <c r="J285" s="21">
        <f t="shared" si="52"/>
        <v>10800</v>
      </c>
      <c r="K285" s="21">
        <f t="shared" si="53"/>
        <v>16150.000000000002</v>
      </c>
      <c r="L285" s="21">
        <f t="shared" si="54"/>
        <v>29150</v>
      </c>
      <c r="M285" s="21">
        <f t="shared" si="55"/>
        <v>47500</v>
      </c>
      <c r="N285" s="904">
        <f t="shared" si="56"/>
        <v>858</v>
      </c>
      <c r="O285" s="21"/>
      <c r="P285" s="22" t="s">
        <v>2</v>
      </c>
      <c r="Q285" s="22">
        <v>0.63</v>
      </c>
      <c r="R285" s="904" t="s">
        <v>42</v>
      </c>
      <c r="S285" s="904" t="str">
        <f t="shared" si="57"/>
        <v>Stove</v>
      </c>
      <c r="T285" s="23">
        <f t="shared" si="58"/>
        <v>0.19678826696370555</v>
      </c>
      <c r="U285" s="23">
        <f t="shared" si="59"/>
        <v>0.57878902048148684</v>
      </c>
      <c r="V285" s="23">
        <f t="shared" si="59"/>
        <v>0.32066698733365401</v>
      </c>
      <c r="W285" s="23">
        <f t="shared" si="60"/>
        <v>0.86550395192370499</v>
      </c>
      <c r="X285" s="904">
        <f t="shared" si="61"/>
        <v>374</v>
      </c>
      <c r="Y285" s="904">
        <f t="shared" si="61"/>
        <v>404</v>
      </c>
      <c r="Z285" s="904">
        <f t="shared" si="61"/>
        <v>414</v>
      </c>
      <c r="AA285" s="904">
        <f t="shared" si="61"/>
        <v>611</v>
      </c>
      <c r="AB285" s="24">
        <v>171</v>
      </c>
    </row>
    <row r="286" spans="1:28" x14ac:dyDescent="0.25">
      <c r="A286" s="903"/>
      <c r="B286" t="s">
        <v>622</v>
      </c>
      <c r="C286" s="906" t="s">
        <v>647</v>
      </c>
      <c r="D286" s="25">
        <v>4.3</v>
      </c>
      <c r="E286" s="903">
        <v>635</v>
      </c>
      <c r="F286" s="903">
        <v>318</v>
      </c>
      <c r="G286" s="903" t="s">
        <v>648</v>
      </c>
      <c r="H286" s="904">
        <f t="shared" si="50"/>
        <v>6</v>
      </c>
      <c r="I286" s="904">
        <f t="shared" si="51"/>
        <v>11</v>
      </c>
      <c r="J286" s="21">
        <f t="shared" si="52"/>
        <v>11800</v>
      </c>
      <c r="K286" s="21">
        <f t="shared" si="53"/>
        <v>11800</v>
      </c>
      <c r="L286" s="21">
        <f t="shared" si="54"/>
        <v>21350</v>
      </c>
      <c r="M286" s="21">
        <f t="shared" si="55"/>
        <v>30900</v>
      </c>
      <c r="N286" s="904">
        <f t="shared" si="56"/>
        <v>433</v>
      </c>
      <c r="O286" s="21"/>
      <c r="P286" s="22" t="s">
        <v>2</v>
      </c>
      <c r="Q286" s="22">
        <v>0.63</v>
      </c>
      <c r="R286" s="904" t="s">
        <v>42</v>
      </c>
      <c r="S286" s="904" t="str">
        <f t="shared" si="57"/>
        <v>Stove</v>
      </c>
      <c r="T286" s="23">
        <f t="shared" si="58"/>
        <v>0.30678698424113743</v>
      </c>
      <c r="U286" s="23">
        <f t="shared" si="59"/>
        <v>0.80336591636026666</v>
      </c>
      <c r="V286" s="23">
        <f t="shared" si="59"/>
        <v>0.44401488585719656</v>
      </c>
      <c r="W286" s="23">
        <f t="shared" si="60"/>
        <v>0.80336591636026666</v>
      </c>
      <c r="X286" s="904">
        <f t="shared" si="61"/>
        <v>688</v>
      </c>
      <c r="Y286" s="904">
        <f t="shared" si="61"/>
        <v>663</v>
      </c>
      <c r="Z286" s="904">
        <f t="shared" si="61"/>
        <v>664</v>
      </c>
      <c r="AA286" s="904">
        <f t="shared" si="61"/>
        <v>537</v>
      </c>
      <c r="AB286" s="24">
        <v>354</v>
      </c>
    </row>
    <row r="287" spans="1:28" x14ac:dyDescent="0.25">
      <c r="A287" s="903"/>
      <c r="B287" t="s">
        <v>622</v>
      </c>
      <c r="C287" s="906" t="s">
        <v>649</v>
      </c>
      <c r="D287" s="25">
        <v>3.3</v>
      </c>
      <c r="E287" s="903">
        <v>393</v>
      </c>
      <c r="F287" s="903">
        <v>152</v>
      </c>
      <c r="G287" s="903" t="s">
        <v>650</v>
      </c>
      <c r="H287" s="904">
        <f t="shared" si="50"/>
        <v>6</v>
      </c>
      <c r="I287" s="904">
        <f t="shared" si="51"/>
        <v>11</v>
      </c>
      <c r="J287" s="21">
        <f t="shared" si="52"/>
        <v>10000</v>
      </c>
      <c r="K287" s="21">
        <f t="shared" si="53"/>
        <v>13940.000000000002</v>
      </c>
      <c r="L287" s="21">
        <f t="shared" si="54"/>
        <v>25500</v>
      </c>
      <c r="M287" s="21">
        <f t="shared" si="55"/>
        <v>41000</v>
      </c>
      <c r="N287" s="904">
        <f t="shared" si="56"/>
        <v>724</v>
      </c>
      <c r="O287" s="21"/>
      <c r="P287" s="22" t="s">
        <v>2</v>
      </c>
      <c r="Q287" s="22">
        <v>0.63</v>
      </c>
      <c r="R287" s="904" t="s">
        <v>42</v>
      </c>
      <c r="S287" s="904" t="str">
        <f t="shared" si="57"/>
        <v>Stove</v>
      </c>
      <c r="T287" s="23">
        <f t="shared" si="58"/>
        <v>0.17744225061298233</v>
      </c>
      <c r="U287" s="23">
        <f t="shared" si="59"/>
        <v>0.52188897239112442</v>
      </c>
      <c r="V287" s="23">
        <f t="shared" si="59"/>
        <v>0.28529930490714805</v>
      </c>
      <c r="W287" s="23">
        <f t="shared" si="60"/>
        <v>0.72751322751322756</v>
      </c>
      <c r="X287" s="904">
        <f t="shared" si="61"/>
        <v>300</v>
      </c>
      <c r="Y287" s="904">
        <f t="shared" si="61"/>
        <v>322</v>
      </c>
      <c r="Z287" s="904">
        <f t="shared" si="61"/>
        <v>318</v>
      </c>
      <c r="AA287" s="904">
        <f t="shared" si="61"/>
        <v>436</v>
      </c>
      <c r="AB287" s="24">
        <v>122</v>
      </c>
    </row>
    <row r="288" spans="1:28" x14ac:dyDescent="0.25">
      <c r="A288" s="903"/>
      <c r="B288" t="s">
        <v>622</v>
      </c>
      <c r="C288" s="906" t="s">
        <v>651</v>
      </c>
      <c r="D288" s="25">
        <v>5.0999999999999996</v>
      </c>
      <c r="E288" s="903">
        <v>766</v>
      </c>
      <c r="F288" s="903">
        <v>425</v>
      </c>
      <c r="G288" s="903" t="s">
        <v>652</v>
      </c>
      <c r="H288" s="904">
        <f t="shared" si="50"/>
        <v>6</v>
      </c>
      <c r="I288" s="904">
        <f t="shared" si="51"/>
        <v>11</v>
      </c>
      <c r="J288" s="21">
        <f t="shared" si="52"/>
        <v>12400</v>
      </c>
      <c r="K288" s="21">
        <f t="shared" si="53"/>
        <v>12400</v>
      </c>
      <c r="L288" s="21">
        <f t="shared" si="54"/>
        <v>24250</v>
      </c>
      <c r="M288" s="21">
        <f t="shared" si="55"/>
        <v>36100</v>
      </c>
      <c r="N288" s="904">
        <f t="shared" si="56"/>
        <v>655</v>
      </c>
      <c r="O288" s="21"/>
      <c r="P288" s="22" t="s">
        <v>2</v>
      </c>
      <c r="Q288" s="22">
        <v>0.63</v>
      </c>
      <c r="R288" s="904" t="s">
        <v>42</v>
      </c>
      <c r="S288" s="904" t="str">
        <f t="shared" si="57"/>
        <v>Stove</v>
      </c>
      <c r="T288" s="23">
        <f t="shared" si="58"/>
        <v>0.31145114247607325</v>
      </c>
      <c r="U288" s="23">
        <f t="shared" si="59"/>
        <v>0.90672469704727765</v>
      </c>
      <c r="V288" s="23">
        <f t="shared" si="59"/>
        <v>0.46364479354170074</v>
      </c>
      <c r="W288" s="23">
        <f t="shared" si="60"/>
        <v>0.90672469704727765</v>
      </c>
      <c r="X288" s="904">
        <f t="shared" si="61"/>
        <v>698</v>
      </c>
      <c r="Y288" s="904">
        <f t="shared" si="61"/>
        <v>750</v>
      </c>
      <c r="Z288" s="904">
        <f t="shared" si="61"/>
        <v>688</v>
      </c>
      <c r="AA288" s="904">
        <f t="shared" si="61"/>
        <v>651</v>
      </c>
      <c r="AB288" s="24">
        <v>422</v>
      </c>
    </row>
    <row r="289" spans="1:28" x14ac:dyDescent="0.25">
      <c r="A289" s="903"/>
      <c r="B289" t="s">
        <v>622</v>
      </c>
      <c r="C289" s="906" t="s">
        <v>653</v>
      </c>
      <c r="D289" s="25">
        <v>6.1</v>
      </c>
      <c r="E289" s="903">
        <v>853</v>
      </c>
      <c r="F289" s="903">
        <v>500</v>
      </c>
      <c r="G289" s="903" t="s">
        <v>654</v>
      </c>
      <c r="H289" s="904">
        <f t="shared" si="50"/>
        <v>6</v>
      </c>
      <c r="I289" s="904">
        <f t="shared" si="51"/>
        <v>11</v>
      </c>
      <c r="J289" s="21">
        <f t="shared" si="52"/>
        <v>10500</v>
      </c>
      <c r="K289" s="21">
        <f t="shared" si="53"/>
        <v>15130.000000000002</v>
      </c>
      <c r="L289" s="21">
        <f t="shared" si="54"/>
        <v>27500</v>
      </c>
      <c r="M289" s="21">
        <f t="shared" si="55"/>
        <v>44500</v>
      </c>
      <c r="N289" s="904">
        <f t="shared" si="56"/>
        <v>811</v>
      </c>
      <c r="O289" s="21"/>
      <c r="P289" s="22" t="s">
        <v>2</v>
      </c>
      <c r="Q289" s="22">
        <v>0.63</v>
      </c>
      <c r="R289" s="904" t="s">
        <v>42</v>
      </c>
      <c r="S289" s="904" t="str">
        <f t="shared" si="57"/>
        <v>Stove</v>
      </c>
      <c r="T289" s="23">
        <f t="shared" si="58"/>
        <v>0.30220161306303628</v>
      </c>
      <c r="U289" s="23">
        <f t="shared" si="59"/>
        <v>0.88882827371481243</v>
      </c>
      <c r="V289" s="23">
        <f t="shared" si="59"/>
        <v>0.48901715568382237</v>
      </c>
      <c r="W289" s="23">
        <f t="shared" si="60"/>
        <v>1.2807592172671538</v>
      </c>
      <c r="X289" s="904">
        <f t="shared" si="61"/>
        <v>675</v>
      </c>
      <c r="Y289" s="904">
        <f t="shared" si="61"/>
        <v>733</v>
      </c>
      <c r="Z289" s="904">
        <f t="shared" si="61"/>
        <v>731</v>
      </c>
      <c r="AA289" s="904">
        <f t="shared" si="61"/>
        <v>847</v>
      </c>
      <c r="AB289" s="24">
        <v>411</v>
      </c>
    </row>
    <row r="290" spans="1:28" x14ac:dyDescent="0.25">
      <c r="A290" s="903"/>
      <c r="B290" t="s">
        <v>622</v>
      </c>
      <c r="C290" s="906" t="s">
        <v>655</v>
      </c>
      <c r="D290" s="25">
        <v>2.6</v>
      </c>
      <c r="E290" s="903">
        <v>235</v>
      </c>
      <c r="F290" s="903">
        <v>66</v>
      </c>
      <c r="G290" s="903" t="s">
        <v>656</v>
      </c>
      <c r="H290" s="904">
        <f t="shared" si="50"/>
        <v>6</v>
      </c>
      <c r="I290" s="904">
        <f t="shared" si="51"/>
        <v>11</v>
      </c>
      <c r="J290" s="21">
        <f t="shared" si="52"/>
        <v>10925</v>
      </c>
      <c r="K290" s="21">
        <f t="shared" si="53"/>
        <v>10925</v>
      </c>
      <c r="L290" s="21">
        <f t="shared" si="54"/>
        <v>16744</v>
      </c>
      <c r="M290" s="21">
        <f t="shared" si="55"/>
        <v>22563</v>
      </c>
      <c r="N290" s="904">
        <f t="shared" si="56"/>
        <v>86</v>
      </c>
      <c r="O290" s="21"/>
      <c r="P290" s="22" t="s">
        <v>2</v>
      </c>
      <c r="Q290" s="22">
        <v>0.63</v>
      </c>
      <c r="R290" s="904" t="s">
        <v>42</v>
      </c>
      <c r="S290" s="904" t="str">
        <f t="shared" si="57"/>
        <v>Stove</v>
      </c>
      <c r="T290" s="23">
        <f t="shared" si="58"/>
        <v>0.25404079238527966</v>
      </c>
      <c r="U290" s="23">
        <f t="shared" si="59"/>
        <v>0.52466108911570386</v>
      </c>
      <c r="V290" s="23">
        <f t="shared" si="59"/>
        <v>0.34232694688181231</v>
      </c>
      <c r="W290" s="23">
        <f t="shared" si="60"/>
        <v>0.52466108911570386</v>
      </c>
      <c r="X290" s="904">
        <f t="shared" si="61"/>
        <v>572</v>
      </c>
      <c r="Y290" s="904">
        <f t="shared" si="61"/>
        <v>325</v>
      </c>
      <c r="Z290" s="904">
        <f t="shared" si="61"/>
        <v>473</v>
      </c>
      <c r="AA290" s="904">
        <f t="shared" si="61"/>
        <v>217</v>
      </c>
      <c r="AB290" s="24">
        <v>125</v>
      </c>
    </row>
    <row r="291" spans="1:28" x14ac:dyDescent="0.25">
      <c r="A291" s="903"/>
      <c r="B291" t="s">
        <v>622</v>
      </c>
      <c r="C291" s="906" t="s">
        <v>6</v>
      </c>
      <c r="D291" s="25">
        <v>2.7</v>
      </c>
      <c r="E291" s="903">
        <v>257</v>
      </c>
      <c r="F291" s="903">
        <v>79</v>
      </c>
      <c r="G291" s="903" t="s">
        <v>657</v>
      </c>
      <c r="H291" s="904">
        <f t="shared" si="50"/>
        <v>6</v>
      </c>
      <c r="I291" s="904">
        <f t="shared" si="51"/>
        <v>11</v>
      </c>
      <c r="J291" s="21">
        <f t="shared" si="52"/>
        <v>11733</v>
      </c>
      <c r="K291" s="21">
        <f t="shared" si="53"/>
        <v>11733</v>
      </c>
      <c r="L291" s="21">
        <f t="shared" si="54"/>
        <v>19345</v>
      </c>
      <c r="M291" s="21">
        <f t="shared" si="55"/>
        <v>26957</v>
      </c>
      <c r="N291" s="904">
        <f t="shared" si="56"/>
        <v>264</v>
      </c>
      <c r="O291" s="21"/>
      <c r="P291" s="22" t="s">
        <v>2</v>
      </c>
      <c r="Q291" s="22">
        <v>0.63</v>
      </c>
      <c r="R291" s="904" t="s">
        <v>42</v>
      </c>
      <c r="S291" s="904" t="str">
        <f t="shared" si="57"/>
        <v>Stove</v>
      </c>
      <c r="T291" s="23">
        <f t="shared" si="58"/>
        <v>0.22081021450387475</v>
      </c>
      <c r="U291" s="23">
        <f t="shared" si="59"/>
        <v>0.50731960729403835</v>
      </c>
      <c r="V291" s="23">
        <f t="shared" si="59"/>
        <v>0.30769609472116582</v>
      </c>
      <c r="W291" s="23">
        <f t="shared" si="60"/>
        <v>0.50731960729403835</v>
      </c>
      <c r="X291" s="904">
        <f t="shared" si="61"/>
        <v>463</v>
      </c>
      <c r="Y291" s="904">
        <f t="shared" si="61"/>
        <v>299</v>
      </c>
      <c r="Z291" s="904">
        <f t="shared" si="61"/>
        <v>380</v>
      </c>
      <c r="AA291" s="904">
        <f t="shared" si="61"/>
        <v>200</v>
      </c>
      <c r="AB291" s="24">
        <v>106</v>
      </c>
    </row>
    <row r="292" spans="1:28" x14ac:dyDescent="0.25">
      <c r="A292" s="903"/>
      <c r="B292" t="s">
        <v>622</v>
      </c>
      <c r="C292" s="906" t="s">
        <v>658</v>
      </c>
      <c r="D292" s="25">
        <v>3.9</v>
      </c>
      <c r="E292" s="903">
        <v>548</v>
      </c>
      <c r="F292" s="903">
        <v>253</v>
      </c>
      <c r="G292" s="903" t="s">
        <v>659</v>
      </c>
      <c r="H292" s="904">
        <f t="shared" si="50"/>
        <v>5</v>
      </c>
      <c r="I292" s="904">
        <f t="shared" si="51"/>
        <v>10</v>
      </c>
      <c r="J292" s="21">
        <f t="shared" si="52"/>
        <v>9800</v>
      </c>
      <c r="K292" s="21">
        <f t="shared" si="53"/>
        <v>12444</v>
      </c>
      <c r="L292" s="21">
        <f t="shared" si="54"/>
        <v>23200</v>
      </c>
      <c r="M292" s="21">
        <f t="shared" si="55"/>
        <v>36600</v>
      </c>
      <c r="N292" s="904">
        <f t="shared" si="56"/>
        <v>564</v>
      </c>
      <c r="O292" s="21"/>
      <c r="P292" s="22" t="s">
        <v>2</v>
      </c>
      <c r="Q292" s="22">
        <v>0.63</v>
      </c>
      <c r="R292" s="904" t="s">
        <v>42</v>
      </c>
      <c r="S292" s="904" t="str">
        <f t="shared" si="57"/>
        <v>Stove</v>
      </c>
      <c r="T292" s="23">
        <f t="shared" si="58"/>
        <v>0.2349148524011912</v>
      </c>
      <c r="U292" s="23">
        <f t="shared" si="59"/>
        <v>0.69092603647409168</v>
      </c>
      <c r="V292" s="23">
        <f t="shared" si="59"/>
        <v>0.37059843094325851</v>
      </c>
      <c r="W292" s="23">
        <f t="shared" si="60"/>
        <v>0.87733506100853043</v>
      </c>
      <c r="X292" s="904">
        <f t="shared" si="61"/>
        <v>515</v>
      </c>
      <c r="Y292" s="904">
        <f t="shared" si="61"/>
        <v>560</v>
      </c>
      <c r="Z292" s="904">
        <f t="shared" si="61"/>
        <v>539</v>
      </c>
      <c r="AA292" s="904">
        <f t="shared" si="61"/>
        <v>617</v>
      </c>
      <c r="AB292" s="24">
        <v>275</v>
      </c>
    </row>
    <row r="293" spans="1:28" x14ac:dyDescent="0.25">
      <c r="A293" s="903"/>
      <c r="B293" t="s">
        <v>622</v>
      </c>
      <c r="C293" s="906" t="s">
        <v>660</v>
      </c>
      <c r="D293" s="25">
        <v>3.8</v>
      </c>
      <c r="E293" s="903">
        <v>518</v>
      </c>
      <c r="F293" s="903">
        <v>205</v>
      </c>
      <c r="G293" s="903" t="s">
        <v>661</v>
      </c>
      <c r="H293" s="904">
        <f t="shared" si="50"/>
        <v>5</v>
      </c>
      <c r="I293" s="904">
        <f t="shared" si="51"/>
        <v>10</v>
      </c>
      <c r="J293" s="21">
        <f t="shared" si="52"/>
        <v>9900</v>
      </c>
      <c r="K293" s="21">
        <f t="shared" si="53"/>
        <v>11662</v>
      </c>
      <c r="L293" s="21">
        <f t="shared" si="54"/>
        <v>22100</v>
      </c>
      <c r="M293" s="21">
        <f t="shared" si="55"/>
        <v>34300</v>
      </c>
      <c r="N293" s="904">
        <f t="shared" si="56"/>
        <v>485</v>
      </c>
      <c r="O293" s="21"/>
      <c r="P293" s="22" t="s">
        <v>2</v>
      </c>
      <c r="Q293" s="22">
        <v>0.72</v>
      </c>
      <c r="R293" s="904" t="s">
        <v>38</v>
      </c>
      <c r="S293" s="904" t="str">
        <f t="shared" si="57"/>
        <v>Stove</v>
      </c>
      <c r="T293" s="23">
        <f t="shared" si="58"/>
        <v>0.24423979720383995</v>
      </c>
      <c r="U293" s="23">
        <f t="shared" si="59"/>
        <v>0.71835234471717635</v>
      </c>
      <c r="V293" s="23">
        <f t="shared" si="59"/>
        <v>0.37906900651998693</v>
      </c>
      <c r="W293" s="23">
        <f t="shared" si="60"/>
        <v>0.84620454990825367</v>
      </c>
      <c r="X293" s="904">
        <f t="shared" si="61"/>
        <v>543</v>
      </c>
      <c r="Y293" s="904">
        <f t="shared" si="61"/>
        <v>586</v>
      </c>
      <c r="Z293" s="904">
        <f t="shared" si="61"/>
        <v>564</v>
      </c>
      <c r="AA293" s="904">
        <f t="shared" si="61"/>
        <v>594</v>
      </c>
      <c r="AB293" s="24">
        <v>217</v>
      </c>
    </row>
    <row r="294" spans="1:28" x14ac:dyDescent="0.25">
      <c r="A294" s="903"/>
      <c r="B294" t="s">
        <v>622</v>
      </c>
      <c r="C294" s="906" t="s">
        <v>662</v>
      </c>
      <c r="D294" s="25">
        <v>4.2</v>
      </c>
      <c r="E294" s="903">
        <v>619</v>
      </c>
      <c r="F294" s="903">
        <v>303</v>
      </c>
      <c r="G294" s="903" t="s">
        <v>663</v>
      </c>
      <c r="H294" s="904">
        <f t="shared" si="50"/>
        <v>6</v>
      </c>
      <c r="I294" s="904">
        <f t="shared" si="51"/>
        <v>11</v>
      </c>
      <c r="J294" s="21">
        <f t="shared" si="52"/>
        <v>11200</v>
      </c>
      <c r="K294" s="21">
        <f t="shared" si="53"/>
        <v>12206</v>
      </c>
      <c r="L294" s="21">
        <f t="shared" si="54"/>
        <v>23550</v>
      </c>
      <c r="M294" s="21">
        <f t="shared" si="55"/>
        <v>35900</v>
      </c>
      <c r="N294" s="904">
        <f t="shared" si="56"/>
        <v>594</v>
      </c>
      <c r="O294" s="21"/>
      <c r="P294" s="22" t="s">
        <v>2</v>
      </c>
      <c r="Q294" s="22">
        <v>0.63</v>
      </c>
      <c r="R294" s="904" t="s">
        <v>42</v>
      </c>
      <c r="S294" s="904" t="str">
        <f t="shared" si="57"/>
        <v>Stove</v>
      </c>
      <c r="T294" s="23">
        <f t="shared" si="58"/>
        <v>0.25791808521613535</v>
      </c>
      <c r="U294" s="23">
        <f t="shared" si="59"/>
        <v>0.75858260357686857</v>
      </c>
      <c r="V294" s="23">
        <f t="shared" si="59"/>
        <v>0.39317449083903439</v>
      </c>
      <c r="W294" s="23">
        <f t="shared" si="60"/>
        <v>0.82671957671957674</v>
      </c>
      <c r="X294" s="904">
        <f t="shared" si="61"/>
        <v>586</v>
      </c>
      <c r="Y294" s="904">
        <f t="shared" si="61"/>
        <v>628</v>
      </c>
      <c r="Z294" s="904">
        <f t="shared" si="61"/>
        <v>585</v>
      </c>
      <c r="AA294" s="904">
        <f t="shared" si="61"/>
        <v>570</v>
      </c>
      <c r="AB294" s="24">
        <v>324</v>
      </c>
    </row>
    <row r="295" spans="1:28" x14ac:dyDescent="0.25">
      <c r="A295" s="903"/>
      <c r="B295" t="s">
        <v>622</v>
      </c>
      <c r="C295" s="906" t="s">
        <v>664</v>
      </c>
      <c r="D295" s="25">
        <v>2.9</v>
      </c>
      <c r="E295" s="903">
        <v>295</v>
      </c>
      <c r="F295" s="903">
        <v>96</v>
      </c>
      <c r="G295" s="903" t="s">
        <v>665</v>
      </c>
      <c r="H295" s="904">
        <f t="shared" si="50"/>
        <v>5</v>
      </c>
      <c r="I295" s="904">
        <f t="shared" si="51"/>
        <v>10</v>
      </c>
      <c r="J295" s="21">
        <f t="shared" si="52"/>
        <v>8700</v>
      </c>
      <c r="K295" s="21">
        <f t="shared" si="53"/>
        <v>8700</v>
      </c>
      <c r="L295" s="21">
        <f t="shared" si="54"/>
        <v>15350</v>
      </c>
      <c r="M295" s="21">
        <f t="shared" si="55"/>
        <v>22000</v>
      </c>
      <c r="N295" s="904">
        <f t="shared" si="56"/>
        <v>47</v>
      </c>
      <c r="O295" s="21"/>
      <c r="P295" s="22" t="s">
        <v>2</v>
      </c>
      <c r="Q295" s="22">
        <v>0.63</v>
      </c>
      <c r="R295" s="904" t="s">
        <v>42</v>
      </c>
      <c r="S295" s="904" t="str">
        <f t="shared" si="57"/>
        <v>Stove</v>
      </c>
      <c r="T295" s="23">
        <f t="shared" si="58"/>
        <v>0.29060445727112394</v>
      </c>
      <c r="U295" s="23">
        <f t="shared" si="59"/>
        <v>0.73486184597295712</v>
      </c>
      <c r="V295" s="23">
        <f t="shared" si="59"/>
        <v>0.41650150227783234</v>
      </c>
      <c r="W295" s="23">
        <f t="shared" si="60"/>
        <v>0.73486184597295712</v>
      </c>
      <c r="X295" s="904">
        <f t="shared" si="61"/>
        <v>651</v>
      </c>
      <c r="Y295" s="904">
        <f t="shared" si="61"/>
        <v>596</v>
      </c>
      <c r="Z295" s="904">
        <f t="shared" si="61"/>
        <v>624</v>
      </c>
      <c r="AA295" s="904">
        <f t="shared" si="61"/>
        <v>441</v>
      </c>
      <c r="AB295" s="24">
        <v>301</v>
      </c>
    </row>
    <row r="296" spans="1:28" x14ac:dyDescent="0.25">
      <c r="A296" s="903"/>
      <c r="B296" t="s">
        <v>622</v>
      </c>
      <c r="C296" s="906" t="s">
        <v>666</v>
      </c>
      <c r="D296" s="25">
        <v>3.3</v>
      </c>
      <c r="E296" s="903">
        <v>393</v>
      </c>
      <c r="F296" s="903">
        <v>152</v>
      </c>
      <c r="G296" s="903" t="s">
        <v>667</v>
      </c>
      <c r="H296" s="904">
        <f t="shared" si="50"/>
        <v>6</v>
      </c>
      <c r="I296" s="904">
        <f t="shared" si="51"/>
        <v>11</v>
      </c>
      <c r="J296" s="21">
        <f t="shared" si="52"/>
        <v>11300</v>
      </c>
      <c r="K296" s="21">
        <f t="shared" si="53"/>
        <v>17408</v>
      </c>
      <c r="L296" s="21">
        <f t="shared" si="54"/>
        <v>31250</v>
      </c>
      <c r="M296" s="21">
        <f t="shared" si="55"/>
        <v>51200</v>
      </c>
      <c r="N296" s="904">
        <f t="shared" si="56"/>
        <v>896</v>
      </c>
      <c r="O296" s="21"/>
      <c r="P296" s="22" t="s">
        <v>2</v>
      </c>
      <c r="Q296" s="22">
        <v>0.63</v>
      </c>
      <c r="R296" s="904" t="s">
        <v>42</v>
      </c>
      <c r="S296" s="904" t="str">
        <f t="shared" si="57"/>
        <v>Stove</v>
      </c>
      <c r="T296" s="23">
        <f t="shared" si="58"/>
        <v>0.14209242724867724</v>
      </c>
      <c r="U296" s="23">
        <f t="shared" si="59"/>
        <v>0.41791890367258011</v>
      </c>
      <c r="V296" s="23">
        <f t="shared" si="59"/>
        <v>0.23280423280423279</v>
      </c>
      <c r="W296" s="23">
        <f t="shared" si="60"/>
        <v>0.6438170154984314</v>
      </c>
      <c r="X296" s="904">
        <f t="shared" si="61"/>
        <v>190</v>
      </c>
      <c r="Y296" s="904">
        <f t="shared" si="61"/>
        <v>200</v>
      </c>
      <c r="Z296" s="904">
        <f t="shared" si="61"/>
        <v>208</v>
      </c>
      <c r="AA296" s="904">
        <f t="shared" si="61"/>
        <v>342</v>
      </c>
      <c r="AB296" s="24">
        <v>61</v>
      </c>
    </row>
    <row r="297" spans="1:28" x14ac:dyDescent="0.25">
      <c r="A297" s="903"/>
      <c r="B297" t="s">
        <v>622</v>
      </c>
      <c r="C297" s="906" t="s">
        <v>668</v>
      </c>
      <c r="D297" s="25">
        <v>0.28000000000000003</v>
      </c>
      <c r="E297" s="903">
        <v>1</v>
      </c>
      <c r="F297" s="903">
        <v>1</v>
      </c>
      <c r="G297" s="903" t="s">
        <v>669</v>
      </c>
      <c r="H297" s="904">
        <f t="shared" si="50"/>
        <v>5</v>
      </c>
      <c r="I297" s="904">
        <f t="shared" si="51"/>
        <v>10</v>
      </c>
      <c r="J297" s="21">
        <f t="shared" si="52"/>
        <v>9555</v>
      </c>
      <c r="K297" s="21">
        <f t="shared" si="53"/>
        <v>9555</v>
      </c>
      <c r="L297" s="21">
        <f t="shared" si="54"/>
        <v>17318</v>
      </c>
      <c r="M297" s="21">
        <f t="shared" si="55"/>
        <v>25081</v>
      </c>
      <c r="N297" s="904">
        <f t="shared" si="56"/>
        <v>116</v>
      </c>
      <c r="O297" s="21"/>
      <c r="P297" s="22" t="s">
        <v>2</v>
      </c>
      <c r="Q297" s="22">
        <v>0.78</v>
      </c>
      <c r="R297" s="904" t="s">
        <v>15</v>
      </c>
      <c r="S297" s="904" t="str">
        <f t="shared" si="57"/>
        <v>Stove</v>
      </c>
      <c r="T297" s="23">
        <f t="shared" si="58"/>
        <v>2.4611616387595545E-2</v>
      </c>
      <c r="U297" s="23">
        <f t="shared" si="59"/>
        <v>6.4603239206413809E-2</v>
      </c>
      <c r="V297" s="23">
        <f t="shared" si="59"/>
        <v>3.5644066902487809E-2</v>
      </c>
      <c r="W297" s="23">
        <f t="shared" si="60"/>
        <v>6.4603239206413809E-2</v>
      </c>
      <c r="X297" s="904">
        <f t="shared" si="61"/>
        <v>1</v>
      </c>
      <c r="Y297" s="904">
        <f t="shared" si="61"/>
        <v>1</v>
      </c>
      <c r="Z297" s="904">
        <f t="shared" si="61"/>
        <v>1</v>
      </c>
      <c r="AA297" s="904">
        <f t="shared" si="61"/>
        <v>1</v>
      </c>
      <c r="AB297" s="24">
        <v>1</v>
      </c>
    </row>
    <row r="298" spans="1:28" x14ac:dyDescent="0.25">
      <c r="A298" s="903"/>
      <c r="B298" t="s">
        <v>622</v>
      </c>
      <c r="C298" s="906" t="s">
        <v>670</v>
      </c>
      <c r="D298" s="25">
        <v>0.74</v>
      </c>
      <c r="E298" s="903">
        <v>14</v>
      </c>
      <c r="F298" s="903">
        <v>7</v>
      </c>
      <c r="G298" s="903" t="s">
        <v>671</v>
      </c>
      <c r="H298" s="904">
        <f t="shared" si="50"/>
        <v>5</v>
      </c>
      <c r="I298" s="904">
        <f t="shared" si="51"/>
        <v>10</v>
      </c>
      <c r="J298" s="21">
        <f t="shared" si="52"/>
        <v>9256</v>
      </c>
      <c r="K298" s="21">
        <f t="shared" si="53"/>
        <v>11014.640000000001</v>
      </c>
      <c r="L298" s="21">
        <f t="shared" si="54"/>
        <v>20826</v>
      </c>
      <c r="M298" s="21">
        <f t="shared" si="55"/>
        <v>32396</v>
      </c>
      <c r="N298" s="904">
        <f t="shared" si="56"/>
        <v>391</v>
      </c>
      <c r="O298" s="21"/>
      <c r="P298" s="22" t="s">
        <v>2</v>
      </c>
      <c r="Q298" s="22">
        <v>0.78</v>
      </c>
      <c r="R298" s="904" t="s">
        <v>15</v>
      </c>
      <c r="S298" s="904" t="str">
        <f t="shared" si="57"/>
        <v>Stove</v>
      </c>
      <c r="T298" s="23">
        <f t="shared" si="58"/>
        <v>5.0357862021853453E-2</v>
      </c>
      <c r="U298" s="23">
        <f t="shared" si="59"/>
        <v>0.14811135888780427</v>
      </c>
      <c r="V298" s="23">
        <f t="shared" si="59"/>
        <v>7.8334452033994278E-2</v>
      </c>
      <c r="W298" s="23">
        <f t="shared" si="60"/>
        <v>0.17625251707648709</v>
      </c>
      <c r="X298" s="904">
        <f t="shared" si="61"/>
        <v>13</v>
      </c>
      <c r="Y298" s="904">
        <f t="shared" si="61"/>
        <v>19</v>
      </c>
      <c r="Z298" s="904">
        <f t="shared" si="61"/>
        <v>14</v>
      </c>
      <c r="AA298" s="904">
        <f t="shared" si="61"/>
        <v>19</v>
      </c>
      <c r="AB298" s="24">
        <v>8</v>
      </c>
    </row>
    <row r="299" spans="1:28" x14ac:dyDescent="0.25">
      <c r="A299" s="903"/>
      <c r="B299" t="s">
        <v>622</v>
      </c>
      <c r="C299" s="906" t="s">
        <v>672</v>
      </c>
      <c r="D299" s="25">
        <v>2</v>
      </c>
      <c r="E299" s="903">
        <v>131</v>
      </c>
      <c r="F299" s="903">
        <v>33</v>
      </c>
      <c r="G299" s="903" t="s">
        <v>673</v>
      </c>
      <c r="H299" s="904">
        <f t="shared" si="50"/>
        <v>6</v>
      </c>
      <c r="I299" s="904">
        <f t="shared" si="51"/>
        <v>11</v>
      </c>
      <c r="J299" s="21">
        <f t="shared" si="52"/>
        <v>10900</v>
      </c>
      <c r="K299" s="21">
        <f t="shared" si="53"/>
        <v>12648</v>
      </c>
      <c r="L299" s="21">
        <f t="shared" si="54"/>
        <v>24050</v>
      </c>
      <c r="M299" s="21">
        <f t="shared" si="55"/>
        <v>37200</v>
      </c>
      <c r="N299" s="904">
        <f t="shared" si="56"/>
        <v>637</v>
      </c>
      <c r="O299" s="21"/>
      <c r="P299" s="22" t="s">
        <v>2</v>
      </c>
      <c r="Q299" s="22">
        <v>0.63</v>
      </c>
      <c r="R299" s="904" t="s">
        <v>42</v>
      </c>
      <c r="S299" s="904" t="str">
        <f t="shared" si="57"/>
        <v>Stove</v>
      </c>
      <c r="T299" s="23">
        <f t="shared" si="58"/>
        <v>0.11852610418918663</v>
      </c>
      <c r="U299" s="23">
        <f t="shared" si="59"/>
        <v>0.34860618879172534</v>
      </c>
      <c r="V299" s="23">
        <f t="shared" si="59"/>
        <v>0.18333351666684999</v>
      </c>
      <c r="W299" s="23">
        <f t="shared" si="60"/>
        <v>0.40451110787502226</v>
      </c>
      <c r="X299" s="904">
        <f t="shared" si="61"/>
        <v>134</v>
      </c>
      <c r="Y299" s="904">
        <f t="shared" si="61"/>
        <v>145</v>
      </c>
      <c r="Z299" s="904">
        <f t="shared" si="61"/>
        <v>135</v>
      </c>
      <c r="AA299" s="904">
        <f t="shared" si="61"/>
        <v>116</v>
      </c>
      <c r="AB299" s="24">
        <v>40</v>
      </c>
    </row>
    <row r="300" spans="1:28" x14ac:dyDescent="0.25">
      <c r="A300" s="903"/>
      <c r="B300" t="s">
        <v>622</v>
      </c>
      <c r="C300" s="906" t="s">
        <v>674</v>
      </c>
      <c r="D300" s="25">
        <v>1.2</v>
      </c>
      <c r="E300" s="903">
        <v>45</v>
      </c>
      <c r="F300" s="903">
        <v>14</v>
      </c>
      <c r="G300" s="903" t="s">
        <v>675</v>
      </c>
      <c r="H300" s="904">
        <f t="shared" si="50"/>
        <v>6</v>
      </c>
      <c r="I300" s="904">
        <f t="shared" si="51"/>
        <v>11</v>
      </c>
      <c r="J300" s="21">
        <f t="shared" si="52"/>
        <v>11900</v>
      </c>
      <c r="K300" s="21">
        <f t="shared" si="53"/>
        <v>19890</v>
      </c>
      <c r="L300" s="21">
        <f t="shared" si="54"/>
        <v>35200</v>
      </c>
      <c r="M300" s="21">
        <f t="shared" si="55"/>
        <v>58500</v>
      </c>
      <c r="N300" s="904">
        <f t="shared" si="56"/>
        <v>940</v>
      </c>
      <c r="O300" s="21"/>
      <c r="P300" s="22" t="s">
        <v>2</v>
      </c>
      <c r="Q300" s="22">
        <v>0.63</v>
      </c>
      <c r="R300" s="904" t="s">
        <v>42</v>
      </c>
      <c r="S300" s="904" t="str">
        <f t="shared" si="57"/>
        <v>Stove</v>
      </c>
      <c r="T300" s="23">
        <f t="shared" si="58"/>
        <v>4.5222267444489664E-2</v>
      </c>
      <c r="U300" s="23">
        <f t="shared" si="59"/>
        <v>0.13300666895438137</v>
      </c>
      <c r="V300" s="23">
        <f t="shared" si="59"/>
        <v>7.5156325156325157E-2</v>
      </c>
      <c r="W300" s="23">
        <f t="shared" si="60"/>
        <v>0.22231114668089458</v>
      </c>
      <c r="X300" s="904">
        <f t="shared" si="61"/>
        <v>12</v>
      </c>
      <c r="Y300" s="904">
        <f t="shared" si="61"/>
        <v>14</v>
      </c>
      <c r="Z300" s="904">
        <f t="shared" si="61"/>
        <v>12</v>
      </c>
      <c r="AA300" s="904">
        <f t="shared" si="61"/>
        <v>38</v>
      </c>
      <c r="AB300" s="24">
        <v>1</v>
      </c>
    </row>
    <row r="301" spans="1:28" x14ac:dyDescent="0.25">
      <c r="A301" s="903"/>
      <c r="B301" t="s">
        <v>622</v>
      </c>
      <c r="C301" s="906" t="s">
        <v>676</v>
      </c>
      <c r="D301" s="25">
        <v>2.2999999999999998</v>
      </c>
      <c r="E301" s="903">
        <v>182</v>
      </c>
      <c r="F301" s="903">
        <v>48</v>
      </c>
      <c r="G301" s="903" t="s">
        <v>677</v>
      </c>
      <c r="H301" s="904">
        <f t="shared" si="50"/>
        <v>6</v>
      </c>
      <c r="I301" s="904">
        <f t="shared" si="51"/>
        <v>11</v>
      </c>
      <c r="J301" s="21">
        <f t="shared" si="52"/>
        <v>11170</v>
      </c>
      <c r="K301" s="21">
        <f t="shared" si="53"/>
        <v>13722.060000000001</v>
      </c>
      <c r="L301" s="21">
        <f t="shared" si="54"/>
        <v>25764.5</v>
      </c>
      <c r="M301" s="21">
        <f t="shared" si="55"/>
        <v>40359</v>
      </c>
      <c r="N301" s="904">
        <f t="shared" si="56"/>
        <v>741</v>
      </c>
      <c r="O301" s="21"/>
      <c r="P301" s="22" t="s">
        <v>2</v>
      </c>
      <c r="Q301" s="22">
        <v>0.63</v>
      </c>
      <c r="R301" s="904" t="s">
        <v>42</v>
      </c>
      <c r="S301" s="904" t="str">
        <f t="shared" si="57"/>
        <v>Stove</v>
      </c>
      <c r="T301" s="23">
        <f t="shared" si="58"/>
        <v>0.12563608457130759</v>
      </c>
      <c r="U301" s="23">
        <f t="shared" si="59"/>
        <v>0.36951789579796351</v>
      </c>
      <c r="V301" s="23">
        <f t="shared" si="59"/>
        <v>0.19680361494356202</v>
      </c>
      <c r="W301" s="23">
        <f t="shared" si="60"/>
        <v>0.45394330682304423</v>
      </c>
      <c r="X301" s="904">
        <f t="shared" si="61"/>
        <v>156</v>
      </c>
      <c r="Y301" s="904">
        <f t="shared" si="61"/>
        <v>165</v>
      </c>
      <c r="Z301" s="904">
        <f t="shared" si="61"/>
        <v>162</v>
      </c>
      <c r="AA301" s="904">
        <f t="shared" si="61"/>
        <v>151</v>
      </c>
      <c r="AB301" s="24">
        <v>46</v>
      </c>
    </row>
    <row r="302" spans="1:28" x14ac:dyDescent="0.25">
      <c r="A302" s="903"/>
      <c r="B302" t="s">
        <v>622</v>
      </c>
      <c r="C302" s="906" t="s">
        <v>678</v>
      </c>
      <c r="D302" s="25">
        <v>5.0999999999999996</v>
      </c>
      <c r="E302" s="903">
        <v>766</v>
      </c>
      <c r="F302" s="903">
        <v>425</v>
      </c>
      <c r="G302" s="903" t="s">
        <v>679</v>
      </c>
      <c r="H302" s="904">
        <f t="shared" si="50"/>
        <v>6</v>
      </c>
      <c r="I302" s="904">
        <f t="shared" si="51"/>
        <v>11</v>
      </c>
      <c r="J302" s="21">
        <f t="shared" si="52"/>
        <v>10600</v>
      </c>
      <c r="K302" s="21">
        <f t="shared" si="53"/>
        <v>10642</v>
      </c>
      <c r="L302" s="21">
        <f t="shared" si="54"/>
        <v>20950</v>
      </c>
      <c r="M302" s="21">
        <f t="shared" si="55"/>
        <v>31300</v>
      </c>
      <c r="N302" s="904">
        <f t="shared" si="56"/>
        <v>398</v>
      </c>
      <c r="O302" s="21"/>
      <c r="P302" s="22" t="s">
        <v>2</v>
      </c>
      <c r="Q302" s="22">
        <v>0.63</v>
      </c>
      <c r="R302" s="904" t="s">
        <v>42</v>
      </c>
      <c r="S302" s="904" t="str">
        <f t="shared" si="57"/>
        <v>Stove</v>
      </c>
      <c r="T302" s="23">
        <f t="shared" si="58"/>
        <v>0.35921361799956048</v>
      </c>
      <c r="U302" s="23">
        <f t="shared" si="59"/>
        <v>1.0565106411751779</v>
      </c>
      <c r="V302" s="23">
        <f t="shared" si="59"/>
        <v>0.53667714765566799</v>
      </c>
      <c r="W302" s="23">
        <f t="shared" si="60"/>
        <v>1.0606968154137966</v>
      </c>
      <c r="X302" s="904">
        <f t="shared" si="61"/>
        <v>779</v>
      </c>
      <c r="Y302" s="904">
        <f t="shared" si="61"/>
        <v>839</v>
      </c>
      <c r="Z302" s="904">
        <f t="shared" si="61"/>
        <v>784</v>
      </c>
      <c r="AA302" s="904">
        <f t="shared" si="61"/>
        <v>752</v>
      </c>
      <c r="AB302" s="24">
        <v>492</v>
      </c>
    </row>
    <row r="303" spans="1:28" x14ac:dyDescent="0.25">
      <c r="A303" s="903"/>
      <c r="B303" t="s">
        <v>622</v>
      </c>
      <c r="C303" s="906" t="s">
        <v>680</v>
      </c>
      <c r="D303" s="25">
        <v>4.9000000000000004</v>
      </c>
      <c r="E303" s="903">
        <v>746</v>
      </c>
      <c r="F303" s="903">
        <v>407</v>
      </c>
      <c r="G303" s="903" t="s">
        <v>681</v>
      </c>
      <c r="H303" s="904">
        <f t="shared" si="50"/>
        <v>6</v>
      </c>
      <c r="I303" s="904">
        <f t="shared" si="51"/>
        <v>11</v>
      </c>
      <c r="J303" s="21">
        <f t="shared" si="52"/>
        <v>10000</v>
      </c>
      <c r="K303" s="21">
        <f t="shared" si="53"/>
        <v>11288</v>
      </c>
      <c r="L303" s="21">
        <f t="shared" si="54"/>
        <v>21600</v>
      </c>
      <c r="M303" s="21">
        <f t="shared" si="55"/>
        <v>33200</v>
      </c>
      <c r="N303" s="904">
        <f t="shared" si="56"/>
        <v>441</v>
      </c>
      <c r="O303" s="21"/>
      <c r="P303" s="22" t="s">
        <v>2</v>
      </c>
      <c r="Q303" s="22">
        <v>0.63</v>
      </c>
      <c r="R303" s="904" t="s">
        <v>42</v>
      </c>
      <c r="S303" s="904" t="str">
        <f t="shared" si="57"/>
        <v>Stove</v>
      </c>
      <c r="T303" s="23">
        <f t="shared" si="58"/>
        <v>0.32537557637959247</v>
      </c>
      <c r="U303" s="23">
        <f t="shared" si="59"/>
        <v>0.95698698935174253</v>
      </c>
      <c r="V303" s="23">
        <f t="shared" si="59"/>
        <v>0.50011431184270694</v>
      </c>
      <c r="W303" s="23">
        <f t="shared" si="60"/>
        <v>1.0802469135802468</v>
      </c>
      <c r="X303" s="904">
        <f t="shared" si="61"/>
        <v>724</v>
      </c>
      <c r="Y303" s="904">
        <f t="shared" si="61"/>
        <v>788</v>
      </c>
      <c r="Z303" s="904">
        <f t="shared" si="61"/>
        <v>747</v>
      </c>
      <c r="AA303" s="904">
        <f t="shared" si="61"/>
        <v>767</v>
      </c>
      <c r="AB303" s="24">
        <v>455</v>
      </c>
    </row>
    <row r="304" spans="1:28" x14ac:dyDescent="0.25">
      <c r="A304" s="903"/>
      <c r="B304" t="s">
        <v>622</v>
      </c>
      <c r="C304" s="906" t="s">
        <v>682</v>
      </c>
      <c r="D304" s="25">
        <v>2.2000000000000002</v>
      </c>
      <c r="E304" s="903">
        <v>169</v>
      </c>
      <c r="F304" s="903">
        <v>45</v>
      </c>
      <c r="G304" s="903" t="s">
        <v>683</v>
      </c>
      <c r="H304" s="904">
        <f t="shared" si="50"/>
        <v>6</v>
      </c>
      <c r="I304" s="904">
        <f t="shared" si="51"/>
        <v>11</v>
      </c>
      <c r="J304" s="21">
        <f t="shared" si="52"/>
        <v>11500</v>
      </c>
      <c r="K304" s="21">
        <f t="shared" si="53"/>
        <v>11500</v>
      </c>
      <c r="L304" s="21">
        <f t="shared" si="54"/>
        <v>21850</v>
      </c>
      <c r="M304" s="21">
        <f t="shared" si="55"/>
        <v>32200</v>
      </c>
      <c r="N304" s="904">
        <f t="shared" si="56"/>
        <v>458</v>
      </c>
      <c r="O304" s="21"/>
      <c r="P304" s="22" t="s">
        <v>2</v>
      </c>
      <c r="Q304" s="22">
        <v>0.63</v>
      </c>
      <c r="R304" s="904" t="s">
        <v>42</v>
      </c>
      <c r="S304" s="904" t="str">
        <f t="shared" si="57"/>
        <v>Stove</v>
      </c>
      <c r="T304" s="23">
        <f t="shared" si="58"/>
        <v>0.1506238566279974</v>
      </c>
      <c r="U304" s="23">
        <f t="shared" si="59"/>
        <v>0.42174679855839275</v>
      </c>
      <c r="V304" s="23">
        <f t="shared" si="59"/>
        <v>0.22197199924125935</v>
      </c>
      <c r="W304" s="23">
        <f t="shared" si="60"/>
        <v>0.42174679855839275</v>
      </c>
      <c r="X304" s="904">
        <f t="shared" si="61"/>
        <v>218</v>
      </c>
      <c r="Y304" s="904">
        <f t="shared" si="61"/>
        <v>204</v>
      </c>
      <c r="Z304" s="904">
        <f t="shared" si="61"/>
        <v>186</v>
      </c>
      <c r="AA304" s="904">
        <f t="shared" si="61"/>
        <v>128</v>
      </c>
      <c r="AB304" s="24">
        <v>64</v>
      </c>
    </row>
    <row r="305" spans="1:28" x14ac:dyDescent="0.25">
      <c r="A305" s="903"/>
      <c r="B305" t="s">
        <v>622</v>
      </c>
      <c r="C305" s="906" t="s">
        <v>684</v>
      </c>
      <c r="D305" s="25">
        <v>6.1</v>
      </c>
      <c r="E305" s="903">
        <v>853</v>
      </c>
      <c r="F305" s="903">
        <v>500</v>
      </c>
      <c r="G305" s="903" t="s">
        <v>685</v>
      </c>
      <c r="H305" s="904">
        <f t="shared" si="50"/>
        <v>5</v>
      </c>
      <c r="I305" s="904">
        <f t="shared" si="51"/>
        <v>10</v>
      </c>
      <c r="J305" s="21">
        <f t="shared" si="52"/>
        <v>7400</v>
      </c>
      <c r="K305" s="21">
        <f t="shared" si="53"/>
        <v>14858.000000000002</v>
      </c>
      <c r="L305" s="21">
        <f t="shared" si="54"/>
        <v>25550</v>
      </c>
      <c r="M305" s="21">
        <f t="shared" si="55"/>
        <v>43700</v>
      </c>
      <c r="N305" s="904">
        <f t="shared" si="56"/>
        <v>727</v>
      </c>
      <c r="O305" s="21"/>
      <c r="P305" s="22" t="s">
        <v>2</v>
      </c>
      <c r="Q305" s="22">
        <v>0.63</v>
      </c>
      <c r="R305" s="904" t="s">
        <v>42</v>
      </c>
      <c r="S305" s="904" t="str">
        <f t="shared" si="57"/>
        <v>Stove</v>
      </c>
      <c r="T305" s="23">
        <f t="shared" si="58"/>
        <v>0.30773390803901862</v>
      </c>
      <c r="U305" s="23">
        <f t="shared" si="59"/>
        <v>0.90509972952652529</v>
      </c>
      <c r="V305" s="23">
        <f t="shared" si="59"/>
        <v>0.52633940435636462</v>
      </c>
      <c r="W305" s="23">
        <f t="shared" si="60"/>
        <v>1.8172934839601507</v>
      </c>
      <c r="X305" s="904">
        <f t="shared" si="61"/>
        <v>692</v>
      </c>
      <c r="Y305" s="904">
        <f t="shared" si="61"/>
        <v>749</v>
      </c>
      <c r="Z305" s="904">
        <f t="shared" si="61"/>
        <v>773</v>
      </c>
      <c r="AA305" s="904">
        <f t="shared" si="61"/>
        <v>947</v>
      </c>
      <c r="AB305" s="24">
        <v>421</v>
      </c>
    </row>
    <row r="306" spans="1:28" x14ac:dyDescent="0.25">
      <c r="A306" s="903"/>
      <c r="B306" t="s">
        <v>622</v>
      </c>
      <c r="C306" s="906" t="s">
        <v>686</v>
      </c>
      <c r="D306" s="25">
        <v>3.6</v>
      </c>
      <c r="E306" s="903">
        <v>467</v>
      </c>
      <c r="F306" s="903">
        <v>207</v>
      </c>
      <c r="G306" s="903" t="s">
        <v>687</v>
      </c>
      <c r="H306" s="904">
        <f t="shared" si="50"/>
        <v>5</v>
      </c>
      <c r="I306" s="904">
        <f t="shared" si="51"/>
        <v>10</v>
      </c>
      <c r="J306" s="21">
        <f t="shared" si="52"/>
        <v>9300</v>
      </c>
      <c r="K306" s="21">
        <f t="shared" si="53"/>
        <v>13362.000000000002</v>
      </c>
      <c r="L306" s="21">
        <f t="shared" si="54"/>
        <v>24300</v>
      </c>
      <c r="M306" s="21">
        <f t="shared" si="55"/>
        <v>39300</v>
      </c>
      <c r="N306" s="904">
        <f t="shared" si="56"/>
        <v>659</v>
      </c>
      <c r="O306" s="21"/>
      <c r="P306" s="22" t="s">
        <v>2</v>
      </c>
      <c r="Q306" s="22">
        <v>0.63</v>
      </c>
      <c r="R306" s="904" t="s">
        <v>42</v>
      </c>
      <c r="S306" s="904" t="str">
        <f t="shared" si="57"/>
        <v>Stove</v>
      </c>
      <c r="T306" s="23">
        <f t="shared" si="58"/>
        <v>0.20194676683226301</v>
      </c>
      <c r="U306" s="23">
        <f t="shared" si="59"/>
        <v>0.59396107891842054</v>
      </c>
      <c r="V306" s="23">
        <f t="shared" si="59"/>
        <v>0.32660526487686981</v>
      </c>
      <c r="W306" s="23">
        <f t="shared" si="60"/>
        <v>0.85338795016214375</v>
      </c>
      <c r="X306" s="904">
        <f t="shared" si="61"/>
        <v>393</v>
      </c>
      <c r="Y306" s="904">
        <f t="shared" si="61"/>
        <v>429</v>
      </c>
      <c r="Z306" s="904">
        <f t="shared" si="61"/>
        <v>425</v>
      </c>
      <c r="AA306" s="904">
        <f t="shared" si="61"/>
        <v>600</v>
      </c>
      <c r="AB306" s="24">
        <v>185</v>
      </c>
    </row>
    <row r="307" spans="1:28" x14ac:dyDescent="0.25">
      <c r="A307" s="903"/>
      <c r="B307" t="s">
        <v>622</v>
      </c>
      <c r="C307" s="906" t="s">
        <v>688</v>
      </c>
      <c r="D307" s="25">
        <v>6.5</v>
      </c>
      <c r="E307" s="903">
        <v>875</v>
      </c>
      <c r="F307" s="903">
        <v>521</v>
      </c>
      <c r="G307" s="903" t="s">
        <v>689</v>
      </c>
      <c r="H307" s="904">
        <f t="shared" si="50"/>
        <v>5</v>
      </c>
      <c r="I307" s="904">
        <f t="shared" si="51"/>
        <v>10</v>
      </c>
      <c r="J307" s="21">
        <f t="shared" si="52"/>
        <v>9000</v>
      </c>
      <c r="K307" s="21">
        <f t="shared" si="53"/>
        <v>15198.000000000002</v>
      </c>
      <c r="L307" s="21">
        <f t="shared" si="54"/>
        <v>26850</v>
      </c>
      <c r="M307" s="21">
        <f t="shared" si="55"/>
        <v>44700</v>
      </c>
      <c r="N307" s="904">
        <f t="shared" si="56"/>
        <v>783</v>
      </c>
      <c r="O307" s="21"/>
      <c r="P307" s="22" t="s">
        <v>2</v>
      </c>
      <c r="Q307" s="22">
        <v>0.63</v>
      </c>
      <c r="R307" s="904" t="s">
        <v>42</v>
      </c>
      <c r="S307" s="904" t="str">
        <f t="shared" si="57"/>
        <v>Stove</v>
      </c>
      <c r="T307" s="23">
        <f t="shared" si="58"/>
        <v>0.32057731535733025</v>
      </c>
      <c r="U307" s="23">
        <f t="shared" si="59"/>
        <v>0.94287445693332428</v>
      </c>
      <c r="V307" s="23">
        <f t="shared" si="59"/>
        <v>0.5336985473546616</v>
      </c>
      <c r="W307" s="23">
        <f t="shared" si="60"/>
        <v>1.5922006662747403</v>
      </c>
      <c r="X307" s="904">
        <f t="shared" si="61"/>
        <v>715</v>
      </c>
      <c r="Y307" s="904">
        <f t="shared" si="61"/>
        <v>780</v>
      </c>
      <c r="Z307" s="904">
        <f t="shared" si="61"/>
        <v>781</v>
      </c>
      <c r="AA307" s="904">
        <f t="shared" si="61"/>
        <v>931</v>
      </c>
      <c r="AB307" s="24">
        <v>449</v>
      </c>
    </row>
    <row r="308" spans="1:28" x14ac:dyDescent="0.25">
      <c r="A308" s="903"/>
      <c r="B308" t="s">
        <v>622</v>
      </c>
      <c r="C308" s="906" t="s">
        <v>3</v>
      </c>
      <c r="D308" s="25">
        <v>1.1000000000000001</v>
      </c>
      <c r="E308" s="903">
        <v>36</v>
      </c>
      <c r="F308" s="903">
        <v>9</v>
      </c>
      <c r="G308" s="903" t="s">
        <v>690</v>
      </c>
      <c r="H308" s="904">
        <f t="shared" si="50"/>
        <v>6</v>
      </c>
      <c r="I308" s="904">
        <f t="shared" si="51"/>
        <v>11</v>
      </c>
      <c r="J308" s="21">
        <f t="shared" si="52"/>
        <v>11900</v>
      </c>
      <c r="K308" s="21">
        <f t="shared" si="53"/>
        <v>14688.000000000002</v>
      </c>
      <c r="L308" s="21">
        <f t="shared" si="54"/>
        <v>27550</v>
      </c>
      <c r="M308" s="21">
        <f t="shared" si="55"/>
        <v>43200</v>
      </c>
      <c r="N308" s="904">
        <f t="shared" si="56"/>
        <v>815</v>
      </c>
      <c r="O308" s="21"/>
      <c r="P308" s="22" t="s">
        <v>2</v>
      </c>
      <c r="Q308" s="22">
        <v>0.63</v>
      </c>
      <c r="R308" s="904" t="s">
        <v>42</v>
      </c>
      <c r="S308" s="904" t="str">
        <f t="shared" si="57"/>
        <v>Stove</v>
      </c>
      <c r="T308" s="23">
        <f t="shared" si="58"/>
        <v>5.6135279900712001E-2</v>
      </c>
      <c r="U308" s="23">
        <f t="shared" si="59"/>
        <v>0.16510376441385879</v>
      </c>
      <c r="V308" s="23">
        <f t="shared" si="59"/>
        <v>8.8023379009464914E-2</v>
      </c>
      <c r="W308" s="23">
        <f t="shared" si="60"/>
        <v>0.20378521779082004</v>
      </c>
      <c r="X308" s="904">
        <f t="shared" si="61"/>
        <v>16</v>
      </c>
      <c r="Y308" s="904">
        <f t="shared" si="61"/>
        <v>25</v>
      </c>
      <c r="Z308" s="904">
        <f t="shared" si="61"/>
        <v>16</v>
      </c>
      <c r="AA308" s="904">
        <f t="shared" si="61"/>
        <v>32</v>
      </c>
      <c r="AB308" s="24">
        <v>4</v>
      </c>
    </row>
    <row r="309" spans="1:28" x14ac:dyDescent="0.25">
      <c r="A309" s="903"/>
      <c r="B309" t="s">
        <v>622</v>
      </c>
      <c r="C309" s="906" t="s">
        <v>691</v>
      </c>
      <c r="D309" s="25">
        <v>1.3</v>
      </c>
      <c r="E309" s="903">
        <v>53</v>
      </c>
      <c r="F309" s="903">
        <v>15</v>
      </c>
      <c r="G309" s="903" t="s">
        <v>692</v>
      </c>
      <c r="H309" s="904">
        <f t="shared" si="50"/>
        <v>6</v>
      </c>
      <c r="I309" s="904">
        <f t="shared" si="51"/>
        <v>11</v>
      </c>
      <c r="J309" s="21">
        <f t="shared" si="52"/>
        <v>11400</v>
      </c>
      <c r="K309" s="21">
        <f t="shared" si="53"/>
        <v>15946.000000000002</v>
      </c>
      <c r="L309" s="21">
        <f t="shared" si="54"/>
        <v>29150</v>
      </c>
      <c r="M309" s="21">
        <f t="shared" si="55"/>
        <v>46900</v>
      </c>
      <c r="N309" s="904">
        <f t="shared" si="56"/>
        <v>858</v>
      </c>
      <c r="O309" s="21"/>
      <c r="P309" s="22" t="s">
        <v>2</v>
      </c>
      <c r="Q309" s="22">
        <v>0.63</v>
      </c>
      <c r="R309" s="904" t="s">
        <v>42</v>
      </c>
      <c r="S309" s="904" t="str">
        <f t="shared" si="57"/>
        <v>Stove</v>
      </c>
      <c r="T309" s="23">
        <f t="shared" si="58"/>
        <v>6.1107914697111569E-2</v>
      </c>
      <c r="U309" s="23">
        <f t="shared" si="59"/>
        <v>0.17972916087385751</v>
      </c>
      <c r="V309" s="23">
        <f t="shared" si="59"/>
        <v>9.8317708380601457E-2</v>
      </c>
      <c r="W309" s="23">
        <f t="shared" si="60"/>
        <v>0.25140010520127481</v>
      </c>
      <c r="X309" s="904">
        <f t="shared" si="61"/>
        <v>23</v>
      </c>
      <c r="Y309" s="904">
        <f t="shared" si="61"/>
        <v>32</v>
      </c>
      <c r="Z309" s="904">
        <f t="shared" si="61"/>
        <v>30</v>
      </c>
      <c r="AA309" s="904">
        <f t="shared" si="61"/>
        <v>43</v>
      </c>
      <c r="AB309" s="24">
        <v>5</v>
      </c>
    </row>
    <row r="310" spans="1:28" x14ac:dyDescent="0.25">
      <c r="A310" s="903"/>
      <c r="B310" t="s">
        <v>622</v>
      </c>
      <c r="C310" s="906" t="s">
        <v>693</v>
      </c>
      <c r="D310" s="25">
        <v>2.1</v>
      </c>
      <c r="E310" s="903">
        <v>145</v>
      </c>
      <c r="F310" s="903">
        <v>37</v>
      </c>
      <c r="G310" s="903" t="s">
        <v>690</v>
      </c>
      <c r="H310" s="904">
        <f t="shared" si="50"/>
        <v>6</v>
      </c>
      <c r="I310" s="904">
        <f t="shared" si="51"/>
        <v>11</v>
      </c>
      <c r="J310" s="21">
        <f t="shared" si="52"/>
        <v>11900</v>
      </c>
      <c r="K310" s="21">
        <f t="shared" si="53"/>
        <v>14688.000000000002</v>
      </c>
      <c r="L310" s="21">
        <f t="shared" si="54"/>
        <v>27550</v>
      </c>
      <c r="M310" s="21">
        <f t="shared" si="55"/>
        <v>43200</v>
      </c>
      <c r="N310" s="904">
        <f t="shared" si="56"/>
        <v>815</v>
      </c>
      <c r="O310" s="21"/>
      <c r="P310" s="22" t="s">
        <v>2</v>
      </c>
      <c r="Q310" s="22">
        <v>0.63</v>
      </c>
      <c r="R310" s="904" t="s">
        <v>42</v>
      </c>
      <c r="S310" s="904" t="str">
        <f t="shared" si="57"/>
        <v>Stove</v>
      </c>
      <c r="T310" s="23">
        <f t="shared" si="58"/>
        <v>0.1071673525377229</v>
      </c>
      <c r="U310" s="23">
        <f t="shared" si="59"/>
        <v>0.315198095699185</v>
      </c>
      <c r="V310" s="23">
        <f t="shared" si="59"/>
        <v>0.16804463265443301</v>
      </c>
      <c r="W310" s="23">
        <f t="shared" si="60"/>
        <v>0.38904450669156554</v>
      </c>
      <c r="X310" s="904">
        <f t="shared" si="61"/>
        <v>103</v>
      </c>
      <c r="Y310" s="904">
        <f t="shared" si="61"/>
        <v>120</v>
      </c>
      <c r="Z310" s="904">
        <f t="shared" si="61"/>
        <v>105</v>
      </c>
      <c r="AA310" s="904">
        <f t="shared" si="61"/>
        <v>104</v>
      </c>
      <c r="AB310" s="24">
        <v>30</v>
      </c>
    </row>
    <row r="311" spans="1:28" x14ac:dyDescent="0.25">
      <c r="A311" s="903"/>
      <c r="B311" t="s">
        <v>622</v>
      </c>
      <c r="C311" s="906" t="s">
        <v>694</v>
      </c>
      <c r="D311" s="25">
        <v>4</v>
      </c>
      <c r="E311" s="903">
        <v>571</v>
      </c>
      <c r="F311" s="903">
        <v>270</v>
      </c>
      <c r="G311" s="903" t="s">
        <v>695</v>
      </c>
      <c r="H311" s="904">
        <f t="shared" si="50"/>
        <v>6</v>
      </c>
      <c r="I311" s="904">
        <f t="shared" si="51"/>
        <v>11</v>
      </c>
      <c r="J311" s="21">
        <f t="shared" si="52"/>
        <v>11700</v>
      </c>
      <c r="K311" s="21">
        <f t="shared" si="53"/>
        <v>17170</v>
      </c>
      <c r="L311" s="21">
        <f t="shared" si="54"/>
        <v>31100</v>
      </c>
      <c r="M311" s="21">
        <f t="shared" si="55"/>
        <v>50500</v>
      </c>
      <c r="N311" s="904">
        <f t="shared" si="56"/>
        <v>891</v>
      </c>
      <c r="O311" s="21"/>
      <c r="P311" s="22" t="s">
        <v>2</v>
      </c>
      <c r="Q311" s="22">
        <v>0.63</v>
      </c>
      <c r="R311" s="904" t="s">
        <v>42</v>
      </c>
      <c r="S311" s="904" t="str">
        <f t="shared" si="57"/>
        <v>Stove</v>
      </c>
      <c r="T311" s="23">
        <f t="shared" si="58"/>
        <v>0.1746206366668413</v>
      </c>
      <c r="U311" s="23">
        <f t="shared" si="59"/>
        <v>0.51359010784365089</v>
      </c>
      <c r="V311" s="23">
        <f t="shared" si="59"/>
        <v>0.28354797915355257</v>
      </c>
      <c r="W311" s="23">
        <f t="shared" si="60"/>
        <v>0.75370445740816117</v>
      </c>
      <c r="X311" s="904">
        <f t="shared" si="61"/>
        <v>287</v>
      </c>
      <c r="Y311" s="904">
        <f t="shared" si="61"/>
        <v>306</v>
      </c>
      <c r="Z311" s="904">
        <f t="shared" si="61"/>
        <v>312</v>
      </c>
      <c r="AA311" s="904">
        <f t="shared" si="61"/>
        <v>472</v>
      </c>
      <c r="AB311" s="24">
        <v>110</v>
      </c>
    </row>
    <row r="312" spans="1:28" x14ac:dyDescent="0.25">
      <c r="A312" s="903"/>
      <c r="B312" t="s">
        <v>622</v>
      </c>
      <c r="C312" s="906" t="s">
        <v>1</v>
      </c>
      <c r="D312" s="25">
        <v>2.1</v>
      </c>
      <c r="E312" s="903">
        <v>145</v>
      </c>
      <c r="F312" s="903">
        <v>37</v>
      </c>
      <c r="G312" s="903" t="s">
        <v>696</v>
      </c>
      <c r="H312" s="904">
        <f t="shared" si="50"/>
        <v>6</v>
      </c>
      <c r="I312" s="904">
        <f t="shared" si="51"/>
        <v>11</v>
      </c>
      <c r="J312" s="21">
        <f t="shared" si="52"/>
        <v>11900</v>
      </c>
      <c r="K312" s="21">
        <f t="shared" si="53"/>
        <v>13566.000000000002</v>
      </c>
      <c r="L312" s="21">
        <f t="shared" si="54"/>
        <v>25900</v>
      </c>
      <c r="M312" s="21">
        <f t="shared" si="55"/>
        <v>39900</v>
      </c>
      <c r="N312" s="904">
        <f t="shared" si="56"/>
        <v>746</v>
      </c>
      <c r="O312" s="21"/>
      <c r="P312" s="22" t="s">
        <v>2</v>
      </c>
      <c r="Q312" s="22">
        <v>0.63</v>
      </c>
      <c r="R312" s="904" t="s">
        <v>42</v>
      </c>
      <c r="S312" s="904" t="str">
        <f t="shared" si="57"/>
        <v>Stove</v>
      </c>
      <c r="T312" s="23">
        <f t="shared" si="58"/>
        <v>0.11603081778520374</v>
      </c>
      <c r="U312" s="23">
        <f t="shared" si="59"/>
        <v>0.34126711113295211</v>
      </c>
      <c r="V312" s="23">
        <f t="shared" si="59"/>
        <v>0.17875017875017876</v>
      </c>
      <c r="W312" s="23">
        <f t="shared" si="60"/>
        <v>0.38904450669156554</v>
      </c>
      <c r="X312" s="904">
        <f t="shared" si="61"/>
        <v>130</v>
      </c>
      <c r="Y312" s="904">
        <f t="shared" si="61"/>
        <v>144</v>
      </c>
      <c r="Z312" s="904">
        <f t="shared" si="61"/>
        <v>128</v>
      </c>
      <c r="AA312" s="904">
        <f t="shared" si="61"/>
        <v>104</v>
      </c>
      <c r="AB312" s="24">
        <v>39</v>
      </c>
    </row>
    <row r="313" spans="1:28" x14ac:dyDescent="0.25">
      <c r="A313" s="903"/>
      <c r="B313" t="s">
        <v>622</v>
      </c>
      <c r="C313" s="906" t="s">
        <v>697</v>
      </c>
      <c r="D313" s="25">
        <v>2</v>
      </c>
      <c r="E313" s="903">
        <v>131</v>
      </c>
      <c r="F313" s="903">
        <v>33</v>
      </c>
      <c r="G313" s="903" t="s">
        <v>698</v>
      </c>
      <c r="H313" s="904">
        <f t="shared" si="50"/>
        <v>6</v>
      </c>
      <c r="I313" s="904">
        <f t="shared" si="51"/>
        <v>11</v>
      </c>
      <c r="J313" s="21">
        <f t="shared" si="52"/>
        <v>11900</v>
      </c>
      <c r="K313" s="21">
        <f t="shared" si="53"/>
        <v>17204</v>
      </c>
      <c r="L313" s="21">
        <f t="shared" si="54"/>
        <v>31250</v>
      </c>
      <c r="M313" s="21">
        <f t="shared" si="55"/>
        <v>50600</v>
      </c>
      <c r="N313" s="904">
        <f t="shared" si="56"/>
        <v>896</v>
      </c>
      <c r="O313" s="21"/>
      <c r="P313" s="22" t="s">
        <v>2</v>
      </c>
      <c r="Q313" s="22">
        <v>0.63</v>
      </c>
      <c r="R313" s="904" t="s">
        <v>42</v>
      </c>
      <c r="S313" s="904" t="str">
        <f t="shared" si="57"/>
        <v>Stove</v>
      </c>
      <c r="T313" s="23">
        <f t="shared" si="58"/>
        <v>8.7137768297188584E-2</v>
      </c>
      <c r="U313" s="23">
        <f t="shared" si="59"/>
        <v>0.25628755381526053</v>
      </c>
      <c r="V313" s="23">
        <f t="shared" si="59"/>
        <v>0.14109347442680775</v>
      </c>
      <c r="W313" s="23">
        <f t="shared" si="60"/>
        <v>0.37051857780149094</v>
      </c>
      <c r="X313" s="904">
        <f t="shared" si="61"/>
        <v>63</v>
      </c>
      <c r="Y313" s="904">
        <f t="shared" si="61"/>
        <v>72</v>
      </c>
      <c r="Z313" s="904">
        <f t="shared" si="61"/>
        <v>68</v>
      </c>
      <c r="AA313" s="904">
        <f t="shared" si="61"/>
        <v>89</v>
      </c>
      <c r="AB313" s="24">
        <v>18</v>
      </c>
    </row>
    <row r="314" spans="1:28" x14ac:dyDescent="0.25">
      <c r="A314" s="903"/>
      <c r="B314" t="s">
        <v>622</v>
      </c>
      <c r="C314" s="906" t="s">
        <v>699</v>
      </c>
      <c r="D314" s="25">
        <v>2.7</v>
      </c>
      <c r="E314" s="903">
        <v>257</v>
      </c>
      <c r="F314" s="903">
        <v>79</v>
      </c>
      <c r="G314" s="903" t="s">
        <v>700</v>
      </c>
      <c r="H314" s="904">
        <f t="shared" si="50"/>
        <v>6</v>
      </c>
      <c r="I314" s="904">
        <f t="shared" si="51"/>
        <v>11</v>
      </c>
      <c r="J314" s="21">
        <f t="shared" si="52"/>
        <v>11800</v>
      </c>
      <c r="K314" s="21">
        <f t="shared" si="53"/>
        <v>16966</v>
      </c>
      <c r="L314" s="21">
        <f t="shared" si="54"/>
        <v>30850</v>
      </c>
      <c r="M314" s="21">
        <f t="shared" si="55"/>
        <v>49900</v>
      </c>
      <c r="N314" s="904">
        <f t="shared" si="56"/>
        <v>888</v>
      </c>
      <c r="O314" s="21"/>
      <c r="P314" s="22" t="s">
        <v>2</v>
      </c>
      <c r="Q314" s="22">
        <v>0.63</v>
      </c>
      <c r="R314" s="904" t="s">
        <v>42</v>
      </c>
      <c r="S314" s="904" t="str">
        <f t="shared" si="57"/>
        <v>Insert</v>
      </c>
      <c r="T314" s="23">
        <f t="shared" si="58"/>
        <v>0.11928619143048001</v>
      </c>
      <c r="U314" s="23">
        <f t="shared" si="59"/>
        <v>0.35084173950141179</v>
      </c>
      <c r="V314" s="23">
        <f t="shared" si="59"/>
        <v>0.19294589797020914</v>
      </c>
      <c r="W314" s="23">
        <f t="shared" si="60"/>
        <v>0.50443906376109771</v>
      </c>
      <c r="X314" s="904">
        <f t="shared" si="61"/>
        <v>136</v>
      </c>
      <c r="Y314" s="904">
        <f t="shared" si="61"/>
        <v>147</v>
      </c>
      <c r="Z314" s="904">
        <f t="shared" si="61"/>
        <v>154</v>
      </c>
      <c r="AA314" s="904">
        <f t="shared" si="61"/>
        <v>194</v>
      </c>
      <c r="AB314" s="24">
        <v>41</v>
      </c>
    </row>
    <row r="315" spans="1:28" x14ac:dyDescent="0.25">
      <c r="A315" s="903"/>
      <c r="B315" t="s">
        <v>622</v>
      </c>
      <c r="C315" s="906" t="s">
        <v>701</v>
      </c>
      <c r="D315" s="25">
        <v>2.2000000000000002</v>
      </c>
      <c r="E315" s="903">
        <v>169</v>
      </c>
      <c r="F315" s="903">
        <v>45</v>
      </c>
      <c r="G315" s="903" t="s">
        <v>702</v>
      </c>
      <c r="H315" s="904">
        <f t="shared" si="50"/>
        <v>6</v>
      </c>
      <c r="I315" s="904">
        <f t="shared" si="51"/>
        <v>11</v>
      </c>
      <c r="J315" s="21">
        <f t="shared" si="52"/>
        <v>11500</v>
      </c>
      <c r="K315" s="21">
        <f t="shared" si="53"/>
        <v>14620.000000000002</v>
      </c>
      <c r="L315" s="21">
        <f t="shared" si="54"/>
        <v>27250</v>
      </c>
      <c r="M315" s="21">
        <f t="shared" si="55"/>
        <v>43000</v>
      </c>
      <c r="N315" s="904">
        <f t="shared" si="56"/>
        <v>804</v>
      </c>
      <c r="O315" s="21"/>
      <c r="P315" s="22" t="s">
        <v>2</v>
      </c>
      <c r="Q315" s="22">
        <v>0.63</v>
      </c>
      <c r="R315" s="904" t="s">
        <v>42</v>
      </c>
      <c r="S315" s="904" t="str">
        <f t="shared" si="57"/>
        <v>Stove</v>
      </c>
      <c r="T315" s="23">
        <f t="shared" si="58"/>
        <v>0.11279274845166318</v>
      </c>
      <c r="U315" s="23">
        <f t="shared" si="59"/>
        <v>0.33174337779900931</v>
      </c>
      <c r="V315" s="23">
        <f t="shared" si="59"/>
        <v>0.17798488746500979</v>
      </c>
      <c r="W315" s="23">
        <f t="shared" si="60"/>
        <v>0.42174679855839275</v>
      </c>
      <c r="X315" s="904">
        <f t="shared" si="61"/>
        <v>123</v>
      </c>
      <c r="Y315" s="904">
        <f t="shared" si="61"/>
        <v>136</v>
      </c>
      <c r="Z315" s="904">
        <f t="shared" si="61"/>
        <v>126</v>
      </c>
      <c r="AA315" s="904">
        <f t="shared" si="61"/>
        <v>128</v>
      </c>
      <c r="AB315" s="24">
        <v>36</v>
      </c>
    </row>
    <row r="316" spans="1:28" x14ac:dyDescent="0.25">
      <c r="A316" s="903"/>
      <c r="B316" t="s">
        <v>622</v>
      </c>
      <c r="C316" s="906" t="s">
        <v>5</v>
      </c>
      <c r="D316" s="25">
        <v>3.4</v>
      </c>
      <c r="E316" s="903">
        <v>415</v>
      </c>
      <c r="F316" s="903">
        <v>168</v>
      </c>
      <c r="G316" s="903" t="s">
        <v>703</v>
      </c>
      <c r="H316" s="904">
        <f t="shared" si="50"/>
        <v>6</v>
      </c>
      <c r="I316" s="904">
        <f t="shared" si="51"/>
        <v>11</v>
      </c>
      <c r="J316" s="21">
        <f t="shared" si="52"/>
        <v>11200</v>
      </c>
      <c r="K316" s="21">
        <f t="shared" si="53"/>
        <v>15062.000000000002</v>
      </c>
      <c r="L316" s="21">
        <f t="shared" si="54"/>
        <v>27750</v>
      </c>
      <c r="M316" s="21">
        <f t="shared" si="55"/>
        <v>44300</v>
      </c>
      <c r="N316" s="904">
        <f t="shared" si="56"/>
        <v>821</v>
      </c>
      <c r="O316" s="21"/>
      <c r="P316" s="22" t="s">
        <v>2</v>
      </c>
      <c r="Q316" s="22">
        <v>0.63</v>
      </c>
      <c r="R316" s="904" t="s">
        <v>42</v>
      </c>
      <c r="S316" s="904" t="str">
        <f t="shared" si="57"/>
        <v>Stove</v>
      </c>
      <c r="T316" s="23">
        <f t="shared" si="58"/>
        <v>0.1692006959125093</v>
      </c>
      <c r="U316" s="23">
        <f t="shared" si="59"/>
        <v>0.49764910562502729</v>
      </c>
      <c r="V316" s="23">
        <f t="shared" si="59"/>
        <v>0.27011138122249234</v>
      </c>
      <c r="W316" s="23">
        <f t="shared" si="60"/>
        <v>0.66924918115394305</v>
      </c>
      <c r="X316" s="904">
        <f t="shared" si="61"/>
        <v>276</v>
      </c>
      <c r="Y316" s="904">
        <f t="shared" si="61"/>
        <v>292</v>
      </c>
      <c r="Z316" s="904">
        <f t="shared" si="61"/>
        <v>285</v>
      </c>
      <c r="AA316" s="904">
        <f t="shared" si="61"/>
        <v>380</v>
      </c>
      <c r="AB316" s="24">
        <v>100</v>
      </c>
    </row>
    <row r="317" spans="1:28" x14ac:dyDescent="0.25">
      <c r="A317" s="903"/>
      <c r="B317" t="s">
        <v>622</v>
      </c>
      <c r="C317" s="906" t="s">
        <v>704</v>
      </c>
      <c r="D317" s="25">
        <v>2.9</v>
      </c>
      <c r="E317" s="903">
        <v>295</v>
      </c>
      <c r="F317" s="903">
        <v>96</v>
      </c>
      <c r="G317" s="903" t="s">
        <v>705</v>
      </c>
      <c r="H317" s="904">
        <f t="shared" si="50"/>
        <v>6</v>
      </c>
      <c r="I317" s="904">
        <f t="shared" si="51"/>
        <v>11</v>
      </c>
      <c r="J317" s="21">
        <f t="shared" si="52"/>
        <v>10400</v>
      </c>
      <c r="K317" s="21">
        <f t="shared" si="53"/>
        <v>15912.000000000002</v>
      </c>
      <c r="L317" s="21">
        <f t="shared" si="54"/>
        <v>28600</v>
      </c>
      <c r="M317" s="21">
        <f t="shared" si="55"/>
        <v>46800</v>
      </c>
      <c r="N317" s="904">
        <f t="shared" si="56"/>
        <v>843</v>
      </c>
      <c r="O317" s="21"/>
      <c r="P317" s="22" t="s">
        <v>2</v>
      </c>
      <c r="Q317" s="22">
        <v>0.63</v>
      </c>
      <c r="R317" s="904" t="s">
        <v>42</v>
      </c>
      <c r="S317" s="904" t="str">
        <f t="shared" si="57"/>
        <v>Stove</v>
      </c>
      <c r="T317" s="23">
        <f t="shared" si="58"/>
        <v>0.13660893290522921</v>
      </c>
      <c r="U317" s="23">
        <f t="shared" si="59"/>
        <v>0.40179097913302703</v>
      </c>
      <c r="V317" s="23">
        <f t="shared" si="59"/>
        <v>0.22354189020855689</v>
      </c>
      <c r="W317" s="23">
        <f t="shared" si="60"/>
        <v>0.61474019807353142</v>
      </c>
      <c r="X317" s="904">
        <f t="shared" si="61"/>
        <v>181</v>
      </c>
      <c r="Y317" s="904">
        <f t="shared" si="61"/>
        <v>192</v>
      </c>
      <c r="Z317" s="904">
        <f t="shared" si="61"/>
        <v>188</v>
      </c>
      <c r="AA317" s="904">
        <f t="shared" si="61"/>
        <v>303</v>
      </c>
      <c r="AB317" s="24">
        <v>57</v>
      </c>
    </row>
    <row r="318" spans="1:28" x14ac:dyDescent="0.25">
      <c r="A318" s="903"/>
      <c r="B318" t="s">
        <v>622</v>
      </c>
      <c r="C318" s="906" t="s">
        <v>706</v>
      </c>
      <c r="D318" s="25">
        <v>3.1</v>
      </c>
      <c r="E318" s="903">
        <v>347</v>
      </c>
      <c r="F318" s="903">
        <v>130</v>
      </c>
      <c r="G318" s="903" t="s">
        <v>707</v>
      </c>
      <c r="H318" s="904">
        <f t="shared" si="50"/>
        <v>5</v>
      </c>
      <c r="I318" s="904">
        <f t="shared" si="51"/>
        <v>10</v>
      </c>
      <c r="J318" s="21">
        <f t="shared" si="52"/>
        <v>9000</v>
      </c>
      <c r="K318" s="21">
        <f t="shared" si="53"/>
        <v>14212.000000000002</v>
      </c>
      <c r="L318" s="21">
        <f t="shared" si="54"/>
        <v>25400</v>
      </c>
      <c r="M318" s="21">
        <f t="shared" si="55"/>
        <v>41800</v>
      </c>
      <c r="N318" s="904">
        <f t="shared" si="56"/>
        <v>722</v>
      </c>
      <c r="O318" s="21"/>
      <c r="P318" s="22" t="s">
        <v>2</v>
      </c>
      <c r="Q318" s="22">
        <v>0.63</v>
      </c>
      <c r="R318" s="904" t="s">
        <v>42</v>
      </c>
      <c r="S318" s="904" t="str">
        <f t="shared" si="57"/>
        <v>Stove</v>
      </c>
      <c r="T318" s="23">
        <f t="shared" si="58"/>
        <v>0.16349797051551437</v>
      </c>
      <c r="U318" s="23">
        <f t="shared" si="59"/>
        <v>0.48087638386915982</v>
      </c>
      <c r="V318" s="23">
        <f t="shared" si="59"/>
        <v>0.26906358927356305</v>
      </c>
      <c r="W318" s="23">
        <f t="shared" si="60"/>
        <v>0.75935724083872236</v>
      </c>
      <c r="X318" s="904">
        <f t="shared" si="61"/>
        <v>247</v>
      </c>
      <c r="Y318" s="904">
        <f t="shared" si="61"/>
        <v>264</v>
      </c>
      <c r="Z318" s="904">
        <f t="shared" si="61"/>
        <v>281</v>
      </c>
      <c r="AA318" s="904">
        <f t="shared" si="61"/>
        <v>478</v>
      </c>
      <c r="AB318" s="24">
        <v>92</v>
      </c>
    </row>
    <row r="319" spans="1:28" x14ac:dyDescent="0.25">
      <c r="A319" s="903"/>
      <c r="B319" t="s">
        <v>622</v>
      </c>
      <c r="C319" s="906" t="s">
        <v>708</v>
      </c>
      <c r="D319" s="25">
        <v>5.9</v>
      </c>
      <c r="E319" s="903">
        <v>836</v>
      </c>
      <c r="F319" s="903">
        <v>483</v>
      </c>
      <c r="G319" s="903" t="s">
        <v>709</v>
      </c>
      <c r="H319" s="904">
        <f t="shared" si="50"/>
        <v>6</v>
      </c>
      <c r="I319" s="904">
        <f t="shared" si="51"/>
        <v>11</v>
      </c>
      <c r="J319" s="21">
        <f t="shared" si="52"/>
        <v>11200</v>
      </c>
      <c r="K319" s="21">
        <f t="shared" si="53"/>
        <v>13804.000000000002</v>
      </c>
      <c r="L319" s="21">
        <f t="shared" si="54"/>
        <v>25900</v>
      </c>
      <c r="M319" s="21">
        <f t="shared" si="55"/>
        <v>40600</v>
      </c>
      <c r="N319" s="904">
        <f t="shared" si="56"/>
        <v>746</v>
      </c>
      <c r="O319" s="21"/>
      <c r="P319" s="22" t="s">
        <v>2</v>
      </c>
      <c r="Q319" s="22">
        <v>0.63</v>
      </c>
      <c r="R319" s="904" t="s">
        <v>42</v>
      </c>
      <c r="S319" s="904" t="str">
        <f t="shared" si="57"/>
        <v>Stove</v>
      </c>
      <c r="T319" s="23">
        <f t="shared" si="58"/>
        <v>0.32037080477146157</v>
      </c>
      <c r="U319" s="23">
        <f t="shared" si="59"/>
        <v>0.94226707285723976</v>
      </c>
      <c r="V319" s="23">
        <f t="shared" si="59"/>
        <v>0.50220288315526407</v>
      </c>
      <c r="W319" s="23">
        <f t="shared" si="60"/>
        <v>1.1613441672965483</v>
      </c>
      <c r="X319" s="904">
        <f t="shared" si="61"/>
        <v>714</v>
      </c>
      <c r="Y319" s="904">
        <f t="shared" si="61"/>
        <v>779</v>
      </c>
      <c r="Z319" s="904">
        <f t="shared" si="61"/>
        <v>750</v>
      </c>
      <c r="AA319" s="904">
        <f t="shared" si="61"/>
        <v>810</v>
      </c>
      <c r="AB319" s="24">
        <v>448</v>
      </c>
    </row>
    <row r="320" spans="1:28" x14ac:dyDescent="0.25">
      <c r="A320" s="903"/>
      <c r="B320" t="s">
        <v>622</v>
      </c>
      <c r="C320" s="906" t="s">
        <v>710</v>
      </c>
      <c r="D320" s="25">
        <v>4</v>
      </c>
      <c r="E320" s="903">
        <v>571</v>
      </c>
      <c r="F320" s="903">
        <v>270</v>
      </c>
      <c r="G320" s="903" t="s">
        <v>711</v>
      </c>
      <c r="H320" s="904">
        <f t="shared" si="50"/>
        <v>6</v>
      </c>
      <c r="I320" s="904">
        <f t="shared" si="51"/>
        <v>11</v>
      </c>
      <c r="J320" s="21">
        <f t="shared" si="52"/>
        <v>12000</v>
      </c>
      <c r="K320" s="21">
        <f t="shared" si="53"/>
        <v>12546</v>
      </c>
      <c r="L320" s="21">
        <f t="shared" si="54"/>
        <v>24450</v>
      </c>
      <c r="M320" s="21">
        <f t="shared" si="55"/>
        <v>36900</v>
      </c>
      <c r="N320" s="904">
        <f t="shared" si="56"/>
        <v>668</v>
      </c>
      <c r="O320" s="21"/>
      <c r="P320" s="22" t="s">
        <v>2</v>
      </c>
      <c r="Q320" s="22">
        <v>0.63</v>
      </c>
      <c r="R320" s="904" t="s">
        <v>42</v>
      </c>
      <c r="S320" s="904" t="str">
        <f t="shared" si="57"/>
        <v>Stove</v>
      </c>
      <c r="T320" s="23">
        <f t="shared" si="58"/>
        <v>0.23897946210502669</v>
      </c>
      <c r="U320" s="23">
        <f t="shared" si="59"/>
        <v>0.7028807708971373</v>
      </c>
      <c r="V320" s="23">
        <f t="shared" si="59"/>
        <v>0.36066839066157402</v>
      </c>
      <c r="W320" s="23">
        <f t="shared" si="60"/>
        <v>0.73486184597295712</v>
      </c>
      <c r="X320" s="904">
        <f t="shared" si="61"/>
        <v>526</v>
      </c>
      <c r="Y320" s="904">
        <f t="shared" si="61"/>
        <v>574</v>
      </c>
      <c r="Z320" s="904">
        <f t="shared" si="61"/>
        <v>514</v>
      </c>
      <c r="AA320" s="904">
        <f t="shared" si="61"/>
        <v>441</v>
      </c>
      <c r="AB320" s="24">
        <v>284</v>
      </c>
    </row>
    <row r="321" spans="1:28" x14ac:dyDescent="0.25">
      <c r="A321" s="903"/>
      <c r="B321" s="26" t="s">
        <v>622</v>
      </c>
      <c r="C321" s="27" t="s">
        <v>712</v>
      </c>
      <c r="D321" s="28">
        <v>3.15</v>
      </c>
      <c r="E321" s="29">
        <v>374</v>
      </c>
      <c r="F321" s="903">
        <v>140</v>
      </c>
      <c r="G321" s="29" t="s">
        <v>713</v>
      </c>
      <c r="H321" s="904">
        <f t="shared" si="50"/>
        <v>6</v>
      </c>
      <c r="I321" s="904">
        <f t="shared" si="51"/>
        <v>11</v>
      </c>
      <c r="J321" s="21">
        <f t="shared" si="52"/>
        <v>10732</v>
      </c>
      <c r="K321" s="21">
        <f t="shared" si="53"/>
        <v>10732</v>
      </c>
      <c r="L321" s="21">
        <f t="shared" si="54"/>
        <v>18155</v>
      </c>
      <c r="M321" s="21">
        <f t="shared" si="55"/>
        <v>25578</v>
      </c>
      <c r="N321" s="904">
        <f t="shared" si="56"/>
        <v>172</v>
      </c>
      <c r="O321" s="21"/>
      <c r="P321" s="22"/>
      <c r="Q321" s="22">
        <v>0.63</v>
      </c>
      <c r="R321" s="904" t="s">
        <v>42</v>
      </c>
      <c r="S321" s="904" t="str">
        <f t="shared" si="57"/>
        <v>Insert</v>
      </c>
      <c r="T321" s="23">
        <f t="shared" si="58"/>
        <v>0.27150068200971317</v>
      </c>
      <c r="U321" s="23">
        <f t="shared" si="59"/>
        <v>0.64707831200563215</v>
      </c>
      <c r="V321" s="23">
        <f t="shared" si="59"/>
        <v>0.3825086446953701</v>
      </c>
      <c r="W321" s="23">
        <f t="shared" si="60"/>
        <v>0.64707831200563215</v>
      </c>
      <c r="X321" s="904">
        <f t="shared" si="61"/>
        <v>609</v>
      </c>
      <c r="Y321" s="904">
        <f t="shared" si="61"/>
        <v>496</v>
      </c>
      <c r="Z321" s="904">
        <f t="shared" si="61"/>
        <v>566</v>
      </c>
      <c r="AA321" s="904">
        <f t="shared" si="61"/>
        <v>350</v>
      </c>
      <c r="AB321" s="24">
        <v>234</v>
      </c>
    </row>
    <row r="322" spans="1:28" x14ac:dyDescent="0.25">
      <c r="A322" s="903"/>
      <c r="B322" t="s">
        <v>622</v>
      </c>
      <c r="C322" s="906" t="s">
        <v>714</v>
      </c>
      <c r="D322" s="25">
        <v>4.12</v>
      </c>
      <c r="E322" s="903">
        <v>615</v>
      </c>
      <c r="F322" s="903">
        <v>299</v>
      </c>
      <c r="G322" s="903" t="s">
        <v>715</v>
      </c>
      <c r="H322" s="904">
        <f t="shared" si="50"/>
        <v>6</v>
      </c>
      <c r="I322" s="904">
        <f t="shared" si="51"/>
        <v>11</v>
      </c>
      <c r="J322" s="21">
        <f t="shared" si="52"/>
        <v>11163</v>
      </c>
      <c r="K322" s="21">
        <f t="shared" si="53"/>
        <v>11163</v>
      </c>
      <c r="L322" s="21">
        <f t="shared" si="54"/>
        <v>17338</v>
      </c>
      <c r="M322" s="21">
        <f t="shared" si="55"/>
        <v>23513</v>
      </c>
      <c r="N322" s="904">
        <f t="shared" si="56"/>
        <v>119</v>
      </c>
      <c r="O322" s="21"/>
      <c r="P322" s="22" t="s">
        <v>2</v>
      </c>
      <c r="Q322" s="22">
        <v>0.63</v>
      </c>
      <c r="R322" s="904" t="s">
        <v>42</v>
      </c>
      <c r="S322" s="904" t="str">
        <f t="shared" si="57"/>
        <v>Stove</v>
      </c>
      <c r="T322" s="23">
        <f t="shared" si="58"/>
        <v>0.38629236661530852</v>
      </c>
      <c r="U322" s="23">
        <f t="shared" si="59"/>
        <v>0.8136605228187539</v>
      </c>
      <c r="V322" s="23">
        <f t="shared" si="59"/>
        <v>0.52387198155645109</v>
      </c>
      <c r="W322" s="23">
        <f t="shared" si="60"/>
        <v>0.8136605228187539</v>
      </c>
      <c r="X322" s="904">
        <f t="shared" si="61"/>
        <v>815</v>
      </c>
      <c r="Y322" s="904">
        <f t="shared" si="61"/>
        <v>677</v>
      </c>
      <c r="Z322" s="904">
        <f t="shared" si="61"/>
        <v>769</v>
      </c>
      <c r="AA322" s="904">
        <f t="shared" si="61"/>
        <v>553</v>
      </c>
      <c r="AB322" s="24">
        <v>368</v>
      </c>
    </row>
    <row r="323" spans="1:28" x14ac:dyDescent="0.25">
      <c r="A323" s="903"/>
      <c r="B323" t="s">
        <v>622</v>
      </c>
      <c r="C323" s="906" t="s">
        <v>716</v>
      </c>
      <c r="D323" s="25">
        <v>2.7</v>
      </c>
      <c r="E323" s="903">
        <v>257</v>
      </c>
      <c r="F323" s="903">
        <v>79</v>
      </c>
      <c r="G323" s="903" t="s">
        <v>717</v>
      </c>
      <c r="H323" s="904">
        <f t="shared" si="50"/>
        <v>6</v>
      </c>
      <c r="I323" s="904">
        <f t="shared" si="51"/>
        <v>11</v>
      </c>
      <c r="J323" s="21">
        <f t="shared" si="52"/>
        <v>10900</v>
      </c>
      <c r="K323" s="21">
        <f t="shared" si="53"/>
        <v>10900</v>
      </c>
      <c r="L323" s="21">
        <f t="shared" si="54"/>
        <v>19750</v>
      </c>
      <c r="M323" s="21">
        <f t="shared" si="55"/>
        <v>28600</v>
      </c>
      <c r="N323" s="904">
        <f t="shared" si="56"/>
        <v>294</v>
      </c>
      <c r="O323" s="21"/>
      <c r="P323" s="22" t="s">
        <v>2</v>
      </c>
      <c r="Q323" s="22">
        <v>0.63</v>
      </c>
      <c r="R323" s="904" t="s">
        <v>42</v>
      </c>
      <c r="S323" s="904" t="str">
        <f t="shared" si="57"/>
        <v>Stove</v>
      </c>
      <c r="T323" s="23">
        <f t="shared" si="58"/>
        <v>0.20812520812520813</v>
      </c>
      <c r="U323" s="23">
        <f t="shared" si="59"/>
        <v>0.54608999563128002</v>
      </c>
      <c r="V323" s="23">
        <f t="shared" si="59"/>
        <v>0.30138637733574442</v>
      </c>
      <c r="W323" s="23">
        <f t="shared" si="60"/>
        <v>0.54608999563128002</v>
      </c>
      <c r="X323" s="904">
        <f t="shared" si="61"/>
        <v>415</v>
      </c>
      <c r="Y323" s="904">
        <f t="shared" si="61"/>
        <v>360</v>
      </c>
      <c r="Z323" s="904">
        <f t="shared" si="61"/>
        <v>361</v>
      </c>
      <c r="AA323" s="904">
        <f t="shared" si="61"/>
        <v>247</v>
      </c>
      <c r="AB323" s="24">
        <v>147</v>
      </c>
    </row>
    <row r="324" spans="1:28" x14ac:dyDescent="0.25">
      <c r="A324" s="903"/>
      <c r="B324" t="s">
        <v>718</v>
      </c>
      <c r="C324" s="906" t="s">
        <v>719</v>
      </c>
      <c r="D324" s="25">
        <v>3.6</v>
      </c>
      <c r="E324" s="903">
        <v>467</v>
      </c>
      <c r="F324" s="903">
        <v>207</v>
      </c>
      <c r="G324" s="903" t="s">
        <v>720</v>
      </c>
      <c r="H324" s="904">
        <f t="shared" si="50"/>
        <v>6</v>
      </c>
      <c r="I324" s="904">
        <f t="shared" si="51"/>
        <v>11</v>
      </c>
      <c r="J324" s="21">
        <f t="shared" si="52"/>
        <v>11900</v>
      </c>
      <c r="K324" s="21">
        <f t="shared" si="53"/>
        <v>11900</v>
      </c>
      <c r="L324" s="21">
        <f t="shared" si="54"/>
        <v>22250</v>
      </c>
      <c r="M324" s="21">
        <f t="shared" si="55"/>
        <v>32600</v>
      </c>
      <c r="N324" s="904">
        <f t="shared" si="56"/>
        <v>497</v>
      </c>
      <c r="O324" s="21"/>
      <c r="P324" s="22" t="s">
        <v>2</v>
      </c>
      <c r="Q324" s="22">
        <v>0.63</v>
      </c>
      <c r="R324" s="904" t="s">
        <v>42</v>
      </c>
      <c r="S324" s="904" t="str">
        <f t="shared" si="57"/>
        <v>Stove</v>
      </c>
      <c r="T324" s="23">
        <f t="shared" si="58"/>
        <v>0.24345116369656247</v>
      </c>
      <c r="U324" s="23">
        <f t="shared" si="59"/>
        <v>0.66693344004268373</v>
      </c>
      <c r="V324" s="23">
        <f t="shared" si="59"/>
        <v>0.35669698591046906</v>
      </c>
      <c r="W324" s="23">
        <f t="shared" si="60"/>
        <v>0.66693344004268373</v>
      </c>
      <c r="X324" s="904">
        <f t="shared" si="61"/>
        <v>541</v>
      </c>
      <c r="Y324" s="904">
        <f t="shared" si="61"/>
        <v>521</v>
      </c>
      <c r="Z324" s="904">
        <f t="shared" si="61"/>
        <v>503</v>
      </c>
      <c r="AA324" s="904">
        <f t="shared" si="61"/>
        <v>376</v>
      </c>
      <c r="AB324" s="24">
        <v>250</v>
      </c>
    </row>
    <row r="325" spans="1:28" x14ac:dyDescent="0.25">
      <c r="A325" s="903"/>
      <c r="B325" s="26" t="s">
        <v>718</v>
      </c>
      <c r="C325" s="27" t="s">
        <v>721</v>
      </c>
      <c r="D325" s="28">
        <v>2.71</v>
      </c>
      <c r="E325" s="29">
        <v>279</v>
      </c>
      <c r="F325" s="903">
        <v>91</v>
      </c>
      <c r="G325" s="29" t="s">
        <v>722</v>
      </c>
      <c r="H325" s="904">
        <f t="shared" si="50"/>
        <v>6</v>
      </c>
      <c r="I325" s="904">
        <f t="shared" si="51"/>
        <v>11</v>
      </c>
      <c r="J325" s="21">
        <f t="shared" si="52"/>
        <v>11395</v>
      </c>
      <c r="K325" s="21">
        <f t="shared" si="53"/>
        <v>11395</v>
      </c>
      <c r="L325" s="21">
        <f t="shared" si="54"/>
        <v>17982</v>
      </c>
      <c r="M325" s="21">
        <f t="shared" si="55"/>
        <v>24569</v>
      </c>
      <c r="N325" s="904">
        <f t="shared" si="56"/>
        <v>157</v>
      </c>
      <c r="O325" s="21"/>
      <c r="P325" s="22"/>
      <c r="Q325" s="22">
        <v>0.63</v>
      </c>
      <c r="R325" s="904" t="s">
        <v>42</v>
      </c>
      <c r="S325" s="904" t="str">
        <f t="shared" si="57"/>
        <v>Stove</v>
      </c>
      <c r="T325" s="23">
        <f t="shared" si="58"/>
        <v>0.24316931123611629</v>
      </c>
      <c r="U325" s="23">
        <f t="shared" si="59"/>
        <v>0.52430248422642745</v>
      </c>
      <c r="V325" s="23">
        <f t="shared" si="59"/>
        <v>0.33224484527639536</v>
      </c>
      <c r="W325" s="23">
        <f t="shared" si="60"/>
        <v>0.52430248422642745</v>
      </c>
      <c r="X325" s="904">
        <f t="shared" si="61"/>
        <v>539</v>
      </c>
      <c r="Y325" s="904">
        <f t="shared" si="61"/>
        <v>324</v>
      </c>
      <c r="Z325" s="904">
        <f t="shared" si="61"/>
        <v>444</v>
      </c>
      <c r="AA325" s="904">
        <f t="shared" si="61"/>
        <v>216</v>
      </c>
      <c r="AB325" s="24">
        <v>124</v>
      </c>
    </row>
    <row r="326" spans="1:28" x14ac:dyDescent="0.25">
      <c r="A326" s="903"/>
      <c r="B326" t="s">
        <v>718</v>
      </c>
      <c r="C326" s="906" t="s">
        <v>723</v>
      </c>
      <c r="D326" s="25">
        <v>3.1</v>
      </c>
      <c r="E326" s="903">
        <v>347</v>
      </c>
      <c r="F326" s="903">
        <v>130</v>
      </c>
      <c r="G326" s="903" t="s">
        <v>724</v>
      </c>
      <c r="H326" s="904">
        <f t="shared" si="50"/>
        <v>6</v>
      </c>
      <c r="I326" s="904">
        <f t="shared" si="51"/>
        <v>11</v>
      </c>
      <c r="J326" s="21">
        <f t="shared" si="52"/>
        <v>11900</v>
      </c>
      <c r="K326" s="21">
        <f t="shared" si="53"/>
        <v>11900</v>
      </c>
      <c r="L326" s="21">
        <f t="shared" si="54"/>
        <v>22500</v>
      </c>
      <c r="M326" s="21">
        <f t="shared" si="55"/>
        <v>33100</v>
      </c>
      <c r="N326" s="904">
        <f t="shared" si="56"/>
        <v>514</v>
      </c>
      <c r="O326" s="21"/>
      <c r="P326" s="22" t="s">
        <v>2</v>
      </c>
      <c r="Q326" s="22">
        <v>0.63</v>
      </c>
      <c r="R326" s="904" t="s">
        <v>42</v>
      </c>
      <c r="S326" s="904" t="str">
        <f t="shared" si="57"/>
        <v>Stove</v>
      </c>
      <c r="T326" s="23">
        <f t="shared" si="58"/>
        <v>0.20647175732774928</v>
      </c>
      <c r="U326" s="23">
        <f t="shared" si="59"/>
        <v>0.57430379559231104</v>
      </c>
      <c r="V326" s="23">
        <f t="shared" si="59"/>
        <v>0.30374289633548895</v>
      </c>
      <c r="W326" s="23">
        <f t="shared" si="60"/>
        <v>0.57430379559231104</v>
      </c>
      <c r="X326" s="904">
        <f t="shared" si="61"/>
        <v>409</v>
      </c>
      <c r="Y326" s="904">
        <f t="shared" si="61"/>
        <v>397</v>
      </c>
      <c r="Z326" s="904">
        <f t="shared" si="61"/>
        <v>368</v>
      </c>
      <c r="AA326" s="904">
        <f t="shared" si="61"/>
        <v>268</v>
      </c>
      <c r="AB326" s="24">
        <v>168</v>
      </c>
    </row>
    <row r="327" spans="1:28" x14ac:dyDescent="0.25">
      <c r="A327" s="903"/>
      <c r="B327" t="s">
        <v>718</v>
      </c>
      <c r="C327" s="906" t="s">
        <v>725</v>
      </c>
      <c r="D327" s="25">
        <v>3.08</v>
      </c>
      <c r="E327" s="903">
        <v>346</v>
      </c>
      <c r="F327" s="903">
        <v>129</v>
      </c>
      <c r="G327" s="903" t="s">
        <v>726</v>
      </c>
      <c r="H327" s="904">
        <f t="shared" si="50"/>
        <v>6</v>
      </c>
      <c r="I327" s="904">
        <f t="shared" si="51"/>
        <v>11</v>
      </c>
      <c r="J327" s="21">
        <f t="shared" si="52"/>
        <v>10973</v>
      </c>
      <c r="K327" s="21">
        <f t="shared" si="53"/>
        <v>10973</v>
      </c>
      <c r="L327" s="21">
        <f t="shared" si="54"/>
        <v>18268</v>
      </c>
      <c r="M327" s="21">
        <f t="shared" si="55"/>
        <v>25563</v>
      </c>
      <c r="N327" s="904">
        <f t="shared" si="56"/>
        <v>178</v>
      </c>
      <c r="O327" s="21"/>
      <c r="P327" s="22" t="s">
        <v>2</v>
      </c>
      <c r="Q327" s="22">
        <v>0.63</v>
      </c>
      <c r="R327" s="904" t="s">
        <v>42</v>
      </c>
      <c r="S327" s="904" t="str">
        <f t="shared" si="57"/>
        <v>Stove</v>
      </c>
      <c r="T327" s="23">
        <f t="shared" si="58"/>
        <v>0.26562310592614807</v>
      </c>
      <c r="U327" s="23">
        <f t="shared" si="59"/>
        <v>0.61880283029163619</v>
      </c>
      <c r="V327" s="23">
        <f t="shared" si="59"/>
        <v>0.3716949560318657</v>
      </c>
      <c r="W327" s="23">
        <f t="shared" si="60"/>
        <v>0.61880283029163619</v>
      </c>
      <c r="X327" s="904">
        <f t="shared" si="61"/>
        <v>595</v>
      </c>
      <c r="Y327" s="904">
        <f t="shared" si="61"/>
        <v>449</v>
      </c>
      <c r="Z327" s="904">
        <f t="shared" si="61"/>
        <v>545</v>
      </c>
      <c r="AA327" s="904">
        <f t="shared" si="61"/>
        <v>304</v>
      </c>
      <c r="AB327" s="24">
        <v>196</v>
      </c>
    </row>
    <row r="328" spans="1:28" x14ac:dyDescent="0.25">
      <c r="A328" s="903"/>
      <c r="B328" t="s">
        <v>718</v>
      </c>
      <c r="C328" s="906" t="s">
        <v>727</v>
      </c>
      <c r="D328" s="25">
        <v>3.1</v>
      </c>
      <c r="E328" s="903">
        <v>347</v>
      </c>
      <c r="F328" s="903">
        <v>130</v>
      </c>
      <c r="G328" s="903" t="s">
        <v>728</v>
      </c>
      <c r="H328" s="904">
        <f t="shared" si="50"/>
        <v>6</v>
      </c>
      <c r="I328" s="904">
        <f t="shared" si="51"/>
        <v>11</v>
      </c>
      <c r="J328" s="21">
        <f t="shared" si="52"/>
        <v>12000</v>
      </c>
      <c r="K328" s="21">
        <f t="shared" si="53"/>
        <v>12886.000000000002</v>
      </c>
      <c r="L328" s="21">
        <f t="shared" si="54"/>
        <v>24950</v>
      </c>
      <c r="M328" s="21">
        <f t="shared" si="55"/>
        <v>37900</v>
      </c>
      <c r="N328" s="904">
        <f t="shared" si="56"/>
        <v>685</v>
      </c>
      <c r="O328" s="21"/>
      <c r="P328" s="22" t="s">
        <v>2</v>
      </c>
      <c r="Q328" s="22">
        <v>0.63</v>
      </c>
      <c r="R328" s="904" t="s">
        <v>42</v>
      </c>
      <c r="S328" s="904" t="str">
        <f t="shared" si="57"/>
        <v>Stove</v>
      </c>
      <c r="T328" s="23">
        <f t="shared" si="58"/>
        <v>0.18032229993531665</v>
      </c>
      <c r="U328" s="23">
        <f t="shared" si="59"/>
        <v>0.53035970569210766</v>
      </c>
      <c r="V328" s="23">
        <f t="shared" si="59"/>
        <v>0.27391643958110223</v>
      </c>
      <c r="W328" s="23">
        <f t="shared" si="60"/>
        <v>0.56951793062904177</v>
      </c>
      <c r="X328" s="904">
        <f t="shared" si="61"/>
        <v>314</v>
      </c>
      <c r="Y328" s="904">
        <f t="shared" si="61"/>
        <v>339</v>
      </c>
      <c r="Z328" s="904">
        <f t="shared" si="61"/>
        <v>291</v>
      </c>
      <c r="AA328" s="904">
        <f t="shared" si="61"/>
        <v>264</v>
      </c>
      <c r="AB328" s="24">
        <v>134</v>
      </c>
    </row>
    <row r="329" spans="1:28" x14ac:dyDescent="0.25">
      <c r="A329" s="903"/>
      <c r="B329" t="s">
        <v>718</v>
      </c>
      <c r="C329" s="906" t="s">
        <v>23</v>
      </c>
      <c r="D329" s="25">
        <v>2.2999999999999998</v>
      </c>
      <c r="E329" s="903">
        <v>182</v>
      </c>
      <c r="F329" s="903">
        <v>48</v>
      </c>
      <c r="G329" s="903" t="s">
        <v>729</v>
      </c>
      <c r="H329" s="904">
        <f t="shared" si="50"/>
        <v>6</v>
      </c>
      <c r="I329" s="904">
        <f t="shared" si="51"/>
        <v>11</v>
      </c>
      <c r="J329" s="21">
        <f t="shared" si="52"/>
        <v>10700</v>
      </c>
      <c r="K329" s="21">
        <f t="shared" si="53"/>
        <v>10700</v>
      </c>
      <c r="L329" s="21">
        <f t="shared" si="54"/>
        <v>20050</v>
      </c>
      <c r="M329" s="21">
        <f t="shared" si="55"/>
        <v>29400</v>
      </c>
      <c r="N329" s="904">
        <f t="shared" si="56"/>
        <v>326</v>
      </c>
      <c r="O329" s="21"/>
      <c r="P329" s="22" t="s">
        <v>2</v>
      </c>
      <c r="Q329" s="22">
        <v>0.63</v>
      </c>
      <c r="R329" s="904" t="s">
        <v>42</v>
      </c>
      <c r="S329" s="904" t="str">
        <f t="shared" si="57"/>
        <v>Stove</v>
      </c>
      <c r="T329" s="23">
        <f t="shared" si="58"/>
        <v>0.17246757609569402</v>
      </c>
      <c r="U329" s="23">
        <f t="shared" si="59"/>
        <v>0.47388287263676671</v>
      </c>
      <c r="V329" s="23">
        <f t="shared" si="59"/>
        <v>0.25289509911288799</v>
      </c>
      <c r="W329" s="23">
        <f t="shared" si="60"/>
        <v>0.47388287263676671</v>
      </c>
      <c r="X329" s="904">
        <f t="shared" si="61"/>
        <v>281</v>
      </c>
      <c r="Y329" s="904">
        <f t="shared" si="61"/>
        <v>256</v>
      </c>
      <c r="Z329" s="904">
        <f t="shared" si="61"/>
        <v>252</v>
      </c>
      <c r="AA329" s="904">
        <f t="shared" si="61"/>
        <v>165</v>
      </c>
      <c r="AB329" s="24">
        <v>90</v>
      </c>
    </row>
    <row r="330" spans="1:28" x14ac:dyDescent="0.25">
      <c r="A330" s="903"/>
      <c r="B330" t="s">
        <v>718</v>
      </c>
      <c r="C330" s="906" t="s">
        <v>730</v>
      </c>
      <c r="D330" s="25">
        <v>1.3</v>
      </c>
      <c r="E330" s="903">
        <v>53</v>
      </c>
      <c r="F330" s="903">
        <v>25</v>
      </c>
      <c r="G330" s="903" t="s">
        <v>731</v>
      </c>
      <c r="H330" s="904">
        <f t="shared" si="50"/>
        <v>6</v>
      </c>
      <c r="I330" s="904">
        <f t="shared" si="51"/>
        <v>11</v>
      </c>
      <c r="J330" s="21">
        <f t="shared" si="52"/>
        <v>15320</v>
      </c>
      <c r="K330" s="21">
        <f t="shared" si="53"/>
        <v>15320</v>
      </c>
      <c r="L330" s="21">
        <f t="shared" si="54"/>
        <v>23260</v>
      </c>
      <c r="M330" s="21">
        <f t="shared" si="55"/>
        <v>31200</v>
      </c>
      <c r="N330" s="904">
        <f t="shared" si="56"/>
        <v>573</v>
      </c>
      <c r="O330" s="21"/>
      <c r="P330" s="22" t="s">
        <v>2</v>
      </c>
      <c r="Q330" s="22">
        <v>0.78</v>
      </c>
      <c r="R330" s="904" t="s">
        <v>15</v>
      </c>
      <c r="S330" s="904" t="str">
        <f t="shared" si="57"/>
        <v>Stove</v>
      </c>
      <c r="T330" s="23">
        <f t="shared" si="58"/>
        <v>9.185773074661964E-2</v>
      </c>
      <c r="U330" s="23">
        <f t="shared" si="59"/>
        <v>0.1870731853325413</v>
      </c>
      <c r="V330" s="23">
        <f t="shared" si="59"/>
        <v>0.12321415302212092</v>
      </c>
      <c r="W330" s="23">
        <f t="shared" si="60"/>
        <v>0.1870731853325413</v>
      </c>
      <c r="X330" s="904">
        <f t="shared" si="61"/>
        <v>69</v>
      </c>
      <c r="Y330" s="904">
        <f t="shared" si="61"/>
        <v>39</v>
      </c>
      <c r="Z330" s="904">
        <f t="shared" si="61"/>
        <v>51</v>
      </c>
      <c r="AA330" s="904">
        <f t="shared" ref="AA330:AA393" si="62">RANK(W330,W$11:W$973,1)</f>
        <v>23</v>
      </c>
      <c r="AB330" s="24">
        <v>19</v>
      </c>
    </row>
    <row r="331" spans="1:28" x14ac:dyDescent="0.25">
      <c r="A331" s="903"/>
      <c r="B331" t="s">
        <v>718</v>
      </c>
      <c r="C331" s="906" t="s">
        <v>732</v>
      </c>
      <c r="D331" s="25">
        <v>2.7</v>
      </c>
      <c r="E331" s="903">
        <v>257</v>
      </c>
      <c r="F331" s="903">
        <v>79</v>
      </c>
      <c r="G331" s="903" t="s">
        <v>733</v>
      </c>
      <c r="H331" s="904">
        <f t="shared" ref="H331:H394" si="63">FIND("-",$G331)</f>
        <v>6</v>
      </c>
      <c r="I331" s="904">
        <f t="shared" ref="I331:I394" si="64">LEN($G331)</f>
        <v>11</v>
      </c>
      <c r="J331" s="21">
        <f t="shared" ref="J331:J394" si="65">VALUE(LEFT($G331,H331-1))</f>
        <v>11700</v>
      </c>
      <c r="K331" s="21">
        <f t="shared" ref="K331:K394" si="66">IF(K$8*M331&gt;J331,K$8*M331,J331)</f>
        <v>11700</v>
      </c>
      <c r="L331" s="21">
        <f t="shared" ref="L331:L394" si="67">AVERAGE(J331,M331)</f>
        <v>22250</v>
      </c>
      <c r="M331" s="21">
        <f t="shared" ref="M331:M394" si="68">VALUE(RIGHT($G331,I331-H331))</f>
        <v>32800</v>
      </c>
      <c r="N331" s="904">
        <f t="shared" ref="N331:N394" si="69">RANK($L331,$L$11:$L$973,1)</f>
        <v>497</v>
      </c>
      <c r="O331" s="21"/>
      <c r="P331" s="22" t="s">
        <v>2</v>
      </c>
      <c r="Q331" s="22">
        <v>0.63</v>
      </c>
      <c r="R331" s="904" t="s">
        <v>42</v>
      </c>
      <c r="S331" s="904" t="str">
        <f t="shared" ref="S331:S394" si="70">IF(AND(ISERROR(FIND("Insert",B331&amp;C331)),ISERROR(FIND("insert",B331&amp;C331))),"Stove","Insert")</f>
        <v>Stove</v>
      </c>
      <c r="T331" s="23">
        <f t="shared" ref="T331:T394" si="71">$D331*10^6/(M331*453.6)</f>
        <v>0.18147502903600465</v>
      </c>
      <c r="U331" s="23">
        <f t="shared" ref="U331:V394" si="72">$D331*10^6/(K331*453.6)</f>
        <v>0.50875050875050876</v>
      </c>
      <c r="V331" s="23">
        <f t="shared" si="72"/>
        <v>0.26752273943285182</v>
      </c>
      <c r="W331" s="23">
        <f t="shared" ref="W331:W394" si="73">$D331*10^6/(J331*453.6)</f>
        <v>0.50875050875050876</v>
      </c>
      <c r="X331" s="904">
        <f t="shared" ref="X331:AA394" si="74">RANK(T331,T$11:T$973,1)</f>
        <v>315</v>
      </c>
      <c r="Y331" s="904">
        <f t="shared" si="74"/>
        <v>301</v>
      </c>
      <c r="Z331" s="904">
        <f t="shared" si="74"/>
        <v>278</v>
      </c>
      <c r="AA331" s="904">
        <f t="shared" si="62"/>
        <v>202</v>
      </c>
      <c r="AB331" s="24">
        <v>108</v>
      </c>
    </row>
    <row r="332" spans="1:28" x14ac:dyDescent="0.25">
      <c r="A332" s="903"/>
      <c r="B332" t="s">
        <v>718</v>
      </c>
      <c r="C332" s="906" t="s">
        <v>734</v>
      </c>
      <c r="D332" s="25">
        <v>1.9</v>
      </c>
      <c r="E332" s="903">
        <v>114</v>
      </c>
      <c r="F332" s="903">
        <v>26</v>
      </c>
      <c r="G332" s="903" t="s">
        <v>735</v>
      </c>
      <c r="H332" s="904">
        <f t="shared" si="63"/>
        <v>6</v>
      </c>
      <c r="I332" s="904">
        <f t="shared" si="64"/>
        <v>11</v>
      </c>
      <c r="J332" s="21">
        <f t="shared" si="65"/>
        <v>10500</v>
      </c>
      <c r="K332" s="21">
        <f t="shared" si="66"/>
        <v>11424</v>
      </c>
      <c r="L332" s="21">
        <f t="shared" si="67"/>
        <v>22050</v>
      </c>
      <c r="M332" s="21">
        <f t="shared" si="68"/>
        <v>33600</v>
      </c>
      <c r="N332" s="904">
        <f t="shared" si="69"/>
        <v>479</v>
      </c>
      <c r="O332" s="21"/>
      <c r="P332" s="22" t="s">
        <v>2</v>
      </c>
      <c r="Q332" s="22">
        <v>0.63</v>
      </c>
      <c r="R332" s="904" t="s">
        <v>42</v>
      </c>
      <c r="S332" s="904" t="str">
        <f t="shared" si="70"/>
        <v>Stove</v>
      </c>
      <c r="T332" s="23">
        <f t="shared" si="71"/>
        <v>0.12466406315612664</v>
      </c>
      <c r="U332" s="23">
        <f t="shared" si="72"/>
        <v>0.36665900928272543</v>
      </c>
      <c r="V332" s="23">
        <f t="shared" si="72"/>
        <v>0.18996428671409776</v>
      </c>
      <c r="W332" s="23">
        <f t="shared" si="73"/>
        <v>0.3989250020996053</v>
      </c>
      <c r="X332" s="904">
        <f t="shared" si="74"/>
        <v>152</v>
      </c>
      <c r="Y332" s="904">
        <f t="shared" si="74"/>
        <v>162</v>
      </c>
      <c r="Z332" s="904">
        <f t="shared" si="74"/>
        <v>149</v>
      </c>
      <c r="AA332" s="904">
        <f t="shared" si="62"/>
        <v>115</v>
      </c>
      <c r="AB332" s="24">
        <v>45</v>
      </c>
    </row>
    <row r="333" spans="1:28" x14ac:dyDescent="0.25">
      <c r="A333" s="903"/>
      <c r="B333" t="s">
        <v>718</v>
      </c>
      <c r="C333" s="906" t="s">
        <v>736</v>
      </c>
      <c r="D333" s="25">
        <v>3.01</v>
      </c>
      <c r="E333" s="903">
        <v>342</v>
      </c>
      <c r="F333" s="903">
        <v>125</v>
      </c>
      <c r="G333" s="903" t="s">
        <v>737</v>
      </c>
      <c r="H333" s="904">
        <f t="shared" si="63"/>
        <v>6</v>
      </c>
      <c r="I333" s="904">
        <f t="shared" si="64"/>
        <v>11</v>
      </c>
      <c r="J333" s="21">
        <f t="shared" si="65"/>
        <v>11335</v>
      </c>
      <c r="K333" s="21">
        <f t="shared" si="66"/>
        <v>16153.060000000001</v>
      </c>
      <c r="L333" s="21">
        <f t="shared" si="67"/>
        <v>29422</v>
      </c>
      <c r="M333" s="21">
        <f t="shared" si="68"/>
        <v>47509</v>
      </c>
      <c r="N333" s="904">
        <f t="shared" si="69"/>
        <v>862</v>
      </c>
      <c r="O333" s="21"/>
      <c r="P333" s="22" t="s">
        <v>2</v>
      </c>
      <c r="Q333" s="22">
        <v>0.63</v>
      </c>
      <c r="R333" s="904" t="s">
        <v>42</v>
      </c>
      <c r="S333" s="904" t="str">
        <f t="shared" si="70"/>
        <v>Stove</v>
      </c>
      <c r="T333" s="23">
        <f t="shared" si="71"/>
        <v>0.1396746399447642</v>
      </c>
      <c r="U333" s="23">
        <f t="shared" si="72"/>
        <v>0.4108077645434241</v>
      </c>
      <c r="V333" s="23">
        <f t="shared" si="72"/>
        <v>0.22553879644945285</v>
      </c>
      <c r="W333" s="23">
        <f t="shared" si="73"/>
        <v>0.58542589052808136</v>
      </c>
      <c r="X333" s="904">
        <f t="shared" si="74"/>
        <v>186</v>
      </c>
      <c r="Y333" s="904">
        <f t="shared" si="74"/>
        <v>197</v>
      </c>
      <c r="Z333" s="904">
        <f t="shared" si="74"/>
        <v>192</v>
      </c>
      <c r="AA333" s="904">
        <f t="shared" si="62"/>
        <v>282</v>
      </c>
      <c r="AB333" s="24">
        <v>59</v>
      </c>
    </row>
    <row r="334" spans="1:28" x14ac:dyDescent="0.25">
      <c r="A334" s="19"/>
      <c r="B334" s="16" t="s">
        <v>718</v>
      </c>
      <c r="C334" s="17" t="s">
        <v>738</v>
      </c>
      <c r="D334" s="18">
        <v>2.9</v>
      </c>
      <c r="E334" s="19">
        <v>295</v>
      </c>
      <c r="F334" s="903">
        <v>96</v>
      </c>
      <c r="G334" s="19" t="s">
        <v>739</v>
      </c>
      <c r="H334" s="904">
        <f t="shared" si="63"/>
        <v>6</v>
      </c>
      <c r="I334" s="904">
        <f t="shared" si="64"/>
        <v>11</v>
      </c>
      <c r="J334" s="21">
        <f t="shared" si="65"/>
        <v>11370</v>
      </c>
      <c r="K334" s="21">
        <f t="shared" si="66"/>
        <v>11370</v>
      </c>
      <c r="L334" s="21">
        <f t="shared" si="67"/>
        <v>20155</v>
      </c>
      <c r="M334" s="21">
        <f t="shared" si="68"/>
        <v>28940</v>
      </c>
      <c r="N334" s="904">
        <f t="shared" si="69"/>
        <v>340</v>
      </c>
      <c r="O334" s="21"/>
      <c r="P334" s="22" t="s">
        <v>2</v>
      </c>
      <c r="Q334" s="22">
        <v>0.63</v>
      </c>
      <c r="R334" s="904" t="s">
        <v>42</v>
      </c>
      <c r="S334" s="904" t="str">
        <f t="shared" si="70"/>
        <v>Stove</v>
      </c>
      <c r="T334" s="23">
        <f t="shared" si="71"/>
        <v>0.22091562059311426</v>
      </c>
      <c r="U334" s="23">
        <f t="shared" si="72"/>
        <v>0.56229534388432068</v>
      </c>
      <c r="V334" s="23">
        <f t="shared" si="72"/>
        <v>0.3172065522185426</v>
      </c>
      <c r="W334" s="23">
        <f t="shared" si="73"/>
        <v>0.56229534388432068</v>
      </c>
      <c r="X334" s="904">
        <f t="shared" si="74"/>
        <v>464</v>
      </c>
      <c r="Y334" s="904">
        <f t="shared" si="74"/>
        <v>381</v>
      </c>
      <c r="Z334" s="904">
        <f t="shared" si="74"/>
        <v>407</v>
      </c>
      <c r="AA334" s="904">
        <f t="shared" si="62"/>
        <v>260</v>
      </c>
      <c r="AB334" s="24">
        <v>160</v>
      </c>
    </row>
    <row r="335" spans="1:28" x14ac:dyDescent="0.25">
      <c r="A335" s="903"/>
      <c r="B335" t="s">
        <v>718</v>
      </c>
      <c r="C335" s="906" t="s">
        <v>740</v>
      </c>
      <c r="D335" s="25">
        <v>4.3</v>
      </c>
      <c r="E335" s="903">
        <v>635</v>
      </c>
      <c r="F335" s="903">
        <v>318</v>
      </c>
      <c r="G335" s="903" t="s">
        <v>741</v>
      </c>
      <c r="H335" s="904">
        <f t="shared" si="63"/>
        <v>6</v>
      </c>
      <c r="I335" s="904">
        <f t="shared" si="64"/>
        <v>11</v>
      </c>
      <c r="J335" s="21">
        <f t="shared" si="65"/>
        <v>10500</v>
      </c>
      <c r="K335" s="21">
        <f t="shared" si="66"/>
        <v>10500</v>
      </c>
      <c r="L335" s="21">
        <f t="shared" si="67"/>
        <v>19900</v>
      </c>
      <c r="M335" s="21">
        <f t="shared" si="68"/>
        <v>29300</v>
      </c>
      <c r="N335" s="904">
        <f t="shared" si="69"/>
        <v>311</v>
      </c>
      <c r="O335" s="21"/>
      <c r="P335" s="22" t="s">
        <v>2</v>
      </c>
      <c r="Q335" s="22">
        <v>0.63</v>
      </c>
      <c r="R335" s="904" t="s">
        <v>42</v>
      </c>
      <c r="S335" s="904" t="str">
        <f t="shared" si="70"/>
        <v>Stove</v>
      </c>
      <c r="T335" s="23">
        <f t="shared" si="71"/>
        <v>0.3235398571007217</v>
      </c>
      <c r="U335" s="23">
        <f t="shared" si="72"/>
        <v>0.90283026790963294</v>
      </c>
      <c r="V335" s="23">
        <f t="shared" si="72"/>
        <v>0.47636772929905258</v>
      </c>
      <c r="W335" s="23">
        <f t="shared" si="73"/>
        <v>0.90283026790963294</v>
      </c>
      <c r="X335" s="904">
        <f t="shared" si="74"/>
        <v>721</v>
      </c>
      <c r="Y335" s="904">
        <f t="shared" si="74"/>
        <v>744</v>
      </c>
      <c r="Z335" s="904">
        <f t="shared" si="74"/>
        <v>710</v>
      </c>
      <c r="AA335" s="904">
        <f t="shared" si="62"/>
        <v>649</v>
      </c>
      <c r="AB335" s="24">
        <v>418</v>
      </c>
    </row>
    <row r="336" spans="1:28" x14ac:dyDescent="0.25">
      <c r="A336" s="903"/>
      <c r="B336" t="s">
        <v>718</v>
      </c>
      <c r="C336" s="906" t="s">
        <v>742</v>
      </c>
      <c r="D336" s="25">
        <v>2.4</v>
      </c>
      <c r="E336" s="903">
        <v>196</v>
      </c>
      <c r="F336" s="903">
        <v>56</v>
      </c>
      <c r="G336" s="903" t="s">
        <v>743</v>
      </c>
      <c r="H336" s="904">
        <f t="shared" si="63"/>
        <v>6</v>
      </c>
      <c r="I336" s="904">
        <f t="shared" si="64"/>
        <v>11</v>
      </c>
      <c r="J336" s="21">
        <f t="shared" si="65"/>
        <v>10500</v>
      </c>
      <c r="K336" s="21">
        <f t="shared" si="66"/>
        <v>14110.000000000002</v>
      </c>
      <c r="L336" s="21">
        <f t="shared" si="67"/>
        <v>26000</v>
      </c>
      <c r="M336" s="21">
        <f t="shared" si="68"/>
        <v>41500</v>
      </c>
      <c r="N336" s="904">
        <f t="shared" si="69"/>
        <v>752</v>
      </c>
      <c r="O336" s="21"/>
      <c r="P336" s="22" t="s">
        <v>2</v>
      </c>
      <c r="Q336" s="22">
        <v>0.63</v>
      </c>
      <c r="R336" s="904" t="s">
        <v>42</v>
      </c>
      <c r="S336" s="904" t="str">
        <f t="shared" si="70"/>
        <v>Stove</v>
      </c>
      <c r="T336" s="23">
        <f t="shared" si="71"/>
        <v>0.12749410339771786</v>
      </c>
      <c r="U336" s="23">
        <f t="shared" si="72"/>
        <v>0.37498265705211131</v>
      </c>
      <c r="V336" s="23">
        <f t="shared" si="72"/>
        <v>0.20350020350020351</v>
      </c>
      <c r="W336" s="23">
        <f t="shared" si="73"/>
        <v>0.5039052658100277</v>
      </c>
      <c r="X336" s="904">
        <f t="shared" si="74"/>
        <v>167</v>
      </c>
      <c r="Y336" s="904">
        <f t="shared" si="74"/>
        <v>174</v>
      </c>
      <c r="Z336" s="904">
        <f t="shared" si="74"/>
        <v>172</v>
      </c>
      <c r="AA336" s="904">
        <f t="shared" si="62"/>
        <v>192</v>
      </c>
      <c r="AB336" s="24">
        <v>50</v>
      </c>
    </row>
    <row r="337" spans="1:28" x14ac:dyDescent="0.25">
      <c r="A337" s="903"/>
      <c r="B337" t="s">
        <v>718</v>
      </c>
      <c r="C337" s="906" t="s">
        <v>744</v>
      </c>
      <c r="D337" s="25">
        <v>2.1</v>
      </c>
      <c r="E337" s="903">
        <v>145</v>
      </c>
      <c r="F337" s="903">
        <v>37</v>
      </c>
      <c r="G337" s="903" t="s">
        <v>745</v>
      </c>
      <c r="H337" s="904">
        <f t="shared" si="63"/>
        <v>6</v>
      </c>
      <c r="I337" s="904">
        <f t="shared" si="64"/>
        <v>11</v>
      </c>
      <c r="J337" s="21">
        <f t="shared" si="65"/>
        <v>11800</v>
      </c>
      <c r="K337" s="21">
        <f t="shared" si="66"/>
        <v>11800</v>
      </c>
      <c r="L337" s="21">
        <f t="shared" si="67"/>
        <v>22100</v>
      </c>
      <c r="M337" s="21">
        <f t="shared" si="68"/>
        <v>32400</v>
      </c>
      <c r="N337" s="904">
        <f t="shared" si="69"/>
        <v>485</v>
      </c>
      <c r="O337" s="21"/>
      <c r="P337" s="22" t="s">
        <v>2</v>
      </c>
      <c r="Q337" s="22">
        <v>0.63</v>
      </c>
      <c r="R337" s="904" t="s">
        <v>42</v>
      </c>
      <c r="S337" s="904" t="str">
        <f t="shared" si="70"/>
        <v>Stove</v>
      </c>
      <c r="T337" s="23">
        <f t="shared" si="71"/>
        <v>0.14288980338363055</v>
      </c>
      <c r="U337" s="23">
        <f t="shared" si="72"/>
        <v>0.39234149403640928</v>
      </c>
      <c r="V337" s="23">
        <f t="shared" si="72"/>
        <v>0.20948550360315066</v>
      </c>
      <c r="W337" s="23">
        <f t="shared" si="73"/>
        <v>0.39234149403640928</v>
      </c>
      <c r="X337" s="904">
        <f t="shared" si="74"/>
        <v>193</v>
      </c>
      <c r="Y337" s="904">
        <f t="shared" si="74"/>
        <v>187</v>
      </c>
      <c r="Z337" s="904">
        <f t="shared" si="74"/>
        <v>175</v>
      </c>
      <c r="AA337" s="904">
        <f t="shared" si="62"/>
        <v>107</v>
      </c>
      <c r="AB337" s="24">
        <v>54</v>
      </c>
    </row>
    <row r="338" spans="1:28" x14ac:dyDescent="0.25">
      <c r="A338" s="903"/>
      <c r="B338" t="s">
        <v>718</v>
      </c>
      <c r="C338" s="906" t="s">
        <v>746</v>
      </c>
      <c r="D338" s="25">
        <v>3.6</v>
      </c>
      <c r="E338" s="903">
        <v>467</v>
      </c>
      <c r="F338" s="903">
        <v>207</v>
      </c>
      <c r="G338" s="903" t="s">
        <v>747</v>
      </c>
      <c r="H338" s="904">
        <f t="shared" si="63"/>
        <v>5</v>
      </c>
      <c r="I338" s="904">
        <f t="shared" si="64"/>
        <v>10</v>
      </c>
      <c r="J338" s="21">
        <f t="shared" si="65"/>
        <v>9200</v>
      </c>
      <c r="K338" s="21">
        <f t="shared" si="66"/>
        <v>9200</v>
      </c>
      <c r="L338" s="21">
        <f t="shared" si="67"/>
        <v>17300</v>
      </c>
      <c r="M338" s="21">
        <f t="shared" si="68"/>
        <v>25400</v>
      </c>
      <c r="N338" s="904">
        <f t="shared" si="69"/>
        <v>110</v>
      </c>
      <c r="O338" s="21"/>
      <c r="P338" s="22" t="s">
        <v>2</v>
      </c>
      <c r="Q338" s="22">
        <v>0.63</v>
      </c>
      <c r="R338" s="904" t="s">
        <v>42</v>
      </c>
      <c r="S338" s="904" t="str">
        <f t="shared" si="70"/>
        <v>Stove</v>
      </c>
      <c r="T338" s="23">
        <f t="shared" si="71"/>
        <v>0.31246094238220223</v>
      </c>
      <c r="U338" s="23">
        <f t="shared" si="72"/>
        <v>0.86266390614216704</v>
      </c>
      <c r="V338" s="23">
        <f t="shared" si="72"/>
        <v>0.45875768419121021</v>
      </c>
      <c r="W338" s="23">
        <f t="shared" si="73"/>
        <v>0.86266390614216704</v>
      </c>
      <c r="X338" s="904">
        <f t="shared" si="74"/>
        <v>700</v>
      </c>
      <c r="Y338" s="904">
        <f t="shared" si="74"/>
        <v>714</v>
      </c>
      <c r="Z338" s="904">
        <f t="shared" si="74"/>
        <v>681</v>
      </c>
      <c r="AA338" s="904">
        <f t="shared" si="62"/>
        <v>607</v>
      </c>
      <c r="AB338" s="24">
        <v>395</v>
      </c>
    </row>
    <row r="339" spans="1:28" x14ac:dyDescent="0.25">
      <c r="A339" s="903"/>
      <c r="B339" t="s">
        <v>718</v>
      </c>
      <c r="C339" s="906" t="s">
        <v>748</v>
      </c>
      <c r="D339" s="25">
        <v>3</v>
      </c>
      <c r="E339" s="903">
        <v>322</v>
      </c>
      <c r="F339" s="903">
        <v>117</v>
      </c>
      <c r="G339" s="903" t="s">
        <v>749</v>
      </c>
      <c r="H339" s="904">
        <f t="shared" si="63"/>
        <v>6</v>
      </c>
      <c r="I339" s="904">
        <f t="shared" si="64"/>
        <v>11</v>
      </c>
      <c r="J339" s="21">
        <f t="shared" si="65"/>
        <v>10600</v>
      </c>
      <c r="K339" s="21">
        <f t="shared" si="66"/>
        <v>10600</v>
      </c>
      <c r="L339" s="21">
        <f t="shared" si="67"/>
        <v>19450</v>
      </c>
      <c r="M339" s="21">
        <f t="shared" si="68"/>
        <v>28300</v>
      </c>
      <c r="N339" s="904">
        <f t="shared" si="69"/>
        <v>271</v>
      </c>
      <c r="O339" s="21"/>
      <c r="P339" s="22" t="s">
        <v>2</v>
      </c>
      <c r="Q339" s="22">
        <v>0.63</v>
      </c>
      <c r="R339" s="904" t="s">
        <v>42</v>
      </c>
      <c r="S339" s="904" t="str">
        <f t="shared" si="70"/>
        <v>Stove</v>
      </c>
      <c r="T339" s="23">
        <f t="shared" si="71"/>
        <v>0.23370164712920896</v>
      </c>
      <c r="U339" s="23">
        <f t="shared" si="72"/>
        <v>0.62393930318458624</v>
      </c>
      <c r="V339" s="23">
        <f t="shared" si="72"/>
        <v>0.34003890045021151</v>
      </c>
      <c r="W339" s="23">
        <f t="shared" si="73"/>
        <v>0.62393930318458624</v>
      </c>
      <c r="X339" s="904">
        <f t="shared" si="74"/>
        <v>510</v>
      </c>
      <c r="Y339" s="904">
        <f t="shared" si="74"/>
        <v>460</v>
      </c>
      <c r="Z339" s="904">
        <f t="shared" si="74"/>
        <v>466</v>
      </c>
      <c r="AA339" s="904">
        <f t="shared" si="62"/>
        <v>309</v>
      </c>
      <c r="AB339" s="24">
        <v>202</v>
      </c>
    </row>
    <row r="340" spans="1:28" x14ac:dyDescent="0.25">
      <c r="A340" s="903"/>
      <c r="B340" t="s">
        <v>718</v>
      </c>
      <c r="C340" s="906" t="s">
        <v>750</v>
      </c>
      <c r="D340" s="25">
        <v>2.5499999999999998</v>
      </c>
      <c r="E340" s="903">
        <v>233</v>
      </c>
      <c r="F340" s="903">
        <v>64</v>
      </c>
      <c r="G340" s="903" t="s">
        <v>751</v>
      </c>
      <c r="H340" s="904">
        <f t="shared" si="63"/>
        <v>6</v>
      </c>
      <c r="I340" s="904">
        <f t="shared" si="64"/>
        <v>11</v>
      </c>
      <c r="J340" s="21">
        <f t="shared" si="65"/>
        <v>11455</v>
      </c>
      <c r="K340" s="21">
        <f t="shared" si="66"/>
        <v>11455</v>
      </c>
      <c r="L340" s="21">
        <f t="shared" si="67"/>
        <v>20378</v>
      </c>
      <c r="M340" s="21">
        <f t="shared" si="68"/>
        <v>29301</v>
      </c>
      <c r="N340" s="904">
        <f t="shared" si="69"/>
        <v>353</v>
      </c>
      <c r="O340" s="21"/>
      <c r="P340" s="22" t="s">
        <v>2</v>
      </c>
      <c r="Q340" s="22">
        <v>0.63</v>
      </c>
      <c r="R340" s="904" t="s">
        <v>42</v>
      </c>
      <c r="S340" s="904" t="str">
        <f t="shared" si="70"/>
        <v>Stove</v>
      </c>
      <c r="T340" s="23">
        <f t="shared" si="71"/>
        <v>0.19186011131678513</v>
      </c>
      <c r="U340" s="23">
        <f t="shared" si="72"/>
        <v>0.49076325811376009</v>
      </c>
      <c r="V340" s="23">
        <f t="shared" si="72"/>
        <v>0.27587069985735213</v>
      </c>
      <c r="W340" s="23">
        <f t="shared" si="73"/>
        <v>0.49076325811376009</v>
      </c>
      <c r="X340" s="904">
        <f t="shared" si="74"/>
        <v>356</v>
      </c>
      <c r="Y340" s="904">
        <f t="shared" si="74"/>
        <v>285</v>
      </c>
      <c r="Z340" s="904">
        <f t="shared" si="74"/>
        <v>294</v>
      </c>
      <c r="AA340" s="904">
        <f t="shared" si="62"/>
        <v>179</v>
      </c>
      <c r="AB340" s="24">
        <v>98</v>
      </c>
    </row>
    <row r="341" spans="1:28" x14ac:dyDescent="0.25">
      <c r="A341" s="903" t="s">
        <v>77</v>
      </c>
      <c r="B341" t="s">
        <v>752</v>
      </c>
      <c r="C341" s="906" t="s">
        <v>753</v>
      </c>
      <c r="D341" s="25">
        <v>4</v>
      </c>
      <c r="E341" s="903">
        <v>571</v>
      </c>
      <c r="F341" s="903">
        <v>270</v>
      </c>
      <c r="G341" s="903" t="s">
        <v>754</v>
      </c>
      <c r="H341" s="904">
        <f t="shared" si="63"/>
        <v>6</v>
      </c>
      <c r="I341" s="904">
        <f t="shared" si="64"/>
        <v>11</v>
      </c>
      <c r="J341" s="21">
        <f t="shared" si="65"/>
        <v>11300</v>
      </c>
      <c r="K341" s="21">
        <f t="shared" si="66"/>
        <v>12172</v>
      </c>
      <c r="L341" s="21">
        <f t="shared" si="67"/>
        <v>23550</v>
      </c>
      <c r="M341" s="21">
        <f t="shared" si="68"/>
        <v>35800</v>
      </c>
      <c r="N341" s="904">
        <f t="shared" si="69"/>
        <v>594</v>
      </c>
      <c r="O341" s="21"/>
      <c r="P341" s="22" t="s">
        <v>2</v>
      </c>
      <c r="Q341" s="22">
        <v>0.63</v>
      </c>
      <c r="R341" s="904" t="s">
        <v>42</v>
      </c>
      <c r="S341" s="904" t="str">
        <f t="shared" si="70"/>
        <v>Stove</v>
      </c>
      <c r="T341" s="23">
        <f t="shared" si="71"/>
        <v>0.24632240647138226</v>
      </c>
      <c r="U341" s="23">
        <f t="shared" si="72"/>
        <v>0.7244776660923008</v>
      </c>
      <c r="V341" s="23">
        <f t="shared" si="72"/>
        <v>0.3744518960371756</v>
      </c>
      <c r="W341" s="23">
        <f t="shared" si="73"/>
        <v>0.78038426121021987</v>
      </c>
      <c r="X341" s="904">
        <f t="shared" si="74"/>
        <v>547</v>
      </c>
      <c r="Y341" s="904">
        <f t="shared" si="74"/>
        <v>590</v>
      </c>
      <c r="Z341" s="904">
        <f t="shared" si="74"/>
        <v>555</v>
      </c>
      <c r="AA341" s="904">
        <f t="shared" si="62"/>
        <v>504</v>
      </c>
      <c r="AB341" s="24">
        <v>296</v>
      </c>
    </row>
    <row r="342" spans="1:28" x14ac:dyDescent="0.25">
      <c r="A342" s="903" t="s">
        <v>77</v>
      </c>
      <c r="B342" t="s">
        <v>755</v>
      </c>
      <c r="C342" s="906" t="s">
        <v>756</v>
      </c>
      <c r="D342" s="25">
        <v>5.7</v>
      </c>
      <c r="E342" s="903">
        <v>824</v>
      </c>
      <c r="F342" s="903">
        <v>84</v>
      </c>
      <c r="G342" s="903" t="s">
        <v>505</v>
      </c>
      <c r="H342" s="904">
        <f t="shared" si="63"/>
        <v>6</v>
      </c>
      <c r="I342" s="904">
        <f t="shared" si="64"/>
        <v>11</v>
      </c>
      <c r="J342" s="21">
        <f t="shared" si="65"/>
        <v>11200</v>
      </c>
      <c r="K342" s="21">
        <f t="shared" si="66"/>
        <v>14518.000000000002</v>
      </c>
      <c r="L342" s="21">
        <f t="shared" si="67"/>
        <v>26950</v>
      </c>
      <c r="M342" s="21">
        <f t="shared" si="68"/>
        <v>42700</v>
      </c>
      <c r="N342" s="904">
        <f t="shared" si="69"/>
        <v>789</v>
      </c>
      <c r="O342" s="21"/>
      <c r="P342" s="22" t="s">
        <v>2</v>
      </c>
      <c r="Q342" s="22">
        <v>0.78</v>
      </c>
      <c r="R342" s="904" t="s">
        <v>15</v>
      </c>
      <c r="S342" s="904" t="str">
        <f t="shared" si="70"/>
        <v>Stove</v>
      </c>
      <c r="T342" s="23">
        <f t="shared" si="71"/>
        <v>0.29428893597511863</v>
      </c>
      <c r="U342" s="23">
        <f t="shared" si="72"/>
        <v>0.86555569404446653</v>
      </c>
      <c r="V342" s="23">
        <f t="shared" si="72"/>
        <v>0.46627597648005809</v>
      </c>
      <c r="W342" s="23">
        <f t="shared" si="73"/>
        <v>1.1219765684051399</v>
      </c>
      <c r="X342" s="904">
        <f t="shared" si="74"/>
        <v>658</v>
      </c>
      <c r="Y342" s="904">
        <f t="shared" si="74"/>
        <v>716</v>
      </c>
      <c r="Z342" s="904">
        <f t="shared" si="74"/>
        <v>695</v>
      </c>
      <c r="AA342" s="904">
        <f t="shared" si="62"/>
        <v>798</v>
      </c>
      <c r="AB342" s="24">
        <v>80</v>
      </c>
    </row>
    <row r="343" spans="1:28" x14ac:dyDescent="0.25">
      <c r="A343" s="903" t="s">
        <v>77</v>
      </c>
      <c r="B343" t="s">
        <v>755</v>
      </c>
      <c r="C343" s="906" t="s">
        <v>757</v>
      </c>
      <c r="D343" s="25">
        <v>4.46</v>
      </c>
      <c r="E343" s="903">
        <v>697</v>
      </c>
      <c r="F343" s="903">
        <v>373</v>
      </c>
      <c r="G343" s="903" t="s">
        <v>758</v>
      </c>
      <c r="H343" s="904">
        <f t="shared" si="63"/>
        <v>6</v>
      </c>
      <c r="I343" s="904">
        <f t="shared" si="64"/>
        <v>11</v>
      </c>
      <c r="J343" s="21">
        <f t="shared" si="65"/>
        <v>11500</v>
      </c>
      <c r="K343" s="21">
        <f t="shared" si="66"/>
        <v>15096.000000000002</v>
      </c>
      <c r="L343" s="21">
        <f t="shared" si="67"/>
        <v>27950</v>
      </c>
      <c r="M343" s="21">
        <f t="shared" si="68"/>
        <v>44400</v>
      </c>
      <c r="N343" s="904">
        <f t="shared" si="69"/>
        <v>827</v>
      </c>
      <c r="O343" s="21"/>
      <c r="P343" s="22" t="s">
        <v>2</v>
      </c>
      <c r="Q343" s="22">
        <v>0.63</v>
      </c>
      <c r="R343" s="904" t="s">
        <v>42</v>
      </c>
      <c r="S343" s="904" t="str">
        <f t="shared" si="70"/>
        <v>Stove</v>
      </c>
      <c r="T343" s="23">
        <f t="shared" si="71"/>
        <v>0.22145161034049923</v>
      </c>
      <c r="U343" s="23">
        <f t="shared" si="72"/>
        <v>0.65132826570735058</v>
      </c>
      <c r="V343" s="23">
        <f t="shared" si="72"/>
        <v>0.35178717349259986</v>
      </c>
      <c r="W343" s="23">
        <f t="shared" si="73"/>
        <v>0.85499578253201447</v>
      </c>
      <c r="X343" s="904">
        <f t="shared" si="74"/>
        <v>469</v>
      </c>
      <c r="Y343" s="904">
        <f t="shared" si="74"/>
        <v>502</v>
      </c>
      <c r="Z343" s="904">
        <f t="shared" si="74"/>
        <v>493</v>
      </c>
      <c r="AA343" s="904">
        <f t="shared" si="62"/>
        <v>603</v>
      </c>
      <c r="AB343" s="24">
        <v>239</v>
      </c>
    </row>
    <row r="344" spans="1:28" x14ac:dyDescent="0.25">
      <c r="A344" s="903" t="s">
        <v>77</v>
      </c>
      <c r="B344" t="s">
        <v>759</v>
      </c>
      <c r="C344" s="906" t="s">
        <v>760</v>
      </c>
      <c r="D344" s="25">
        <v>4.5999999999999996</v>
      </c>
      <c r="E344" s="903">
        <v>721</v>
      </c>
      <c r="F344" s="903">
        <v>392</v>
      </c>
      <c r="G344" s="903" t="s">
        <v>761</v>
      </c>
      <c r="H344" s="904">
        <f t="shared" si="63"/>
        <v>6</v>
      </c>
      <c r="I344" s="904">
        <f t="shared" si="64"/>
        <v>11</v>
      </c>
      <c r="J344" s="21">
        <f t="shared" si="65"/>
        <v>11000</v>
      </c>
      <c r="K344" s="21">
        <f t="shared" si="66"/>
        <v>11016</v>
      </c>
      <c r="L344" s="21">
        <f t="shared" si="67"/>
        <v>21700</v>
      </c>
      <c r="M344" s="21">
        <f t="shared" si="68"/>
        <v>32400</v>
      </c>
      <c r="N344" s="904">
        <f t="shared" si="69"/>
        <v>444</v>
      </c>
      <c r="O344" s="21"/>
      <c r="P344" s="22" t="s">
        <v>2</v>
      </c>
      <c r="Q344" s="22">
        <v>0.63</v>
      </c>
      <c r="R344" s="904" t="s">
        <v>42</v>
      </c>
      <c r="S344" s="904" t="str">
        <f t="shared" si="70"/>
        <v>Stove</v>
      </c>
      <c r="T344" s="23">
        <f t="shared" si="71"/>
        <v>0.31299671217366692</v>
      </c>
      <c r="U344" s="23">
        <f t="shared" si="72"/>
        <v>0.92057856521666726</v>
      </c>
      <c r="V344" s="23">
        <f t="shared" si="72"/>
        <v>0.46733149651736439</v>
      </c>
      <c r="W344" s="23">
        <f t="shared" si="73"/>
        <v>0.92191758858425521</v>
      </c>
      <c r="X344" s="904">
        <f t="shared" si="74"/>
        <v>702</v>
      </c>
      <c r="Y344" s="904">
        <f t="shared" si="74"/>
        <v>761</v>
      </c>
      <c r="Z344" s="904">
        <f t="shared" si="74"/>
        <v>700</v>
      </c>
      <c r="AA344" s="904">
        <f t="shared" si="62"/>
        <v>664</v>
      </c>
      <c r="AB344" s="24">
        <v>431</v>
      </c>
    </row>
    <row r="345" spans="1:28" x14ac:dyDescent="0.25">
      <c r="A345" s="903" t="s">
        <v>77</v>
      </c>
      <c r="B345" t="s">
        <v>759</v>
      </c>
      <c r="C345" s="906" t="s">
        <v>762</v>
      </c>
      <c r="D345" s="25">
        <v>3.2</v>
      </c>
      <c r="E345" s="903">
        <v>376</v>
      </c>
      <c r="F345" s="903">
        <v>162</v>
      </c>
      <c r="G345" s="903" t="s">
        <v>763</v>
      </c>
      <c r="H345" s="904">
        <f t="shared" si="63"/>
        <v>6</v>
      </c>
      <c r="I345" s="904">
        <f t="shared" si="64"/>
        <v>11</v>
      </c>
      <c r="J345" s="21">
        <f t="shared" si="65"/>
        <v>11300</v>
      </c>
      <c r="K345" s="21">
        <f t="shared" si="66"/>
        <v>11300</v>
      </c>
      <c r="L345" s="21">
        <f t="shared" si="67"/>
        <v>21850</v>
      </c>
      <c r="M345" s="21">
        <f t="shared" si="68"/>
        <v>32400</v>
      </c>
      <c r="N345" s="904">
        <f t="shared" si="69"/>
        <v>458</v>
      </c>
      <c r="O345" s="21"/>
      <c r="P345" s="22" t="s">
        <v>2</v>
      </c>
      <c r="Q345" s="22">
        <v>0.72</v>
      </c>
      <c r="R345" s="904" t="s">
        <v>38</v>
      </c>
      <c r="S345" s="904" t="str">
        <f t="shared" si="70"/>
        <v>Stove</v>
      </c>
      <c r="T345" s="23">
        <f t="shared" si="71"/>
        <v>0.21773684325124654</v>
      </c>
      <c r="U345" s="23">
        <f t="shared" si="72"/>
        <v>0.62430740896817594</v>
      </c>
      <c r="V345" s="23">
        <f t="shared" si="72"/>
        <v>0.32286836253274087</v>
      </c>
      <c r="W345" s="23">
        <f t="shared" si="73"/>
        <v>0.62430740896817594</v>
      </c>
      <c r="X345" s="904">
        <f t="shared" si="74"/>
        <v>452</v>
      </c>
      <c r="Y345" s="904">
        <f t="shared" si="74"/>
        <v>461</v>
      </c>
      <c r="Z345" s="904">
        <f t="shared" si="74"/>
        <v>420</v>
      </c>
      <c r="AA345" s="904">
        <f t="shared" si="62"/>
        <v>311</v>
      </c>
      <c r="AB345" s="24">
        <v>185</v>
      </c>
    </row>
    <row r="346" spans="1:28" x14ac:dyDescent="0.25">
      <c r="A346" s="903" t="s">
        <v>77</v>
      </c>
      <c r="B346" t="s">
        <v>759</v>
      </c>
      <c r="C346" s="906" t="s">
        <v>764</v>
      </c>
      <c r="D346" s="25">
        <v>4.9000000000000004</v>
      </c>
      <c r="E346" s="903">
        <v>746</v>
      </c>
      <c r="F346" s="903">
        <v>407</v>
      </c>
      <c r="G346" s="903" t="s">
        <v>765</v>
      </c>
      <c r="H346" s="904">
        <f t="shared" si="63"/>
        <v>5</v>
      </c>
      <c r="I346" s="904">
        <f t="shared" si="64"/>
        <v>10</v>
      </c>
      <c r="J346" s="21">
        <f t="shared" si="65"/>
        <v>9500</v>
      </c>
      <c r="K346" s="21">
        <f t="shared" si="66"/>
        <v>12444</v>
      </c>
      <c r="L346" s="21">
        <f t="shared" si="67"/>
        <v>23050</v>
      </c>
      <c r="M346" s="21">
        <f t="shared" si="68"/>
        <v>36600</v>
      </c>
      <c r="N346" s="904">
        <f t="shared" si="69"/>
        <v>556</v>
      </c>
      <c r="O346" s="21"/>
      <c r="P346" s="22" t="s">
        <v>2</v>
      </c>
      <c r="Q346" s="22">
        <v>0.63</v>
      </c>
      <c r="R346" s="904" t="s">
        <v>42</v>
      </c>
      <c r="S346" s="904" t="str">
        <f t="shared" si="70"/>
        <v>Stove</v>
      </c>
      <c r="T346" s="23">
        <f t="shared" si="71"/>
        <v>0.29514942993995819</v>
      </c>
      <c r="U346" s="23">
        <f t="shared" si="72"/>
        <v>0.86808655864693574</v>
      </c>
      <c r="V346" s="23">
        <f t="shared" si="72"/>
        <v>0.46865375860314401</v>
      </c>
      <c r="W346" s="23">
        <f t="shared" si="73"/>
        <v>1.1371020142949968</v>
      </c>
      <c r="X346" s="904">
        <f t="shared" si="74"/>
        <v>662</v>
      </c>
      <c r="Y346" s="904">
        <f t="shared" si="74"/>
        <v>720</v>
      </c>
      <c r="Z346" s="904">
        <f t="shared" si="74"/>
        <v>703</v>
      </c>
      <c r="AA346" s="904">
        <f t="shared" si="62"/>
        <v>803</v>
      </c>
      <c r="AB346" s="24">
        <v>400</v>
      </c>
    </row>
    <row r="347" spans="1:28" x14ac:dyDescent="0.25">
      <c r="A347" s="903" t="s">
        <v>77</v>
      </c>
      <c r="B347" t="s">
        <v>759</v>
      </c>
      <c r="C347" s="906" t="s">
        <v>766</v>
      </c>
      <c r="D347" s="25">
        <v>8.1999999999999993</v>
      </c>
      <c r="E347" s="903">
        <v>956</v>
      </c>
      <c r="F347" s="903">
        <v>599</v>
      </c>
      <c r="G347" s="903" t="s">
        <v>767</v>
      </c>
      <c r="H347" s="904">
        <f t="shared" si="63"/>
        <v>6</v>
      </c>
      <c r="I347" s="904">
        <f t="shared" si="64"/>
        <v>11</v>
      </c>
      <c r="J347" s="21">
        <f t="shared" si="65"/>
        <v>12100</v>
      </c>
      <c r="K347" s="21">
        <f t="shared" si="66"/>
        <v>12100</v>
      </c>
      <c r="L347" s="21">
        <f t="shared" si="67"/>
        <v>20100</v>
      </c>
      <c r="M347" s="21">
        <f t="shared" si="68"/>
        <v>28100</v>
      </c>
      <c r="N347" s="904">
        <f t="shared" si="69"/>
        <v>328</v>
      </c>
      <c r="O347" s="21"/>
      <c r="P347" s="22" t="s">
        <v>2</v>
      </c>
      <c r="Q347" s="22">
        <v>0.63</v>
      </c>
      <c r="R347" s="904" t="s">
        <v>42</v>
      </c>
      <c r="S347" s="904" t="str">
        <f t="shared" si="70"/>
        <v>Stove</v>
      </c>
      <c r="T347" s="23">
        <f t="shared" si="71"/>
        <v>0.64333101106529333</v>
      </c>
      <c r="U347" s="23">
        <f t="shared" si="72"/>
        <v>1.4940166455317969</v>
      </c>
      <c r="V347" s="23">
        <f t="shared" si="72"/>
        <v>0.89938315477287278</v>
      </c>
      <c r="W347" s="23">
        <f t="shared" si="73"/>
        <v>1.4940166455317969</v>
      </c>
      <c r="X347" s="904">
        <f t="shared" si="74"/>
        <v>947</v>
      </c>
      <c r="Y347" s="904">
        <f t="shared" si="74"/>
        <v>943</v>
      </c>
      <c r="Z347" s="904">
        <f t="shared" si="74"/>
        <v>948</v>
      </c>
      <c r="AA347" s="904">
        <f t="shared" si="62"/>
        <v>921</v>
      </c>
      <c r="AB347" s="24">
        <v>588</v>
      </c>
    </row>
    <row r="348" spans="1:28" x14ac:dyDescent="0.25">
      <c r="A348" s="903" t="s">
        <v>77</v>
      </c>
      <c r="B348" t="s">
        <v>759</v>
      </c>
      <c r="C348" s="906" t="s">
        <v>768</v>
      </c>
      <c r="D348" s="25">
        <v>3</v>
      </c>
      <c r="E348" s="903">
        <v>322</v>
      </c>
      <c r="F348" s="903">
        <v>117</v>
      </c>
      <c r="G348" s="903" t="s">
        <v>769</v>
      </c>
      <c r="H348" s="904">
        <f t="shared" si="63"/>
        <v>6</v>
      </c>
      <c r="I348" s="904">
        <f t="shared" si="64"/>
        <v>11</v>
      </c>
      <c r="J348" s="21">
        <f t="shared" si="65"/>
        <v>11400</v>
      </c>
      <c r="K348" s="21">
        <f t="shared" si="66"/>
        <v>12376</v>
      </c>
      <c r="L348" s="21">
        <f t="shared" si="67"/>
        <v>23900</v>
      </c>
      <c r="M348" s="21">
        <f t="shared" si="68"/>
        <v>36400</v>
      </c>
      <c r="N348" s="904">
        <f t="shared" si="69"/>
        <v>623</v>
      </c>
      <c r="O348" s="21"/>
      <c r="P348" s="22" t="s">
        <v>2</v>
      </c>
      <c r="Q348" s="22">
        <v>0.63</v>
      </c>
      <c r="R348" s="904" t="s">
        <v>42</v>
      </c>
      <c r="S348" s="904" t="str">
        <f t="shared" si="70"/>
        <v>Stove</v>
      </c>
      <c r="T348" s="23">
        <f t="shared" si="71"/>
        <v>0.18169661026803885</v>
      </c>
      <c r="U348" s="23">
        <f t="shared" si="72"/>
        <v>0.53440179490599649</v>
      </c>
      <c r="V348" s="23">
        <f t="shared" si="72"/>
        <v>0.27672621814881226</v>
      </c>
      <c r="W348" s="23">
        <f t="shared" si="73"/>
        <v>0.58015408892601872</v>
      </c>
      <c r="X348" s="904">
        <f t="shared" si="74"/>
        <v>316</v>
      </c>
      <c r="Y348" s="904">
        <f t="shared" si="74"/>
        <v>340</v>
      </c>
      <c r="Z348" s="904">
        <f t="shared" si="74"/>
        <v>298</v>
      </c>
      <c r="AA348" s="904">
        <f t="shared" si="62"/>
        <v>272</v>
      </c>
      <c r="AB348" s="24">
        <v>135</v>
      </c>
    </row>
    <row r="349" spans="1:28" x14ac:dyDescent="0.25">
      <c r="A349" s="903" t="s">
        <v>77</v>
      </c>
      <c r="B349" t="s">
        <v>759</v>
      </c>
      <c r="C349" s="906" t="s">
        <v>770</v>
      </c>
      <c r="D349" s="25">
        <v>3.1</v>
      </c>
      <c r="E349" s="903">
        <v>347</v>
      </c>
      <c r="F349" s="903">
        <v>146</v>
      </c>
      <c r="G349" s="903" t="s">
        <v>771</v>
      </c>
      <c r="H349" s="904">
        <f t="shared" si="63"/>
        <v>6</v>
      </c>
      <c r="I349" s="904">
        <f t="shared" si="64"/>
        <v>11</v>
      </c>
      <c r="J349" s="21">
        <f t="shared" si="65"/>
        <v>10600</v>
      </c>
      <c r="K349" s="21">
        <f t="shared" si="66"/>
        <v>12750.000000000002</v>
      </c>
      <c r="L349" s="21">
        <f t="shared" si="67"/>
        <v>24050</v>
      </c>
      <c r="M349" s="21">
        <f t="shared" si="68"/>
        <v>37500</v>
      </c>
      <c r="N349" s="904">
        <f t="shared" si="69"/>
        <v>637</v>
      </c>
      <c r="O349" s="21"/>
      <c r="P349" s="22" t="s">
        <v>2</v>
      </c>
      <c r="Q349" s="22">
        <v>0.72</v>
      </c>
      <c r="R349" s="904" t="s">
        <v>38</v>
      </c>
      <c r="S349" s="904" t="str">
        <f t="shared" si="70"/>
        <v>Stove</v>
      </c>
      <c r="T349" s="23">
        <f t="shared" si="71"/>
        <v>0.18224573780129336</v>
      </c>
      <c r="U349" s="23">
        <f t="shared" si="72"/>
        <v>0.53601687588615687</v>
      </c>
      <c r="V349" s="23">
        <f t="shared" si="72"/>
        <v>0.28416695083361748</v>
      </c>
      <c r="W349" s="23">
        <f t="shared" si="73"/>
        <v>0.64473727995740571</v>
      </c>
      <c r="X349" s="904">
        <f t="shared" si="74"/>
        <v>317</v>
      </c>
      <c r="Y349" s="904">
        <f t="shared" si="74"/>
        <v>343</v>
      </c>
      <c r="Z349" s="904">
        <f t="shared" si="74"/>
        <v>316</v>
      </c>
      <c r="AA349" s="904">
        <f t="shared" si="62"/>
        <v>347</v>
      </c>
      <c r="AB349" s="24">
        <v>139</v>
      </c>
    </row>
    <row r="350" spans="1:28" x14ac:dyDescent="0.25">
      <c r="A350" s="903" t="s">
        <v>77</v>
      </c>
      <c r="B350" t="s">
        <v>772</v>
      </c>
      <c r="C350" s="906" t="s">
        <v>773</v>
      </c>
      <c r="D350" s="25">
        <v>3.9</v>
      </c>
      <c r="E350" s="903">
        <v>548</v>
      </c>
      <c r="F350" s="903">
        <v>253</v>
      </c>
      <c r="G350" s="903" t="s">
        <v>774</v>
      </c>
      <c r="H350" s="904">
        <f t="shared" si="63"/>
        <v>6</v>
      </c>
      <c r="I350" s="904">
        <f t="shared" si="64"/>
        <v>11</v>
      </c>
      <c r="J350" s="21">
        <f t="shared" si="65"/>
        <v>10000</v>
      </c>
      <c r="K350" s="21">
        <f t="shared" si="66"/>
        <v>10302</v>
      </c>
      <c r="L350" s="21">
        <f t="shared" si="67"/>
        <v>20150</v>
      </c>
      <c r="M350" s="21">
        <f t="shared" si="68"/>
        <v>30300</v>
      </c>
      <c r="N350" s="904">
        <f t="shared" si="69"/>
        <v>335</v>
      </c>
      <c r="O350" s="21"/>
      <c r="P350" s="22" t="s">
        <v>2</v>
      </c>
      <c r="Q350" s="22">
        <v>0.63</v>
      </c>
      <c r="R350" s="904" t="s">
        <v>42</v>
      </c>
      <c r="S350" s="904" t="str">
        <f t="shared" si="70"/>
        <v>Stove</v>
      </c>
      <c r="T350" s="23">
        <f t="shared" si="71"/>
        <v>0.28375853458361711</v>
      </c>
      <c r="U350" s="23">
        <f t="shared" si="72"/>
        <v>0.83458392524593261</v>
      </c>
      <c r="V350" s="23">
        <f t="shared" si="72"/>
        <v>0.42669397508107187</v>
      </c>
      <c r="W350" s="23">
        <f t="shared" si="73"/>
        <v>0.85978835978835977</v>
      </c>
      <c r="X350" s="904">
        <f t="shared" si="74"/>
        <v>640</v>
      </c>
      <c r="Y350" s="904">
        <f t="shared" si="74"/>
        <v>700</v>
      </c>
      <c r="Z350" s="904">
        <f t="shared" si="74"/>
        <v>639</v>
      </c>
      <c r="AA350" s="904">
        <f t="shared" si="62"/>
        <v>606</v>
      </c>
      <c r="AB350" s="24">
        <v>385</v>
      </c>
    </row>
    <row r="351" spans="1:28" x14ac:dyDescent="0.25">
      <c r="A351" s="903" t="s">
        <v>77</v>
      </c>
      <c r="B351" t="s">
        <v>775</v>
      </c>
      <c r="C351" s="906" t="s">
        <v>776</v>
      </c>
      <c r="D351" s="25">
        <v>3.6</v>
      </c>
      <c r="E351" s="903">
        <v>467</v>
      </c>
      <c r="F351" s="903">
        <v>207</v>
      </c>
      <c r="G351" s="903" t="s">
        <v>777</v>
      </c>
      <c r="H351" s="904">
        <f t="shared" si="63"/>
        <v>6</v>
      </c>
      <c r="I351" s="904">
        <f t="shared" si="64"/>
        <v>11</v>
      </c>
      <c r="J351" s="21">
        <f t="shared" si="65"/>
        <v>11370</v>
      </c>
      <c r="K351" s="21">
        <f t="shared" si="66"/>
        <v>11648.400000000001</v>
      </c>
      <c r="L351" s="21">
        <f t="shared" si="67"/>
        <v>22815</v>
      </c>
      <c r="M351" s="21">
        <f t="shared" si="68"/>
        <v>34260</v>
      </c>
      <c r="N351" s="904">
        <f t="shared" si="69"/>
        <v>534</v>
      </c>
      <c r="O351" s="21"/>
      <c r="P351" s="22" t="s">
        <v>2</v>
      </c>
      <c r="Q351" s="22">
        <v>0.63</v>
      </c>
      <c r="R351" s="904" t="s">
        <v>42</v>
      </c>
      <c r="S351" s="904" t="str">
        <f t="shared" si="70"/>
        <v>Stove</v>
      </c>
      <c r="T351" s="23">
        <f t="shared" si="71"/>
        <v>0.23165522289865548</v>
      </c>
      <c r="U351" s="23">
        <f t="shared" si="72"/>
        <v>0.68133889087839827</v>
      </c>
      <c r="V351" s="23">
        <f t="shared" si="72"/>
        <v>0.34786359572684361</v>
      </c>
      <c r="W351" s="23">
        <f t="shared" si="73"/>
        <v>0.69802180620122578</v>
      </c>
      <c r="X351" s="904">
        <f t="shared" si="74"/>
        <v>500</v>
      </c>
      <c r="Y351" s="904">
        <f t="shared" si="74"/>
        <v>542</v>
      </c>
      <c r="Z351" s="904">
        <f t="shared" si="74"/>
        <v>485</v>
      </c>
      <c r="AA351" s="904">
        <f t="shared" si="62"/>
        <v>415</v>
      </c>
      <c r="AB351" s="24">
        <v>264</v>
      </c>
    </row>
    <row r="352" spans="1:28" x14ac:dyDescent="0.25">
      <c r="A352" s="903"/>
      <c r="B352" s="26" t="s">
        <v>778</v>
      </c>
      <c r="C352" s="27" t="s">
        <v>779</v>
      </c>
      <c r="D352" s="28">
        <v>4.9000000000000004</v>
      </c>
      <c r="E352" s="29">
        <v>746</v>
      </c>
      <c r="F352" s="903">
        <v>407</v>
      </c>
      <c r="G352" s="29" t="s">
        <v>780</v>
      </c>
      <c r="H352" s="904">
        <f t="shared" si="63"/>
        <v>6</v>
      </c>
      <c r="I352" s="904">
        <f t="shared" si="64"/>
        <v>11</v>
      </c>
      <c r="J352" s="21">
        <f t="shared" si="65"/>
        <v>10500</v>
      </c>
      <c r="K352" s="21">
        <f t="shared" si="66"/>
        <v>10500</v>
      </c>
      <c r="L352" s="21">
        <f t="shared" si="67"/>
        <v>20500.5</v>
      </c>
      <c r="M352" s="21">
        <f t="shared" si="68"/>
        <v>30501</v>
      </c>
      <c r="N352" s="904">
        <f t="shared" si="69"/>
        <v>368</v>
      </c>
      <c r="O352" s="21"/>
      <c r="P352" s="22"/>
      <c r="Q352" s="22">
        <v>0.63</v>
      </c>
      <c r="R352" s="904" t="s">
        <v>42</v>
      </c>
      <c r="S352" s="904" t="str">
        <f t="shared" si="70"/>
        <v>Stove</v>
      </c>
      <c r="T352" s="23">
        <f t="shared" si="71"/>
        <v>0.35416770387208513</v>
      </c>
      <c r="U352" s="23">
        <f t="shared" si="72"/>
        <v>1.0288065843621399</v>
      </c>
      <c r="V352" s="23">
        <f t="shared" si="72"/>
        <v>0.52693686182300281</v>
      </c>
      <c r="W352" s="23">
        <f t="shared" si="73"/>
        <v>1.0288065843621399</v>
      </c>
      <c r="X352" s="904">
        <f t="shared" si="74"/>
        <v>771</v>
      </c>
      <c r="Y352" s="904">
        <f t="shared" si="74"/>
        <v>818</v>
      </c>
      <c r="Z352" s="904">
        <f t="shared" si="74"/>
        <v>774</v>
      </c>
      <c r="AA352" s="904">
        <f t="shared" si="62"/>
        <v>730</v>
      </c>
      <c r="AB352" s="24">
        <v>479</v>
      </c>
    </row>
    <row r="353" spans="1:28" x14ac:dyDescent="0.25">
      <c r="A353" s="903"/>
      <c r="B353" s="26" t="s">
        <v>778</v>
      </c>
      <c r="C353" s="27" t="s">
        <v>781</v>
      </c>
      <c r="D353" s="28">
        <v>4.9000000000000004</v>
      </c>
      <c r="E353" s="29">
        <v>746</v>
      </c>
      <c r="F353" s="903">
        <v>407</v>
      </c>
      <c r="G353" s="29" t="s">
        <v>782</v>
      </c>
      <c r="H353" s="904">
        <f t="shared" si="63"/>
        <v>6</v>
      </c>
      <c r="I353" s="904">
        <f t="shared" si="64"/>
        <v>11</v>
      </c>
      <c r="J353" s="21">
        <f t="shared" si="65"/>
        <v>11200</v>
      </c>
      <c r="K353" s="21">
        <f t="shared" si="66"/>
        <v>12750.000000000002</v>
      </c>
      <c r="L353" s="21">
        <f t="shared" si="67"/>
        <v>24350</v>
      </c>
      <c r="M353" s="21">
        <f t="shared" si="68"/>
        <v>37500</v>
      </c>
      <c r="N353" s="904">
        <f t="shared" si="69"/>
        <v>661</v>
      </c>
      <c r="O353" s="21"/>
      <c r="P353" s="22"/>
      <c r="Q353" s="22">
        <v>0.63</v>
      </c>
      <c r="R353" s="904" t="s">
        <v>42</v>
      </c>
      <c r="S353" s="904" t="str">
        <f t="shared" si="70"/>
        <v>Stove</v>
      </c>
      <c r="T353" s="23">
        <f t="shared" si="71"/>
        <v>0.2880658436213992</v>
      </c>
      <c r="U353" s="23">
        <f t="shared" si="72"/>
        <v>0.84725248123940922</v>
      </c>
      <c r="V353" s="23">
        <f t="shared" si="72"/>
        <v>0.44363322939640532</v>
      </c>
      <c r="W353" s="23">
        <f t="shared" si="73"/>
        <v>0.96450617283950613</v>
      </c>
      <c r="X353" s="904">
        <f t="shared" si="74"/>
        <v>646</v>
      </c>
      <c r="Y353" s="904">
        <f t="shared" si="74"/>
        <v>707</v>
      </c>
      <c r="Z353" s="904">
        <f t="shared" si="74"/>
        <v>663</v>
      </c>
      <c r="AA353" s="904">
        <f t="shared" si="62"/>
        <v>695</v>
      </c>
      <c r="AB353" s="24">
        <v>390</v>
      </c>
    </row>
    <row r="354" spans="1:28" x14ac:dyDescent="0.25">
      <c r="A354" s="903" t="s">
        <v>77</v>
      </c>
      <c r="B354" t="s">
        <v>783</v>
      </c>
      <c r="C354" s="906" t="s">
        <v>784</v>
      </c>
      <c r="D354" s="25">
        <v>5.5</v>
      </c>
      <c r="E354" s="903">
        <v>808</v>
      </c>
      <c r="F354" s="903">
        <v>268</v>
      </c>
      <c r="G354" s="903" t="s">
        <v>785</v>
      </c>
      <c r="H354" s="904">
        <f t="shared" si="63"/>
        <v>6</v>
      </c>
      <c r="I354" s="904">
        <f t="shared" si="64"/>
        <v>11</v>
      </c>
      <c r="J354" s="21">
        <f t="shared" si="65"/>
        <v>13600</v>
      </c>
      <c r="K354" s="21">
        <f t="shared" si="66"/>
        <v>13600</v>
      </c>
      <c r="L354" s="21">
        <f t="shared" si="67"/>
        <v>23700</v>
      </c>
      <c r="M354" s="21">
        <f t="shared" si="68"/>
        <v>33800</v>
      </c>
      <c r="N354" s="904">
        <f t="shared" si="69"/>
        <v>605</v>
      </c>
      <c r="O354" s="21"/>
      <c r="P354" s="22" t="s">
        <v>2</v>
      </c>
      <c r="Q354" s="22">
        <v>0.72</v>
      </c>
      <c r="R354" s="904" t="s">
        <v>38</v>
      </c>
      <c r="S354" s="904" t="str">
        <f t="shared" si="70"/>
        <v>Stove</v>
      </c>
      <c r="T354" s="23">
        <f t="shared" si="71"/>
        <v>0.35873433309330743</v>
      </c>
      <c r="U354" s="23">
        <f t="shared" si="72"/>
        <v>0.89156032783483763</v>
      </c>
      <c r="V354" s="23">
        <f t="shared" si="72"/>
        <v>0.5116126775761094</v>
      </c>
      <c r="W354" s="23">
        <f t="shared" si="73"/>
        <v>0.89156032783483763</v>
      </c>
      <c r="X354" s="904">
        <f t="shared" si="74"/>
        <v>776</v>
      </c>
      <c r="Y354" s="904">
        <f t="shared" si="74"/>
        <v>737</v>
      </c>
      <c r="Z354" s="904">
        <f t="shared" si="74"/>
        <v>758</v>
      </c>
      <c r="AA354" s="904">
        <f t="shared" si="62"/>
        <v>642</v>
      </c>
      <c r="AB354" s="24">
        <v>242</v>
      </c>
    </row>
    <row r="355" spans="1:28" x14ac:dyDescent="0.25">
      <c r="A355" s="903" t="s">
        <v>77</v>
      </c>
      <c r="B355" t="s">
        <v>783</v>
      </c>
      <c r="C355" s="906" t="s">
        <v>786</v>
      </c>
      <c r="D355" s="25">
        <v>3.8</v>
      </c>
      <c r="E355" s="903">
        <v>518</v>
      </c>
      <c r="F355" s="903">
        <v>205</v>
      </c>
      <c r="G355" s="903" t="s">
        <v>787</v>
      </c>
      <c r="H355" s="904">
        <f t="shared" si="63"/>
        <v>6</v>
      </c>
      <c r="I355" s="904">
        <f t="shared" si="64"/>
        <v>11</v>
      </c>
      <c r="J355" s="21">
        <f t="shared" si="65"/>
        <v>10600</v>
      </c>
      <c r="K355" s="21">
        <f t="shared" si="66"/>
        <v>10600</v>
      </c>
      <c r="L355" s="21">
        <f t="shared" si="67"/>
        <v>16450</v>
      </c>
      <c r="M355" s="21">
        <f t="shared" si="68"/>
        <v>22300</v>
      </c>
      <c r="N355" s="904">
        <f t="shared" si="69"/>
        <v>77</v>
      </c>
      <c r="O355" s="21"/>
      <c r="P355" s="22" t="s">
        <v>2</v>
      </c>
      <c r="Q355" s="22">
        <v>0.72</v>
      </c>
      <c r="R355" s="904" t="s">
        <v>38</v>
      </c>
      <c r="S355" s="904" t="str">
        <f t="shared" si="70"/>
        <v>Insert</v>
      </c>
      <c r="T355" s="23">
        <f t="shared" si="71"/>
        <v>0.37566928448841752</v>
      </c>
      <c r="U355" s="23">
        <f t="shared" si="72"/>
        <v>0.79032311736714256</v>
      </c>
      <c r="V355" s="23">
        <f t="shared" si="72"/>
        <v>0.50926596012715564</v>
      </c>
      <c r="W355" s="23">
        <f t="shared" si="73"/>
        <v>0.79032311736714256</v>
      </c>
      <c r="X355" s="904">
        <f t="shared" si="74"/>
        <v>806</v>
      </c>
      <c r="Y355" s="904">
        <f t="shared" si="74"/>
        <v>651</v>
      </c>
      <c r="Z355" s="904">
        <f t="shared" si="74"/>
        <v>757</v>
      </c>
      <c r="AA355" s="904">
        <f t="shared" si="62"/>
        <v>516</v>
      </c>
      <c r="AB355" s="24">
        <v>229</v>
      </c>
    </row>
    <row r="356" spans="1:28" x14ac:dyDescent="0.25">
      <c r="A356" s="903" t="s">
        <v>77</v>
      </c>
      <c r="B356" t="s">
        <v>783</v>
      </c>
      <c r="C356" s="906" t="s">
        <v>788</v>
      </c>
      <c r="D356" s="25">
        <v>6.8</v>
      </c>
      <c r="E356" s="903">
        <v>895</v>
      </c>
      <c r="F356" s="903">
        <v>272</v>
      </c>
      <c r="G356" s="903" t="s">
        <v>789</v>
      </c>
      <c r="H356" s="904">
        <f t="shared" si="63"/>
        <v>5</v>
      </c>
      <c r="I356" s="904">
        <f t="shared" si="64"/>
        <v>10</v>
      </c>
      <c r="J356" s="21">
        <f t="shared" si="65"/>
        <v>9600</v>
      </c>
      <c r="K356" s="21">
        <f t="shared" si="66"/>
        <v>12682.000000000002</v>
      </c>
      <c r="L356" s="21">
        <f t="shared" si="67"/>
        <v>23450</v>
      </c>
      <c r="M356" s="21">
        <f t="shared" si="68"/>
        <v>37300</v>
      </c>
      <c r="N356" s="904">
        <f t="shared" si="69"/>
        <v>585</v>
      </c>
      <c r="O356" s="21"/>
      <c r="P356" s="22" t="s">
        <v>2</v>
      </c>
      <c r="Q356" s="22">
        <v>0.72</v>
      </c>
      <c r="R356" s="904" t="s">
        <v>38</v>
      </c>
      <c r="S356" s="904" t="str">
        <f t="shared" si="70"/>
        <v>Stove</v>
      </c>
      <c r="T356" s="23">
        <f t="shared" si="71"/>
        <v>0.4019083554382929</v>
      </c>
      <c r="U356" s="23">
        <f t="shared" si="72"/>
        <v>1.18208339834792</v>
      </c>
      <c r="V356" s="23">
        <f t="shared" si="72"/>
        <v>0.6392827999082441</v>
      </c>
      <c r="W356" s="23">
        <f t="shared" si="73"/>
        <v>1.5615814226925337</v>
      </c>
      <c r="X356" s="904">
        <f t="shared" si="74"/>
        <v>831</v>
      </c>
      <c r="Y356" s="904">
        <f t="shared" si="74"/>
        <v>881</v>
      </c>
      <c r="Z356" s="904">
        <f t="shared" si="74"/>
        <v>860</v>
      </c>
      <c r="AA356" s="904">
        <f t="shared" si="62"/>
        <v>930</v>
      </c>
      <c r="AB356" s="24">
        <v>270</v>
      </c>
    </row>
    <row r="357" spans="1:28" x14ac:dyDescent="0.25">
      <c r="A357" s="903"/>
      <c r="B357" t="s">
        <v>790</v>
      </c>
      <c r="C357" s="906" t="s">
        <v>791</v>
      </c>
      <c r="D357" s="25">
        <v>2.89</v>
      </c>
      <c r="E357" s="903">
        <v>294</v>
      </c>
      <c r="F357" s="903">
        <v>72</v>
      </c>
      <c r="G357" s="903" t="s">
        <v>792</v>
      </c>
      <c r="H357" s="904">
        <f t="shared" si="63"/>
        <v>5</v>
      </c>
      <c r="I357" s="904">
        <f t="shared" si="64"/>
        <v>10</v>
      </c>
      <c r="J357" s="21">
        <f t="shared" si="65"/>
        <v>7900</v>
      </c>
      <c r="K357" s="21">
        <f t="shared" si="66"/>
        <v>10268</v>
      </c>
      <c r="L357" s="21">
        <f t="shared" si="67"/>
        <v>19050</v>
      </c>
      <c r="M357" s="21">
        <f t="shared" si="68"/>
        <v>30200</v>
      </c>
      <c r="N357" s="904">
        <f t="shared" si="69"/>
        <v>245</v>
      </c>
      <c r="O357" s="21"/>
      <c r="P357" s="22" t="s">
        <v>2</v>
      </c>
      <c r="Q357" s="22">
        <v>0.78</v>
      </c>
      <c r="R357" s="904" t="s">
        <v>15</v>
      </c>
      <c r="S357" s="904" t="str">
        <f t="shared" si="70"/>
        <v>Stove</v>
      </c>
      <c r="T357" s="23">
        <f t="shared" si="71"/>
        <v>0.21096861604587874</v>
      </c>
      <c r="U357" s="23">
        <f t="shared" si="72"/>
        <v>0.62049592954670219</v>
      </c>
      <c r="V357" s="23">
        <f t="shared" si="72"/>
        <v>0.33444893462391273</v>
      </c>
      <c r="W357" s="23">
        <f t="shared" si="73"/>
        <v>0.80648762083361236</v>
      </c>
      <c r="X357" s="904">
        <f t="shared" si="74"/>
        <v>422</v>
      </c>
      <c r="Y357" s="904">
        <f t="shared" si="74"/>
        <v>453</v>
      </c>
      <c r="Z357" s="904">
        <f t="shared" si="74"/>
        <v>448</v>
      </c>
      <c r="AA357" s="904">
        <f t="shared" si="62"/>
        <v>540</v>
      </c>
      <c r="AB357" s="24">
        <v>74</v>
      </c>
    </row>
    <row r="358" spans="1:28" x14ac:dyDescent="0.25">
      <c r="A358" s="903"/>
      <c r="B358" t="s">
        <v>790</v>
      </c>
      <c r="C358" s="906" t="s">
        <v>793</v>
      </c>
      <c r="D358" s="25">
        <v>4.0999999999999996</v>
      </c>
      <c r="E358" s="903">
        <v>594</v>
      </c>
      <c r="F358" s="903">
        <v>80</v>
      </c>
      <c r="G358" s="903" t="s">
        <v>794</v>
      </c>
      <c r="H358" s="904">
        <f t="shared" si="63"/>
        <v>6</v>
      </c>
      <c r="I358" s="904">
        <f t="shared" si="64"/>
        <v>11</v>
      </c>
      <c r="J358" s="21">
        <f t="shared" si="65"/>
        <v>12084</v>
      </c>
      <c r="K358" s="21">
        <f t="shared" si="66"/>
        <v>12084</v>
      </c>
      <c r="L358" s="21">
        <f t="shared" si="67"/>
        <v>18790</v>
      </c>
      <c r="M358" s="21">
        <f t="shared" si="68"/>
        <v>25496</v>
      </c>
      <c r="N358" s="904">
        <f t="shared" si="69"/>
        <v>217</v>
      </c>
      <c r="O358" s="21"/>
      <c r="P358" s="22" t="s">
        <v>2</v>
      </c>
      <c r="Q358" s="22">
        <v>0.78</v>
      </c>
      <c r="R358" s="904" t="s">
        <v>15</v>
      </c>
      <c r="S358" s="904" t="str">
        <f t="shared" si="70"/>
        <v>Stove</v>
      </c>
      <c r="T358" s="23">
        <f t="shared" si="71"/>
        <v>0.35451838349024828</v>
      </c>
      <c r="U358" s="23">
        <f t="shared" si="72"/>
        <v>0.74799741025052724</v>
      </c>
      <c r="V358" s="23">
        <f t="shared" si="72"/>
        <v>0.48104314558102029</v>
      </c>
      <c r="W358" s="23">
        <f t="shared" si="73"/>
        <v>0.74799741025052724</v>
      </c>
      <c r="X358" s="904">
        <f t="shared" si="74"/>
        <v>772</v>
      </c>
      <c r="Y358" s="904">
        <f t="shared" si="74"/>
        <v>613</v>
      </c>
      <c r="Z358" s="904">
        <f t="shared" si="74"/>
        <v>714</v>
      </c>
      <c r="AA358" s="904">
        <f t="shared" si="62"/>
        <v>462</v>
      </c>
      <c r="AB358" s="24">
        <v>78</v>
      </c>
    </row>
    <row r="359" spans="1:28" x14ac:dyDescent="0.25">
      <c r="A359" s="903"/>
      <c r="B359" t="s">
        <v>795</v>
      </c>
      <c r="C359" s="906" t="s">
        <v>796</v>
      </c>
      <c r="D359" s="25">
        <v>2.1</v>
      </c>
      <c r="E359" s="903">
        <v>145</v>
      </c>
      <c r="F359" s="903">
        <v>57</v>
      </c>
      <c r="G359" s="903" t="s">
        <v>797</v>
      </c>
      <c r="H359" s="904">
        <f t="shared" si="63"/>
        <v>6</v>
      </c>
      <c r="I359" s="904">
        <f t="shared" si="64"/>
        <v>11</v>
      </c>
      <c r="J359" s="21">
        <f t="shared" si="65"/>
        <v>13000</v>
      </c>
      <c r="K359" s="21">
        <f t="shared" si="66"/>
        <v>13000</v>
      </c>
      <c r="L359" s="21">
        <f t="shared" si="67"/>
        <v>17400</v>
      </c>
      <c r="M359" s="21">
        <f t="shared" si="68"/>
        <v>21800</v>
      </c>
      <c r="N359" s="904">
        <f t="shared" si="69"/>
        <v>124</v>
      </c>
      <c r="O359" s="21"/>
      <c r="P359" s="22" t="s">
        <v>2</v>
      </c>
      <c r="Q359" s="22">
        <v>0.78</v>
      </c>
      <c r="R359" s="904" t="s">
        <v>15</v>
      </c>
      <c r="S359" s="904" t="str">
        <f t="shared" si="70"/>
        <v>Stove</v>
      </c>
      <c r="T359" s="23">
        <f t="shared" si="71"/>
        <v>0.21236833163438668</v>
      </c>
      <c r="U359" s="23">
        <f t="shared" si="72"/>
        <v>0.35612535612535612</v>
      </c>
      <c r="V359" s="23">
        <f t="shared" si="72"/>
        <v>0.26607066836951893</v>
      </c>
      <c r="W359" s="23">
        <f t="shared" si="73"/>
        <v>0.35612535612535612</v>
      </c>
      <c r="X359" s="904">
        <f t="shared" si="74"/>
        <v>433</v>
      </c>
      <c r="Y359" s="904">
        <f t="shared" si="74"/>
        <v>155</v>
      </c>
      <c r="Z359" s="904">
        <f t="shared" si="74"/>
        <v>273</v>
      </c>
      <c r="AA359" s="904">
        <f t="shared" si="62"/>
        <v>83</v>
      </c>
      <c r="AB359" s="24">
        <v>54</v>
      </c>
    </row>
    <row r="360" spans="1:28" x14ac:dyDescent="0.25">
      <c r="A360" s="903"/>
      <c r="B360" t="s">
        <v>798</v>
      </c>
      <c r="C360" s="906" t="s">
        <v>799</v>
      </c>
      <c r="D360" s="25">
        <v>2.5</v>
      </c>
      <c r="E360" s="903">
        <v>218</v>
      </c>
      <c r="F360" s="903">
        <v>89</v>
      </c>
      <c r="G360" s="903" t="s">
        <v>800</v>
      </c>
      <c r="H360" s="904">
        <f t="shared" si="63"/>
        <v>6</v>
      </c>
      <c r="I360" s="904">
        <f t="shared" si="64"/>
        <v>11</v>
      </c>
      <c r="J360" s="21">
        <f t="shared" si="65"/>
        <v>10100</v>
      </c>
      <c r="K360" s="21">
        <f t="shared" si="66"/>
        <v>12784.000000000002</v>
      </c>
      <c r="L360" s="21">
        <f t="shared" si="67"/>
        <v>23850</v>
      </c>
      <c r="M360" s="21">
        <f t="shared" si="68"/>
        <v>37600</v>
      </c>
      <c r="N360" s="904">
        <f t="shared" si="69"/>
        <v>618</v>
      </c>
      <c r="O360" s="21"/>
      <c r="P360" s="22" t="s">
        <v>2</v>
      </c>
      <c r="Q360" s="22">
        <v>0.72</v>
      </c>
      <c r="R360" s="904" t="s">
        <v>38</v>
      </c>
      <c r="S360" s="904" t="str">
        <f t="shared" si="70"/>
        <v>Stove</v>
      </c>
      <c r="T360" s="23">
        <f t="shared" si="71"/>
        <v>0.1465814852339675</v>
      </c>
      <c r="U360" s="23">
        <f t="shared" si="72"/>
        <v>0.43112201539402195</v>
      </c>
      <c r="V360" s="23">
        <f t="shared" si="72"/>
        <v>0.23108863080910599</v>
      </c>
      <c r="W360" s="23">
        <f t="shared" si="73"/>
        <v>0.54568948958387897</v>
      </c>
      <c r="X360" s="904">
        <f t="shared" si="74"/>
        <v>200</v>
      </c>
      <c r="Y360" s="904">
        <f t="shared" si="74"/>
        <v>209</v>
      </c>
      <c r="Z360" s="904">
        <f t="shared" si="74"/>
        <v>204</v>
      </c>
      <c r="AA360" s="904">
        <f t="shared" si="62"/>
        <v>245</v>
      </c>
      <c r="AB360" s="24">
        <v>81</v>
      </c>
    </row>
    <row r="361" spans="1:28" x14ac:dyDescent="0.25">
      <c r="A361" s="903"/>
      <c r="B361" t="s">
        <v>798</v>
      </c>
      <c r="C361" s="906" t="s">
        <v>801</v>
      </c>
      <c r="D361" s="25">
        <v>3.5</v>
      </c>
      <c r="E361" s="903">
        <v>432</v>
      </c>
      <c r="F361" s="903">
        <v>177</v>
      </c>
      <c r="G361" s="903" t="s">
        <v>802</v>
      </c>
      <c r="H361" s="904">
        <f t="shared" si="63"/>
        <v>5</v>
      </c>
      <c r="I361" s="904">
        <f t="shared" si="64"/>
        <v>10</v>
      </c>
      <c r="J361" s="21">
        <f t="shared" si="65"/>
        <v>6800</v>
      </c>
      <c r="K361" s="21">
        <f t="shared" si="66"/>
        <v>9384</v>
      </c>
      <c r="L361" s="21">
        <f t="shared" si="67"/>
        <v>17200</v>
      </c>
      <c r="M361" s="21">
        <f t="shared" si="68"/>
        <v>27600</v>
      </c>
      <c r="N361" s="904">
        <f t="shared" si="69"/>
        <v>102</v>
      </c>
      <c r="O361" s="21"/>
      <c r="P361" s="22" t="s">
        <v>2</v>
      </c>
      <c r="Q361" s="22">
        <v>0.72</v>
      </c>
      <c r="R361" s="904" t="s">
        <v>38</v>
      </c>
      <c r="S361" s="904" t="str">
        <f t="shared" si="70"/>
        <v>Stove</v>
      </c>
      <c r="T361" s="23">
        <f t="shared" si="71"/>
        <v>0.27956700662014672</v>
      </c>
      <c r="U361" s="23">
        <f t="shared" si="72"/>
        <v>0.82225590182396091</v>
      </c>
      <c r="V361" s="23">
        <f t="shared" si="72"/>
        <v>0.44860752225093309</v>
      </c>
      <c r="W361" s="23">
        <f t="shared" si="73"/>
        <v>1.1347131445170662</v>
      </c>
      <c r="X361" s="904">
        <f t="shared" si="74"/>
        <v>633</v>
      </c>
      <c r="Y361" s="904">
        <f t="shared" si="74"/>
        <v>690</v>
      </c>
      <c r="Z361" s="904">
        <f t="shared" si="74"/>
        <v>673</v>
      </c>
      <c r="AA361" s="904">
        <f t="shared" si="62"/>
        <v>801</v>
      </c>
      <c r="AB361" s="24">
        <v>234</v>
      </c>
    </row>
    <row r="362" spans="1:28" x14ac:dyDescent="0.25">
      <c r="A362" s="903"/>
      <c r="B362" t="s">
        <v>798</v>
      </c>
      <c r="C362" s="906" t="s">
        <v>803</v>
      </c>
      <c r="D362" s="25">
        <v>5.0999999999999996</v>
      </c>
      <c r="E362" s="903">
        <v>766</v>
      </c>
      <c r="F362" s="903">
        <v>259</v>
      </c>
      <c r="G362" s="903" t="s">
        <v>804</v>
      </c>
      <c r="H362" s="904">
        <f t="shared" si="63"/>
        <v>6</v>
      </c>
      <c r="I362" s="904">
        <f t="shared" si="64"/>
        <v>11</v>
      </c>
      <c r="J362" s="21">
        <f t="shared" si="65"/>
        <v>10400</v>
      </c>
      <c r="K362" s="21">
        <f t="shared" si="66"/>
        <v>18156</v>
      </c>
      <c r="L362" s="21">
        <f t="shared" si="67"/>
        <v>31900</v>
      </c>
      <c r="M362" s="21">
        <f t="shared" si="68"/>
        <v>53400</v>
      </c>
      <c r="N362" s="904">
        <f t="shared" si="69"/>
        <v>903</v>
      </c>
      <c r="O362" s="21"/>
      <c r="P362" s="22" t="s">
        <v>2</v>
      </c>
      <c r="Q362" s="22">
        <v>0.72</v>
      </c>
      <c r="R362" s="904" t="s">
        <v>38</v>
      </c>
      <c r="S362" s="904" t="str">
        <f t="shared" si="70"/>
        <v>Stove</v>
      </c>
      <c r="T362" s="23">
        <f t="shared" si="71"/>
        <v>0.21055030418326298</v>
      </c>
      <c r="U362" s="23">
        <f t="shared" si="72"/>
        <v>0.6192656005390087</v>
      </c>
      <c r="V362" s="23">
        <f t="shared" si="72"/>
        <v>0.35245724900897313</v>
      </c>
      <c r="W362" s="23">
        <f t="shared" si="73"/>
        <v>1.0810948310948312</v>
      </c>
      <c r="X362" s="904">
        <f t="shared" si="74"/>
        <v>420</v>
      </c>
      <c r="Y362" s="904">
        <f t="shared" si="74"/>
        <v>451</v>
      </c>
      <c r="Z362" s="904">
        <f t="shared" si="74"/>
        <v>498</v>
      </c>
      <c r="AA362" s="904">
        <f t="shared" si="62"/>
        <v>768</v>
      </c>
      <c r="AB362" s="24">
        <v>182</v>
      </c>
    </row>
    <row r="363" spans="1:28" x14ac:dyDescent="0.25">
      <c r="A363" s="903"/>
      <c r="B363" t="s">
        <v>798</v>
      </c>
      <c r="C363" s="906" t="s">
        <v>805</v>
      </c>
      <c r="D363" s="25">
        <v>4</v>
      </c>
      <c r="E363" s="903">
        <v>571</v>
      </c>
      <c r="F363" s="903">
        <v>225</v>
      </c>
      <c r="G363" s="903" t="s">
        <v>806</v>
      </c>
      <c r="H363" s="904">
        <f t="shared" si="63"/>
        <v>6</v>
      </c>
      <c r="I363" s="904">
        <f t="shared" si="64"/>
        <v>11</v>
      </c>
      <c r="J363" s="21">
        <f t="shared" si="65"/>
        <v>11200</v>
      </c>
      <c r="K363" s="21">
        <f t="shared" si="66"/>
        <v>14620.000000000002</v>
      </c>
      <c r="L363" s="21">
        <f t="shared" si="67"/>
        <v>27100</v>
      </c>
      <c r="M363" s="21">
        <f t="shared" si="68"/>
        <v>43000</v>
      </c>
      <c r="N363" s="904">
        <f t="shared" si="69"/>
        <v>800</v>
      </c>
      <c r="O363" s="21"/>
      <c r="P363" s="22" t="s">
        <v>2</v>
      </c>
      <c r="Q363" s="22">
        <v>0.72</v>
      </c>
      <c r="R363" s="904" t="s">
        <v>38</v>
      </c>
      <c r="S363" s="904" t="str">
        <f t="shared" si="70"/>
        <v>Stove</v>
      </c>
      <c r="T363" s="23">
        <f t="shared" si="71"/>
        <v>0.20507772445756942</v>
      </c>
      <c r="U363" s="23">
        <f t="shared" si="72"/>
        <v>0.60316977781638059</v>
      </c>
      <c r="V363" s="23">
        <f t="shared" si="72"/>
        <v>0.32540007939761939</v>
      </c>
      <c r="W363" s="23">
        <f t="shared" si="73"/>
        <v>0.78735197782816835</v>
      </c>
      <c r="X363" s="904">
        <f t="shared" si="74"/>
        <v>403</v>
      </c>
      <c r="Y363" s="904">
        <f t="shared" si="74"/>
        <v>438</v>
      </c>
      <c r="Z363" s="904">
        <f t="shared" si="74"/>
        <v>423</v>
      </c>
      <c r="AA363" s="904">
        <f t="shared" si="62"/>
        <v>510</v>
      </c>
      <c r="AB363" s="24">
        <v>177</v>
      </c>
    </row>
    <row r="364" spans="1:28" x14ac:dyDescent="0.25">
      <c r="A364" s="903"/>
      <c r="B364" t="s">
        <v>798</v>
      </c>
      <c r="C364" s="906" t="s">
        <v>807</v>
      </c>
      <c r="D364" s="25">
        <v>2.2000000000000002</v>
      </c>
      <c r="E364" s="903">
        <v>169</v>
      </c>
      <c r="F364" s="903">
        <v>64</v>
      </c>
      <c r="G364" s="903" t="s">
        <v>808</v>
      </c>
      <c r="H364" s="904">
        <f t="shared" si="63"/>
        <v>5</v>
      </c>
      <c r="I364" s="904">
        <f t="shared" si="64"/>
        <v>10</v>
      </c>
      <c r="J364" s="21">
        <f t="shared" si="65"/>
        <v>7900</v>
      </c>
      <c r="K364" s="21">
        <f t="shared" si="66"/>
        <v>13770.000000000002</v>
      </c>
      <c r="L364" s="21">
        <f t="shared" si="67"/>
        <v>24200</v>
      </c>
      <c r="M364" s="21">
        <f t="shared" si="68"/>
        <v>40500</v>
      </c>
      <c r="N364" s="904">
        <f t="shared" si="69"/>
        <v>650</v>
      </c>
      <c r="O364" s="21"/>
      <c r="P364" s="22" t="s">
        <v>2</v>
      </c>
      <c r="Q364" s="22">
        <v>0.72</v>
      </c>
      <c r="R364" s="904" t="s">
        <v>38</v>
      </c>
      <c r="S364" s="904" t="str">
        <f t="shared" si="70"/>
        <v>Stove</v>
      </c>
      <c r="T364" s="23">
        <f t="shared" si="71"/>
        <v>0.1197552637881856</v>
      </c>
      <c r="U364" s="23">
        <f t="shared" si="72"/>
        <v>0.35222136408289878</v>
      </c>
      <c r="V364" s="23">
        <f t="shared" si="72"/>
        <v>0.20041686708353376</v>
      </c>
      <c r="W364" s="23">
        <f t="shared" si="73"/>
        <v>0.61393521309133126</v>
      </c>
      <c r="X364" s="904">
        <f t="shared" si="74"/>
        <v>138</v>
      </c>
      <c r="Y364" s="904">
        <f t="shared" si="74"/>
        <v>149</v>
      </c>
      <c r="Z364" s="904">
        <f t="shared" si="74"/>
        <v>164</v>
      </c>
      <c r="AA364" s="904">
        <f t="shared" si="62"/>
        <v>302</v>
      </c>
      <c r="AB364" s="24">
        <v>55</v>
      </c>
    </row>
    <row r="365" spans="1:28" x14ac:dyDescent="0.25">
      <c r="A365" s="903"/>
      <c r="B365" t="s">
        <v>798</v>
      </c>
      <c r="C365" s="906" t="s">
        <v>809</v>
      </c>
      <c r="D365" s="25">
        <v>6.9</v>
      </c>
      <c r="E365" s="903">
        <v>900</v>
      </c>
      <c r="F365" s="903">
        <v>543</v>
      </c>
      <c r="G365" s="903" t="s">
        <v>810</v>
      </c>
      <c r="H365" s="904">
        <f t="shared" si="63"/>
        <v>5</v>
      </c>
      <c r="I365" s="904">
        <f t="shared" si="64"/>
        <v>10</v>
      </c>
      <c r="J365" s="21">
        <f t="shared" si="65"/>
        <v>8600</v>
      </c>
      <c r="K365" s="21">
        <f t="shared" si="66"/>
        <v>11798</v>
      </c>
      <c r="L365" s="21">
        <f t="shared" si="67"/>
        <v>21650</v>
      </c>
      <c r="M365" s="21">
        <f t="shared" si="68"/>
        <v>34700</v>
      </c>
      <c r="N365" s="904">
        <f t="shared" si="69"/>
        <v>443</v>
      </c>
      <c r="O365" s="21"/>
      <c r="P365" s="22" t="s">
        <v>2</v>
      </c>
      <c r="Q365" s="22">
        <v>0.63</v>
      </c>
      <c r="R365" s="904" t="s">
        <v>42</v>
      </c>
      <c r="S365" s="904" t="str">
        <f t="shared" si="70"/>
        <v>Stove</v>
      </c>
      <c r="T365" s="23">
        <f t="shared" si="71"/>
        <v>0.43837579860634618</v>
      </c>
      <c r="U365" s="23">
        <f t="shared" si="72"/>
        <v>1.2893405841363124</v>
      </c>
      <c r="V365" s="23">
        <f t="shared" si="72"/>
        <v>0.70261617605728455</v>
      </c>
      <c r="W365" s="23">
        <f t="shared" si="73"/>
        <v>1.7687953734465363</v>
      </c>
      <c r="X365" s="904">
        <f t="shared" si="74"/>
        <v>855</v>
      </c>
      <c r="Y365" s="904">
        <f t="shared" si="74"/>
        <v>898</v>
      </c>
      <c r="Z365" s="904">
        <f t="shared" si="74"/>
        <v>888</v>
      </c>
      <c r="AA365" s="904">
        <f t="shared" si="62"/>
        <v>944</v>
      </c>
      <c r="AB365" s="24">
        <v>543</v>
      </c>
    </row>
    <row r="366" spans="1:28" x14ac:dyDescent="0.25">
      <c r="A366" s="903"/>
      <c r="B366" t="s">
        <v>798</v>
      </c>
      <c r="C366" s="906" t="s">
        <v>811</v>
      </c>
      <c r="D366" s="25">
        <v>3.1</v>
      </c>
      <c r="E366" s="903">
        <v>347</v>
      </c>
      <c r="F366" s="903">
        <v>146</v>
      </c>
      <c r="G366" s="903" t="s">
        <v>812</v>
      </c>
      <c r="H366" s="904">
        <f t="shared" si="63"/>
        <v>5</v>
      </c>
      <c r="I366" s="904">
        <f t="shared" si="64"/>
        <v>10</v>
      </c>
      <c r="J366" s="21">
        <f t="shared" si="65"/>
        <v>8800</v>
      </c>
      <c r="K366" s="21">
        <f t="shared" si="66"/>
        <v>10030</v>
      </c>
      <c r="L366" s="21">
        <f t="shared" si="67"/>
        <v>19150</v>
      </c>
      <c r="M366" s="21">
        <f t="shared" si="68"/>
        <v>29500</v>
      </c>
      <c r="N366" s="904">
        <f t="shared" si="69"/>
        <v>251</v>
      </c>
      <c r="O366" s="21"/>
      <c r="P366" s="22" t="s">
        <v>2</v>
      </c>
      <c r="Q366" s="22">
        <v>0.72</v>
      </c>
      <c r="R366" s="904" t="s">
        <v>38</v>
      </c>
      <c r="S366" s="904" t="str">
        <f t="shared" si="70"/>
        <v>Stove</v>
      </c>
      <c r="T366" s="23">
        <f t="shared" si="71"/>
        <v>0.23166831076435596</v>
      </c>
      <c r="U366" s="23">
        <f t="shared" si="72"/>
        <v>0.68137738460104691</v>
      </c>
      <c r="V366" s="23">
        <f t="shared" si="72"/>
        <v>0.35687807663438648</v>
      </c>
      <c r="W366" s="23">
        <f t="shared" si="73"/>
        <v>0.77661535994869324</v>
      </c>
      <c r="X366" s="904">
        <f t="shared" si="74"/>
        <v>501</v>
      </c>
      <c r="Y366" s="904">
        <f t="shared" si="74"/>
        <v>543</v>
      </c>
      <c r="Z366" s="904">
        <f t="shared" si="74"/>
        <v>504</v>
      </c>
      <c r="AA366" s="904">
        <f t="shared" si="62"/>
        <v>501</v>
      </c>
      <c r="AB366" s="24">
        <v>203</v>
      </c>
    </row>
    <row r="367" spans="1:28" x14ac:dyDescent="0.25">
      <c r="A367" s="903"/>
      <c r="B367" t="s">
        <v>798</v>
      </c>
      <c r="C367" s="906" t="s">
        <v>813</v>
      </c>
      <c r="D367" s="25">
        <v>7.8</v>
      </c>
      <c r="E367" s="903">
        <v>953</v>
      </c>
      <c r="F367" s="903">
        <v>596</v>
      </c>
      <c r="G367" s="903" t="s">
        <v>814</v>
      </c>
      <c r="H367" s="904">
        <f t="shared" si="63"/>
        <v>6</v>
      </c>
      <c r="I367" s="904">
        <f t="shared" si="64"/>
        <v>11</v>
      </c>
      <c r="J367" s="21">
        <f t="shared" si="65"/>
        <v>14500</v>
      </c>
      <c r="K367" s="21">
        <f t="shared" si="66"/>
        <v>14500</v>
      </c>
      <c r="L367" s="21">
        <f t="shared" si="67"/>
        <v>23850</v>
      </c>
      <c r="M367" s="21">
        <f t="shared" si="68"/>
        <v>33200</v>
      </c>
      <c r="N367" s="904">
        <f t="shared" si="69"/>
        <v>618</v>
      </c>
      <c r="O367" s="21"/>
      <c r="P367" s="22" t="s">
        <v>2</v>
      </c>
      <c r="Q367" s="22">
        <v>0.63</v>
      </c>
      <c r="R367" s="904" t="s">
        <v>42</v>
      </c>
      <c r="S367" s="904" t="str">
        <f t="shared" si="70"/>
        <v>Stove</v>
      </c>
      <c r="T367" s="23">
        <f t="shared" si="71"/>
        <v>0.51794479505322877</v>
      </c>
      <c r="U367" s="23">
        <f t="shared" si="72"/>
        <v>1.1859149790184274</v>
      </c>
      <c r="V367" s="23">
        <f t="shared" si="72"/>
        <v>0.72099652812441073</v>
      </c>
      <c r="W367" s="23">
        <f t="shared" si="73"/>
        <v>1.1859149790184274</v>
      </c>
      <c r="X367" s="904">
        <f t="shared" si="74"/>
        <v>905</v>
      </c>
      <c r="Y367" s="904">
        <f t="shared" si="74"/>
        <v>882</v>
      </c>
      <c r="Z367" s="904">
        <f t="shared" si="74"/>
        <v>900</v>
      </c>
      <c r="AA367" s="904">
        <f t="shared" si="62"/>
        <v>815</v>
      </c>
      <c r="AB367" s="24">
        <v>528</v>
      </c>
    </row>
    <row r="368" spans="1:28" x14ac:dyDescent="0.25">
      <c r="A368" s="903"/>
      <c r="B368" t="s">
        <v>798</v>
      </c>
      <c r="C368" s="906" t="s">
        <v>815</v>
      </c>
      <c r="D368" s="25">
        <v>4</v>
      </c>
      <c r="E368" s="903">
        <v>571</v>
      </c>
      <c r="F368" s="903">
        <v>78</v>
      </c>
      <c r="G368" s="903" t="s">
        <v>816</v>
      </c>
      <c r="H368" s="904">
        <f t="shared" si="63"/>
        <v>5</v>
      </c>
      <c r="I368" s="904">
        <f t="shared" si="64"/>
        <v>10</v>
      </c>
      <c r="J368" s="21">
        <f t="shared" si="65"/>
        <v>9700</v>
      </c>
      <c r="K368" s="21">
        <f t="shared" si="66"/>
        <v>9700</v>
      </c>
      <c r="L368" s="21">
        <f t="shared" si="67"/>
        <v>18950</v>
      </c>
      <c r="M368" s="21">
        <f t="shared" si="68"/>
        <v>28200</v>
      </c>
      <c r="N368" s="904">
        <f t="shared" si="69"/>
        <v>241</v>
      </c>
      <c r="O368" s="21"/>
      <c r="P368" s="22" t="s">
        <v>2</v>
      </c>
      <c r="Q368" s="22">
        <v>0.78</v>
      </c>
      <c r="R368" s="904" t="s">
        <v>15</v>
      </c>
      <c r="S368" s="904" t="str">
        <f t="shared" si="70"/>
        <v>Stove</v>
      </c>
      <c r="T368" s="23">
        <f t="shared" si="71"/>
        <v>0.31270716849913066</v>
      </c>
      <c r="U368" s="23">
        <f t="shared" si="72"/>
        <v>0.90910743831706031</v>
      </c>
      <c r="V368" s="23">
        <f t="shared" si="72"/>
        <v>0.46534787080081713</v>
      </c>
      <c r="W368" s="23">
        <f t="shared" si="73"/>
        <v>0.90910743831706031</v>
      </c>
      <c r="X368" s="904">
        <f t="shared" si="74"/>
        <v>701</v>
      </c>
      <c r="Y368" s="904">
        <f t="shared" si="74"/>
        <v>751</v>
      </c>
      <c r="Z368" s="904">
        <f t="shared" si="74"/>
        <v>694</v>
      </c>
      <c r="AA368" s="904">
        <f t="shared" si="62"/>
        <v>652</v>
      </c>
      <c r="AB368" s="24">
        <v>83</v>
      </c>
    </row>
    <row r="369" spans="1:28" x14ac:dyDescent="0.25">
      <c r="A369" s="903" t="s">
        <v>77</v>
      </c>
      <c r="B369" t="s">
        <v>817</v>
      </c>
      <c r="C369" s="906" t="s">
        <v>818</v>
      </c>
      <c r="D369" s="25">
        <v>3.3</v>
      </c>
      <c r="E369" s="903">
        <v>393</v>
      </c>
      <c r="F369" s="903">
        <v>167</v>
      </c>
      <c r="G369" s="903" t="s">
        <v>819</v>
      </c>
      <c r="H369" s="904">
        <f t="shared" si="63"/>
        <v>6</v>
      </c>
      <c r="I369" s="904">
        <f t="shared" si="64"/>
        <v>11</v>
      </c>
      <c r="J369" s="21">
        <f t="shared" si="65"/>
        <v>10800</v>
      </c>
      <c r="K369" s="21">
        <f t="shared" si="66"/>
        <v>14654.000000000002</v>
      </c>
      <c r="L369" s="21">
        <f t="shared" si="67"/>
        <v>26950</v>
      </c>
      <c r="M369" s="21">
        <f t="shared" si="68"/>
        <v>43100</v>
      </c>
      <c r="N369" s="904">
        <f t="shared" si="69"/>
        <v>789</v>
      </c>
      <c r="O369" s="21"/>
      <c r="P369" s="22" t="s">
        <v>2</v>
      </c>
      <c r="Q369" s="22">
        <v>0.72</v>
      </c>
      <c r="R369" s="904" t="s">
        <v>38</v>
      </c>
      <c r="S369" s="904" t="str">
        <f t="shared" si="70"/>
        <v>Stove</v>
      </c>
      <c r="T369" s="23">
        <f t="shared" si="71"/>
        <v>0.16879657250886948</v>
      </c>
      <c r="U369" s="23">
        <f t="shared" si="72"/>
        <v>0.4964605073790278</v>
      </c>
      <c r="V369" s="23">
        <f t="shared" si="72"/>
        <v>0.26994924954108629</v>
      </c>
      <c r="W369" s="23">
        <f t="shared" si="73"/>
        <v>0.67362335880854396</v>
      </c>
      <c r="X369" s="904">
        <f t="shared" si="74"/>
        <v>274</v>
      </c>
      <c r="Y369" s="904">
        <f t="shared" si="74"/>
        <v>290</v>
      </c>
      <c r="Z369" s="904">
        <f t="shared" si="74"/>
        <v>284</v>
      </c>
      <c r="AA369" s="904">
        <f t="shared" si="62"/>
        <v>388</v>
      </c>
      <c r="AB369" s="24">
        <v>125</v>
      </c>
    </row>
    <row r="370" spans="1:28" x14ac:dyDescent="0.25">
      <c r="A370" s="903" t="s">
        <v>77</v>
      </c>
      <c r="B370" t="s">
        <v>817</v>
      </c>
      <c r="C370" s="906" t="s">
        <v>820</v>
      </c>
      <c r="D370" s="25">
        <v>3.1</v>
      </c>
      <c r="E370" s="903">
        <v>347</v>
      </c>
      <c r="F370" s="903">
        <v>146</v>
      </c>
      <c r="G370" s="903" t="s">
        <v>821</v>
      </c>
      <c r="H370" s="904">
        <f t="shared" si="63"/>
        <v>5</v>
      </c>
      <c r="I370" s="904">
        <f t="shared" si="64"/>
        <v>10</v>
      </c>
      <c r="J370" s="21">
        <f t="shared" si="65"/>
        <v>7700</v>
      </c>
      <c r="K370" s="21">
        <f t="shared" si="66"/>
        <v>13906.000000000002</v>
      </c>
      <c r="L370" s="21">
        <f t="shared" si="67"/>
        <v>24300</v>
      </c>
      <c r="M370" s="21">
        <f t="shared" si="68"/>
        <v>40900</v>
      </c>
      <c r="N370" s="904">
        <f t="shared" si="69"/>
        <v>659</v>
      </c>
      <c r="O370" s="21"/>
      <c r="P370" s="22" t="s">
        <v>2</v>
      </c>
      <c r="Q370" s="22">
        <v>0.72</v>
      </c>
      <c r="R370" s="904" t="s">
        <v>38</v>
      </c>
      <c r="S370" s="904" t="str">
        <f t="shared" si="70"/>
        <v>Stove</v>
      </c>
      <c r="T370" s="23">
        <f t="shared" si="71"/>
        <v>0.16709572536793402</v>
      </c>
      <c r="U370" s="23">
        <f t="shared" si="72"/>
        <v>0.4914580157880411</v>
      </c>
      <c r="V370" s="23">
        <f t="shared" si="72"/>
        <v>0.28124342253286011</v>
      </c>
      <c r="W370" s="23">
        <f t="shared" si="73"/>
        <v>0.88756041136993513</v>
      </c>
      <c r="X370" s="904">
        <f t="shared" si="74"/>
        <v>273</v>
      </c>
      <c r="Y370" s="904">
        <f t="shared" si="74"/>
        <v>287</v>
      </c>
      <c r="Z370" s="904">
        <f t="shared" si="74"/>
        <v>310</v>
      </c>
      <c r="AA370" s="904">
        <f t="shared" si="62"/>
        <v>635</v>
      </c>
      <c r="AB370" s="24">
        <v>122</v>
      </c>
    </row>
    <row r="371" spans="1:28" x14ac:dyDescent="0.25">
      <c r="A371" s="903" t="s">
        <v>77</v>
      </c>
      <c r="B371" t="s">
        <v>817</v>
      </c>
      <c r="C371" s="906" t="s">
        <v>822</v>
      </c>
      <c r="D371" s="25">
        <v>3.4</v>
      </c>
      <c r="E371" s="903">
        <v>415</v>
      </c>
      <c r="F371" s="903">
        <v>173</v>
      </c>
      <c r="G371" s="903" t="s">
        <v>823</v>
      </c>
      <c r="H371" s="904">
        <f t="shared" si="63"/>
        <v>5</v>
      </c>
      <c r="I371" s="904">
        <f t="shared" si="64"/>
        <v>10</v>
      </c>
      <c r="J371" s="21">
        <f t="shared" si="65"/>
        <v>9400</v>
      </c>
      <c r="K371" s="21">
        <f t="shared" si="66"/>
        <v>11628</v>
      </c>
      <c r="L371" s="21">
        <f t="shared" si="67"/>
        <v>21800</v>
      </c>
      <c r="M371" s="21">
        <f t="shared" si="68"/>
        <v>34200</v>
      </c>
      <c r="N371" s="904">
        <f t="shared" si="69"/>
        <v>457</v>
      </c>
      <c r="O371" s="21"/>
      <c r="P371" s="22" t="s">
        <v>2</v>
      </c>
      <c r="Q371" s="22">
        <v>0.72</v>
      </c>
      <c r="R371" s="904" t="s">
        <v>38</v>
      </c>
      <c r="S371" s="904" t="str">
        <f t="shared" si="70"/>
        <v>Stove</v>
      </c>
      <c r="T371" s="23">
        <f t="shared" si="71"/>
        <v>0.21916932248316265</v>
      </c>
      <c r="U371" s="23">
        <f t="shared" si="72"/>
        <v>0.64461565436224311</v>
      </c>
      <c r="V371" s="23">
        <f t="shared" si="72"/>
        <v>0.34383444169376892</v>
      </c>
      <c r="W371" s="23">
        <f t="shared" si="73"/>
        <v>0.79740327967278324</v>
      </c>
      <c r="X371" s="904">
        <f t="shared" si="74"/>
        <v>454</v>
      </c>
      <c r="Y371" s="904">
        <f t="shared" si="74"/>
        <v>489</v>
      </c>
      <c r="Z371" s="904">
        <f t="shared" si="74"/>
        <v>478</v>
      </c>
      <c r="AA371" s="904">
        <f t="shared" si="62"/>
        <v>526</v>
      </c>
      <c r="AB371" s="24">
        <v>187</v>
      </c>
    </row>
    <row r="372" spans="1:28" x14ac:dyDescent="0.25">
      <c r="A372" s="903" t="s">
        <v>77</v>
      </c>
      <c r="B372" t="s">
        <v>817</v>
      </c>
      <c r="C372" s="906" t="s">
        <v>824</v>
      </c>
      <c r="D372" s="25">
        <v>2.7</v>
      </c>
      <c r="E372" s="903">
        <v>257</v>
      </c>
      <c r="F372" s="903">
        <v>79</v>
      </c>
      <c r="G372" s="903" t="s">
        <v>825</v>
      </c>
      <c r="H372" s="904">
        <f t="shared" si="63"/>
        <v>6</v>
      </c>
      <c r="I372" s="904">
        <f t="shared" si="64"/>
        <v>11</v>
      </c>
      <c r="J372" s="21">
        <f t="shared" si="65"/>
        <v>11800</v>
      </c>
      <c r="K372" s="21">
        <f t="shared" si="66"/>
        <v>13736.000000000002</v>
      </c>
      <c r="L372" s="21">
        <f t="shared" si="67"/>
        <v>26100</v>
      </c>
      <c r="M372" s="21">
        <f t="shared" si="68"/>
        <v>40400</v>
      </c>
      <c r="N372" s="904">
        <f t="shared" si="69"/>
        <v>756</v>
      </c>
      <c r="O372" s="21"/>
      <c r="P372" s="22" t="s">
        <v>2</v>
      </c>
      <c r="Q372" s="22">
        <v>0.63</v>
      </c>
      <c r="R372" s="904" t="s">
        <v>42</v>
      </c>
      <c r="S372" s="904" t="str">
        <f t="shared" si="70"/>
        <v>Stove</v>
      </c>
      <c r="T372" s="23">
        <f t="shared" si="71"/>
        <v>0.14733616218764733</v>
      </c>
      <c r="U372" s="23">
        <f t="shared" si="72"/>
        <v>0.43334165349308029</v>
      </c>
      <c r="V372" s="23">
        <f t="shared" si="72"/>
        <v>0.22806057288815909</v>
      </c>
      <c r="W372" s="23">
        <f t="shared" si="73"/>
        <v>0.50443906376109771</v>
      </c>
      <c r="X372" s="904">
        <f t="shared" si="74"/>
        <v>203</v>
      </c>
      <c r="Y372" s="904">
        <f t="shared" si="74"/>
        <v>212</v>
      </c>
      <c r="Z372" s="904">
        <f t="shared" si="74"/>
        <v>195</v>
      </c>
      <c r="AA372" s="904">
        <f t="shared" si="62"/>
        <v>194</v>
      </c>
      <c r="AB372" s="24">
        <v>67</v>
      </c>
    </row>
    <row r="373" spans="1:28" x14ac:dyDescent="0.25">
      <c r="A373" s="903"/>
      <c r="B373" t="s">
        <v>826</v>
      </c>
      <c r="C373" s="906" t="s">
        <v>827</v>
      </c>
      <c r="D373" s="25">
        <v>5.5</v>
      </c>
      <c r="E373" s="903">
        <v>808</v>
      </c>
      <c r="F373" s="903">
        <v>458</v>
      </c>
      <c r="G373" s="903" t="s">
        <v>828</v>
      </c>
      <c r="H373" s="904">
        <f t="shared" si="63"/>
        <v>6</v>
      </c>
      <c r="I373" s="904">
        <f t="shared" si="64"/>
        <v>11</v>
      </c>
      <c r="J373" s="21">
        <f t="shared" si="65"/>
        <v>11938</v>
      </c>
      <c r="K373" s="21">
        <f t="shared" si="66"/>
        <v>11938</v>
      </c>
      <c r="L373" s="21">
        <f t="shared" si="67"/>
        <v>23091.5</v>
      </c>
      <c r="M373" s="21">
        <f t="shared" si="68"/>
        <v>34245</v>
      </c>
      <c r="N373" s="904">
        <f t="shared" si="69"/>
        <v>560</v>
      </c>
      <c r="O373" s="21"/>
      <c r="P373" s="22" t="s">
        <v>2</v>
      </c>
      <c r="Q373" s="22">
        <v>0.63</v>
      </c>
      <c r="R373" s="904" t="s">
        <v>42</v>
      </c>
      <c r="S373" s="904" t="str">
        <f t="shared" si="70"/>
        <v>Stove</v>
      </c>
      <c r="T373" s="23">
        <f t="shared" si="71"/>
        <v>0.35407272473510853</v>
      </c>
      <c r="U373" s="23">
        <f t="shared" si="72"/>
        <v>1.0156827323298536</v>
      </c>
      <c r="V373" s="23">
        <f t="shared" si="72"/>
        <v>0.5250945351559575</v>
      </c>
      <c r="W373" s="23">
        <f t="shared" si="73"/>
        <v>1.0156827323298536</v>
      </c>
      <c r="X373" s="904">
        <f t="shared" si="74"/>
        <v>770</v>
      </c>
      <c r="Y373" s="904">
        <f t="shared" si="74"/>
        <v>812</v>
      </c>
      <c r="Z373" s="904">
        <f t="shared" si="74"/>
        <v>770</v>
      </c>
      <c r="AA373" s="904">
        <f t="shared" si="62"/>
        <v>724</v>
      </c>
      <c r="AB373" s="24">
        <v>473</v>
      </c>
    </row>
    <row r="374" spans="1:28" x14ac:dyDescent="0.25">
      <c r="A374" s="903"/>
      <c r="B374" t="s">
        <v>826</v>
      </c>
      <c r="C374" s="906" t="s">
        <v>829</v>
      </c>
      <c r="D374" s="25">
        <v>6.6</v>
      </c>
      <c r="E374" s="903">
        <v>884</v>
      </c>
      <c r="F374" s="903">
        <v>529</v>
      </c>
      <c r="G374" s="903" t="s">
        <v>830</v>
      </c>
      <c r="H374" s="904">
        <f t="shared" si="63"/>
        <v>6</v>
      </c>
      <c r="I374" s="904">
        <f t="shared" si="64"/>
        <v>11</v>
      </c>
      <c r="J374" s="21">
        <f t="shared" si="65"/>
        <v>10978</v>
      </c>
      <c r="K374" s="21">
        <f t="shared" si="66"/>
        <v>10978</v>
      </c>
      <c r="L374" s="21">
        <f t="shared" si="67"/>
        <v>20139.5</v>
      </c>
      <c r="M374" s="21">
        <f t="shared" si="68"/>
        <v>29301</v>
      </c>
      <c r="N374" s="904">
        <f t="shared" si="69"/>
        <v>333</v>
      </c>
      <c r="O374" s="21"/>
      <c r="P374" s="22" t="s">
        <v>2</v>
      </c>
      <c r="Q374" s="22">
        <v>0.63</v>
      </c>
      <c r="R374" s="904" t="s">
        <v>42</v>
      </c>
      <c r="S374" s="904" t="str">
        <f t="shared" si="70"/>
        <v>Stove</v>
      </c>
      <c r="T374" s="23">
        <f t="shared" si="71"/>
        <v>0.49657911164344387</v>
      </c>
      <c r="U374" s="23">
        <f t="shared" si="72"/>
        <v>1.3254021270053336</v>
      </c>
      <c r="V374" s="23">
        <f t="shared" si="72"/>
        <v>0.72247397156158533</v>
      </c>
      <c r="W374" s="23">
        <f t="shared" si="73"/>
        <v>1.3254021270053336</v>
      </c>
      <c r="X374" s="904">
        <f t="shared" si="74"/>
        <v>894</v>
      </c>
      <c r="Y374" s="904">
        <f t="shared" si="74"/>
        <v>912</v>
      </c>
      <c r="Z374" s="904">
        <f t="shared" si="74"/>
        <v>901</v>
      </c>
      <c r="AA374" s="904">
        <f t="shared" si="62"/>
        <v>867</v>
      </c>
      <c r="AB374" s="24">
        <v>557</v>
      </c>
    </row>
    <row r="375" spans="1:28" x14ac:dyDescent="0.25">
      <c r="A375" s="903"/>
      <c r="B375" t="s">
        <v>831</v>
      </c>
      <c r="C375" s="906" t="s">
        <v>832</v>
      </c>
      <c r="D375" s="25">
        <v>3.6</v>
      </c>
      <c r="E375" s="903">
        <v>467</v>
      </c>
      <c r="F375" s="903">
        <v>186</v>
      </c>
      <c r="G375" s="903" t="s">
        <v>833</v>
      </c>
      <c r="H375" s="904">
        <f t="shared" si="63"/>
        <v>6</v>
      </c>
      <c r="I375" s="904">
        <f t="shared" si="64"/>
        <v>11</v>
      </c>
      <c r="J375" s="21">
        <f t="shared" si="65"/>
        <v>12600</v>
      </c>
      <c r="K375" s="21">
        <f t="shared" si="66"/>
        <v>14076.000000000002</v>
      </c>
      <c r="L375" s="21">
        <f t="shared" si="67"/>
        <v>27000</v>
      </c>
      <c r="M375" s="21">
        <f t="shared" si="68"/>
        <v>41400</v>
      </c>
      <c r="N375" s="904">
        <f t="shared" si="69"/>
        <v>796</v>
      </c>
      <c r="O375" s="21"/>
      <c r="P375" s="22" t="s">
        <v>2</v>
      </c>
      <c r="Q375" s="22">
        <v>0.72</v>
      </c>
      <c r="R375" s="904" t="s">
        <v>38</v>
      </c>
      <c r="S375" s="904" t="str">
        <f t="shared" si="70"/>
        <v>Stove</v>
      </c>
      <c r="T375" s="23">
        <f t="shared" si="71"/>
        <v>0.19170309025381488</v>
      </c>
      <c r="U375" s="23">
        <f t="shared" si="72"/>
        <v>0.56383261839357313</v>
      </c>
      <c r="V375" s="23">
        <f t="shared" si="72"/>
        <v>0.29394473838918284</v>
      </c>
      <c r="W375" s="23">
        <f t="shared" si="73"/>
        <v>0.62988158226253466</v>
      </c>
      <c r="X375" s="904">
        <f t="shared" si="74"/>
        <v>354</v>
      </c>
      <c r="Y375" s="904">
        <f t="shared" si="74"/>
        <v>384</v>
      </c>
      <c r="Z375" s="904">
        <f t="shared" si="74"/>
        <v>349</v>
      </c>
      <c r="AA375" s="904">
        <f t="shared" si="62"/>
        <v>317</v>
      </c>
      <c r="AB375" s="24">
        <v>153</v>
      </c>
    </row>
    <row r="376" spans="1:28" x14ac:dyDescent="0.25">
      <c r="A376" s="903"/>
      <c r="B376" t="s">
        <v>834</v>
      </c>
      <c r="C376" s="906" t="s">
        <v>835</v>
      </c>
      <c r="D376" s="25">
        <v>7</v>
      </c>
      <c r="E376" s="903">
        <v>907</v>
      </c>
      <c r="F376" s="903">
        <v>550</v>
      </c>
      <c r="G376" s="903" t="s">
        <v>570</v>
      </c>
      <c r="H376" s="904">
        <f t="shared" si="63"/>
        <v>6</v>
      </c>
      <c r="I376" s="904">
        <f t="shared" si="64"/>
        <v>11</v>
      </c>
      <c r="J376" s="21">
        <f t="shared" si="65"/>
        <v>11000</v>
      </c>
      <c r="K376" s="21">
        <f t="shared" si="66"/>
        <v>11000</v>
      </c>
      <c r="L376" s="21">
        <f t="shared" si="67"/>
        <v>21000</v>
      </c>
      <c r="M376" s="21">
        <f t="shared" si="68"/>
        <v>31000</v>
      </c>
      <c r="N376" s="904">
        <f t="shared" si="69"/>
        <v>404</v>
      </c>
      <c r="O376" s="21"/>
      <c r="P376" s="22" t="s">
        <v>2</v>
      </c>
      <c r="Q376" s="22">
        <v>0.63</v>
      </c>
      <c r="R376" s="904" t="s">
        <v>42</v>
      </c>
      <c r="S376" s="904" t="str">
        <f t="shared" si="70"/>
        <v>Stove</v>
      </c>
      <c r="T376" s="23">
        <f t="shared" si="71"/>
        <v>0.49780963759458385</v>
      </c>
      <c r="U376" s="23">
        <f t="shared" si="72"/>
        <v>1.4029180695847363</v>
      </c>
      <c r="V376" s="23">
        <f t="shared" si="72"/>
        <v>0.73486184597295712</v>
      </c>
      <c r="W376" s="23">
        <f t="shared" si="73"/>
        <v>1.4029180695847363</v>
      </c>
      <c r="X376" s="904">
        <f t="shared" si="74"/>
        <v>895</v>
      </c>
      <c r="Y376" s="904">
        <f t="shared" si="74"/>
        <v>933</v>
      </c>
      <c r="Z376" s="904">
        <f t="shared" si="74"/>
        <v>907</v>
      </c>
      <c r="AA376" s="904">
        <f t="shared" si="62"/>
        <v>894</v>
      </c>
      <c r="AB376" s="24">
        <v>578</v>
      </c>
    </row>
    <row r="377" spans="1:28" x14ac:dyDescent="0.25">
      <c r="A377" s="903"/>
      <c r="B377" t="s">
        <v>834</v>
      </c>
      <c r="C377" s="906" t="s">
        <v>836</v>
      </c>
      <c r="D377" s="25">
        <v>7</v>
      </c>
      <c r="E377" s="903">
        <v>907</v>
      </c>
      <c r="F377" s="903">
        <v>550</v>
      </c>
      <c r="G377" s="903" t="s">
        <v>566</v>
      </c>
      <c r="H377" s="904">
        <f t="shared" si="63"/>
        <v>6</v>
      </c>
      <c r="I377" s="904">
        <f t="shared" si="64"/>
        <v>11</v>
      </c>
      <c r="J377" s="21">
        <f t="shared" si="65"/>
        <v>10000</v>
      </c>
      <c r="K377" s="21">
        <f t="shared" si="66"/>
        <v>13668.000000000002</v>
      </c>
      <c r="L377" s="21">
        <f t="shared" si="67"/>
        <v>25100</v>
      </c>
      <c r="M377" s="21">
        <f t="shared" si="68"/>
        <v>40200</v>
      </c>
      <c r="N377" s="904">
        <f t="shared" si="69"/>
        <v>699</v>
      </c>
      <c r="O377" s="21"/>
      <c r="P377" s="22" t="s">
        <v>2</v>
      </c>
      <c r="Q377" s="22">
        <v>0.63</v>
      </c>
      <c r="R377" s="904" t="s">
        <v>42</v>
      </c>
      <c r="S377" s="904" t="str">
        <f t="shared" si="70"/>
        <v>Stove</v>
      </c>
      <c r="T377" s="23">
        <f t="shared" si="71"/>
        <v>0.38388305386647009</v>
      </c>
      <c r="U377" s="23">
        <f t="shared" si="72"/>
        <v>1.1290678054896179</v>
      </c>
      <c r="V377" s="23">
        <f t="shared" si="72"/>
        <v>0.61482465200924696</v>
      </c>
      <c r="W377" s="23">
        <f t="shared" si="73"/>
        <v>1.5432098765432098</v>
      </c>
      <c r="X377" s="904">
        <f t="shared" si="74"/>
        <v>812</v>
      </c>
      <c r="Y377" s="904">
        <f t="shared" si="74"/>
        <v>869</v>
      </c>
      <c r="Z377" s="904">
        <f t="shared" si="74"/>
        <v>848</v>
      </c>
      <c r="AA377" s="904">
        <f t="shared" si="62"/>
        <v>928</v>
      </c>
      <c r="AB377" s="24">
        <v>516</v>
      </c>
    </row>
    <row r="378" spans="1:28" x14ac:dyDescent="0.25">
      <c r="A378" s="903"/>
      <c r="B378" t="s">
        <v>834</v>
      </c>
      <c r="C378" s="906" t="s">
        <v>837</v>
      </c>
      <c r="D378" s="25">
        <v>6.4</v>
      </c>
      <c r="E378" s="903">
        <v>868</v>
      </c>
      <c r="F378" s="903">
        <v>514</v>
      </c>
      <c r="G378" s="903" t="s">
        <v>572</v>
      </c>
      <c r="H378" s="904">
        <f t="shared" si="63"/>
        <v>6</v>
      </c>
      <c r="I378" s="904">
        <f t="shared" si="64"/>
        <v>11</v>
      </c>
      <c r="J378" s="21">
        <f t="shared" si="65"/>
        <v>10000</v>
      </c>
      <c r="K378" s="21">
        <f t="shared" si="66"/>
        <v>10000</v>
      </c>
      <c r="L378" s="21">
        <f t="shared" si="67"/>
        <v>16200</v>
      </c>
      <c r="M378" s="21">
        <f t="shared" si="68"/>
        <v>22400</v>
      </c>
      <c r="N378" s="904">
        <f t="shared" si="69"/>
        <v>69</v>
      </c>
      <c r="O378" s="21"/>
      <c r="P378" s="22" t="s">
        <v>2</v>
      </c>
      <c r="Q378" s="22">
        <v>0.63</v>
      </c>
      <c r="R378" s="904" t="s">
        <v>42</v>
      </c>
      <c r="S378" s="904" t="str">
        <f t="shared" si="70"/>
        <v>Stove</v>
      </c>
      <c r="T378" s="23">
        <f t="shared" si="71"/>
        <v>0.62988158226253466</v>
      </c>
      <c r="U378" s="23">
        <f t="shared" si="72"/>
        <v>1.4109347442680775</v>
      </c>
      <c r="V378" s="23">
        <f t="shared" si="72"/>
        <v>0.87094737300498615</v>
      </c>
      <c r="W378" s="23">
        <f t="shared" si="73"/>
        <v>1.4109347442680775</v>
      </c>
      <c r="X378" s="904">
        <f t="shared" si="74"/>
        <v>941</v>
      </c>
      <c r="Y378" s="904">
        <f t="shared" si="74"/>
        <v>936</v>
      </c>
      <c r="Z378" s="904">
        <f t="shared" si="74"/>
        <v>938</v>
      </c>
      <c r="AA378" s="904">
        <f t="shared" si="62"/>
        <v>901</v>
      </c>
      <c r="AB378" s="24">
        <v>581</v>
      </c>
    </row>
    <row r="379" spans="1:28" x14ac:dyDescent="0.25">
      <c r="A379" s="903" t="s">
        <v>77</v>
      </c>
      <c r="B379" t="s">
        <v>838</v>
      </c>
      <c r="C379" s="906" t="s">
        <v>397</v>
      </c>
      <c r="D379" s="25">
        <v>1</v>
      </c>
      <c r="E379" s="903">
        <v>23</v>
      </c>
      <c r="F379" s="903">
        <v>11</v>
      </c>
      <c r="G379" s="903" t="s">
        <v>398</v>
      </c>
      <c r="H379" s="904">
        <f t="shared" si="63"/>
        <v>5</v>
      </c>
      <c r="I379" s="904">
        <f t="shared" si="64"/>
        <v>10</v>
      </c>
      <c r="J379" s="21">
        <f t="shared" si="65"/>
        <v>7800</v>
      </c>
      <c r="K379" s="21">
        <f t="shared" si="66"/>
        <v>11254</v>
      </c>
      <c r="L379" s="21">
        <f t="shared" si="67"/>
        <v>20450</v>
      </c>
      <c r="M379" s="21">
        <f t="shared" si="68"/>
        <v>33100</v>
      </c>
      <c r="N379" s="904">
        <f t="shared" si="69"/>
        <v>358</v>
      </c>
      <c r="O379" s="21"/>
      <c r="P379" s="22" t="s">
        <v>2</v>
      </c>
      <c r="Q379" s="22">
        <v>0.78</v>
      </c>
      <c r="R379" s="904" t="s">
        <v>15</v>
      </c>
      <c r="S379" s="904" t="str">
        <f t="shared" si="70"/>
        <v>Stove</v>
      </c>
      <c r="T379" s="23">
        <f t="shared" si="71"/>
        <v>6.6603792686370733E-2</v>
      </c>
      <c r="U379" s="23">
        <f t="shared" si="72"/>
        <v>0.19589350790109036</v>
      </c>
      <c r="V379" s="23">
        <f t="shared" si="72"/>
        <v>0.10780369378576388</v>
      </c>
      <c r="W379" s="23">
        <f t="shared" si="73"/>
        <v>0.2826391715280604</v>
      </c>
      <c r="X379" s="904">
        <f t="shared" si="74"/>
        <v>33</v>
      </c>
      <c r="Y379" s="904">
        <f t="shared" si="74"/>
        <v>43</v>
      </c>
      <c r="Z379" s="904">
        <f t="shared" si="74"/>
        <v>37</v>
      </c>
      <c r="AA379" s="904">
        <f t="shared" si="62"/>
        <v>56</v>
      </c>
      <c r="AB379" s="24">
        <v>20</v>
      </c>
    </row>
    <row r="380" spans="1:28" x14ac:dyDescent="0.25">
      <c r="A380" s="903" t="s">
        <v>77</v>
      </c>
      <c r="B380" t="s">
        <v>838</v>
      </c>
      <c r="C380" s="906" t="s">
        <v>397</v>
      </c>
      <c r="D380" s="25">
        <v>1</v>
      </c>
      <c r="E380" s="903">
        <v>23</v>
      </c>
      <c r="F380" s="903">
        <v>11</v>
      </c>
      <c r="G380" s="903" t="s">
        <v>398</v>
      </c>
      <c r="H380" s="904">
        <f t="shared" si="63"/>
        <v>5</v>
      </c>
      <c r="I380" s="904">
        <f t="shared" si="64"/>
        <v>10</v>
      </c>
      <c r="J380" s="21">
        <f t="shared" si="65"/>
        <v>7800</v>
      </c>
      <c r="K380" s="21">
        <f t="shared" si="66"/>
        <v>11254</v>
      </c>
      <c r="L380" s="21">
        <f t="shared" si="67"/>
        <v>20450</v>
      </c>
      <c r="M380" s="21">
        <f t="shared" si="68"/>
        <v>33100</v>
      </c>
      <c r="N380" s="904">
        <f t="shared" si="69"/>
        <v>358</v>
      </c>
      <c r="O380" s="21"/>
      <c r="P380" s="22" t="s">
        <v>2</v>
      </c>
      <c r="Q380" s="22">
        <v>0.78</v>
      </c>
      <c r="R380" s="904" t="s">
        <v>15</v>
      </c>
      <c r="S380" s="904" t="str">
        <f t="shared" si="70"/>
        <v>Stove</v>
      </c>
      <c r="T380" s="23">
        <f t="shared" si="71"/>
        <v>6.6603792686370733E-2</v>
      </c>
      <c r="U380" s="23">
        <f t="shared" si="72"/>
        <v>0.19589350790109036</v>
      </c>
      <c r="V380" s="23">
        <f t="shared" si="72"/>
        <v>0.10780369378576388</v>
      </c>
      <c r="W380" s="23">
        <f t="shared" si="73"/>
        <v>0.2826391715280604</v>
      </c>
      <c r="X380" s="904">
        <f t="shared" si="74"/>
        <v>33</v>
      </c>
      <c r="Y380" s="904">
        <f t="shared" si="74"/>
        <v>43</v>
      </c>
      <c r="Z380" s="904">
        <f t="shared" si="74"/>
        <v>37</v>
      </c>
      <c r="AA380" s="904">
        <f t="shared" si="62"/>
        <v>56</v>
      </c>
      <c r="AB380" s="24">
        <v>20</v>
      </c>
    </row>
    <row r="381" spans="1:28" x14ac:dyDescent="0.25">
      <c r="A381" s="903" t="s">
        <v>77</v>
      </c>
      <c r="B381" t="s">
        <v>838</v>
      </c>
      <c r="C381" s="906" t="s">
        <v>394</v>
      </c>
      <c r="D381" s="25">
        <v>0.9</v>
      </c>
      <c r="E381" s="903">
        <v>18</v>
      </c>
      <c r="F381" s="903">
        <v>8</v>
      </c>
      <c r="G381" s="903" t="s">
        <v>395</v>
      </c>
      <c r="H381" s="904">
        <f t="shared" si="63"/>
        <v>6</v>
      </c>
      <c r="I381" s="904">
        <f t="shared" si="64"/>
        <v>11</v>
      </c>
      <c r="J381" s="21">
        <f t="shared" si="65"/>
        <v>10500</v>
      </c>
      <c r="K381" s="21">
        <f t="shared" si="66"/>
        <v>11356</v>
      </c>
      <c r="L381" s="21">
        <f t="shared" si="67"/>
        <v>21950</v>
      </c>
      <c r="M381" s="21">
        <f t="shared" si="68"/>
        <v>33400</v>
      </c>
      <c r="N381" s="904">
        <f t="shared" si="69"/>
        <v>467</v>
      </c>
      <c r="O381" s="21"/>
      <c r="P381" s="22" t="s">
        <v>2</v>
      </c>
      <c r="Q381" s="22">
        <v>0.78</v>
      </c>
      <c r="R381" s="904" t="s">
        <v>15</v>
      </c>
      <c r="S381" s="904" t="str">
        <f t="shared" si="70"/>
        <v>Stove</v>
      </c>
      <c r="T381" s="23">
        <f t="shared" si="71"/>
        <v>5.9404999524760006E-2</v>
      </c>
      <c r="U381" s="23">
        <f t="shared" si="72"/>
        <v>0.17472058683752939</v>
      </c>
      <c r="V381" s="23">
        <f t="shared" si="72"/>
        <v>9.0393028889612037E-2</v>
      </c>
      <c r="W381" s="23">
        <f t="shared" si="73"/>
        <v>0.1889644746787604</v>
      </c>
      <c r="X381" s="904">
        <f t="shared" si="74"/>
        <v>20</v>
      </c>
      <c r="Y381" s="904">
        <f t="shared" si="74"/>
        <v>29</v>
      </c>
      <c r="Z381" s="904">
        <f t="shared" si="74"/>
        <v>20</v>
      </c>
      <c r="AA381" s="904">
        <f t="shared" si="62"/>
        <v>25</v>
      </c>
      <c r="AB381" s="24">
        <v>15</v>
      </c>
    </row>
    <row r="382" spans="1:28" x14ac:dyDescent="0.25">
      <c r="A382" s="903"/>
      <c r="B382" t="s">
        <v>839</v>
      </c>
      <c r="C382" s="906" t="s">
        <v>840</v>
      </c>
      <c r="D382" s="25">
        <v>3.6</v>
      </c>
      <c r="E382" s="903">
        <v>467</v>
      </c>
      <c r="F382" s="903">
        <v>207</v>
      </c>
      <c r="G382" s="903" t="s">
        <v>841</v>
      </c>
      <c r="H382" s="904">
        <f t="shared" si="63"/>
        <v>5</v>
      </c>
      <c r="I382" s="904">
        <f t="shared" si="64"/>
        <v>10</v>
      </c>
      <c r="J382" s="21">
        <f t="shared" si="65"/>
        <v>8585</v>
      </c>
      <c r="K382" s="21">
        <f t="shared" si="66"/>
        <v>8585</v>
      </c>
      <c r="L382" s="21">
        <f t="shared" si="67"/>
        <v>16471.5</v>
      </c>
      <c r="M382" s="21">
        <f t="shared" si="68"/>
        <v>24358</v>
      </c>
      <c r="N382" s="904">
        <f t="shared" si="69"/>
        <v>80</v>
      </c>
      <c r="O382" s="21"/>
      <c r="P382" s="22" t="s">
        <v>2</v>
      </c>
      <c r="Q382" s="22">
        <v>0.63</v>
      </c>
      <c r="R382" s="904" t="s">
        <v>42</v>
      </c>
      <c r="S382" s="904" t="str">
        <f t="shared" si="70"/>
        <v>Stove</v>
      </c>
      <c r="T382" s="23">
        <f t="shared" si="71"/>
        <v>0.32582756944362984</v>
      </c>
      <c r="U382" s="23">
        <f t="shared" si="72"/>
        <v>0.92446219411857156</v>
      </c>
      <c r="V382" s="23">
        <f t="shared" si="72"/>
        <v>0.48183273754715333</v>
      </c>
      <c r="W382" s="23">
        <f t="shared" si="73"/>
        <v>0.92446219411857156</v>
      </c>
      <c r="X382" s="904">
        <f t="shared" si="74"/>
        <v>728</v>
      </c>
      <c r="Y382" s="904">
        <f t="shared" si="74"/>
        <v>763</v>
      </c>
      <c r="Z382" s="904">
        <f t="shared" si="74"/>
        <v>717</v>
      </c>
      <c r="AA382" s="904">
        <f t="shared" si="62"/>
        <v>665</v>
      </c>
      <c r="AB382" s="24">
        <v>432</v>
      </c>
    </row>
    <row r="383" spans="1:28" x14ac:dyDescent="0.25">
      <c r="A383" s="903"/>
      <c r="B383" t="s">
        <v>839</v>
      </c>
      <c r="C383" s="906" t="s">
        <v>842</v>
      </c>
      <c r="D383" s="25">
        <v>6.6</v>
      </c>
      <c r="E383" s="903">
        <v>884</v>
      </c>
      <c r="F383" s="903">
        <v>529</v>
      </c>
      <c r="G383" s="903" t="s">
        <v>843</v>
      </c>
      <c r="H383" s="904">
        <f t="shared" si="63"/>
        <v>6</v>
      </c>
      <c r="I383" s="904">
        <f t="shared" si="64"/>
        <v>11</v>
      </c>
      <c r="J383" s="21">
        <f t="shared" si="65"/>
        <v>11400</v>
      </c>
      <c r="K383" s="21">
        <f t="shared" si="66"/>
        <v>11400</v>
      </c>
      <c r="L383" s="21">
        <f t="shared" si="67"/>
        <v>20128.5</v>
      </c>
      <c r="M383" s="21">
        <f t="shared" si="68"/>
        <v>28857</v>
      </c>
      <c r="N383" s="904">
        <f t="shared" si="69"/>
        <v>332</v>
      </c>
      <c r="O383" s="21"/>
      <c r="P383" s="22" t="s">
        <v>2</v>
      </c>
      <c r="Q383" s="22">
        <v>0.63</v>
      </c>
      <c r="R383" s="904" t="s">
        <v>42</v>
      </c>
      <c r="S383" s="904" t="str">
        <f t="shared" si="70"/>
        <v>Stove</v>
      </c>
      <c r="T383" s="23">
        <f t="shared" si="71"/>
        <v>0.50421958451206117</v>
      </c>
      <c r="U383" s="23">
        <f t="shared" si="72"/>
        <v>1.2763389956372413</v>
      </c>
      <c r="V383" s="23">
        <f t="shared" si="72"/>
        <v>0.72286879550212635</v>
      </c>
      <c r="W383" s="23">
        <f t="shared" si="73"/>
        <v>1.2763389956372413</v>
      </c>
      <c r="X383" s="904">
        <f t="shared" si="74"/>
        <v>899</v>
      </c>
      <c r="Y383" s="904">
        <f t="shared" si="74"/>
        <v>895</v>
      </c>
      <c r="Z383" s="904">
        <f t="shared" si="74"/>
        <v>902</v>
      </c>
      <c r="AA383" s="904">
        <f t="shared" si="62"/>
        <v>842</v>
      </c>
      <c r="AB383" s="24">
        <v>540</v>
      </c>
    </row>
    <row r="384" spans="1:28" x14ac:dyDescent="0.25">
      <c r="A384" s="903"/>
      <c r="B384" t="s">
        <v>839</v>
      </c>
      <c r="C384" s="906" t="s">
        <v>844</v>
      </c>
      <c r="D384" s="25">
        <v>7.2</v>
      </c>
      <c r="E384" s="903">
        <v>932</v>
      </c>
      <c r="F384" s="903">
        <v>575</v>
      </c>
      <c r="G384" s="903" t="s">
        <v>845</v>
      </c>
      <c r="H384" s="904">
        <f t="shared" si="63"/>
        <v>6</v>
      </c>
      <c r="I384" s="904">
        <f t="shared" si="64"/>
        <v>11</v>
      </c>
      <c r="J384" s="21">
        <f t="shared" si="65"/>
        <v>11842</v>
      </c>
      <c r="K384" s="21">
        <f t="shared" si="66"/>
        <v>11842</v>
      </c>
      <c r="L384" s="21">
        <f t="shared" si="67"/>
        <v>21086</v>
      </c>
      <c r="M384" s="21">
        <f t="shared" si="68"/>
        <v>30330</v>
      </c>
      <c r="N384" s="904">
        <f t="shared" si="69"/>
        <v>418</v>
      </c>
      <c r="O384" s="21"/>
      <c r="P384" s="22" t="s">
        <v>2</v>
      </c>
      <c r="Q384" s="22">
        <v>0.63</v>
      </c>
      <c r="R384" s="904" t="s">
        <v>42</v>
      </c>
      <c r="S384" s="904" t="str">
        <f t="shared" si="70"/>
        <v>Stove</v>
      </c>
      <c r="T384" s="23">
        <f t="shared" si="71"/>
        <v>0.52334374787391602</v>
      </c>
      <c r="U384" s="23">
        <f t="shared" si="72"/>
        <v>1.3403999217206446</v>
      </c>
      <c r="V384" s="23">
        <f t="shared" si="72"/>
        <v>0.75277510542615356</v>
      </c>
      <c r="W384" s="23">
        <f t="shared" si="73"/>
        <v>1.3403999217206446</v>
      </c>
      <c r="X384" s="904">
        <f t="shared" si="74"/>
        <v>908</v>
      </c>
      <c r="Y384" s="904">
        <f t="shared" si="74"/>
        <v>916</v>
      </c>
      <c r="Z384" s="904">
        <f t="shared" si="74"/>
        <v>914</v>
      </c>
      <c r="AA384" s="904">
        <f t="shared" si="62"/>
        <v>874</v>
      </c>
      <c r="AB384" s="24">
        <v>561</v>
      </c>
    </row>
    <row r="385" spans="1:28" x14ac:dyDescent="0.25">
      <c r="A385" s="903"/>
      <c r="B385" t="s">
        <v>839</v>
      </c>
      <c r="C385" s="906" t="s">
        <v>846</v>
      </c>
      <c r="D385" s="25">
        <v>6.8</v>
      </c>
      <c r="E385" s="903">
        <v>895</v>
      </c>
      <c r="F385" s="903">
        <v>539</v>
      </c>
      <c r="G385" s="903" t="s">
        <v>847</v>
      </c>
      <c r="H385" s="904">
        <f t="shared" si="63"/>
        <v>6</v>
      </c>
      <c r="I385" s="904">
        <f t="shared" si="64"/>
        <v>11</v>
      </c>
      <c r="J385" s="21">
        <f t="shared" si="65"/>
        <v>10754</v>
      </c>
      <c r="K385" s="21">
        <f t="shared" si="66"/>
        <v>14666.920000000002</v>
      </c>
      <c r="L385" s="21">
        <f t="shared" si="67"/>
        <v>26946</v>
      </c>
      <c r="M385" s="21">
        <f t="shared" si="68"/>
        <v>43138</v>
      </c>
      <c r="N385" s="904">
        <f t="shared" si="69"/>
        <v>788</v>
      </c>
      <c r="O385" s="21"/>
      <c r="P385" s="22" t="s">
        <v>2</v>
      </c>
      <c r="Q385" s="22">
        <v>0.63</v>
      </c>
      <c r="R385" s="904" t="s">
        <v>42</v>
      </c>
      <c r="S385" s="904" t="str">
        <f t="shared" si="70"/>
        <v>Stove</v>
      </c>
      <c r="T385" s="23">
        <f t="shared" si="71"/>
        <v>0.34751684495916185</v>
      </c>
      <c r="U385" s="23">
        <f t="shared" si="72"/>
        <v>1.0221083675269464</v>
      </c>
      <c r="V385" s="23">
        <f t="shared" si="72"/>
        <v>0.5563416335577942</v>
      </c>
      <c r="W385" s="23">
        <f t="shared" si="73"/>
        <v>1.3940098249812463</v>
      </c>
      <c r="X385" s="904">
        <f t="shared" si="74"/>
        <v>762</v>
      </c>
      <c r="Y385" s="904">
        <f t="shared" si="74"/>
        <v>814</v>
      </c>
      <c r="Z385" s="904">
        <f t="shared" si="74"/>
        <v>808</v>
      </c>
      <c r="AA385" s="904">
        <f t="shared" si="62"/>
        <v>892</v>
      </c>
      <c r="AB385" s="24">
        <v>475</v>
      </c>
    </row>
    <row r="386" spans="1:28" x14ac:dyDescent="0.25">
      <c r="A386" s="903"/>
      <c r="B386" t="s">
        <v>848</v>
      </c>
      <c r="C386" s="906" t="s">
        <v>849</v>
      </c>
      <c r="D386" s="25">
        <v>7</v>
      </c>
      <c r="E386" s="903">
        <v>907</v>
      </c>
      <c r="F386" s="903">
        <v>550</v>
      </c>
      <c r="G386" s="903" t="s">
        <v>850</v>
      </c>
      <c r="H386" s="904">
        <f t="shared" si="63"/>
        <v>6</v>
      </c>
      <c r="I386" s="904">
        <f t="shared" si="64"/>
        <v>11</v>
      </c>
      <c r="J386" s="21">
        <f t="shared" si="65"/>
        <v>11900</v>
      </c>
      <c r="K386" s="21">
        <f t="shared" si="66"/>
        <v>11900</v>
      </c>
      <c r="L386" s="21">
        <f t="shared" si="67"/>
        <v>15800</v>
      </c>
      <c r="M386" s="21">
        <f t="shared" si="68"/>
        <v>19700</v>
      </c>
      <c r="N386" s="904">
        <f t="shared" si="69"/>
        <v>59</v>
      </c>
      <c r="O386" s="21"/>
      <c r="P386" s="22" t="s">
        <v>2</v>
      </c>
      <c r="Q386" s="22">
        <v>0.63</v>
      </c>
      <c r="R386" s="904" t="s">
        <v>42</v>
      </c>
      <c r="S386" s="904" t="str">
        <f t="shared" si="70"/>
        <v>Stove</v>
      </c>
      <c r="T386" s="23">
        <f t="shared" si="71"/>
        <v>0.78335526728081717</v>
      </c>
      <c r="U386" s="23">
        <f t="shared" si="72"/>
        <v>1.2968150223052184</v>
      </c>
      <c r="V386" s="23">
        <f t="shared" si="72"/>
        <v>0.97671511173620873</v>
      </c>
      <c r="W386" s="23">
        <f t="shared" si="73"/>
        <v>1.2968150223052184</v>
      </c>
      <c r="X386" s="904">
        <f t="shared" si="74"/>
        <v>960</v>
      </c>
      <c r="Y386" s="904">
        <f t="shared" si="74"/>
        <v>900</v>
      </c>
      <c r="Z386" s="904">
        <f t="shared" si="74"/>
        <v>956</v>
      </c>
      <c r="AA386" s="904">
        <f t="shared" si="62"/>
        <v>852</v>
      </c>
      <c r="AB386" s="24">
        <v>545</v>
      </c>
    </row>
    <row r="387" spans="1:28" x14ac:dyDescent="0.25">
      <c r="A387" s="903"/>
      <c r="B387" t="s">
        <v>851</v>
      </c>
      <c r="C387" s="906" t="s">
        <v>852</v>
      </c>
      <c r="D387" s="25">
        <v>2.5</v>
      </c>
      <c r="E387" s="903">
        <v>218</v>
      </c>
      <c r="F387" s="903">
        <v>63</v>
      </c>
      <c r="G387" s="903" t="s">
        <v>853</v>
      </c>
      <c r="H387" s="904">
        <f t="shared" si="63"/>
        <v>5</v>
      </c>
      <c r="I387" s="904">
        <f t="shared" si="64"/>
        <v>10</v>
      </c>
      <c r="J387" s="21">
        <f t="shared" si="65"/>
        <v>8100</v>
      </c>
      <c r="K387" s="21">
        <f t="shared" si="66"/>
        <v>8100</v>
      </c>
      <c r="L387" s="21">
        <f t="shared" si="67"/>
        <v>14750</v>
      </c>
      <c r="M387" s="21">
        <f t="shared" si="68"/>
        <v>21400</v>
      </c>
      <c r="N387" s="904">
        <f t="shared" si="69"/>
        <v>35</v>
      </c>
      <c r="O387" s="21"/>
      <c r="P387" s="22" t="s">
        <v>2</v>
      </c>
      <c r="Q387" s="22">
        <v>0.63</v>
      </c>
      <c r="R387" s="904" t="s">
        <v>42</v>
      </c>
      <c r="S387" s="904" t="str">
        <f t="shared" si="70"/>
        <v>Stove</v>
      </c>
      <c r="T387" s="23">
        <f t="shared" si="71"/>
        <v>0.25754503947650365</v>
      </c>
      <c r="U387" s="23">
        <f t="shared" si="72"/>
        <v>0.68042763516014548</v>
      </c>
      <c r="V387" s="23">
        <f t="shared" si="72"/>
        <v>0.37365856574896122</v>
      </c>
      <c r="W387" s="23">
        <f t="shared" si="73"/>
        <v>0.68042763516014548</v>
      </c>
      <c r="X387" s="904">
        <f t="shared" si="74"/>
        <v>584</v>
      </c>
      <c r="Y387" s="904">
        <f t="shared" si="74"/>
        <v>540</v>
      </c>
      <c r="Z387" s="904">
        <f t="shared" si="74"/>
        <v>550</v>
      </c>
      <c r="AA387" s="904">
        <f t="shared" si="62"/>
        <v>394</v>
      </c>
      <c r="AB387" s="24">
        <v>262</v>
      </c>
    </row>
    <row r="388" spans="1:28" x14ac:dyDescent="0.25">
      <c r="A388" s="903"/>
      <c r="B388" t="s">
        <v>854</v>
      </c>
      <c r="C388" s="906" t="s">
        <v>855</v>
      </c>
      <c r="D388" s="25">
        <v>3.3</v>
      </c>
      <c r="E388" s="903">
        <v>393</v>
      </c>
      <c r="F388" s="903">
        <v>152</v>
      </c>
      <c r="G388" s="903" t="s">
        <v>856</v>
      </c>
      <c r="H388" s="904">
        <f t="shared" si="63"/>
        <v>6</v>
      </c>
      <c r="I388" s="904">
        <f t="shared" si="64"/>
        <v>11</v>
      </c>
      <c r="J388" s="21">
        <f t="shared" si="65"/>
        <v>11500</v>
      </c>
      <c r="K388" s="21">
        <f t="shared" si="66"/>
        <v>11934</v>
      </c>
      <c r="L388" s="21">
        <f t="shared" si="67"/>
        <v>23300</v>
      </c>
      <c r="M388" s="21">
        <f t="shared" si="68"/>
        <v>35100</v>
      </c>
      <c r="N388" s="904">
        <f t="shared" si="69"/>
        <v>575</v>
      </c>
      <c r="O388" s="21"/>
      <c r="P388" s="22" t="s">
        <v>2</v>
      </c>
      <c r="Q388" s="22">
        <v>0.63</v>
      </c>
      <c r="R388" s="904" t="s">
        <v>42</v>
      </c>
      <c r="S388" s="904" t="str">
        <f t="shared" si="70"/>
        <v>Stove</v>
      </c>
      <c r="T388" s="23">
        <f t="shared" si="71"/>
        <v>0.20726872578724431</v>
      </c>
      <c r="U388" s="23">
        <f t="shared" si="72"/>
        <v>0.60961389937424793</v>
      </c>
      <c r="V388" s="23">
        <f t="shared" si="72"/>
        <v>0.31223743670095599</v>
      </c>
      <c r="W388" s="23">
        <f t="shared" si="73"/>
        <v>0.63262019783758916</v>
      </c>
      <c r="X388" s="904">
        <f t="shared" si="74"/>
        <v>414</v>
      </c>
      <c r="Y388" s="904">
        <f t="shared" si="74"/>
        <v>445</v>
      </c>
      <c r="Z388" s="904">
        <f t="shared" si="74"/>
        <v>396</v>
      </c>
      <c r="AA388" s="904">
        <f t="shared" si="62"/>
        <v>323</v>
      </c>
      <c r="AB388" s="24">
        <v>193</v>
      </c>
    </row>
    <row r="389" spans="1:28" x14ac:dyDescent="0.25">
      <c r="A389" s="903" t="s">
        <v>77</v>
      </c>
      <c r="B389" t="s">
        <v>857</v>
      </c>
      <c r="C389" s="906" t="s">
        <v>858</v>
      </c>
      <c r="D389" s="25">
        <v>1.6</v>
      </c>
      <c r="E389" s="903">
        <v>86</v>
      </c>
      <c r="F389" s="903">
        <v>29</v>
      </c>
      <c r="G389" s="903" t="s">
        <v>859</v>
      </c>
      <c r="H389" s="904">
        <f t="shared" si="63"/>
        <v>5</v>
      </c>
      <c r="I389" s="904">
        <f t="shared" si="64"/>
        <v>10</v>
      </c>
      <c r="J389" s="21">
        <f t="shared" si="65"/>
        <v>9800</v>
      </c>
      <c r="K389" s="21">
        <f t="shared" si="66"/>
        <v>18564</v>
      </c>
      <c r="L389" s="21">
        <f t="shared" si="67"/>
        <v>32200</v>
      </c>
      <c r="M389" s="21">
        <f t="shared" si="68"/>
        <v>54600</v>
      </c>
      <c r="N389" s="904">
        <f t="shared" si="69"/>
        <v>906</v>
      </c>
      <c r="O389" s="21"/>
      <c r="P389" s="22" t="s">
        <v>2</v>
      </c>
      <c r="Q389" s="22">
        <v>0.72</v>
      </c>
      <c r="R389" s="904" t="s">
        <v>38</v>
      </c>
      <c r="S389" s="904" t="str">
        <f t="shared" si="70"/>
        <v>Stove</v>
      </c>
      <c r="T389" s="23">
        <f t="shared" si="71"/>
        <v>6.4603239206413809E-2</v>
      </c>
      <c r="U389" s="23">
        <f t="shared" si="72"/>
        <v>0.19000952707768767</v>
      </c>
      <c r="V389" s="23">
        <f t="shared" si="72"/>
        <v>0.10954462300217994</v>
      </c>
      <c r="W389" s="23">
        <f t="shared" si="73"/>
        <v>0.35993233272144837</v>
      </c>
      <c r="X389" s="904">
        <f t="shared" si="74"/>
        <v>31</v>
      </c>
      <c r="Y389" s="904">
        <f t="shared" si="74"/>
        <v>41</v>
      </c>
      <c r="Z389" s="904">
        <f t="shared" si="74"/>
        <v>41</v>
      </c>
      <c r="AA389" s="904">
        <f t="shared" si="62"/>
        <v>84</v>
      </c>
      <c r="AB389" s="24">
        <v>12</v>
      </c>
    </row>
    <row r="390" spans="1:28" x14ac:dyDescent="0.25">
      <c r="A390" s="903" t="s">
        <v>77</v>
      </c>
      <c r="B390" t="s">
        <v>857</v>
      </c>
      <c r="C390" s="906" t="s">
        <v>860</v>
      </c>
      <c r="D390" s="25">
        <v>1.5</v>
      </c>
      <c r="E390" s="903">
        <v>79</v>
      </c>
      <c r="F390" s="903">
        <v>27</v>
      </c>
      <c r="G390" s="903" t="s">
        <v>861</v>
      </c>
      <c r="H390" s="904">
        <f t="shared" si="63"/>
        <v>6</v>
      </c>
      <c r="I390" s="904">
        <f t="shared" si="64"/>
        <v>11</v>
      </c>
      <c r="J390" s="21">
        <f t="shared" si="65"/>
        <v>10700</v>
      </c>
      <c r="K390" s="21">
        <f t="shared" si="66"/>
        <v>17952</v>
      </c>
      <c r="L390" s="21">
        <f t="shared" si="67"/>
        <v>31750</v>
      </c>
      <c r="M390" s="21">
        <f t="shared" si="68"/>
        <v>52800</v>
      </c>
      <c r="N390" s="904">
        <f t="shared" si="69"/>
        <v>900</v>
      </c>
      <c r="O390" s="21"/>
      <c r="P390" s="22" t="s">
        <v>2</v>
      </c>
      <c r="Q390" s="22">
        <v>0.72</v>
      </c>
      <c r="R390" s="904" t="s">
        <v>38</v>
      </c>
      <c r="S390" s="904" t="str">
        <f t="shared" si="70"/>
        <v>Stove</v>
      </c>
      <c r="T390" s="23">
        <f t="shared" si="71"/>
        <v>6.2630270963604295E-2</v>
      </c>
      <c r="U390" s="23">
        <f t="shared" si="72"/>
        <v>0.18420667930471851</v>
      </c>
      <c r="V390" s="23">
        <f t="shared" si="72"/>
        <v>0.10415364746073408</v>
      </c>
      <c r="W390" s="23">
        <f t="shared" si="73"/>
        <v>0.30905404737180436</v>
      </c>
      <c r="X390" s="904">
        <f t="shared" si="74"/>
        <v>26</v>
      </c>
      <c r="Y390" s="904">
        <f t="shared" si="74"/>
        <v>34</v>
      </c>
      <c r="Z390" s="904">
        <f t="shared" si="74"/>
        <v>35</v>
      </c>
      <c r="AA390" s="904">
        <f t="shared" si="62"/>
        <v>68</v>
      </c>
      <c r="AB390" s="24">
        <v>11</v>
      </c>
    </row>
    <row r="391" spans="1:28" x14ac:dyDescent="0.25">
      <c r="A391" s="903" t="s">
        <v>77</v>
      </c>
      <c r="B391" t="s">
        <v>857</v>
      </c>
      <c r="C391" s="906" t="s">
        <v>862</v>
      </c>
      <c r="D391" s="25">
        <v>4.5</v>
      </c>
      <c r="E391" s="903">
        <v>700</v>
      </c>
      <c r="F391" s="903">
        <v>244</v>
      </c>
      <c r="G391" s="903" t="s">
        <v>863</v>
      </c>
      <c r="H391" s="904">
        <f t="shared" si="63"/>
        <v>5</v>
      </c>
      <c r="I391" s="904">
        <f t="shared" si="64"/>
        <v>10</v>
      </c>
      <c r="J391" s="21">
        <f t="shared" si="65"/>
        <v>9300</v>
      </c>
      <c r="K391" s="21">
        <f t="shared" si="66"/>
        <v>13294.000000000002</v>
      </c>
      <c r="L391" s="21">
        <f t="shared" si="67"/>
        <v>24200</v>
      </c>
      <c r="M391" s="21">
        <f t="shared" si="68"/>
        <v>39100</v>
      </c>
      <c r="N391" s="904">
        <f t="shared" si="69"/>
        <v>650</v>
      </c>
      <c r="O391" s="21"/>
      <c r="P391" s="22" t="s">
        <v>2</v>
      </c>
      <c r="Q391" s="22">
        <v>0.72</v>
      </c>
      <c r="R391" s="904" t="s">
        <v>38</v>
      </c>
      <c r="S391" s="904" t="str">
        <f t="shared" si="70"/>
        <v>Stove</v>
      </c>
      <c r="T391" s="23">
        <f t="shared" si="71"/>
        <v>0.25372467827710793</v>
      </c>
      <c r="U391" s="23">
        <f t="shared" si="72"/>
        <v>0.74624905375619965</v>
      </c>
      <c r="V391" s="23">
        <f t="shared" si="72"/>
        <v>0.40994359176177358</v>
      </c>
      <c r="W391" s="23">
        <f t="shared" si="73"/>
        <v>1.0667349377026796</v>
      </c>
      <c r="X391" s="904">
        <f t="shared" si="74"/>
        <v>568</v>
      </c>
      <c r="Y391" s="904">
        <f t="shared" si="74"/>
        <v>609</v>
      </c>
      <c r="Z391" s="904">
        <f t="shared" si="74"/>
        <v>616</v>
      </c>
      <c r="AA391" s="904">
        <f t="shared" si="62"/>
        <v>758</v>
      </c>
      <c r="AB391" s="24">
        <v>221</v>
      </c>
    </row>
    <row r="392" spans="1:28" x14ac:dyDescent="0.25">
      <c r="A392" s="903" t="s">
        <v>77</v>
      </c>
      <c r="B392" t="s">
        <v>857</v>
      </c>
      <c r="C392" s="906" t="s">
        <v>864</v>
      </c>
      <c r="D392" s="25">
        <v>2.5</v>
      </c>
      <c r="E392" s="903">
        <v>218</v>
      </c>
      <c r="F392" s="903">
        <v>89</v>
      </c>
      <c r="G392" s="903" t="s">
        <v>865</v>
      </c>
      <c r="H392" s="904">
        <f t="shared" si="63"/>
        <v>6</v>
      </c>
      <c r="I392" s="904">
        <f t="shared" si="64"/>
        <v>11</v>
      </c>
      <c r="J392" s="21">
        <f t="shared" si="65"/>
        <v>10300</v>
      </c>
      <c r="K392" s="21">
        <f t="shared" si="66"/>
        <v>19108</v>
      </c>
      <c r="L392" s="21">
        <f t="shared" si="67"/>
        <v>33250</v>
      </c>
      <c r="M392" s="21">
        <f t="shared" si="68"/>
        <v>56200</v>
      </c>
      <c r="N392" s="904">
        <f t="shared" si="69"/>
        <v>917</v>
      </c>
      <c r="O392" s="21"/>
      <c r="P392" s="22" t="s">
        <v>2</v>
      </c>
      <c r="Q392" s="22">
        <v>0.72</v>
      </c>
      <c r="R392" s="904" t="s">
        <v>38</v>
      </c>
      <c r="S392" s="904" t="str">
        <f t="shared" si="70"/>
        <v>Stove</v>
      </c>
      <c r="T392" s="23">
        <f t="shared" si="71"/>
        <v>9.8068751686782529E-2</v>
      </c>
      <c r="U392" s="23">
        <f t="shared" si="72"/>
        <v>0.28843750496112508</v>
      </c>
      <c r="V392" s="23">
        <f t="shared" si="72"/>
        <v>0.16575831112171965</v>
      </c>
      <c r="W392" s="23">
        <f t="shared" si="73"/>
        <v>0.53509357716477457</v>
      </c>
      <c r="X392" s="904">
        <f t="shared" si="74"/>
        <v>80</v>
      </c>
      <c r="Y392" s="904">
        <f t="shared" si="74"/>
        <v>91</v>
      </c>
      <c r="Z392" s="904">
        <f t="shared" si="74"/>
        <v>97</v>
      </c>
      <c r="AA392" s="904">
        <f t="shared" si="62"/>
        <v>230</v>
      </c>
      <c r="AB392" s="24">
        <v>40</v>
      </c>
    </row>
    <row r="393" spans="1:28" x14ac:dyDescent="0.25">
      <c r="A393" s="903" t="s">
        <v>77</v>
      </c>
      <c r="B393" t="s">
        <v>857</v>
      </c>
      <c r="C393" s="906" t="s">
        <v>866</v>
      </c>
      <c r="D393" s="25">
        <v>2.9</v>
      </c>
      <c r="E393" s="903">
        <v>295</v>
      </c>
      <c r="F393" s="903">
        <v>128</v>
      </c>
      <c r="G393" s="903" t="s">
        <v>867</v>
      </c>
      <c r="H393" s="904">
        <f t="shared" si="63"/>
        <v>6</v>
      </c>
      <c r="I393" s="904">
        <f t="shared" si="64"/>
        <v>11</v>
      </c>
      <c r="J393" s="21">
        <f t="shared" si="65"/>
        <v>10300</v>
      </c>
      <c r="K393" s="21">
        <f t="shared" si="66"/>
        <v>13056.000000000002</v>
      </c>
      <c r="L393" s="21">
        <f t="shared" si="67"/>
        <v>24350</v>
      </c>
      <c r="M393" s="21">
        <f t="shared" si="68"/>
        <v>38400</v>
      </c>
      <c r="N393" s="904">
        <f t="shared" si="69"/>
        <v>661</v>
      </c>
      <c r="O393" s="21"/>
      <c r="P393" s="22" t="s">
        <v>2</v>
      </c>
      <c r="Q393" s="22">
        <v>0.72</v>
      </c>
      <c r="R393" s="904" t="s">
        <v>38</v>
      </c>
      <c r="S393" s="904" t="str">
        <f t="shared" si="70"/>
        <v>Stove</v>
      </c>
      <c r="T393" s="23">
        <f t="shared" si="71"/>
        <v>0.16649213697824808</v>
      </c>
      <c r="U393" s="23">
        <f t="shared" si="72"/>
        <v>0.48968275581837661</v>
      </c>
      <c r="V393" s="23">
        <f t="shared" si="72"/>
        <v>0.26255844188766847</v>
      </c>
      <c r="W393" s="23">
        <f t="shared" si="73"/>
        <v>0.62070854951113852</v>
      </c>
      <c r="X393" s="904">
        <f t="shared" si="74"/>
        <v>271</v>
      </c>
      <c r="Y393" s="904">
        <f t="shared" si="74"/>
        <v>284</v>
      </c>
      <c r="Z393" s="904">
        <f t="shared" si="74"/>
        <v>265</v>
      </c>
      <c r="AA393" s="904">
        <f t="shared" si="62"/>
        <v>307</v>
      </c>
      <c r="AB393" s="24">
        <v>121</v>
      </c>
    </row>
    <row r="394" spans="1:28" x14ac:dyDescent="0.25">
      <c r="A394" s="903"/>
      <c r="B394" t="s">
        <v>868</v>
      </c>
      <c r="C394" s="906">
        <v>3055</v>
      </c>
      <c r="D394" s="25">
        <v>4.09</v>
      </c>
      <c r="E394" s="903">
        <v>593</v>
      </c>
      <c r="F394" s="903">
        <v>282</v>
      </c>
      <c r="G394" s="903" t="s">
        <v>869</v>
      </c>
      <c r="H394" s="904">
        <f t="shared" si="63"/>
        <v>6</v>
      </c>
      <c r="I394" s="904">
        <f t="shared" si="64"/>
        <v>11</v>
      </c>
      <c r="J394" s="21">
        <f t="shared" si="65"/>
        <v>10996</v>
      </c>
      <c r="K394" s="21">
        <f t="shared" si="66"/>
        <v>10996</v>
      </c>
      <c r="L394" s="21">
        <f t="shared" si="67"/>
        <v>18608.5</v>
      </c>
      <c r="M394" s="21">
        <f t="shared" si="68"/>
        <v>26221</v>
      </c>
      <c r="N394" s="904">
        <f t="shared" si="69"/>
        <v>209</v>
      </c>
      <c r="O394" s="21"/>
      <c r="P394" s="22" t="s">
        <v>2</v>
      </c>
      <c r="Q394" s="22">
        <v>0.63</v>
      </c>
      <c r="R394" s="904" t="s">
        <v>42</v>
      </c>
      <c r="S394" s="904" t="str">
        <f t="shared" si="70"/>
        <v>Stove</v>
      </c>
      <c r="T394" s="23">
        <f t="shared" si="71"/>
        <v>0.34387532321758063</v>
      </c>
      <c r="U394" s="23">
        <f t="shared" si="72"/>
        <v>0.82000316934232287</v>
      </c>
      <c r="V394" s="23">
        <f t="shared" si="72"/>
        <v>0.48455033184233998</v>
      </c>
      <c r="W394" s="23">
        <f t="shared" si="73"/>
        <v>0.82000316934232287</v>
      </c>
      <c r="X394" s="904">
        <f t="shared" si="74"/>
        <v>759</v>
      </c>
      <c r="Y394" s="904">
        <f t="shared" si="74"/>
        <v>683</v>
      </c>
      <c r="Z394" s="904">
        <f t="shared" si="74"/>
        <v>724</v>
      </c>
      <c r="AA394" s="904">
        <f t="shared" si="74"/>
        <v>558</v>
      </c>
      <c r="AB394" s="24">
        <v>372</v>
      </c>
    </row>
    <row r="395" spans="1:28" x14ac:dyDescent="0.25">
      <c r="A395" s="903"/>
      <c r="B395" t="s">
        <v>868</v>
      </c>
      <c r="C395" s="906" t="s">
        <v>870</v>
      </c>
      <c r="D395" s="25">
        <v>3.4</v>
      </c>
      <c r="E395" s="903">
        <v>415</v>
      </c>
      <c r="F395" s="903">
        <v>168</v>
      </c>
      <c r="G395" s="903" t="s">
        <v>869</v>
      </c>
      <c r="H395" s="904">
        <f t="shared" ref="H395:H458" si="75">FIND("-",$G395)</f>
        <v>6</v>
      </c>
      <c r="I395" s="904">
        <f t="shared" ref="I395:I458" si="76">LEN($G395)</f>
        <v>11</v>
      </c>
      <c r="J395" s="21">
        <f t="shared" ref="J395:J458" si="77">VALUE(LEFT($G395,H395-1))</f>
        <v>10996</v>
      </c>
      <c r="K395" s="21">
        <f t="shared" ref="K395:K458" si="78">IF(K$8*M395&gt;J395,K$8*M395,J395)</f>
        <v>10996</v>
      </c>
      <c r="L395" s="21">
        <f t="shared" ref="L395:L458" si="79">AVERAGE(J395,M395)</f>
        <v>18608.5</v>
      </c>
      <c r="M395" s="21">
        <f t="shared" ref="M395:M458" si="80">VALUE(RIGHT($G395,I395-H395))</f>
        <v>26221</v>
      </c>
      <c r="N395" s="904">
        <f t="shared" ref="N395:N458" si="81">RANK($L395,$L$11:$L$973,1)</f>
        <v>209</v>
      </c>
      <c r="O395" s="21"/>
      <c r="P395" s="22" t="s">
        <v>2</v>
      </c>
      <c r="Q395" s="22">
        <v>0.63</v>
      </c>
      <c r="R395" s="904" t="s">
        <v>42</v>
      </c>
      <c r="S395" s="904" t="str">
        <f t="shared" ref="S395:S458" si="82">IF(AND(ISERROR(FIND("Insert",B395&amp;C395)),ISERROR(FIND("insert",B395&amp;C395))),"Stove","Insert")</f>
        <v>Stove</v>
      </c>
      <c r="T395" s="23">
        <f t="shared" ref="T395:T458" si="83">$D395*10^6/(M395*453.6)</f>
        <v>0.2858621268801404</v>
      </c>
      <c r="U395" s="23">
        <f t="shared" ref="U395:V458" si="84">$D395*10^6/(K395*453.6)</f>
        <v>0.68166522634814131</v>
      </c>
      <c r="V395" s="23">
        <f t="shared" si="84"/>
        <v>0.40280467683715304</v>
      </c>
      <c r="W395" s="23">
        <f t="shared" ref="W395:W458" si="85">$D395*10^6/(J395*453.6)</f>
        <v>0.68166522634814131</v>
      </c>
      <c r="X395" s="904">
        <f t="shared" ref="X395:AA458" si="86">RANK(T395,T$11:T$973,1)</f>
        <v>644</v>
      </c>
      <c r="Y395" s="904">
        <f t="shared" si="86"/>
        <v>544</v>
      </c>
      <c r="Z395" s="904">
        <f t="shared" si="86"/>
        <v>597</v>
      </c>
      <c r="AA395" s="904">
        <f t="shared" si="86"/>
        <v>397</v>
      </c>
      <c r="AB395" s="24">
        <v>265</v>
      </c>
    </row>
    <row r="396" spans="1:28" x14ac:dyDescent="0.25">
      <c r="A396" s="903"/>
      <c r="B396" t="s">
        <v>871</v>
      </c>
      <c r="C396" s="906" t="s">
        <v>872</v>
      </c>
      <c r="D396" s="25">
        <v>6.9</v>
      </c>
      <c r="E396" s="903">
        <v>900</v>
      </c>
      <c r="F396" s="903">
        <v>543</v>
      </c>
      <c r="G396" s="903" t="s">
        <v>873</v>
      </c>
      <c r="H396" s="904">
        <f t="shared" si="75"/>
        <v>5</v>
      </c>
      <c r="I396" s="904">
        <f t="shared" si="76"/>
        <v>10</v>
      </c>
      <c r="J396" s="21">
        <f t="shared" si="77"/>
        <v>9043</v>
      </c>
      <c r="K396" s="21">
        <f t="shared" si="78"/>
        <v>9749.5</v>
      </c>
      <c r="L396" s="21">
        <f t="shared" si="79"/>
        <v>18859</v>
      </c>
      <c r="M396" s="21">
        <f t="shared" si="80"/>
        <v>28675</v>
      </c>
      <c r="N396" s="904">
        <f t="shared" si="81"/>
        <v>234</v>
      </c>
      <c r="O396" s="21"/>
      <c r="P396" s="22" t="s">
        <v>2</v>
      </c>
      <c r="Q396" s="22">
        <v>0.63</v>
      </c>
      <c r="R396" s="904" t="s">
        <v>42</v>
      </c>
      <c r="S396" s="904" t="str">
        <f t="shared" si="82"/>
        <v>Stove</v>
      </c>
      <c r="T396" s="23">
        <f t="shared" si="83"/>
        <v>0.53048440145214337</v>
      </c>
      <c r="U396" s="23">
        <f t="shared" si="84"/>
        <v>1.5602482395651276</v>
      </c>
      <c r="V396" s="23">
        <f t="shared" si="84"/>
        <v>0.80659845228486193</v>
      </c>
      <c r="W396" s="23">
        <f t="shared" si="85"/>
        <v>1.6821453291651234</v>
      </c>
      <c r="X396" s="904">
        <f t="shared" si="86"/>
        <v>915</v>
      </c>
      <c r="Y396" s="904">
        <f t="shared" si="86"/>
        <v>947</v>
      </c>
      <c r="Z396" s="904">
        <f t="shared" si="86"/>
        <v>928</v>
      </c>
      <c r="AA396" s="904">
        <f t="shared" si="86"/>
        <v>937</v>
      </c>
      <c r="AB396" s="24">
        <v>592</v>
      </c>
    </row>
    <row r="397" spans="1:28" x14ac:dyDescent="0.25">
      <c r="A397" s="903"/>
      <c r="B397" t="s">
        <v>871</v>
      </c>
      <c r="C397" s="906" t="s">
        <v>874</v>
      </c>
      <c r="D397" s="25">
        <v>6.9</v>
      </c>
      <c r="E397" s="903">
        <v>900</v>
      </c>
      <c r="F397" s="903">
        <v>543</v>
      </c>
      <c r="G397" s="903" t="s">
        <v>873</v>
      </c>
      <c r="H397" s="904">
        <f t="shared" si="75"/>
        <v>5</v>
      </c>
      <c r="I397" s="904">
        <f t="shared" si="76"/>
        <v>10</v>
      </c>
      <c r="J397" s="21">
        <f t="shared" si="77"/>
        <v>9043</v>
      </c>
      <c r="K397" s="21">
        <f t="shared" si="78"/>
        <v>9749.5</v>
      </c>
      <c r="L397" s="21">
        <f t="shared" si="79"/>
        <v>18859</v>
      </c>
      <c r="M397" s="21">
        <f t="shared" si="80"/>
        <v>28675</v>
      </c>
      <c r="N397" s="904">
        <f t="shared" si="81"/>
        <v>234</v>
      </c>
      <c r="O397" s="21"/>
      <c r="P397" s="22" t="s">
        <v>2</v>
      </c>
      <c r="Q397" s="22">
        <v>0.63</v>
      </c>
      <c r="R397" s="904" t="s">
        <v>42</v>
      </c>
      <c r="S397" s="904" t="str">
        <f t="shared" si="82"/>
        <v>Stove</v>
      </c>
      <c r="T397" s="23">
        <f t="shared" si="83"/>
        <v>0.53048440145214337</v>
      </c>
      <c r="U397" s="23">
        <f t="shared" si="84"/>
        <v>1.5602482395651276</v>
      </c>
      <c r="V397" s="23">
        <f t="shared" si="84"/>
        <v>0.80659845228486193</v>
      </c>
      <c r="W397" s="23">
        <f t="shared" si="85"/>
        <v>1.6821453291651234</v>
      </c>
      <c r="X397" s="904">
        <f t="shared" si="86"/>
        <v>915</v>
      </c>
      <c r="Y397" s="904">
        <f t="shared" si="86"/>
        <v>947</v>
      </c>
      <c r="Z397" s="904">
        <f t="shared" si="86"/>
        <v>928</v>
      </c>
      <c r="AA397" s="904">
        <f t="shared" si="86"/>
        <v>937</v>
      </c>
      <c r="AB397" s="24">
        <v>592</v>
      </c>
    </row>
    <row r="398" spans="1:28" x14ac:dyDescent="0.25">
      <c r="A398" s="903"/>
      <c r="B398" t="s">
        <v>871</v>
      </c>
      <c r="C398" s="906" t="s">
        <v>875</v>
      </c>
      <c r="D398" s="25">
        <v>6</v>
      </c>
      <c r="E398" s="903">
        <v>844</v>
      </c>
      <c r="F398" s="903">
        <v>491</v>
      </c>
      <c r="G398" s="903" t="s">
        <v>876</v>
      </c>
      <c r="H398" s="904">
        <f t="shared" si="75"/>
        <v>6</v>
      </c>
      <c r="I398" s="904">
        <f t="shared" si="76"/>
        <v>11</v>
      </c>
      <c r="J398" s="21">
        <f t="shared" si="77"/>
        <v>12900</v>
      </c>
      <c r="K398" s="21">
        <f t="shared" si="78"/>
        <v>12900</v>
      </c>
      <c r="L398" s="21">
        <f t="shared" si="79"/>
        <v>18550</v>
      </c>
      <c r="M398" s="21">
        <f t="shared" si="80"/>
        <v>24200</v>
      </c>
      <c r="N398" s="904">
        <f t="shared" si="81"/>
        <v>196</v>
      </c>
      <c r="O398" s="21"/>
      <c r="P398" s="22" t="s">
        <v>2</v>
      </c>
      <c r="Q398" s="22">
        <v>0.63</v>
      </c>
      <c r="R398" s="904" t="s">
        <v>42</v>
      </c>
      <c r="S398" s="904" t="str">
        <f t="shared" si="82"/>
        <v>Stove</v>
      </c>
      <c r="T398" s="23">
        <f t="shared" si="83"/>
        <v>0.54659145568236478</v>
      </c>
      <c r="U398" s="23">
        <f t="shared" si="84"/>
        <v>1.025388622287847</v>
      </c>
      <c r="V398" s="23">
        <f t="shared" si="84"/>
        <v>0.71307348935381276</v>
      </c>
      <c r="W398" s="23">
        <f t="shared" si="85"/>
        <v>1.025388622287847</v>
      </c>
      <c r="X398" s="904">
        <f t="shared" si="86"/>
        <v>921</v>
      </c>
      <c r="Y398" s="904">
        <f t="shared" si="86"/>
        <v>816</v>
      </c>
      <c r="Z398" s="904">
        <f t="shared" si="86"/>
        <v>895</v>
      </c>
      <c r="AA398" s="904">
        <f t="shared" si="86"/>
        <v>728</v>
      </c>
      <c r="AB398" s="24">
        <v>477</v>
      </c>
    </row>
    <row r="399" spans="1:28" x14ac:dyDescent="0.25">
      <c r="A399" s="903"/>
      <c r="B399" t="s">
        <v>871</v>
      </c>
      <c r="C399" s="906" t="s">
        <v>877</v>
      </c>
      <c r="D399" s="25">
        <v>7.1</v>
      </c>
      <c r="E399" s="903">
        <v>925</v>
      </c>
      <c r="F399" s="903">
        <v>568</v>
      </c>
      <c r="G399" s="903" t="s">
        <v>878</v>
      </c>
      <c r="H399" s="904">
        <f t="shared" si="75"/>
        <v>6</v>
      </c>
      <c r="I399" s="904">
        <f t="shared" si="76"/>
        <v>11</v>
      </c>
      <c r="J399" s="21">
        <f t="shared" si="77"/>
        <v>9501</v>
      </c>
      <c r="K399" s="21">
        <f t="shared" si="78"/>
        <v>9921.2000000000007</v>
      </c>
      <c r="L399" s="21">
        <f t="shared" si="79"/>
        <v>19340.5</v>
      </c>
      <c r="M399" s="21">
        <f t="shared" si="80"/>
        <v>29180</v>
      </c>
      <c r="N399" s="904">
        <f t="shared" si="81"/>
        <v>262</v>
      </c>
      <c r="O399" s="21"/>
      <c r="P399" s="22" t="s">
        <v>2</v>
      </c>
      <c r="Q399" s="22">
        <v>0.63</v>
      </c>
      <c r="R399" s="904" t="s">
        <v>42</v>
      </c>
      <c r="S399" s="904" t="str">
        <f t="shared" si="82"/>
        <v>Stove</v>
      </c>
      <c r="T399" s="23">
        <f t="shared" si="83"/>
        <v>0.53641389030925246</v>
      </c>
      <c r="U399" s="23">
        <f t="shared" si="84"/>
        <v>1.5776879126742718</v>
      </c>
      <c r="V399" s="23">
        <f t="shared" si="84"/>
        <v>0.80931502904392261</v>
      </c>
      <c r="W399" s="23">
        <f t="shared" si="85"/>
        <v>1.6474641952661808</v>
      </c>
      <c r="X399" s="904">
        <f t="shared" si="86"/>
        <v>918</v>
      </c>
      <c r="Y399" s="904">
        <f t="shared" si="86"/>
        <v>950</v>
      </c>
      <c r="Z399" s="904">
        <f t="shared" si="86"/>
        <v>930</v>
      </c>
      <c r="AA399" s="904">
        <f t="shared" si="86"/>
        <v>934</v>
      </c>
      <c r="AB399" s="24">
        <v>595</v>
      </c>
    </row>
    <row r="400" spans="1:28" x14ac:dyDescent="0.25">
      <c r="A400" s="903"/>
      <c r="B400" t="s">
        <v>871</v>
      </c>
      <c r="C400" s="906" t="s">
        <v>879</v>
      </c>
      <c r="D400" s="25">
        <v>6.09</v>
      </c>
      <c r="E400" s="903">
        <v>852</v>
      </c>
      <c r="F400" s="903">
        <v>499</v>
      </c>
      <c r="G400" s="903" t="s">
        <v>878</v>
      </c>
      <c r="H400" s="904">
        <f t="shared" si="75"/>
        <v>6</v>
      </c>
      <c r="I400" s="904">
        <f t="shared" si="76"/>
        <v>11</v>
      </c>
      <c r="J400" s="21">
        <f t="shared" si="77"/>
        <v>9501</v>
      </c>
      <c r="K400" s="21">
        <f t="shared" si="78"/>
        <v>9921.2000000000007</v>
      </c>
      <c r="L400" s="21">
        <f t="shared" si="79"/>
        <v>19340.5</v>
      </c>
      <c r="M400" s="21">
        <f t="shared" si="80"/>
        <v>29180</v>
      </c>
      <c r="N400" s="904">
        <f t="shared" si="81"/>
        <v>262</v>
      </c>
      <c r="O400" s="21"/>
      <c r="P400" s="22" t="s">
        <v>2</v>
      </c>
      <c r="Q400" s="22">
        <v>0.63</v>
      </c>
      <c r="R400" s="904" t="s">
        <v>42</v>
      </c>
      <c r="S400" s="904" t="str">
        <f t="shared" si="82"/>
        <v>Stove</v>
      </c>
      <c r="T400" s="23">
        <f t="shared" si="83"/>
        <v>0.46010712563145739</v>
      </c>
      <c r="U400" s="23">
        <f t="shared" si="84"/>
        <v>1.3532562518572275</v>
      </c>
      <c r="V400" s="23">
        <f t="shared" si="84"/>
        <v>0.69418711646161813</v>
      </c>
      <c r="W400" s="23">
        <f t="shared" si="85"/>
        <v>1.4131066125593015</v>
      </c>
      <c r="X400" s="904">
        <f t="shared" si="86"/>
        <v>872</v>
      </c>
      <c r="Y400" s="904">
        <f t="shared" si="86"/>
        <v>918</v>
      </c>
      <c r="Z400" s="904">
        <f t="shared" si="86"/>
        <v>879</v>
      </c>
      <c r="AA400" s="904">
        <f t="shared" si="86"/>
        <v>903</v>
      </c>
      <c r="AB400" s="24">
        <v>563</v>
      </c>
    </row>
    <row r="401" spans="1:28" x14ac:dyDescent="0.25">
      <c r="A401" s="903" t="s">
        <v>77</v>
      </c>
      <c r="B401" t="s">
        <v>880</v>
      </c>
      <c r="C401" s="906" t="s">
        <v>881</v>
      </c>
      <c r="D401" s="25">
        <v>4.5</v>
      </c>
      <c r="E401" s="903">
        <v>700</v>
      </c>
      <c r="F401" s="903">
        <v>376</v>
      </c>
      <c r="G401" s="903" t="s">
        <v>882</v>
      </c>
      <c r="H401" s="904">
        <f t="shared" si="75"/>
        <v>6</v>
      </c>
      <c r="I401" s="904">
        <f t="shared" si="76"/>
        <v>11</v>
      </c>
      <c r="J401" s="21">
        <f t="shared" si="77"/>
        <v>11300</v>
      </c>
      <c r="K401" s="21">
        <f t="shared" si="78"/>
        <v>11696</v>
      </c>
      <c r="L401" s="21">
        <f t="shared" si="79"/>
        <v>22850</v>
      </c>
      <c r="M401" s="21">
        <f t="shared" si="80"/>
        <v>34400</v>
      </c>
      <c r="N401" s="904">
        <f t="shared" si="81"/>
        <v>535</v>
      </c>
      <c r="O401" s="21"/>
      <c r="P401" s="22" t="s">
        <v>2</v>
      </c>
      <c r="Q401" s="22">
        <v>0.63</v>
      </c>
      <c r="R401" s="904" t="s">
        <v>42</v>
      </c>
      <c r="S401" s="904" t="str">
        <f t="shared" si="82"/>
        <v>Stove</v>
      </c>
      <c r="T401" s="23">
        <f t="shared" si="83"/>
        <v>0.28839055001845698</v>
      </c>
      <c r="U401" s="23">
        <f t="shared" si="84"/>
        <v>0.84820750005428525</v>
      </c>
      <c r="V401" s="23">
        <f t="shared" si="84"/>
        <v>0.43416345385710814</v>
      </c>
      <c r="W401" s="23">
        <f t="shared" si="85"/>
        <v>0.8779322938614974</v>
      </c>
      <c r="X401" s="904">
        <f t="shared" si="86"/>
        <v>648</v>
      </c>
      <c r="Y401" s="904">
        <f t="shared" si="86"/>
        <v>708</v>
      </c>
      <c r="Z401" s="904">
        <f t="shared" si="86"/>
        <v>649</v>
      </c>
      <c r="AA401" s="904">
        <f t="shared" si="86"/>
        <v>622</v>
      </c>
      <c r="AB401" s="24">
        <v>391</v>
      </c>
    </row>
    <row r="402" spans="1:28" x14ac:dyDescent="0.25">
      <c r="A402" s="903" t="s">
        <v>77</v>
      </c>
      <c r="B402" t="s">
        <v>880</v>
      </c>
      <c r="C402" s="906" t="s">
        <v>883</v>
      </c>
      <c r="D402" s="25">
        <v>5.0999999999999996</v>
      </c>
      <c r="E402" s="903">
        <v>766</v>
      </c>
      <c r="F402" s="903">
        <v>425</v>
      </c>
      <c r="G402" s="903" t="s">
        <v>388</v>
      </c>
      <c r="H402" s="904">
        <f t="shared" si="75"/>
        <v>6</v>
      </c>
      <c r="I402" s="904">
        <f t="shared" si="76"/>
        <v>11</v>
      </c>
      <c r="J402" s="21">
        <f t="shared" si="77"/>
        <v>11000</v>
      </c>
      <c r="K402" s="21">
        <f t="shared" si="78"/>
        <v>11000</v>
      </c>
      <c r="L402" s="21">
        <f t="shared" si="79"/>
        <v>21050</v>
      </c>
      <c r="M402" s="21">
        <f t="shared" si="80"/>
        <v>31100</v>
      </c>
      <c r="N402" s="904">
        <f t="shared" si="81"/>
        <v>410</v>
      </c>
      <c r="O402" s="21"/>
      <c r="P402" s="22" t="s">
        <v>2</v>
      </c>
      <c r="Q402" s="22">
        <v>0.63</v>
      </c>
      <c r="R402" s="904" t="s">
        <v>42</v>
      </c>
      <c r="S402" s="904" t="str">
        <f t="shared" si="82"/>
        <v>Stove</v>
      </c>
      <c r="T402" s="23">
        <f t="shared" si="83"/>
        <v>0.36152367342077951</v>
      </c>
      <c r="U402" s="23">
        <f t="shared" si="84"/>
        <v>1.0221260221260222</v>
      </c>
      <c r="V402" s="23">
        <f t="shared" si="84"/>
        <v>0.53412761251241059</v>
      </c>
      <c r="W402" s="23">
        <f t="shared" si="85"/>
        <v>1.0221260221260222</v>
      </c>
      <c r="X402" s="904">
        <f t="shared" si="86"/>
        <v>783</v>
      </c>
      <c r="Y402" s="904">
        <f t="shared" si="86"/>
        <v>815</v>
      </c>
      <c r="Z402" s="904">
        <f t="shared" si="86"/>
        <v>782</v>
      </c>
      <c r="AA402" s="904">
        <f t="shared" si="86"/>
        <v>726</v>
      </c>
      <c r="AB402" s="24">
        <v>476</v>
      </c>
    </row>
    <row r="403" spans="1:28" x14ac:dyDescent="0.25">
      <c r="A403" s="903" t="s">
        <v>77</v>
      </c>
      <c r="B403" t="s">
        <v>880</v>
      </c>
      <c r="C403" s="906" t="s">
        <v>884</v>
      </c>
      <c r="D403" s="25">
        <v>7.1</v>
      </c>
      <c r="E403" s="903">
        <v>925</v>
      </c>
      <c r="F403" s="903">
        <v>568</v>
      </c>
      <c r="G403" s="903" t="s">
        <v>885</v>
      </c>
      <c r="H403" s="904">
        <f t="shared" si="75"/>
        <v>6</v>
      </c>
      <c r="I403" s="904">
        <f t="shared" si="76"/>
        <v>11</v>
      </c>
      <c r="J403" s="21">
        <f t="shared" si="77"/>
        <v>10400</v>
      </c>
      <c r="K403" s="21">
        <f t="shared" si="78"/>
        <v>10400</v>
      </c>
      <c r="L403" s="21">
        <f t="shared" si="79"/>
        <v>16300</v>
      </c>
      <c r="M403" s="21">
        <f t="shared" si="80"/>
        <v>22200</v>
      </c>
      <c r="N403" s="904">
        <f t="shared" si="81"/>
        <v>72</v>
      </c>
      <c r="O403" s="21"/>
      <c r="P403" s="22" t="s">
        <v>2</v>
      </c>
      <c r="Q403" s="22">
        <v>0.63</v>
      </c>
      <c r="R403" s="904" t="s">
        <v>42</v>
      </c>
      <c r="S403" s="904" t="str">
        <f t="shared" si="82"/>
        <v>Stove</v>
      </c>
      <c r="T403" s="23">
        <f t="shared" si="83"/>
        <v>0.70507014951459401</v>
      </c>
      <c r="U403" s="23">
        <f t="shared" si="84"/>
        <v>1.5050535883869218</v>
      </c>
      <c r="V403" s="23">
        <f t="shared" si="84"/>
        <v>0.96027959013644082</v>
      </c>
      <c r="W403" s="23">
        <f t="shared" si="85"/>
        <v>1.5050535883869218</v>
      </c>
      <c r="X403" s="904">
        <f t="shared" si="86"/>
        <v>957</v>
      </c>
      <c r="Y403" s="904">
        <f t="shared" si="86"/>
        <v>945</v>
      </c>
      <c r="Z403" s="904">
        <f t="shared" si="86"/>
        <v>955</v>
      </c>
      <c r="AA403" s="904">
        <f t="shared" si="86"/>
        <v>923</v>
      </c>
      <c r="AB403" s="24">
        <v>590</v>
      </c>
    </row>
    <row r="404" spans="1:28" x14ac:dyDescent="0.25">
      <c r="A404" s="903" t="s">
        <v>77</v>
      </c>
      <c r="B404" t="s">
        <v>880</v>
      </c>
      <c r="C404" s="906" t="s">
        <v>886</v>
      </c>
      <c r="D404" s="25">
        <v>3.4</v>
      </c>
      <c r="E404" s="903">
        <v>415</v>
      </c>
      <c r="F404" s="903">
        <v>168</v>
      </c>
      <c r="G404" s="903" t="s">
        <v>887</v>
      </c>
      <c r="H404" s="904">
        <f t="shared" si="75"/>
        <v>6</v>
      </c>
      <c r="I404" s="904">
        <f t="shared" si="76"/>
        <v>11</v>
      </c>
      <c r="J404" s="21">
        <f t="shared" si="77"/>
        <v>10000</v>
      </c>
      <c r="K404" s="21">
        <f t="shared" si="78"/>
        <v>12886.000000000002</v>
      </c>
      <c r="L404" s="21">
        <f t="shared" si="79"/>
        <v>23950</v>
      </c>
      <c r="M404" s="21">
        <f t="shared" si="80"/>
        <v>37900</v>
      </c>
      <c r="N404" s="904">
        <f t="shared" si="81"/>
        <v>633</v>
      </c>
      <c r="O404" s="21"/>
      <c r="P404" s="22" t="s">
        <v>2</v>
      </c>
      <c r="Q404" s="22">
        <v>0.63</v>
      </c>
      <c r="R404" s="904" t="s">
        <v>42</v>
      </c>
      <c r="S404" s="904" t="str">
        <f t="shared" si="82"/>
        <v>Stove</v>
      </c>
      <c r="T404" s="23">
        <f t="shared" si="83"/>
        <v>0.19777284509034729</v>
      </c>
      <c r="U404" s="23">
        <f t="shared" si="84"/>
        <v>0.58168483850102126</v>
      </c>
      <c r="V404" s="23">
        <f t="shared" si="84"/>
        <v>0.31296830183399427</v>
      </c>
      <c r="W404" s="23">
        <f t="shared" si="85"/>
        <v>0.74955908289241624</v>
      </c>
      <c r="X404" s="904">
        <f t="shared" si="86"/>
        <v>380</v>
      </c>
      <c r="Y404" s="904">
        <f t="shared" si="86"/>
        <v>409</v>
      </c>
      <c r="Z404" s="904">
        <f t="shared" si="86"/>
        <v>398</v>
      </c>
      <c r="AA404" s="904">
        <f t="shared" si="86"/>
        <v>465</v>
      </c>
      <c r="AB404" s="24">
        <v>175</v>
      </c>
    </row>
    <row r="405" spans="1:28" x14ac:dyDescent="0.25">
      <c r="A405" s="903" t="s">
        <v>77</v>
      </c>
      <c r="B405" t="s">
        <v>880</v>
      </c>
      <c r="C405" s="906" t="s">
        <v>888</v>
      </c>
      <c r="D405" s="25">
        <v>3</v>
      </c>
      <c r="E405" s="903">
        <v>322</v>
      </c>
      <c r="F405" s="903">
        <v>117</v>
      </c>
      <c r="G405" s="903" t="s">
        <v>889</v>
      </c>
      <c r="H405" s="904">
        <f t="shared" si="75"/>
        <v>6</v>
      </c>
      <c r="I405" s="904">
        <f t="shared" si="76"/>
        <v>11</v>
      </c>
      <c r="J405" s="21">
        <f t="shared" si="77"/>
        <v>11300</v>
      </c>
      <c r="K405" s="21">
        <f t="shared" si="78"/>
        <v>11300</v>
      </c>
      <c r="L405" s="21">
        <f t="shared" si="79"/>
        <v>21250</v>
      </c>
      <c r="M405" s="21">
        <f t="shared" si="80"/>
        <v>31200</v>
      </c>
      <c r="N405" s="904">
        <f t="shared" si="81"/>
        <v>426</v>
      </c>
      <c r="O405" s="21"/>
      <c r="P405" s="22" t="s">
        <v>2</v>
      </c>
      <c r="Q405" s="22">
        <v>0.63</v>
      </c>
      <c r="R405" s="904" t="s">
        <v>42</v>
      </c>
      <c r="S405" s="904" t="str">
        <f t="shared" si="82"/>
        <v>Stove</v>
      </c>
      <c r="T405" s="23">
        <f t="shared" si="83"/>
        <v>0.21197937864604532</v>
      </c>
      <c r="U405" s="23">
        <f t="shared" si="84"/>
        <v>0.5852881959076649</v>
      </c>
      <c r="V405" s="23">
        <f t="shared" si="84"/>
        <v>0.3112356053532524</v>
      </c>
      <c r="W405" s="23">
        <f t="shared" si="85"/>
        <v>0.5852881959076649</v>
      </c>
      <c r="X405" s="904">
        <f t="shared" si="86"/>
        <v>431</v>
      </c>
      <c r="Y405" s="904">
        <f t="shared" si="86"/>
        <v>418</v>
      </c>
      <c r="Z405" s="904">
        <f t="shared" si="86"/>
        <v>393</v>
      </c>
      <c r="AA405" s="904">
        <f t="shared" si="86"/>
        <v>281</v>
      </c>
      <c r="AB405" s="24">
        <v>178</v>
      </c>
    </row>
    <row r="406" spans="1:28" x14ac:dyDescent="0.25">
      <c r="A406" s="903" t="s">
        <v>77</v>
      </c>
      <c r="B406" t="s">
        <v>880</v>
      </c>
      <c r="C406" s="906" t="s">
        <v>890</v>
      </c>
      <c r="D406" s="25">
        <v>5.3</v>
      </c>
      <c r="E406" s="903">
        <v>792</v>
      </c>
      <c r="F406" s="903">
        <v>444</v>
      </c>
      <c r="G406" s="903" t="s">
        <v>891</v>
      </c>
      <c r="H406" s="904">
        <f t="shared" si="75"/>
        <v>6</v>
      </c>
      <c r="I406" s="904">
        <f t="shared" si="76"/>
        <v>11</v>
      </c>
      <c r="J406" s="21">
        <f t="shared" si="77"/>
        <v>10600</v>
      </c>
      <c r="K406" s="21">
        <f t="shared" si="78"/>
        <v>10600</v>
      </c>
      <c r="L406" s="21">
        <f t="shared" si="79"/>
        <v>18350</v>
      </c>
      <c r="M406" s="21">
        <f t="shared" si="80"/>
        <v>26100</v>
      </c>
      <c r="N406" s="904">
        <f t="shared" si="81"/>
        <v>180</v>
      </c>
      <c r="O406" s="21"/>
      <c r="P406" s="22" t="s">
        <v>2</v>
      </c>
      <c r="Q406" s="22">
        <v>0.63</v>
      </c>
      <c r="R406" s="904" t="s">
        <v>42</v>
      </c>
      <c r="S406" s="904" t="str">
        <f t="shared" si="82"/>
        <v>Stove</v>
      </c>
      <c r="T406" s="23">
        <f t="shared" si="83"/>
        <v>0.44767445789157156</v>
      </c>
      <c r="U406" s="23">
        <f t="shared" si="84"/>
        <v>1.1022927689594357</v>
      </c>
      <c r="V406" s="23">
        <f t="shared" si="84"/>
        <v>0.63674677661961954</v>
      </c>
      <c r="W406" s="23">
        <f t="shared" si="85"/>
        <v>1.1022927689594357</v>
      </c>
      <c r="X406" s="904">
        <f t="shared" si="86"/>
        <v>865</v>
      </c>
      <c r="Y406" s="904">
        <f t="shared" si="86"/>
        <v>858</v>
      </c>
      <c r="Z406" s="904">
        <f t="shared" si="86"/>
        <v>855</v>
      </c>
      <c r="AA406" s="904">
        <f t="shared" si="86"/>
        <v>781</v>
      </c>
      <c r="AB406" s="24">
        <v>505</v>
      </c>
    </row>
    <row r="407" spans="1:28" x14ac:dyDescent="0.25">
      <c r="A407" s="903" t="s">
        <v>77</v>
      </c>
      <c r="B407" t="s">
        <v>880</v>
      </c>
      <c r="C407" s="906" t="s">
        <v>892</v>
      </c>
      <c r="D407" s="25">
        <v>5.3</v>
      </c>
      <c r="E407" s="903">
        <v>792</v>
      </c>
      <c r="F407" s="903">
        <v>444</v>
      </c>
      <c r="G407" s="903" t="s">
        <v>891</v>
      </c>
      <c r="H407" s="904">
        <f t="shared" si="75"/>
        <v>6</v>
      </c>
      <c r="I407" s="904">
        <f t="shared" si="76"/>
        <v>11</v>
      </c>
      <c r="J407" s="21">
        <f t="shared" si="77"/>
        <v>10600</v>
      </c>
      <c r="K407" s="21">
        <f t="shared" si="78"/>
        <v>10600</v>
      </c>
      <c r="L407" s="21">
        <f t="shared" si="79"/>
        <v>18350</v>
      </c>
      <c r="M407" s="21">
        <f t="shared" si="80"/>
        <v>26100</v>
      </c>
      <c r="N407" s="904">
        <f t="shared" si="81"/>
        <v>180</v>
      </c>
      <c r="O407" s="21"/>
      <c r="P407" s="22" t="s">
        <v>2</v>
      </c>
      <c r="Q407" s="22">
        <v>0.63</v>
      </c>
      <c r="R407" s="904" t="s">
        <v>42</v>
      </c>
      <c r="S407" s="904" t="str">
        <f t="shared" si="82"/>
        <v>Stove</v>
      </c>
      <c r="T407" s="23">
        <f t="shared" si="83"/>
        <v>0.44767445789157156</v>
      </c>
      <c r="U407" s="23">
        <f t="shared" si="84"/>
        <v>1.1022927689594357</v>
      </c>
      <c r="V407" s="23">
        <f t="shared" si="84"/>
        <v>0.63674677661961954</v>
      </c>
      <c r="W407" s="23">
        <f t="shared" si="85"/>
        <v>1.1022927689594357</v>
      </c>
      <c r="X407" s="904">
        <f t="shared" si="86"/>
        <v>865</v>
      </c>
      <c r="Y407" s="904">
        <f t="shared" si="86"/>
        <v>858</v>
      </c>
      <c r="Z407" s="904">
        <f t="shared" si="86"/>
        <v>855</v>
      </c>
      <c r="AA407" s="904">
        <f t="shared" si="86"/>
        <v>781</v>
      </c>
      <c r="AB407" s="24">
        <v>505</v>
      </c>
    </row>
    <row r="408" spans="1:28" x14ac:dyDescent="0.25">
      <c r="A408" s="903" t="s">
        <v>77</v>
      </c>
      <c r="B408" t="s">
        <v>893</v>
      </c>
      <c r="C408" s="906" t="s">
        <v>894</v>
      </c>
      <c r="D408" s="25">
        <v>5.4</v>
      </c>
      <c r="E408" s="903">
        <v>802</v>
      </c>
      <c r="F408" s="903">
        <v>452</v>
      </c>
      <c r="G408" s="903" t="s">
        <v>895</v>
      </c>
      <c r="H408" s="904">
        <f t="shared" si="75"/>
        <v>5</v>
      </c>
      <c r="I408" s="904">
        <f t="shared" si="76"/>
        <v>10</v>
      </c>
      <c r="J408" s="21">
        <f t="shared" si="77"/>
        <v>9500</v>
      </c>
      <c r="K408" s="21">
        <f t="shared" si="78"/>
        <v>13736.000000000002</v>
      </c>
      <c r="L408" s="21">
        <f t="shared" si="79"/>
        <v>24950</v>
      </c>
      <c r="M408" s="21">
        <f t="shared" si="80"/>
        <v>40400</v>
      </c>
      <c r="N408" s="904">
        <f t="shared" si="81"/>
        <v>685</v>
      </c>
      <c r="O408" s="21"/>
      <c r="P408" s="22" t="s">
        <v>2</v>
      </c>
      <c r="Q408" s="22">
        <v>0.63</v>
      </c>
      <c r="R408" s="904" t="s">
        <v>42</v>
      </c>
      <c r="S408" s="904" t="str">
        <f t="shared" si="82"/>
        <v>Stove</v>
      </c>
      <c r="T408" s="23">
        <f t="shared" si="83"/>
        <v>0.29467232437529467</v>
      </c>
      <c r="U408" s="23">
        <f t="shared" si="84"/>
        <v>0.86668330698616058</v>
      </c>
      <c r="V408" s="23">
        <f t="shared" si="84"/>
        <v>0.47714476572192005</v>
      </c>
      <c r="W408" s="23">
        <f t="shared" si="85"/>
        <v>1.2531328320802004</v>
      </c>
      <c r="X408" s="904">
        <f t="shared" si="86"/>
        <v>661</v>
      </c>
      <c r="Y408" s="904">
        <f t="shared" si="86"/>
        <v>719</v>
      </c>
      <c r="Z408" s="904">
        <f t="shared" si="86"/>
        <v>711</v>
      </c>
      <c r="AA408" s="904">
        <f t="shared" si="86"/>
        <v>840</v>
      </c>
      <c r="AB408" s="24">
        <v>399</v>
      </c>
    </row>
    <row r="409" spans="1:28" x14ac:dyDescent="0.25">
      <c r="A409" s="903" t="s">
        <v>77</v>
      </c>
      <c r="B409" t="s">
        <v>893</v>
      </c>
      <c r="C409" s="906" t="s">
        <v>896</v>
      </c>
      <c r="D409" s="25">
        <v>2.9</v>
      </c>
      <c r="E409" s="903">
        <v>295</v>
      </c>
      <c r="F409" s="903">
        <v>96</v>
      </c>
      <c r="G409" s="903" t="s">
        <v>897</v>
      </c>
      <c r="H409" s="904">
        <f t="shared" si="75"/>
        <v>5</v>
      </c>
      <c r="I409" s="904">
        <f t="shared" si="76"/>
        <v>10</v>
      </c>
      <c r="J409" s="21">
        <f t="shared" si="77"/>
        <v>9900</v>
      </c>
      <c r="K409" s="21">
        <f t="shared" si="78"/>
        <v>9900</v>
      </c>
      <c r="L409" s="21">
        <f t="shared" si="79"/>
        <v>19050</v>
      </c>
      <c r="M409" s="21">
        <f t="shared" si="80"/>
        <v>28200</v>
      </c>
      <c r="N409" s="904">
        <f t="shared" si="81"/>
        <v>245</v>
      </c>
      <c r="O409" s="21"/>
      <c r="P409" s="22" t="s">
        <v>2</v>
      </c>
      <c r="Q409" s="22">
        <v>0.63</v>
      </c>
      <c r="R409" s="904" t="s">
        <v>42</v>
      </c>
      <c r="S409" s="904" t="str">
        <f t="shared" si="82"/>
        <v>Stove</v>
      </c>
      <c r="T409" s="23">
        <f t="shared" si="83"/>
        <v>0.22671269716186973</v>
      </c>
      <c r="U409" s="23">
        <f t="shared" si="84"/>
        <v>0.64578768282471988</v>
      </c>
      <c r="V409" s="23">
        <f t="shared" si="84"/>
        <v>0.33560619737347647</v>
      </c>
      <c r="W409" s="23">
        <f t="shared" si="85"/>
        <v>0.64578768282471988</v>
      </c>
      <c r="X409" s="904">
        <f t="shared" si="86"/>
        <v>481</v>
      </c>
      <c r="Y409" s="904">
        <f t="shared" si="86"/>
        <v>493</v>
      </c>
      <c r="Z409" s="904">
        <f t="shared" si="86"/>
        <v>457</v>
      </c>
      <c r="AA409" s="904">
        <f t="shared" si="86"/>
        <v>348</v>
      </c>
      <c r="AB409" s="24">
        <v>232</v>
      </c>
    </row>
    <row r="410" spans="1:28" x14ac:dyDescent="0.25">
      <c r="A410" s="903"/>
      <c r="B410" t="s">
        <v>898</v>
      </c>
      <c r="C410" s="906" t="s">
        <v>899</v>
      </c>
      <c r="D410" s="25">
        <v>2.84</v>
      </c>
      <c r="E410" s="903">
        <v>292</v>
      </c>
      <c r="F410" s="903">
        <v>94</v>
      </c>
      <c r="G410" s="903" t="s">
        <v>900</v>
      </c>
      <c r="H410" s="904">
        <f t="shared" si="75"/>
        <v>6</v>
      </c>
      <c r="I410" s="904">
        <f t="shared" si="76"/>
        <v>11</v>
      </c>
      <c r="J410" s="21">
        <f t="shared" si="77"/>
        <v>11696</v>
      </c>
      <c r="K410" s="21">
        <f t="shared" si="78"/>
        <v>11696</v>
      </c>
      <c r="L410" s="21">
        <f t="shared" si="79"/>
        <v>22307.5</v>
      </c>
      <c r="M410" s="21">
        <f t="shared" si="80"/>
        <v>32919</v>
      </c>
      <c r="N410" s="904">
        <f t="shared" si="81"/>
        <v>503</v>
      </c>
      <c r="O410" s="21"/>
      <c r="P410" s="22" t="s">
        <v>2</v>
      </c>
      <c r="Q410" s="22">
        <v>0.63</v>
      </c>
      <c r="R410" s="904" t="s">
        <v>42</v>
      </c>
      <c r="S410" s="904" t="str">
        <f t="shared" si="82"/>
        <v>Stove</v>
      </c>
      <c r="T410" s="23">
        <f t="shared" si="83"/>
        <v>0.1901948093104163</v>
      </c>
      <c r="U410" s="23">
        <f t="shared" si="84"/>
        <v>0.5353131778120378</v>
      </c>
      <c r="V410" s="23">
        <f t="shared" si="84"/>
        <v>0.28066896459440072</v>
      </c>
      <c r="W410" s="23">
        <f t="shared" si="85"/>
        <v>0.5353131778120378</v>
      </c>
      <c r="X410" s="904">
        <f t="shared" si="86"/>
        <v>345</v>
      </c>
      <c r="Y410" s="904">
        <f t="shared" si="86"/>
        <v>341</v>
      </c>
      <c r="Z410" s="904">
        <f t="shared" si="86"/>
        <v>309</v>
      </c>
      <c r="AA410" s="904">
        <f t="shared" si="86"/>
        <v>231</v>
      </c>
      <c r="AB410" s="24">
        <v>136</v>
      </c>
    </row>
    <row r="411" spans="1:28" x14ac:dyDescent="0.25">
      <c r="A411" s="903"/>
      <c r="B411" t="s">
        <v>898</v>
      </c>
      <c r="C411" s="906" t="s">
        <v>901</v>
      </c>
      <c r="D411" s="25">
        <v>3.1</v>
      </c>
      <c r="E411" s="903">
        <v>347</v>
      </c>
      <c r="F411" s="903">
        <v>146</v>
      </c>
      <c r="G411" s="903" t="s">
        <v>902</v>
      </c>
      <c r="H411" s="904">
        <f t="shared" si="75"/>
        <v>6</v>
      </c>
      <c r="I411" s="904">
        <f t="shared" si="76"/>
        <v>11</v>
      </c>
      <c r="J411" s="21">
        <f t="shared" si="77"/>
        <v>10100</v>
      </c>
      <c r="K411" s="21">
        <f t="shared" si="78"/>
        <v>11220</v>
      </c>
      <c r="L411" s="21">
        <f t="shared" si="79"/>
        <v>21550</v>
      </c>
      <c r="M411" s="21">
        <f t="shared" si="80"/>
        <v>33000</v>
      </c>
      <c r="N411" s="904">
        <f t="shared" si="81"/>
        <v>439</v>
      </c>
      <c r="O411" s="21"/>
      <c r="P411" s="22" t="s">
        <v>2</v>
      </c>
      <c r="Q411" s="22">
        <v>0.72</v>
      </c>
      <c r="R411" s="904" t="s">
        <v>38</v>
      </c>
      <c r="S411" s="904" t="str">
        <f t="shared" si="82"/>
        <v>Stove</v>
      </c>
      <c r="T411" s="23">
        <f t="shared" si="83"/>
        <v>0.20709742931965155</v>
      </c>
      <c r="U411" s="23">
        <f t="shared" si="84"/>
        <v>0.60911008623426921</v>
      </c>
      <c r="V411" s="23">
        <f t="shared" si="84"/>
        <v>0.3171329544106033</v>
      </c>
      <c r="W411" s="23">
        <f t="shared" si="85"/>
        <v>0.67665496708400996</v>
      </c>
      <c r="X411" s="904">
        <f t="shared" si="86"/>
        <v>412</v>
      </c>
      <c r="Y411" s="904">
        <f t="shared" si="86"/>
        <v>444</v>
      </c>
      <c r="Z411" s="904">
        <f t="shared" si="86"/>
        <v>406</v>
      </c>
      <c r="AA411" s="904">
        <f t="shared" si="86"/>
        <v>389</v>
      </c>
      <c r="AB411" s="24">
        <v>179</v>
      </c>
    </row>
    <row r="412" spans="1:28" x14ac:dyDescent="0.25">
      <c r="A412" s="903"/>
      <c r="B412" t="s">
        <v>898</v>
      </c>
      <c r="C412" s="906" t="s">
        <v>903</v>
      </c>
      <c r="D412" s="25">
        <v>4</v>
      </c>
      <c r="E412" s="903">
        <v>571</v>
      </c>
      <c r="F412" s="903">
        <v>225</v>
      </c>
      <c r="G412" s="903" t="s">
        <v>904</v>
      </c>
      <c r="H412" s="904">
        <f t="shared" si="75"/>
        <v>5</v>
      </c>
      <c r="I412" s="904">
        <f t="shared" si="76"/>
        <v>10</v>
      </c>
      <c r="J412" s="21">
        <f t="shared" si="77"/>
        <v>8800</v>
      </c>
      <c r="K412" s="21">
        <f t="shared" si="78"/>
        <v>10778</v>
      </c>
      <c r="L412" s="21">
        <f t="shared" si="79"/>
        <v>20250</v>
      </c>
      <c r="M412" s="21">
        <f t="shared" si="80"/>
        <v>31700</v>
      </c>
      <c r="N412" s="904">
        <f t="shared" si="81"/>
        <v>344</v>
      </c>
      <c r="O412" s="21"/>
      <c r="P412" s="22" t="s">
        <v>2</v>
      </c>
      <c r="Q412" s="22">
        <v>0.72</v>
      </c>
      <c r="R412" s="904" t="s">
        <v>38</v>
      </c>
      <c r="S412" s="904" t="str">
        <f t="shared" si="82"/>
        <v>Stove</v>
      </c>
      <c r="T412" s="23">
        <f t="shared" si="83"/>
        <v>0.2781811404314033</v>
      </c>
      <c r="U412" s="23">
        <f t="shared" si="84"/>
        <v>0.81817982479824503</v>
      </c>
      <c r="V412" s="23">
        <f t="shared" si="84"/>
        <v>0.43547368650249307</v>
      </c>
      <c r="W412" s="23">
        <f t="shared" si="85"/>
        <v>1.0020843354176687</v>
      </c>
      <c r="X412" s="904">
        <f t="shared" si="86"/>
        <v>626</v>
      </c>
      <c r="Y412" s="904">
        <f t="shared" si="86"/>
        <v>680</v>
      </c>
      <c r="Z412" s="904">
        <f t="shared" si="86"/>
        <v>652</v>
      </c>
      <c r="AA412" s="904">
        <f t="shared" si="86"/>
        <v>715</v>
      </c>
      <c r="AB412" s="24">
        <v>232</v>
      </c>
    </row>
    <row r="413" spans="1:28" x14ac:dyDescent="0.25">
      <c r="A413" s="903"/>
      <c r="B413" t="s">
        <v>898</v>
      </c>
      <c r="C413" s="906" t="s">
        <v>905</v>
      </c>
      <c r="D413" s="25">
        <v>4.42</v>
      </c>
      <c r="E413" s="903">
        <v>696</v>
      </c>
      <c r="F413" s="903">
        <v>372</v>
      </c>
      <c r="G413" s="903" t="s">
        <v>906</v>
      </c>
      <c r="H413" s="904">
        <f t="shared" si="75"/>
        <v>6</v>
      </c>
      <c r="I413" s="904">
        <f t="shared" si="76"/>
        <v>11</v>
      </c>
      <c r="J413" s="21">
        <f t="shared" si="77"/>
        <v>11900</v>
      </c>
      <c r="K413" s="21">
        <f t="shared" si="78"/>
        <v>12274</v>
      </c>
      <c r="L413" s="21">
        <f t="shared" si="79"/>
        <v>24000</v>
      </c>
      <c r="M413" s="21">
        <f t="shared" si="80"/>
        <v>36100</v>
      </c>
      <c r="N413" s="904">
        <f t="shared" si="81"/>
        <v>635</v>
      </c>
      <c r="O413" s="21"/>
      <c r="P413" s="22" t="s">
        <v>2</v>
      </c>
      <c r="Q413" s="22">
        <v>0.63</v>
      </c>
      <c r="R413" s="904" t="s">
        <v>42</v>
      </c>
      <c r="S413" s="904" t="str">
        <f t="shared" si="82"/>
        <v>Stove</v>
      </c>
      <c r="T413" s="23">
        <f t="shared" si="83"/>
        <v>0.26992432347926348</v>
      </c>
      <c r="U413" s="23">
        <f t="shared" si="84"/>
        <v>0.79389506905665719</v>
      </c>
      <c r="V413" s="23">
        <f t="shared" si="84"/>
        <v>0.40601116990005881</v>
      </c>
      <c r="W413" s="23">
        <f t="shared" si="85"/>
        <v>0.81884605694129509</v>
      </c>
      <c r="X413" s="904">
        <f t="shared" si="86"/>
        <v>604</v>
      </c>
      <c r="Y413" s="904">
        <f t="shared" si="86"/>
        <v>653</v>
      </c>
      <c r="Z413" s="904">
        <f t="shared" si="86"/>
        <v>605</v>
      </c>
      <c r="AA413" s="904">
        <f t="shared" si="86"/>
        <v>556</v>
      </c>
      <c r="AB413" s="24">
        <v>346</v>
      </c>
    </row>
    <row r="414" spans="1:28" x14ac:dyDescent="0.25">
      <c r="A414" s="903"/>
      <c r="B414" t="s">
        <v>898</v>
      </c>
      <c r="C414" s="906" t="s">
        <v>907</v>
      </c>
      <c r="D414" s="25">
        <v>7.14</v>
      </c>
      <c r="E414" s="903">
        <v>929</v>
      </c>
      <c r="F414" s="903">
        <v>572</v>
      </c>
      <c r="G414" s="903" t="s">
        <v>908</v>
      </c>
      <c r="H414" s="904">
        <f t="shared" si="75"/>
        <v>6</v>
      </c>
      <c r="I414" s="904">
        <f t="shared" si="76"/>
        <v>11</v>
      </c>
      <c r="J414" s="21">
        <f t="shared" si="77"/>
        <v>12034</v>
      </c>
      <c r="K414" s="21">
        <f t="shared" si="78"/>
        <v>12467.460000000001</v>
      </c>
      <c r="L414" s="21">
        <f t="shared" si="79"/>
        <v>24351.5</v>
      </c>
      <c r="M414" s="21">
        <f t="shared" si="80"/>
        <v>36669</v>
      </c>
      <c r="N414" s="904">
        <f t="shared" si="81"/>
        <v>664</v>
      </c>
      <c r="O414" s="21"/>
      <c r="P414" s="22" t="s">
        <v>2</v>
      </c>
      <c r="Q414" s="22">
        <v>0.63</v>
      </c>
      <c r="R414" s="904" t="s">
        <v>42</v>
      </c>
      <c r="S414" s="904" t="str">
        <f t="shared" si="82"/>
        <v>Stove</v>
      </c>
      <c r="T414" s="23">
        <f t="shared" si="83"/>
        <v>0.42926561239032263</v>
      </c>
      <c r="U414" s="23">
        <f t="shared" si="84"/>
        <v>1.2625459187950665</v>
      </c>
      <c r="V414" s="23">
        <f t="shared" si="84"/>
        <v>0.64639717227853477</v>
      </c>
      <c r="W414" s="23">
        <f t="shared" si="85"/>
        <v>1.3080223317883279</v>
      </c>
      <c r="X414" s="904">
        <f t="shared" si="86"/>
        <v>849</v>
      </c>
      <c r="Y414" s="904">
        <f t="shared" si="86"/>
        <v>892</v>
      </c>
      <c r="Z414" s="904">
        <f t="shared" si="86"/>
        <v>863</v>
      </c>
      <c r="AA414" s="904">
        <f t="shared" si="86"/>
        <v>858</v>
      </c>
      <c r="AB414" s="24">
        <v>538</v>
      </c>
    </row>
    <row r="415" spans="1:28" x14ac:dyDescent="0.25">
      <c r="A415" s="903"/>
      <c r="B415" t="s">
        <v>898</v>
      </c>
      <c r="C415" s="906" t="s">
        <v>909</v>
      </c>
      <c r="D415" s="25">
        <v>4.47</v>
      </c>
      <c r="E415" s="903">
        <v>699</v>
      </c>
      <c r="F415" s="903">
        <v>375</v>
      </c>
      <c r="G415" s="903" t="s">
        <v>910</v>
      </c>
      <c r="H415" s="904">
        <f t="shared" si="75"/>
        <v>6</v>
      </c>
      <c r="I415" s="904">
        <f t="shared" si="76"/>
        <v>11</v>
      </c>
      <c r="J415" s="21">
        <f t="shared" si="77"/>
        <v>11696</v>
      </c>
      <c r="K415" s="21">
        <f t="shared" si="78"/>
        <v>12217.220000000001</v>
      </c>
      <c r="L415" s="21">
        <f t="shared" si="79"/>
        <v>23814.5</v>
      </c>
      <c r="M415" s="21">
        <f t="shared" si="80"/>
        <v>35933</v>
      </c>
      <c r="N415" s="904">
        <f t="shared" si="81"/>
        <v>617</v>
      </c>
      <c r="O415" s="21"/>
      <c r="P415" s="22" t="s">
        <v>2</v>
      </c>
      <c r="Q415" s="22">
        <v>0.63</v>
      </c>
      <c r="R415" s="904" t="s">
        <v>42</v>
      </c>
      <c r="S415" s="904" t="str">
        <f t="shared" si="82"/>
        <v>Stove</v>
      </c>
      <c r="T415" s="23">
        <f t="shared" si="83"/>
        <v>0.27424644072293863</v>
      </c>
      <c r="U415" s="23">
        <f t="shared" si="84"/>
        <v>0.80660717859687825</v>
      </c>
      <c r="V415" s="23">
        <f t="shared" si="84"/>
        <v>0.4138024041864139</v>
      </c>
      <c r="W415" s="23">
        <f t="shared" si="85"/>
        <v>0.84255278338725659</v>
      </c>
      <c r="X415" s="904">
        <f t="shared" si="86"/>
        <v>614</v>
      </c>
      <c r="Y415" s="904">
        <f t="shared" si="86"/>
        <v>665</v>
      </c>
      <c r="Z415" s="904">
        <f t="shared" si="86"/>
        <v>620</v>
      </c>
      <c r="AA415" s="904">
        <f t="shared" si="86"/>
        <v>588</v>
      </c>
      <c r="AB415" s="24">
        <v>356</v>
      </c>
    </row>
    <row r="416" spans="1:28" x14ac:dyDescent="0.25">
      <c r="A416" s="903"/>
      <c r="B416" t="s">
        <v>898</v>
      </c>
      <c r="C416" s="906" t="s">
        <v>911</v>
      </c>
      <c r="D416" s="25">
        <v>3.8</v>
      </c>
      <c r="E416" s="903">
        <v>518</v>
      </c>
      <c r="F416" s="903">
        <v>238</v>
      </c>
      <c r="G416" s="903" t="s">
        <v>912</v>
      </c>
      <c r="H416" s="904">
        <f t="shared" si="75"/>
        <v>6</v>
      </c>
      <c r="I416" s="904">
        <f t="shared" si="76"/>
        <v>11</v>
      </c>
      <c r="J416" s="21">
        <f t="shared" si="77"/>
        <v>11300</v>
      </c>
      <c r="K416" s="21">
        <f t="shared" si="78"/>
        <v>11300</v>
      </c>
      <c r="L416" s="21">
        <f t="shared" si="79"/>
        <v>19550</v>
      </c>
      <c r="M416" s="21">
        <f t="shared" si="80"/>
        <v>27800</v>
      </c>
      <c r="N416" s="904">
        <f t="shared" si="81"/>
        <v>279</v>
      </c>
      <c r="O416" s="21"/>
      <c r="P416" s="22" t="s">
        <v>2</v>
      </c>
      <c r="Q416" s="22">
        <v>0.63</v>
      </c>
      <c r="R416" s="904" t="s">
        <v>42</v>
      </c>
      <c r="S416" s="904" t="str">
        <f t="shared" si="82"/>
        <v>Stove</v>
      </c>
      <c r="T416" s="23">
        <f t="shared" si="83"/>
        <v>0.30134622460761551</v>
      </c>
      <c r="U416" s="23">
        <f t="shared" si="84"/>
        <v>0.74136504814970894</v>
      </c>
      <c r="V416" s="23">
        <f t="shared" si="84"/>
        <v>0.42851278997911563</v>
      </c>
      <c r="W416" s="23">
        <f t="shared" si="85"/>
        <v>0.74136504814970894</v>
      </c>
      <c r="X416" s="904">
        <f t="shared" si="86"/>
        <v>673</v>
      </c>
      <c r="Y416" s="904">
        <f t="shared" si="86"/>
        <v>603</v>
      </c>
      <c r="Z416" s="904">
        <f t="shared" si="86"/>
        <v>642</v>
      </c>
      <c r="AA416" s="904">
        <f t="shared" si="86"/>
        <v>453</v>
      </c>
      <c r="AB416" s="24">
        <v>308</v>
      </c>
    </row>
    <row r="417" spans="1:28" x14ac:dyDescent="0.25">
      <c r="A417" s="903"/>
      <c r="B417" t="s">
        <v>898</v>
      </c>
      <c r="C417" s="906" t="s">
        <v>913</v>
      </c>
      <c r="D417" s="25">
        <v>3</v>
      </c>
      <c r="E417" s="903">
        <v>322</v>
      </c>
      <c r="F417" s="903">
        <v>117</v>
      </c>
      <c r="G417" s="903" t="s">
        <v>914</v>
      </c>
      <c r="H417" s="904">
        <f t="shared" si="75"/>
        <v>5</v>
      </c>
      <c r="I417" s="904">
        <f t="shared" si="76"/>
        <v>10</v>
      </c>
      <c r="J417" s="21">
        <f t="shared" si="77"/>
        <v>7700</v>
      </c>
      <c r="K417" s="21">
        <f t="shared" si="78"/>
        <v>9316</v>
      </c>
      <c r="L417" s="21">
        <f t="shared" si="79"/>
        <v>17550</v>
      </c>
      <c r="M417" s="21">
        <f t="shared" si="80"/>
        <v>27400</v>
      </c>
      <c r="N417" s="904">
        <f t="shared" si="81"/>
        <v>135</v>
      </c>
      <c r="O417" s="21"/>
      <c r="P417" s="22" t="s">
        <v>2</v>
      </c>
      <c r="Q417" s="22">
        <v>0.63</v>
      </c>
      <c r="R417" s="904" t="s">
        <v>42</v>
      </c>
      <c r="S417" s="904" t="str">
        <f t="shared" si="82"/>
        <v>Stove</v>
      </c>
      <c r="T417" s="23">
        <f t="shared" si="83"/>
        <v>0.24137797860425597</v>
      </c>
      <c r="U417" s="23">
        <f t="shared" si="84"/>
        <v>0.70993523118898805</v>
      </c>
      <c r="V417" s="23">
        <f t="shared" si="84"/>
        <v>0.37685222870408058</v>
      </c>
      <c r="W417" s="23">
        <f t="shared" si="85"/>
        <v>0.85892943035800173</v>
      </c>
      <c r="X417" s="904">
        <f t="shared" si="86"/>
        <v>534</v>
      </c>
      <c r="Y417" s="904">
        <f t="shared" si="86"/>
        <v>580</v>
      </c>
      <c r="Z417" s="904">
        <f t="shared" si="86"/>
        <v>562</v>
      </c>
      <c r="AA417" s="904">
        <f t="shared" si="86"/>
        <v>605</v>
      </c>
      <c r="AB417" s="24">
        <v>290</v>
      </c>
    </row>
    <row r="418" spans="1:28" x14ac:dyDescent="0.25">
      <c r="A418" s="903"/>
      <c r="B418" t="s">
        <v>898</v>
      </c>
      <c r="C418" s="906" t="s">
        <v>915</v>
      </c>
      <c r="D418" s="25">
        <v>3.5</v>
      </c>
      <c r="E418" s="903">
        <v>432</v>
      </c>
      <c r="F418" s="903">
        <v>181</v>
      </c>
      <c r="G418" s="903" t="s">
        <v>916</v>
      </c>
      <c r="H418" s="904">
        <f t="shared" si="75"/>
        <v>6</v>
      </c>
      <c r="I418" s="904">
        <f t="shared" si="76"/>
        <v>11</v>
      </c>
      <c r="J418" s="21">
        <f t="shared" si="77"/>
        <v>12000</v>
      </c>
      <c r="K418" s="21">
        <f t="shared" si="78"/>
        <v>12000</v>
      </c>
      <c r="L418" s="21">
        <f t="shared" si="79"/>
        <v>17750</v>
      </c>
      <c r="M418" s="21">
        <f t="shared" si="80"/>
        <v>23500</v>
      </c>
      <c r="N418" s="904">
        <f t="shared" si="81"/>
        <v>145</v>
      </c>
      <c r="O418" s="21"/>
      <c r="P418" s="22" t="s">
        <v>2</v>
      </c>
      <c r="Q418" s="22">
        <v>0.63</v>
      </c>
      <c r="R418" s="904" t="s">
        <v>42</v>
      </c>
      <c r="S418" s="904" t="str">
        <f t="shared" si="82"/>
        <v>Stove</v>
      </c>
      <c r="T418" s="23">
        <f t="shared" si="83"/>
        <v>0.32834252692408722</v>
      </c>
      <c r="U418" s="23">
        <f t="shared" si="84"/>
        <v>0.64300411522633749</v>
      </c>
      <c r="V418" s="23">
        <f t="shared" si="84"/>
        <v>0.43470700747696051</v>
      </c>
      <c r="W418" s="23">
        <f t="shared" si="85"/>
        <v>0.64300411522633749</v>
      </c>
      <c r="X418" s="904">
        <f t="shared" si="86"/>
        <v>732</v>
      </c>
      <c r="Y418" s="904">
        <f t="shared" si="86"/>
        <v>488</v>
      </c>
      <c r="Z418" s="904">
        <f t="shared" si="86"/>
        <v>650</v>
      </c>
      <c r="AA418" s="904">
        <f t="shared" si="86"/>
        <v>339</v>
      </c>
      <c r="AB418" s="24">
        <v>228</v>
      </c>
    </row>
    <row r="419" spans="1:28" x14ac:dyDescent="0.25">
      <c r="A419" s="903"/>
      <c r="B419" t="s">
        <v>898</v>
      </c>
      <c r="C419" s="906" t="s">
        <v>917</v>
      </c>
      <c r="D419" s="25">
        <v>2.58</v>
      </c>
      <c r="E419" s="903">
        <v>234</v>
      </c>
      <c r="F419" s="903">
        <v>65</v>
      </c>
      <c r="G419" s="903" t="s">
        <v>918</v>
      </c>
      <c r="H419" s="904">
        <f t="shared" si="75"/>
        <v>6</v>
      </c>
      <c r="I419" s="904">
        <f t="shared" si="76"/>
        <v>11</v>
      </c>
      <c r="J419" s="21">
        <f t="shared" si="77"/>
        <v>10978</v>
      </c>
      <c r="K419" s="21">
        <f t="shared" si="78"/>
        <v>10978</v>
      </c>
      <c r="L419" s="21">
        <f t="shared" si="79"/>
        <v>20013</v>
      </c>
      <c r="M419" s="21">
        <f t="shared" si="80"/>
        <v>29048</v>
      </c>
      <c r="N419" s="904">
        <f t="shared" si="81"/>
        <v>325</v>
      </c>
      <c r="O419" s="21"/>
      <c r="P419" s="22" t="s">
        <v>2</v>
      </c>
      <c r="Q419" s="22">
        <v>0.63</v>
      </c>
      <c r="R419" s="904" t="s">
        <v>42</v>
      </c>
      <c r="S419" s="904" t="str">
        <f t="shared" si="82"/>
        <v>Stove</v>
      </c>
      <c r="T419" s="23">
        <f t="shared" si="83"/>
        <v>0.1958079966892966</v>
      </c>
      <c r="U419" s="23">
        <f t="shared" si="84"/>
        <v>0.51811174055663034</v>
      </c>
      <c r="V419" s="23">
        <f t="shared" si="84"/>
        <v>0.28420679997155285</v>
      </c>
      <c r="W419" s="23">
        <f t="shared" si="85"/>
        <v>0.51811174055663034</v>
      </c>
      <c r="X419" s="904">
        <f t="shared" si="86"/>
        <v>368</v>
      </c>
      <c r="Y419" s="904">
        <f t="shared" si="86"/>
        <v>315</v>
      </c>
      <c r="Z419" s="904">
        <f t="shared" si="86"/>
        <v>317</v>
      </c>
      <c r="AA419" s="904">
        <f t="shared" si="86"/>
        <v>214</v>
      </c>
      <c r="AB419" s="24">
        <v>118</v>
      </c>
    </row>
    <row r="420" spans="1:28" x14ac:dyDescent="0.25">
      <c r="A420" s="903"/>
      <c r="B420" t="s">
        <v>898</v>
      </c>
      <c r="C420" s="906" t="s">
        <v>919</v>
      </c>
      <c r="D420" s="25">
        <v>3.8</v>
      </c>
      <c r="E420" s="903">
        <v>518</v>
      </c>
      <c r="F420" s="903">
        <v>238</v>
      </c>
      <c r="G420" s="903" t="s">
        <v>920</v>
      </c>
      <c r="H420" s="904">
        <f t="shared" si="75"/>
        <v>6</v>
      </c>
      <c r="I420" s="904">
        <f t="shared" si="76"/>
        <v>11</v>
      </c>
      <c r="J420" s="21">
        <f t="shared" si="77"/>
        <v>11400</v>
      </c>
      <c r="K420" s="21">
        <f t="shared" si="78"/>
        <v>14790.000000000002</v>
      </c>
      <c r="L420" s="21">
        <f t="shared" si="79"/>
        <v>27450</v>
      </c>
      <c r="M420" s="21">
        <f t="shared" si="80"/>
        <v>43500</v>
      </c>
      <c r="N420" s="904">
        <f t="shared" si="81"/>
        <v>809</v>
      </c>
      <c r="O420" s="21"/>
      <c r="P420" s="22" t="s">
        <v>2</v>
      </c>
      <c r="Q420" s="22">
        <v>0.63</v>
      </c>
      <c r="R420" s="904" t="s">
        <v>42</v>
      </c>
      <c r="S420" s="904" t="str">
        <f t="shared" si="82"/>
        <v>Stove</v>
      </c>
      <c r="T420" s="23">
        <f t="shared" si="83"/>
        <v>0.19258448377222323</v>
      </c>
      <c r="U420" s="23">
        <f t="shared" si="84"/>
        <v>0.56642495227124479</v>
      </c>
      <c r="V420" s="23">
        <f t="shared" si="84"/>
        <v>0.30518852619641934</v>
      </c>
      <c r="W420" s="23">
        <f t="shared" si="85"/>
        <v>0.73486184597295712</v>
      </c>
      <c r="X420" s="904">
        <f t="shared" si="86"/>
        <v>358</v>
      </c>
      <c r="Y420" s="904">
        <f t="shared" si="86"/>
        <v>387</v>
      </c>
      <c r="Z420" s="904">
        <f t="shared" si="86"/>
        <v>373</v>
      </c>
      <c r="AA420" s="904">
        <f t="shared" si="86"/>
        <v>441</v>
      </c>
      <c r="AB420" s="24">
        <v>163</v>
      </c>
    </row>
    <row r="421" spans="1:28" x14ac:dyDescent="0.25">
      <c r="A421" s="19"/>
      <c r="B421" s="16" t="s">
        <v>898</v>
      </c>
      <c r="C421" s="17" t="s">
        <v>921</v>
      </c>
      <c r="D421" s="18">
        <v>2.31</v>
      </c>
      <c r="E421" s="19">
        <v>193</v>
      </c>
      <c r="F421" s="903">
        <v>54</v>
      </c>
      <c r="G421" s="19" t="s">
        <v>922</v>
      </c>
      <c r="H421" s="904">
        <f t="shared" si="75"/>
        <v>6</v>
      </c>
      <c r="I421" s="904">
        <f t="shared" si="76"/>
        <v>11</v>
      </c>
      <c r="J421" s="21">
        <f t="shared" si="77"/>
        <v>11576</v>
      </c>
      <c r="K421" s="21">
        <f t="shared" si="78"/>
        <v>11576</v>
      </c>
      <c r="L421" s="21">
        <f t="shared" si="79"/>
        <v>19052</v>
      </c>
      <c r="M421" s="21">
        <f t="shared" si="80"/>
        <v>26528</v>
      </c>
      <c r="N421" s="904">
        <f t="shared" si="81"/>
        <v>248</v>
      </c>
      <c r="O421" s="21"/>
      <c r="P421" s="22" t="s">
        <v>2</v>
      </c>
      <c r="Q421" s="22">
        <v>0.63</v>
      </c>
      <c r="R421" s="904" t="s">
        <v>42</v>
      </c>
      <c r="S421" s="904" t="str">
        <f t="shared" si="82"/>
        <v>Stove</v>
      </c>
      <c r="T421" s="23">
        <f t="shared" si="83"/>
        <v>0.1919704686592503</v>
      </c>
      <c r="U421" s="23">
        <f t="shared" si="84"/>
        <v>0.43992679618111541</v>
      </c>
      <c r="V421" s="23">
        <f t="shared" si="84"/>
        <v>0.26729963219570607</v>
      </c>
      <c r="W421" s="23">
        <f t="shared" si="85"/>
        <v>0.43992679618111541</v>
      </c>
      <c r="X421" s="904">
        <f t="shared" si="86"/>
        <v>357</v>
      </c>
      <c r="Y421" s="904">
        <f t="shared" si="86"/>
        <v>227</v>
      </c>
      <c r="Z421" s="904">
        <f t="shared" si="86"/>
        <v>276</v>
      </c>
      <c r="AA421" s="904">
        <f t="shared" si="86"/>
        <v>142</v>
      </c>
      <c r="AB421" s="24">
        <v>74</v>
      </c>
    </row>
    <row r="422" spans="1:28" x14ac:dyDescent="0.25">
      <c r="A422" s="903"/>
      <c r="B422" t="s">
        <v>898</v>
      </c>
      <c r="C422" s="906" t="s">
        <v>923</v>
      </c>
      <c r="D422" s="25">
        <v>3.2</v>
      </c>
      <c r="E422" s="903">
        <v>376</v>
      </c>
      <c r="F422" s="903">
        <v>141</v>
      </c>
      <c r="G422" s="903" t="s">
        <v>924</v>
      </c>
      <c r="H422" s="904">
        <f t="shared" si="75"/>
        <v>6</v>
      </c>
      <c r="I422" s="904">
        <f t="shared" si="76"/>
        <v>11</v>
      </c>
      <c r="J422" s="21">
        <f t="shared" si="77"/>
        <v>12000</v>
      </c>
      <c r="K422" s="21">
        <f t="shared" si="78"/>
        <v>12000</v>
      </c>
      <c r="L422" s="21">
        <f t="shared" si="79"/>
        <v>23350</v>
      </c>
      <c r="M422" s="21">
        <f t="shared" si="80"/>
        <v>34700</v>
      </c>
      <c r="N422" s="904">
        <f t="shared" si="81"/>
        <v>579</v>
      </c>
      <c r="O422" s="21"/>
      <c r="P422" s="22" t="s">
        <v>2</v>
      </c>
      <c r="Q422" s="22">
        <v>0.63</v>
      </c>
      <c r="R422" s="904" t="s">
        <v>42</v>
      </c>
      <c r="S422" s="904" t="str">
        <f t="shared" si="82"/>
        <v>Stove</v>
      </c>
      <c r="T422" s="23">
        <f t="shared" si="83"/>
        <v>0.2033047181942475</v>
      </c>
      <c r="U422" s="23">
        <f t="shared" si="84"/>
        <v>0.58788947677836567</v>
      </c>
      <c r="V422" s="23">
        <f t="shared" si="84"/>
        <v>0.30212735423299308</v>
      </c>
      <c r="W422" s="23">
        <f t="shared" si="85"/>
        <v>0.58788947677836567</v>
      </c>
      <c r="X422" s="904">
        <f t="shared" si="86"/>
        <v>399</v>
      </c>
      <c r="Y422" s="904">
        <f t="shared" si="86"/>
        <v>423</v>
      </c>
      <c r="Z422" s="904">
        <f t="shared" si="86"/>
        <v>363</v>
      </c>
      <c r="AA422" s="904">
        <f t="shared" si="86"/>
        <v>284</v>
      </c>
      <c r="AB422" s="24">
        <v>182</v>
      </c>
    </row>
    <row r="423" spans="1:28" x14ac:dyDescent="0.25">
      <c r="A423" s="903"/>
      <c r="B423" t="s">
        <v>898</v>
      </c>
      <c r="C423" s="906" t="s">
        <v>925</v>
      </c>
      <c r="D423" s="25">
        <v>3.5</v>
      </c>
      <c r="E423" s="903">
        <v>432</v>
      </c>
      <c r="F423" s="903">
        <v>181</v>
      </c>
      <c r="G423" s="903" t="s">
        <v>926</v>
      </c>
      <c r="H423" s="904">
        <f t="shared" si="75"/>
        <v>6</v>
      </c>
      <c r="I423" s="904">
        <f t="shared" si="76"/>
        <v>11</v>
      </c>
      <c r="J423" s="21">
        <f t="shared" si="77"/>
        <v>11576</v>
      </c>
      <c r="K423" s="21">
        <f t="shared" si="78"/>
        <v>11576</v>
      </c>
      <c r="L423" s="21">
        <f t="shared" si="79"/>
        <v>20987.5</v>
      </c>
      <c r="M423" s="21">
        <f t="shared" si="80"/>
        <v>30399</v>
      </c>
      <c r="N423" s="904">
        <f t="shared" si="81"/>
        <v>403</v>
      </c>
      <c r="O423" s="21"/>
      <c r="P423" s="22" t="s">
        <v>2</v>
      </c>
      <c r="Q423" s="22">
        <v>0.63</v>
      </c>
      <c r="R423" s="904" t="s">
        <v>42</v>
      </c>
      <c r="S423" s="904" t="str">
        <f t="shared" si="82"/>
        <v>Stove</v>
      </c>
      <c r="T423" s="23">
        <f t="shared" si="83"/>
        <v>0.25382576343682522</v>
      </c>
      <c r="U423" s="23">
        <f t="shared" si="84"/>
        <v>0.66655575178956883</v>
      </c>
      <c r="V423" s="23">
        <f t="shared" si="84"/>
        <v>0.36764976213060391</v>
      </c>
      <c r="W423" s="23">
        <f t="shared" si="85"/>
        <v>0.66655575178956883</v>
      </c>
      <c r="X423" s="904">
        <f t="shared" si="86"/>
        <v>570</v>
      </c>
      <c r="Y423" s="904">
        <f t="shared" si="86"/>
        <v>519</v>
      </c>
      <c r="Z423" s="904">
        <f t="shared" si="86"/>
        <v>525</v>
      </c>
      <c r="AA423" s="904">
        <f t="shared" si="86"/>
        <v>374</v>
      </c>
      <c r="AB423" s="24">
        <v>248</v>
      </c>
    </row>
    <row r="424" spans="1:28" x14ac:dyDescent="0.25">
      <c r="A424" s="903"/>
      <c r="B424" t="s">
        <v>898</v>
      </c>
      <c r="C424" s="906" t="s">
        <v>927</v>
      </c>
      <c r="D424" s="25">
        <v>3.4</v>
      </c>
      <c r="E424" s="903">
        <v>415</v>
      </c>
      <c r="F424" s="903">
        <v>168</v>
      </c>
      <c r="G424" s="903" t="s">
        <v>928</v>
      </c>
      <c r="H424" s="904">
        <f t="shared" si="75"/>
        <v>6</v>
      </c>
      <c r="I424" s="904">
        <f t="shared" si="76"/>
        <v>11</v>
      </c>
      <c r="J424" s="21">
        <f t="shared" si="77"/>
        <v>11998</v>
      </c>
      <c r="K424" s="21">
        <f t="shared" si="78"/>
        <v>16222.420000000002</v>
      </c>
      <c r="L424" s="21">
        <f t="shared" si="79"/>
        <v>29855.5</v>
      </c>
      <c r="M424" s="21">
        <f t="shared" si="80"/>
        <v>47713</v>
      </c>
      <c r="N424" s="904">
        <f t="shared" si="81"/>
        <v>877</v>
      </c>
      <c r="O424" s="21"/>
      <c r="P424" s="22">
        <v>0.70700000000000007</v>
      </c>
      <c r="Q424" s="22">
        <v>0.63</v>
      </c>
      <c r="R424" s="904" t="s">
        <v>42</v>
      </c>
      <c r="S424" s="904" t="str">
        <f t="shared" si="82"/>
        <v>Stove</v>
      </c>
      <c r="T424" s="23">
        <f t="shared" si="83"/>
        <v>0.1570974541304081</v>
      </c>
      <c r="U424" s="23">
        <f t="shared" si="84"/>
        <v>0.46205133567767082</v>
      </c>
      <c r="V424" s="23">
        <f t="shared" si="84"/>
        <v>0.25106231109591742</v>
      </c>
      <c r="W424" s="23">
        <f t="shared" si="85"/>
        <v>0.62473669185899006</v>
      </c>
      <c r="X424" s="904">
        <f t="shared" si="86"/>
        <v>236</v>
      </c>
      <c r="Y424" s="904">
        <f t="shared" si="86"/>
        <v>250</v>
      </c>
      <c r="Z424" s="904">
        <f t="shared" si="86"/>
        <v>249</v>
      </c>
      <c r="AA424" s="904">
        <f t="shared" si="86"/>
        <v>313</v>
      </c>
      <c r="AB424" s="24">
        <v>87</v>
      </c>
    </row>
    <row r="425" spans="1:28" x14ac:dyDescent="0.25">
      <c r="A425" s="903"/>
      <c r="B425" t="s">
        <v>898</v>
      </c>
      <c r="C425" s="906" t="s">
        <v>929</v>
      </c>
      <c r="D425" s="25">
        <v>2.4</v>
      </c>
      <c r="E425" s="903">
        <v>196</v>
      </c>
      <c r="F425" s="903">
        <v>75</v>
      </c>
      <c r="G425" s="903" t="s">
        <v>930</v>
      </c>
      <c r="H425" s="904">
        <f t="shared" si="75"/>
        <v>6</v>
      </c>
      <c r="I425" s="904">
        <f t="shared" si="76"/>
        <v>11</v>
      </c>
      <c r="J425" s="21">
        <f t="shared" si="77"/>
        <v>10500</v>
      </c>
      <c r="K425" s="21">
        <f t="shared" si="78"/>
        <v>10914</v>
      </c>
      <c r="L425" s="21">
        <f t="shared" si="79"/>
        <v>21300</v>
      </c>
      <c r="M425" s="21">
        <f t="shared" si="80"/>
        <v>32100</v>
      </c>
      <c r="N425" s="904">
        <f t="shared" si="81"/>
        <v>431</v>
      </c>
      <c r="O425" s="21"/>
      <c r="P425" s="22" t="s">
        <v>2</v>
      </c>
      <c r="Q425" s="22">
        <v>0.72</v>
      </c>
      <c r="R425" s="904" t="s">
        <v>38</v>
      </c>
      <c r="S425" s="904" t="str">
        <f t="shared" si="82"/>
        <v>Stove</v>
      </c>
      <c r="T425" s="23">
        <f t="shared" si="83"/>
        <v>0.16482882526496234</v>
      </c>
      <c r="U425" s="23">
        <f t="shared" si="84"/>
        <v>0.48479066254400682</v>
      </c>
      <c r="V425" s="23">
        <f t="shared" si="84"/>
        <v>0.24840400427254888</v>
      </c>
      <c r="W425" s="23">
        <f t="shared" si="85"/>
        <v>0.5039052658100277</v>
      </c>
      <c r="X425" s="904">
        <f t="shared" si="86"/>
        <v>259</v>
      </c>
      <c r="Y425" s="904">
        <f t="shared" si="86"/>
        <v>275</v>
      </c>
      <c r="Z425" s="904">
        <f t="shared" si="86"/>
        <v>242</v>
      </c>
      <c r="AA425" s="904">
        <f t="shared" si="86"/>
        <v>192</v>
      </c>
      <c r="AB425" s="24">
        <v>113</v>
      </c>
    </row>
    <row r="426" spans="1:28" x14ac:dyDescent="0.25">
      <c r="A426" s="903"/>
      <c r="B426" t="s">
        <v>898</v>
      </c>
      <c r="C426" s="906" t="s">
        <v>931</v>
      </c>
      <c r="D426" s="25">
        <v>4.4000000000000004</v>
      </c>
      <c r="E426" s="903">
        <v>660</v>
      </c>
      <c r="F426" s="903">
        <v>338</v>
      </c>
      <c r="G426" s="903" t="s">
        <v>932</v>
      </c>
      <c r="H426" s="904">
        <f t="shared" si="75"/>
        <v>6</v>
      </c>
      <c r="I426" s="904">
        <f t="shared" si="76"/>
        <v>11</v>
      </c>
      <c r="J426" s="21">
        <f t="shared" si="77"/>
        <v>13500</v>
      </c>
      <c r="K426" s="21">
        <f t="shared" si="78"/>
        <v>15606.000000000002</v>
      </c>
      <c r="L426" s="21">
        <f t="shared" si="79"/>
        <v>29700</v>
      </c>
      <c r="M426" s="21">
        <f t="shared" si="80"/>
        <v>45900</v>
      </c>
      <c r="N426" s="904">
        <f t="shared" si="81"/>
        <v>875</v>
      </c>
      <c r="O426" s="21"/>
      <c r="P426" s="22" t="s">
        <v>2</v>
      </c>
      <c r="Q426" s="22">
        <v>0.63</v>
      </c>
      <c r="R426" s="904" t="s">
        <v>42</v>
      </c>
      <c r="S426" s="904" t="str">
        <f t="shared" si="82"/>
        <v>Stove</v>
      </c>
      <c r="T426" s="23">
        <f t="shared" si="83"/>
        <v>0.21133281844973928</v>
      </c>
      <c r="U426" s="23">
        <f t="shared" si="84"/>
        <v>0.62156711308746837</v>
      </c>
      <c r="V426" s="23">
        <f t="shared" si="84"/>
        <v>0.32660526487686981</v>
      </c>
      <c r="W426" s="23">
        <f t="shared" si="85"/>
        <v>0.71853158272911355</v>
      </c>
      <c r="X426" s="904">
        <f t="shared" si="86"/>
        <v>426</v>
      </c>
      <c r="Y426" s="904">
        <f t="shared" si="86"/>
        <v>457</v>
      </c>
      <c r="Z426" s="904">
        <f t="shared" si="86"/>
        <v>425</v>
      </c>
      <c r="AA426" s="904">
        <f t="shared" si="86"/>
        <v>429</v>
      </c>
      <c r="AB426" s="24">
        <v>199</v>
      </c>
    </row>
    <row r="427" spans="1:28" x14ac:dyDescent="0.25">
      <c r="A427" s="903"/>
      <c r="B427" t="s">
        <v>898</v>
      </c>
      <c r="C427" s="906" t="s">
        <v>24</v>
      </c>
      <c r="D427" s="25">
        <v>4.0999999999999996</v>
      </c>
      <c r="E427" s="903">
        <v>594</v>
      </c>
      <c r="F427" s="903">
        <v>283</v>
      </c>
      <c r="G427" s="903" t="s">
        <v>933</v>
      </c>
      <c r="H427" s="904">
        <f t="shared" si="75"/>
        <v>6</v>
      </c>
      <c r="I427" s="904">
        <f t="shared" si="76"/>
        <v>11</v>
      </c>
      <c r="J427" s="21">
        <f t="shared" si="77"/>
        <v>11600</v>
      </c>
      <c r="K427" s="21">
        <f t="shared" si="78"/>
        <v>11600</v>
      </c>
      <c r="L427" s="21">
        <f t="shared" si="79"/>
        <v>22050</v>
      </c>
      <c r="M427" s="21">
        <f t="shared" si="80"/>
        <v>32500</v>
      </c>
      <c r="N427" s="904">
        <f t="shared" si="81"/>
        <v>479</v>
      </c>
      <c r="O427" s="21"/>
      <c r="P427" s="22" t="s">
        <v>2</v>
      </c>
      <c r="Q427" s="22">
        <v>0.63</v>
      </c>
      <c r="R427" s="904" t="s">
        <v>42</v>
      </c>
      <c r="S427" s="904" t="str">
        <f t="shared" si="82"/>
        <v>Stove</v>
      </c>
      <c r="T427" s="23">
        <f t="shared" si="83"/>
        <v>0.27811694478361143</v>
      </c>
      <c r="U427" s="23">
        <f t="shared" si="84"/>
        <v>0.77920695736787682</v>
      </c>
      <c r="V427" s="23">
        <f t="shared" si="84"/>
        <v>0.40992293448831613</v>
      </c>
      <c r="W427" s="23">
        <f t="shared" si="85"/>
        <v>0.77920695736787682</v>
      </c>
      <c r="X427" s="904">
        <f t="shared" si="86"/>
        <v>625</v>
      </c>
      <c r="Y427" s="904">
        <f t="shared" si="86"/>
        <v>636</v>
      </c>
      <c r="Z427" s="904">
        <f t="shared" si="86"/>
        <v>615</v>
      </c>
      <c r="AA427" s="904">
        <f t="shared" si="86"/>
        <v>502</v>
      </c>
      <c r="AB427" s="24">
        <v>332</v>
      </c>
    </row>
    <row r="428" spans="1:28" x14ac:dyDescent="0.25">
      <c r="A428" s="903"/>
      <c r="B428" t="s">
        <v>898</v>
      </c>
      <c r="C428" s="906" t="s">
        <v>934</v>
      </c>
      <c r="D428" s="25">
        <v>5.2</v>
      </c>
      <c r="E428" s="903">
        <v>784</v>
      </c>
      <c r="F428" s="903">
        <v>437</v>
      </c>
      <c r="G428" s="903" t="s">
        <v>935</v>
      </c>
      <c r="H428" s="904">
        <f t="shared" si="75"/>
        <v>5</v>
      </c>
      <c r="I428" s="904">
        <f t="shared" si="76"/>
        <v>10</v>
      </c>
      <c r="J428" s="21">
        <f t="shared" si="77"/>
        <v>9700</v>
      </c>
      <c r="K428" s="21">
        <f t="shared" si="78"/>
        <v>14314.000000000002</v>
      </c>
      <c r="L428" s="21">
        <f t="shared" si="79"/>
        <v>25900</v>
      </c>
      <c r="M428" s="21">
        <f t="shared" si="80"/>
        <v>42100</v>
      </c>
      <c r="N428" s="904">
        <f t="shared" si="81"/>
        <v>746</v>
      </c>
      <c r="O428" s="21"/>
      <c r="P428" s="22" t="s">
        <v>2</v>
      </c>
      <c r="Q428" s="22">
        <v>0.63</v>
      </c>
      <c r="R428" s="904" t="s">
        <v>42</v>
      </c>
      <c r="S428" s="904" t="str">
        <f t="shared" si="82"/>
        <v>Stove</v>
      </c>
      <c r="T428" s="23">
        <f t="shared" si="83"/>
        <v>0.27230035147691523</v>
      </c>
      <c r="U428" s="23">
        <f t="shared" si="84"/>
        <v>0.80088338669680925</v>
      </c>
      <c r="V428" s="23">
        <f t="shared" si="84"/>
        <v>0.44261949023853786</v>
      </c>
      <c r="W428" s="23">
        <f t="shared" si="85"/>
        <v>1.1818396698121785</v>
      </c>
      <c r="X428" s="904">
        <f t="shared" si="86"/>
        <v>610</v>
      </c>
      <c r="Y428" s="904">
        <f t="shared" si="86"/>
        <v>660</v>
      </c>
      <c r="Z428" s="904">
        <f t="shared" si="86"/>
        <v>662</v>
      </c>
      <c r="AA428" s="904">
        <f t="shared" si="86"/>
        <v>814</v>
      </c>
      <c r="AB428" s="24">
        <v>353</v>
      </c>
    </row>
    <row r="429" spans="1:28" x14ac:dyDescent="0.25">
      <c r="A429" s="903"/>
      <c r="B429" t="s">
        <v>898</v>
      </c>
      <c r="C429" s="906" t="s">
        <v>936</v>
      </c>
      <c r="D429" s="25">
        <v>3</v>
      </c>
      <c r="E429" s="903">
        <v>322</v>
      </c>
      <c r="F429" s="903">
        <v>117</v>
      </c>
      <c r="G429" s="903" t="s">
        <v>937</v>
      </c>
      <c r="H429" s="904">
        <f t="shared" si="75"/>
        <v>6</v>
      </c>
      <c r="I429" s="904">
        <f t="shared" si="76"/>
        <v>11</v>
      </c>
      <c r="J429" s="21">
        <f t="shared" si="77"/>
        <v>10900</v>
      </c>
      <c r="K429" s="21">
        <f t="shared" si="78"/>
        <v>11900</v>
      </c>
      <c r="L429" s="21">
        <f t="shared" si="79"/>
        <v>22950</v>
      </c>
      <c r="M429" s="21">
        <f t="shared" si="80"/>
        <v>35000</v>
      </c>
      <c r="N429" s="904">
        <f t="shared" si="81"/>
        <v>543</v>
      </c>
      <c r="O429" s="21"/>
      <c r="P429" s="22" t="s">
        <v>2</v>
      </c>
      <c r="Q429" s="22">
        <v>0.63</v>
      </c>
      <c r="R429" s="904" t="s">
        <v>42</v>
      </c>
      <c r="S429" s="904" t="str">
        <f t="shared" si="82"/>
        <v>Stove</v>
      </c>
      <c r="T429" s="23">
        <f t="shared" si="83"/>
        <v>0.1889644746787604</v>
      </c>
      <c r="U429" s="23">
        <f t="shared" si="84"/>
        <v>0.5557778667022365</v>
      </c>
      <c r="V429" s="23">
        <f t="shared" si="84"/>
        <v>0.28818111606782632</v>
      </c>
      <c r="W429" s="23">
        <f t="shared" si="85"/>
        <v>0.60676666181253336</v>
      </c>
      <c r="X429" s="904">
        <f t="shared" si="86"/>
        <v>342</v>
      </c>
      <c r="Y429" s="904">
        <f t="shared" si="86"/>
        <v>369</v>
      </c>
      <c r="Z429" s="904">
        <f t="shared" si="86"/>
        <v>325</v>
      </c>
      <c r="AA429" s="904">
        <f t="shared" si="86"/>
        <v>297</v>
      </c>
      <c r="AB429" s="24">
        <v>154</v>
      </c>
    </row>
    <row r="430" spans="1:28" x14ac:dyDescent="0.25">
      <c r="A430" s="903"/>
      <c r="B430" t="s">
        <v>898</v>
      </c>
      <c r="C430" s="906" t="s">
        <v>938</v>
      </c>
      <c r="D430" s="25">
        <v>4.5199999999999996</v>
      </c>
      <c r="E430" s="903">
        <v>720</v>
      </c>
      <c r="F430" s="903">
        <v>391</v>
      </c>
      <c r="G430" s="903" t="s">
        <v>939</v>
      </c>
      <c r="H430" s="904">
        <f t="shared" si="75"/>
        <v>6</v>
      </c>
      <c r="I430" s="904">
        <f t="shared" si="76"/>
        <v>11</v>
      </c>
      <c r="J430" s="21">
        <f t="shared" si="77"/>
        <v>10500</v>
      </c>
      <c r="K430" s="21">
        <f t="shared" si="78"/>
        <v>13566.000000000002</v>
      </c>
      <c r="L430" s="21">
        <f t="shared" si="79"/>
        <v>25200</v>
      </c>
      <c r="M430" s="21">
        <f t="shared" si="80"/>
        <v>39900</v>
      </c>
      <c r="N430" s="904">
        <f t="shared" si="81"/>
        <v>711</v>
      </c>
      <c r="O430" s="21"/>
      <c r="P430" s="22" t="s">
        <v>2</v>
      </c>
      <c r="Q430" s="22">
        <v>0.63</v>
      </c>
      <c r="R430" s="904" t="s">
        <v>42</v>
      </c>
      <c r="S430" s="904" t="str">
        <f t="shared" si="82"/>
        <v>Stove</v>
      </c>
      <c r="T430" s="23">
        <f t="shared" si="83"/>
        <v>0.24974252209005759</v>
      </c>
      <c r="U430" s="23">
        <f t="shared" si="84"/>
        <v>0.7345368296766398</v>
      </c>
      <c r="V430" s="23">
        <f t="shared" si="84"/>
        <v>0.39542565997592455</v>
      </c>
      <c r="W430" s="23">
        <f t="shared" si="85"/>
        <v>0.94902158394221892</v>
      </c>
      <c r="X430" s="904">
        <f t="shared" si="86"/>
        <v>553</v>
      </c>
      <c r="Y430" s="904">
        <f t="shared" si="86"/>
        <v>595</v>
      </c>
      <c r="Z430" s="904">
        <f t="shared" si="86"/>
        <v>589</v>
      </c>
      <c r="AA430" s="904">
        <f t="shared" si="86"/>
        <v>682</v>
      </c>
      <c r="AB430" s="24">
        <v>300</v>
      </c>
    </row>
    <row r="431" spans="1:28" x14ac:dyDescent="0.25">
      <c r="A431" s="903"/>
      <c r="B431" t="s">
        <v>898</v>
      </c>
      <c r="C431" s="906" t="s">
        <v>940</v>
      </c>
      <c r="D431" s="25">
        <v>5.8</v>
      </c>
      <c r="E431" s="903">
        <v>834</v>
      </c>
      <c r="F431" s="903">
        <v>481</v>
      </c>
      <c r="G431" s="903" t="s">
        <v>941</v>
      </c>
      <c r="H431" s="904">
        <f t="shared" si="75"/>
        <v>6</v>
      </c>
      <c r="I431" s="904">
        <f t="shared" si="76"/>
        <v>11</v>
      </c>
      <c r="J431" s="21">
        <f t="shared" si="77"/>
        <v>11900</v>
      </c>
      <c r="K431" s="21">
        <f t="shared" si="78"/>
        <v>19822</v>
      </c>
      <c r="L431" s="21">
        <f t="shared" si="79"/>
        <v>35100</v>
      </c>
      <c r="M431" s="21">
        <f t="shared" si="80"/>
        <v>58300</v>
      </c>
      <c r="N431" s="904">
        <f t="shared" si="81"/>
        <v>939</v>
      </c>
      <c r="O431" s="21"/>
      <c r="P431" s="22" t="s">
        <v>2</v>
      </c>
      <c r="Q431" s="22">
        <v>0.63</v>
      </c>
      <c r="R431" s="904" t="s">
        <v>42</v>
      </c>
      <c r="S431" s="904" t="str">
        <f t="shared" si="82"/>
        <v>Stove</v>
      </c>
      <c r="T431" s="23">
        <f t="shared" si="83"/>
        <v>0.21932411869518786</v>
      </c>
      <c r="U431" s="23">
        <f t="shared" si="84"/>
        <v>0.64507093733878784</v>
      </c>
      <c r="V431" s="23">
        <f t="shared" si="84"/>
        <v>0.36429048774727785</v>
      </c>
      <c r="W431" s="23">
        <f t="shared" si="85"/>
        <v>1.0745038756243237</v>
      </c>
      <c r="X431" s="904">
        <f t="shared" si="86"/>
        <v>455</v>
      </c>
      <c r="Y431" s="904">
        <f t="shared" si="86"/>
        <v>490</v>
      </c>
      <c r="Z431" s="904">
        <f t="shared" si="86"/>
        <v>523</v>
      </c>
      <c r="AA431" s="904">
        <f t="shared" si="86"/>
        <v>762</v>
      </c>
      <c r="AB431" s="24">
        <v>229</v>
      </c>
    </row>
    <row r="432" spans="1:28" x14ac:dyDescent="0.25">
      <c r="A432" s="903"/>
      <c r="B432" t="s">
        <v>898</v>
      </c>
      <c r="C432" s="906" t="s">
        <v>942</v>
      </c>
      <c r="D432" s="25">
        <v>3.6</v>
      </c>
      <c r="E432" s="903">
        <v>467</v>
      </c>
      <c r="F432" s="903">
        <v>186</v>
      </c>
      <c r="G432" s="903" t="s">
        <v>943</v>
      </c>
      <c r="H432" s="904">
        <f t="shared" si="75"/>
        <v>6</v>
      </c>
      <c r="I432" s="904">
        <f t="shared" si="76"/>
        <v>11</v>
      </c>
      <c r="J432" s="21">
        <f t="shared" si="77"/>
        <v>10900</v>
      </c>
      <c r="K432" s="21">
        <f t="shared" si="78"/>
        <v>10900</v>
      </c>
      <c r="L432" s="21">
        <f t="shared" si="79"/>
        <v>20750</v>
      </c>
      <c r="M432" s="21">
        <f t="shared" si="80"/>
        <v>30600</v>
      </c>
      <c r="N432" s="904">
        <f t="shared" si="81"/>
        <v>383</v>
      </c>
      <c r="O432" s="21"/>
      <c r="P432" s="22" t="s">
        <v>2</v>
      </c>
      <c r="Q432" s="22">
        <v>0.72</v>
      </c>
      <c r="R432" s="904" t="s">
        <v>38</v>
      </c>
      <c r="S432" s="904" t="str">
        <f t="shared" si="82"/>
        <v>Stove</v>
      </c>
      <c r="T432" s="23">
        <f t="shared" si="83"/>
        <v>0.25936300446104366</v>
      </c>
      <c r="U432" s="23">
        <f t="shared" si="84"/>
        <v>0.72811999417504003</v>
      </c>
      <c r="V432" s="23">
        <f t="shared" si="84"/>
        <v>0.38248231019315354</v>
      </c>
      <c r="W432" s="23">
        <f t="shared" si="85"/>
        <v>0.72811999417504003</v>
      </c>
      <c r="X432" s="904">
        <f t="shared" si="86"/>
        <v>589</v>
      </c>
      <c r="Y432" s="904">
        <f t="shared" si="86"/>
        <v>593</v>
      </c>
      <c r="Z432" s="904">
        <f t="shared" si="86"/>
        <v>565</v>
      </c>
      <c r="AA432" s="904">
        <f t="shared" si="86"/>
        <v>439</v>
      </c>
      <c r="AB432" s="24">
        <v>219</v>
      </c>
    </row>
    <row r="433" spans="1:28" x14ac:dyDescent="0.25">
      <c r="A433" s="903"/>
      <c r="B433" t="s">
        <v>898</v>
      </c>
      <c r="C433" s="906" t="s">
        <v>944</v>
      </c>
      <c r="D433" s="25">
        <v>3.8</v>
      </c>
      <c r="E433" s="903">
        <v>518</v>
      </c>
      <c r="F433" s="903">
        <v>205</v>
      </c>
      <c r="G433" s="903" t="s">
        <v>945</v>
      </c>
      <c r="H433" s="904">
        <f t="shared" si="75"/>
        <v>6</v>
      </c>
      <c r="I433" s="904">
        <f t="shared" si="76"/>
        <v>11</v>
      </c>
      <c r="J433" s="21">
        <f t="shared" si="77"/>
        <v>10900</v>
      </c>
      <c r="K433" s="21">
        <f t="shared" si="78"/>
        <v>11934</v>
      </c>
      <c r="L433" s="21">
        <f t="shared" si="79"/>
        <v>23000</v>
      </c>
      <c r="M433" s="21">
        <f t="shared" si="80"/>
        <v>35100</v>
      </c>
      <c r="N433" s="904">
        <f t="shared" si="81"/>
        <v>548</v>
      </c>
      <c r="O433" s="21"/>
      <c r="P433" s="22" t="s">
        <v>2</v>
      </c>
      <c r="Q433" s="22">
        <v>0.72</v>
      </c>
      <c r="R433" s="904" t="s">
        <v>38</v>
      </c>
      <c r="S433" s="904" t="str">
        <f t="shared" si="82"/>
        <v>Stove</v>
      </c>
      <c r="T433" s="23">
        <f t="shared" si="83"/>
        <v>0.23867307817925101</v>
      </c>
      <c r="U433" s="23">
        <f t="shared" si="84"/>
        <v>0.70197964170367944</v>
      </c>
      <c r="V433" s="23">
        <f t="shared" si="84"/>
        <v>0.36423587148224829</v>
      </c>
      <c r="W433" s="23">
        <f t="shared" si="85"/>
        <v>0.76857110496254222</v>
      </c>
      <c r="X433" s="904">
        <f t="shared" si="86"/>
        <v>525</v>
      </c>
      <c r="Y433" s="904">
        <f t="shared" si="86"/>
        <v>573</v>
      </c>
      <c r="Z433" s="904">
        <f t="shared" si="86"/>
        <v>522</v>
      </c>
      <c r="AA433" s="904">
        <f t="shared" si="86"/>
        <v>489</v>
      </c>
      <c r="AB433" s="24">
        <v>214</v>
      </c>
    </row>
    <row r="434" spans="1:28" x14ac:dyDescent="0.25">
      <c r="A434" s="903"/>
      <c r="B434" t="s">
        <v>898</v>
      </c>
      <c r="C434" s="906" t="s">
        <v>946</v>
      </c>
      <c r="D434" s="25">
        <v>4</v>
      </c>
      <c r="E434" s="903">
        <v>571</v>
      </c>
      <c r="F434" s="903">
        <v>270</v>
      </c>
      <c r="G434" s="903" t="s">
        <v>947</v>
      </c>
      <c r="H434" s="904">
        <f t="shared" si="75"/>
        <v>6</v>
      </c>
      <c r="I434" s="904">
        <f t="shared" si="76"/>
        <v>11</v>
      </c>
      <c r="J434" s="21">
        <f t="shared" si="77"/>
        <v>11500</v>
      </c>
      <c r="K434" s="21">
        <f t="shared" si="78"/>
        <v>11628</v>
      </c>
      <c r="L434" s="21">
        <f t="shared" si="79"/>
        <v>22850</v>
      </c>
      <c r="M434" s="21">
        <f t="shared" si="80"/>
        <v>34200</v>
      </c>
      <c r="N434" s="904">
        <f t="shared" si="81"/>
        <v>535</v>
      </c>
      <c r="O434" s="21"/>
      <c r="P434" s="22" t="s">
        <v>2</v>
      </c>
      <c r="Q434" s="22">
        <v>0.63</v>
      </c>
      <c r="R434" s="904" t="s">
        <v>42</v>
      </c>
      <c r="S434" s="904" t="str">
        <f t="shared" si="82"/>
        <v>Stove</v>
      </c>
      <c r="T434" s="23">
        <f t="shared" si="83"/>
        <v>0.25784626174489722</v>
      </c>
      <c r="U434" s="23">
        <f t="shared" si="84"/>
        <v>0.7583713580732272</v>
      </c>
      <c r="V434" s="23">
        <f t="shared" si="84"/>
        <v>0.38592307009520721</v>
      </c>
      <c r="W434" s="23">
        <f t="shared" si="85"/>
        <v>0.76681236101525951</v>
      </c>
      <c r="X434" s="904">
        <f t="shared" si="86"/>
        <v>585</v>
      </c>
      <c r="Y434" s="904">
        <f t="shared" si="86"/>
        <v>627</v>
      </c>
      <c r="Z434" s="904">
        <f t="shared" si="86"/>
        <v>573</v>
      </c>
      <c r="AA434" s="904">
        <f t="shared" si="86"/>
        <v>486</v>
      </c>
      <c r="AB434" s="24">
        <v>323</v>
      </c>
    </row>
    <row r="435" spans="1:28" x14ac:dyDescent="0.25">
      <c r="A435" s="903"/>
      <c r="B435" t="s">
        <v>898</v>
      </c>
      <c r="C435" s="906" t="s">
        <v>948</v>
      </c>
      <c r="D435" s="25">
        <v>3.1</v>
      </c>
      <c r="E435" s="903">
        <v>347</v>
      </c>
      <c r="F435" s="903">
        <v>146</v>
      </c>
      <c r="G435" s="903" t="s">
        <v>949</v>
      </c>
      <c r="H435" s="904">
        <f t="shared" si="75"/>
        <v>6</v>
      </c>
      <c r="I435" s="904">
        <f t="shared" si="76"/>
        <v>11</v>
      </c>
      <c r="J435" s="21">
        <f t="shared" si="77"/>
        <v>12600</v>
      </c>
      <c r="K435" s="21">
        <f t="shared" si="78"/>
        <v>12600</v>
      </c>
      <c r="L435" s="21">
        <f t="shared" si="79"/>
        <v>22800</v>
      </c>
      <c r="M435" s="21">
        <f t="shared" si="80"/>
        <v>33000</v>
      </c>
      <c r="N435" s="904">
        <f t="shared" si="81"/>
        <v>527</v>
      </c>
      <c r="O435" s="21"/>
      <c r="P435" s="22" t="s">
        <v>2</v>
      </c>
      <c r="Q435" s="22">
        <v>0.72</v>
      </c>
      <c r="R435" s="904" t="s">
        <v>38</v>
      </c>
      <c r="S435" s="904" t="str">
        <f t="shared" si="82"/>
        <v>Stove</v>
      </c>
      <c r="T435" s="23">
        <f t="shared" si="83"/>
        <v>0.20709742931965155</v>
      </c>
      <c r="U435" s="23">
        <f t="shared" si="84"/>
        <v>0.54239802917051594</v>
      </c>
      <c r="V435" s="23">
        <f t="shared" si="84"/>
        <v>0.299746279278443</v>
      </c>
      <c r="W435" s="23">
        <f t="shared" si="85"/>
        <v>0.54239802917051594</v>
      </c>
      <c r="X435" s="904">
        <f t="shared" si="86"/>
        <v>412</v>
      </c>
      <c r="Y435" s="904">
        <f t="shared" si="86"/>
        <v>359</v>
      </c>
      <c r="Z435" s="904">
        <f t="shared" si="86"/>
        <v>359</v>
      </c>
      <c r="AA435" s="904">
        <f t="shared" si="86"/>
        <v>243</v>
      </c>
      <c r="AB435" s="24">
        <v>144</v>
      </c>
    </row>
    <row r="436" spans="1:28" x14ac:dyDescent="0.25">
      <c r="A436" s="903"/>
      <c r="B436" t="s">
        <v>950</v>
      </c>
      <c r="C436" s="906" t="s">
        <v>951</v>
      </c>
      <c r="D436" s="25">
        <v>4.5</v>
      </c>
      <c r="E436" s="903">
        <v>700</v>
      </c>
      <c r="F436" s="903">
        <v>82</v>
      </c>
      <c r="G436" s="903" t="s">
        <v>424</v>
      </c>
      <c r="H436" s="904">
        <f t="shared" si="75"/>
        <v>6</v>
      </c>
      <c r="I436" s="904">
        <f t="shared" si="76"/>
        <v>11</v>
      </c>
      <c r="J436" s="21">
        <f t="shared" si="77"/>
        <v>12791</v>
      </c>
      <c r="K436" s="21">
        <f t="shared" si="78"/>
        <v>14796.800000000001</v>
      </c>
      <c r="L436" s="21">
        <f t="shared" si="79"/>
        <v>28155.5</v>
      </c>
      <c r="M436" s="21">
        <f t="shared" si="80"/>
        <v>43520</v>
      </c>
      <c r="N436" s="904">
        <f t="shared" si="81"/>
        <v>835</v>
      </c>
      <c r="O436" s="21"/>
      <c r="P436" s="22" t="s">
        <v>2</v>
      </c>
      <c r="Q436" s="22">
        <v>0.78</v>
      </c>
      <c r="R436" s="904" t="s">
        <v>15</v>
      </c>
      <c r="S436" s="904" t="str">
        <f t="shared" si="82"/>
        <v>Stove</v>
      </c>
      <c r="T436" s="23">
        <f t="shared" si="83"/>
        <v>0.22795576563958916</v>
      </c>
      <c r="U436" s="23">
        <f t="shared" si="84"/>
        <v>0.67045813423408573</v>
      </c>
      <c r="V436" s="23">
        <f t="shared" si="84"/>
        <v>0.35235158035321412</v>
      </c>
      <c r="W436" s="23">
        <f t="shared" si="85"/>
        <v>0.77559494336915957</v>
      </c>
      <c r="X436" s="904">
        <f t="shared" si="86"/>
        <v>488</v>
      </c>
      <c r="Y436" s="904">
        <f t="shared" si="86"/>
        <v>528</v>
      </c>
      <c r="Z436" s="904">
        <f t="shared" si="86"/>
        <v>497</v>
      </c>
      <c r="AA436" s="904">
        <f t="shared" si="86"/>
        <v>498</v>
      </c>
      <c r="AB436" s="24">
        <v>76</v>
      </c>
    </row>
    <row r="437" spans="1:28" x14ac:dyDescent="0.25">
      <c r="A437" s="903"/>
      <c r="B437" t="s">
        <v>952</v>
      </c>
      <c r="C437" s="906" t="s">
        <v>953</v>
      </c>
      <c r="D437" s="25">
        <v>6.8</v>
      </c>
      <c r="E437" s="903">
        <v>895</v>
      </c>
      <c r="F437" s="903">
        <v>539</v>
      </c>
      <c r="G437" s="903" t="s">
        <v>954</v>
      </c>
      <c r="H437" s="904">
        <f t="shared" si="75"/>
        <v>6</v>
      </c>
      <c r="I437" s="904">
        <f t="shared" si="76"/>
        <v>11</v>
      </c>
      <c r="J437" s="21">
        <f t="shared" si="77"/>
        <v>11100</v>
      </c>
      <c r="K437" s="21">
        <f t="shared" si="78"/>
        <v>11100</v>
      </c>
      <c r="L437" s="21">
        <f t="shared" si="79"/>
        <v>19950</v>
      </c>
      <c r="M437" s="21">
        <f t="shared" si="80"/>
        <v>28800</v>
      </c>
      <c r="N437" s="904">
        <f t="shared" si="81"/>
        <v>316</v>
      </c>
      <c r="O437" s="21"/>
      <c r="P437" s="22" t="s">
        <v>2</v>
      </c>
      <c r="Q437" s="22">
        <v>0.63</v>
      </c>
      <c r="R437" s="904" t="s">
        <v>42</v>
      </c>
      <c r="S437" s="904" t="str">
        <f t="shared" si="82"/>
        <v>Stove</v>
      </c>
      <c r="T437" s="23">
        <f t="shared" si="83"/>
        <v>0.52052714089751129</v>
      </c>
      <c r="U437" s="23">
        <f t="shared" si="84"/>
        <v>1.3505569061124616</v>
      </c>
      <c r="V437" s="23">
        <f t="shared" si="84"/>
        <v>0.7514376770851291</v>
      </c>
      <c r="W437" s="23">
        <f t="shared" si="85"/>
        <v>1.3505569061124616</v>
      </c>
      <c r="X437" s="904">
        <f t="shared" si="86"/>
        <v>907</v>
      </c>
      <c r="Y437" s="904">
        <f t="shared" si="86"/>
        <v>917</v>
      </c>
      <c r="Z437" s="904">
        <f t="shared" si="86"/>
        <v>913</v>
      </c>
      <c r="AA437" s="904">
        <f t="shared" si="86"/>
        <v>877</v>
      </c>
      <c r="AB437" s="24">
        <v>562</v>
      </c>
    </row>
    <row r="438" spans="1:28" x14ac:dyDescent="0.25">
      <c r="A438" s="903"/>
      <c r="B438" t="s">
        <v>952</v>
      </c>
      <c r="C438" s="906" t="s">
        <v>955</v>
      </c>
      <c r="D438" s="25">
        <v>3.9</v>
      </c>
      <c r="E438" s="903">
        <v>548</v>
      </c>
      <c r="F438" s="903">
        <v>253</v>
      </c>
      <c r="G438" s="903" t="s">
        <v>956</v>
      </c>
      <c r="H438" s="904">
        <f t="shared" si="75"/>
        <v>6</v>
      </c>
      <c r="I438" s="904">
        <f t="shared" si="76"/>
        <v>11</v>
      </c>
      <c r="J438" s="21">
        <f t="shared" si="77"/>
        <v>11300</v>
      </c>
      <c r="K438" s="21">
        <f t="shared" si="78"/>
        <v>11300</v>
      </c>
      <c r="L438" s="21">
        <f t="shared" si="79"/>
        <v>19700</v>
      </c>
      <c r="M438" s="21">
        <f t="shared" si="80"/>
        <v>28100</v>
      </c>
      <c r="N438" s="904">
        <f t="shared" si="81"/>
        <v>291</v>
      </c>
      <c r="O438" s="21"/>
      <c r="P438" s="22" t="s">
        <v>2</v>
      </c>
      <c r="Q438" s="22">
        <v>0.63</v>
      </c>
      <c r="R438" s="904" t="s">
        <v>42</v>
      </c>
      <c r="S438" s="904" t="str">
        <f t="shared" si="82"/>
        <v>Stove</v>
      </c>
      <c r="T438" s="23">
        <f t="shared" si="83"/>
        <v>0.30597450526276149</v>
      </c>
      <c r="U438" s="23">
        <f t="shared" si="84"/>
        <v>0.7608746546799644</v>
      </c>
      <c r="V438" s="23">
        <f t="shared" si="84"/>
        <v>0.43644079177074102</v>
      </c>
      <c r="W438" s="23">
        <f t="shared" si="85"/>
        <v>0.7608746546799644</v>
      </c>
      <c r="X438" s="904">
        <f t="shared" si="86"/>
        <v>686</v>
      </c>
      <c r="Y438" s="904">
        <f t="shared" si="86"/>
        <v>629</v>
      </c>
      <c r="Z438" s="904">
        <f t="shared" si="86"/>
        <v>654</v>
      </c>
      <c r="AA438" s="904">
        <f t="shared" si="86"/>
        <v>481</v>
      </c>
      <c r="AB438" s="24">
        <v>325</v>
      </c>
    </row>
    <row r="439" spans="1:28" x14ac:dyDescent="0.25">
      <c r="A439" s="903"/>
      <c r="B439" t="s">
        <v>957</v>
      </c>
      <c r="C439" s="906" t="s">
        <v>958</v>
      </c>
      <c r="D439" s="25">
        <v>7</v>
      </c>
      <c r="E439" s="903">
        <v>907</v>
      </c>
      <c r="F439" s="903">
        <v>550</v>
      </c>
      <c r="G439" s="903" t="s">
        <v>850</v>
      </c>
      <c r="H439" s="904">
        <f t="shared" si="75"/>
        <v>6</v>
      </c>
      <c r="I439" s="904">
        <f t="shared" si="76"/>
        <v>11</v>
      </c>
      <c r="J439" s="21">
        <f t="shared" si="77"/>
        <v>11900</v>
      </c>
      <c r="K439" s="21">
        <f t="shared" si="78"/>
        <v>11900</v>
      </c>
      <c r="L439" s="21">
        <f t="shared" si="79"/>
        <v>15800</v>
      </c>
      <c r="M439" s="21">
        <f t="shared" si="80"/>
        <v>19700</v>
      </c>
      <c r="N439" s="904">
        <f t="shared" si="81"/>
        <v>59</v>
      </c>
      <c r="O439" s="21"/>
      <c r="P439" s="22" t="s">
        <v>2</v>
      </c>
      <c r="Q439" s="22">
        <v>0.63</v>
      </c>
      <c r="R439" s="904" t="s">
        <v>42</v>
      </c>
      <c r="S439" s="904" t="str">
        <f t="shared" si="82"/>
        <v>Stove</v>
      </c>
      <c r="T439" s="23">
        <f t="shared" si="83"/>
        <v>0.78335526728081717</v>
      </c>
      <c r="U439" s="23">
        <f t="shared" si="84"/>
        <v>1.2968150223052184</v>
      </c>
      <c r="V439" s="23">
        <f t="shared" si="84"/>
        <v>0.97671511173620873</v>
      </c>
      <c r="W439" s="23">
        <f t="shared" si="85"/>
        <v>1.2968150223052184</v>
      </c>
      <c r="X439" s="904">
        <f t="shared" si="86"/>
        <v>960</v>
      </c>
      <c r="Y439" s="904">
        <f t="shared" si="86"/>
        <v>900</v>
      </c>
      <c r="Z439" s="904">
        <f t="shared" si="86"/>
        <v>956</v>
      </c>
      <c r="AA439" s="904">
        <f t="shared" si="86"/>
        <v>852</v>
      </c>
      <c r="AB439" s="24">
        <v>545</v>
      </c>
    </row>
    <row r="440" spans="1:28" x14ac:dyDescent="0.25">
      <c r="B440" t="s">
        <v>959</v>
      </c>
      <c r="C440" s="906" t="s">
        <v>960</v>
      </c>
      <c r="D440" s="25">
        <v>2</v>
      </c>
      <c r="E440" s="903">
        <v>131</v>
      </c>
      <c r="F440" s="903">
        <v>46</v>
      </c>
      <c r="G440" s="903" t="s">
        <v>961</v>
      </c>
      <c r="H440" s="904">
        <f t="shared" si="75"/>
        <v>5</v>
      </c>
      <c r="I440" s="904">
        <f t="shared" si="76"/>
        <v>10</v>
      </c>
      <c r="J440" s="21">
        <f t="shared" si="77"/>
        <v>5900</v>
      </c>
      <c r="K440" s="21">
        <f t="shared" si="78"/>
        <v>8330</v>
      </c>
      <c r="L440" s="21">
        <f t="shared" si="79"/>
        <v>15200</v>
      </c>
      <c r="M440" s="21">
        <f t="shared" si="80"/>
        <v>24500</v>
      </c>
      <c r="N440" s="904">
        <f t="shared" si="81"/>
        <v>41</v>
      </c>
      <c r="O440" s="21"/>
      <c r="P440" s="22" t="s">
        <v>2</v>
      </c>
      <c r="Q440" s="22">
        <v>0.72</v>
      </c>
      <c r="R440" s="904" t="s">
        <v>38</v>
      </c>
      <c r="S440" s="904" t="str">
        <f t="shared" si="82"/>
        <v>Stove</v>
      </c>
      <c r="T440" s="23">
        <f t="shared" si="83"/>
        <v>0.17996616636072418</v>
      </c>
      <c r="U440" s="23">
        <f t="shared" si="84"/>
        <v>0.52931225400213</v>
      </c>
      <c r="V440" s="23">
        <f t="shared" si="84"/>
        <v>0.29007704446300936</v>
      </c>
      <c r="W440" s="23">
        <f t="shared" si="85"/>
        <v>0.74731713149792245</v>
      </c>
      <c r="X440" s="904">
        <f t="shared" si="86"/>
        <v>312</v>
      </c>
      <c r="Y440" s="904">
        <f t="shared" si="86"/>
        <v>336</v>
      </c>
      <c r="Z440" s="904">
        <f t="shared" si="86"/>
        <v>336</v>
      </c>
      <c r="AA440" s="904">
        <f t="shared" si="86"/>
        <v>460</v>
      </c>
      <c r="AB440" s="24">
        <v>137</v>
      </c>
    </row>
    <row r="441" spans="1:28" x14ac:dyDescent="0.25">
      <c r="A441" s="903" t="s">
        <v>77</v>
      </c>
      <c r="B441" t="s">
        <v>959</v>
      </c>
      <c r="C441" s="906" t="s">
        <v>962</v>
      </c>
      <c r="D441" s="25">
        <v>7</v>
      </c>
      <c r="E441" s="903">
        <v>907</v>
      </c>
      <c r="F441" s="903">
        <v>550</v>
      </c>
      <c r="G441" s="903" t="s">
        <v>963</v>
      </c>
      <c r="H441" s="904">
        <f t="shared" si="75"/>
        <v>6</v>
      </c>
      <c r="I441" s="904">
        <f t="shared" si="76"/>
        <v>11</v>
      </c>
      <c r="J441" s="21">
        <f t="shared" si="77"/>
        <v>11200</v>
      </c>
      <c r="K441" s="21">
        <f t="shared" si="78"/>
        <v>11200</v>
      </c>
      <c r="L441" s="21">
        <f t="shared" si="79"/>
        <v>17450</v>
      </c>
      <c r="M441" s="21">
        <f t="shared" si="80"/>
        <v>23700</v>
      </c>
      <c r="N441" s="904">
        <f t="shared" si="81"/>
        <v>129</v>
      </c>
      <c r="O441" s="21"/>
      <c r="P441" s="22" t="s">
        <v>2</v>
      </c>
      <c r="Q441" s="22">
        <v>0.63</v>
      </c>
      <c r="R441" s="904" t="s">
        <v>42</v>
      </c>
      <c r="S441" s="904" t="str">
        <f t="shared" si="82"/>
        <v>Stove</v>
      </c>
      <c r="T441" s="23">
        <f t="shared" si="83"/>
        <v>0.65114340782413915</v>
      </c>
      <c r="U441" s="23">
        <f t="shared" si="84"/>
        <v>1.3778659611992945</v>
      </c>
      <c r="V441" s="23">
        <f t="shared" si="84"/>
        <v>0.88436096076974779</v>
      </c>
      <c r="W441" s="23">
        <f t="shared" si="85"/>
        <v>1.3778659611992945</v>
      </c>
      <c r="X441" s="904">
        <f t="shared" si="86"/>
        <v>949</v>
      </c>
      <c r="Y441" s="904">
        <f t="shared" si="86"/>
        <v>930</v>
      </c>
      <c r="Z441" s="904">
        <f t="shared" si="86"/>
        <v>941</v>
      </c>
      <c r="AA441" s="904">
        <f t="shared" si="86"/>
        <v>888</v>
      </c>
      <c r="AB441" s="24">
        <v>575</v>
      </c>
    </row>
    <row r="442" spans="1:28" x14ac:dyDescent="0.25">
      <c r="A442" s="903"/>
      <c r="B442" t="s">
        <v>959</v>
      </c>
      <c r="C442" s="906" t="s">
        <v>964</v>
      </c>
      <c r="D442" s="25">
        <v>5.9</v>
      </c>
      <c r="E442" s="903">
        <v>836</v>
      </c>
      <c r="F442" s="903">
        <v>483</v>
      </c>
      <c r="G442" s="903" t="s">
        <v>965</v>
      </c>
      <c r="H442" s="904">
        <f t="shared" si="75"/>
        <v>5</v>
      </c>
      <c r="I442" s="904">
        <f t="shared" si="76"/>
        <v>10</v>
      </c>
      <c r="J442" s="21">
        <f t="shared" si="77"/>
        <v>8900</v>
      </c>
      <c r="K442" s="21">
        <f t="shared" si="78"/>
        <v>9588</v>
      </c>
      <c r="L442" s="21">
        <f t="shared" si="79"/>
        <v>18550</v>
      </c>
      <c r="M442" s="21">
        <f t="shared" si="80"/>
        <v>28200</v>
      </c>
      <c r="N442" s="904">
        <f t="shared" si="81"/>
        <v>196</v>
      </c>
      <c r="O442" s="21"/>
      <c r="P442" s="22" t="s">
        <v>2</v>
      </c>
      <c r="Q442" s="22">
        <v>0.63</v>
      </c>
      <c r="R442" s="904" t="s">
        <v>42</v>
      </c>
      <c r="S442" s="904" t="str">
        <f t="shared" si="82"/>
        <v>Stove</v>
      </c>
      <c r="T442" s="23">
        <f t="shared" si="83"/>
        <v>0.46124307353621774</v>
      </c>
      <c r="U442" s="23">
        <f t="shared" si="84"/>
        <v>1.3565972751065227</v>
      </c>
      <c r="V442" s="23">
        <f t="shared" si="84"/>
        <v>0.70118893119791592</v>
      </c>
      <c r="W442" s="23">
        <f t="shared" si="85"/>
        <v>1.4614668172720606</v>
      </c>
      <c r="X442" s="904">
        <f t="shared" si="86"/>
        <v>874</v>
      </c>
      <c r="Y442" s="904">
        <f t="shared" si="86"/>
        <v>919</v>
      </c>
      <c r="Z442" s="904">
        <f t="shared" si="86"/>
        <v>887</v>
      </c>
      <c r="AA442" s="904">
        <f t="shared" si="86"/>
        <v>916</v>
      </c>
      <c r="AB442" s="24">
        <v>564</v>
      </c>
    </row>
    <row r="443" spans="1:28" x14ac:dyDescent="0.25">
      <c r="A443" s="903"/>
      <c r="B443" t="s">
        <v>959</v>
      </c>
      <c r="C443" s="906" t="s">
        <v>966</v>
      </c>
      <c r="D443" s="25">
        <v>3.6</v>
      </c>
      <c r="E443" s="903">
        <v>467</v>
      </c>
      <c r="F443" s="903">
        <v>207</v>
      </c>
      <c r="G443" s="903" t="s">
        <v>967</v>
      </c>
      <c r="H443" s="904">
        <f t="shared" si="75"/>
        <v>6</v>
      </c>
      <c r="I443" s="904">
        <f t="shared" si="76"/>
        <v>11</v>
      </c>
      <c r="J443" s="21">
        <f t="shared" si="77"/>
        <v>10300</v>
      </c>
      <c r="K443" s="21">
        <f t="shared" si="78"/>
        <v>12750.000000000002</v>
      </c>
      <c r="L443" s="21">
        <f t="shared" si="79"/>
        <v>23900</v>
      </c>
      <c r="M443" s="21">
        <f t="shared" si="80"/>
        <v>37500</v>
      </c>
      <c r="N443" s="904">
        <f t="shared" si="81"/>
        <v>623</v>
      </c>
      <c r="O443" s="21"/>
      <c r="P443" s="22" t="s">
        <v>2</v>
      </c>
      <c r="Q443" s="22">
        <v>0.63</v>
      </c>
      <c r="R443" s="904" t="s">
        <v>42</v>
      </c>
      <c r="S443" s="904" t="str">
        <f t="shared" si="82"/>
        <v>Stove</v>
      </c>
      <c r="T443" s="23">
        <f t="shared" si="83"/>
        <v>0.21164021164021163</v>
      </c>
      <c r="U443" s="23">
        <f t="shared" si="84"/>
        <v>0.62247121070650469</v>
      </c>
      <c r="V443" s="23">
        <f t="shared" si="84"/>
        <v>0.33207146177857477</v>
      </c>
      <c r="W443" s="23">
        <f t="shared" si="85"/>
        <v>0.77053475111727543</v>
      </c>
      <c r="X443" s="904">
        <f t="shared" si="86"/>
        <v>429</v>
      </c>
      <c r="Y443" s="904">
        <f t="shared" si="86"/>
        <v>458</v>
      </c>
      <c r="Z443" s="904">
        <f t="shared" si="86"/>
        <v>442</v>
      </c>
      <c r="AA443" s="904">
        <f t="shared" si="86"/>
        <v>491</v>
      </c>
      <c r="AB443" s="24">
        <v>200</v>
      </c>
    </row>
    <row r="444" spans="1:28" x14ac:dyDescent="0.25">
      <c r="A444" s="903"/>
      <c r="B444" t="s">
        <v>959</v>
      </c>
      <c r="C444" s="906" t="s">
        <v>968</v>
      </c>
      <c r="D444" s="25">
        <v>8.1</v>
      </c>
      <c r="E444" s="903">
        <v>955</v>
      </c>
      <c r="F444" s="903">
        <v>598</v>
      </c>
      <c r="G444" s="903" t="s">
        <v>969</v>
      </c>
      <c r="H444" s="904">
        <f t="shared" si="75"/>
        <v>6</v>
      </c>
      <c r="I444" s="904">
        <f t="shared" si="76"/>
        <v>11</v>
      </c>
      <c r="J444" s="21">
        <f t="shared" si="77"/>
        <v>13000</v>
      </c>
      <c r="K444" s="21">
        <f t="shared" si="78"/>
        <v>13000</v>
      </c>
      <c r="L444" s="21">
        <f t="shared" si="79"/>
        <v>19800</v>
      </c>
      <c r="M444" s="21">
        <f t="shared" si="80"/>
        <v>26600</v>
      </c>
      <c r="N444" s="904">
        <f t="shared" si="81"/>
        <v>303</v>
      </c>
      <c r="O444" s="21"/>
      <c r="P444" s="22" t="s">
        <v>2</v>
      </c>
      <c r="Q444" s="22">
        <v>0.63</v>
      </c>
      <c r="R444" s="904" t="s">
        <v>42</v>
      </c>
      <c r="S444" s="904" t="str">
        <f t="shared" si="82"/>
        <v>Stove</v>
      </c>
      <c r="T444" s="23">
        <f t="shared" si="83"/>
        <v>0.6713211600429646</v>
      </c>
      <c r="U444" s="23">
        <f t="shared" si="84"/>
        <v>1.3736263736263736</v>
      </c>
      <c r="V444" s="23">
        <f t="shared" si="84"/>
        <v>0.90187590187590183</v>
      </c>
      <c r="W444" s="23">
        <f t="shared" si="85"/>
        <v>1.3736263736263736</v>
      </c>
      <c r="X444" s="904">
        <f t="shared" si="86"/>
        <v>954</v>
      </c>
      <c r="Y444" s="904">
        <f t="shared" si="86"/>
        <v>927</v>
      </c>
      <c r="Z444" s="904">
        <f t="shared" si="86"/>
        <v>950</v>
      </c>
      <c r="AA444" s="904">
        <f t="shared" si="86"/>
        <v>885</v>
      </c>
      <c r="AB444" s="24">
        <v>572</v>
      </c>
    </row>
    <row r="445" spans="1:28" x14ac:dyDescent="0.25">
      <c r="A445" s="903"/>
      <c r="B445" t="s">
        <v>959</v>
      </c>
      <c r="C445" s="906" t="s">
        <v>970</v>
      </c>
      <c r="D445" s="25">
        <v>6.5</v>
      </c>
      <c r="E445" s="903">
        <v>875</v>
      </c>
      <c r="F445" s="903">
        <v>521</v>
      </c>
      <c r="G445" s="903" t="s">
        <v>971</v>
      </c>
      <c r="H445" s="904">
        <f t="shared" si="75"/>
        <v>5</v>
      </c>
      <c r="I445" s="904">
        <f t="shared" si="76"/>
        <v>10</v>
      </c>
      <c r="J445" s="21">
        <f t="shared" si="77"/>
        <v>9600</v>
      </c>
      <c r="K445" s="21">
        <f t="shared" si="78"/>
        <v>11356</v>
      </c>
      <c r="L445" s="21">
        <f t="shared" si="79"/>
        <v>21500</v>
      </c>
      <c r="M445" s="21">
        <f t="shared" si="80"/>
        <v>33400</v>
      </c>
      <c r="N445" s="904">
        <f t="shared" si="81"/>
        <v>437</v>
      </c>
      <c r="O445" s="21"/>
      <c r="P445" s="22" t="s">
        <v>2</v>
      </c>
      <c r="Q445" s="22">
        <v>0.63</v>
      </c>
      <c r="R445" s="904" t="s">
        <v>42</v>
      </c>
      <c r="S445" s="904" t="str">
        <f t="shared" si="82"/>
        <v>Stove</v>
      </c>
      <c r="T445" s="23">
        <f t="shared" si="83"/>
        <v>0.42903610767882228</v>
      </c>
      <c r="U445" s="23">
        <f t="shared" si="84"/>
        <v>1.2618709049377124</v>
      </c>
      <c r="V445" s="23">
        <f t="shared" si="84"/>
        <v>0.66650260448710064</v>
      </c>
      <c r="W445" s="23">
        <f t="shared" si="85"/>
        <v>1.4926881246325692</v>
      </c>
      <c r="X445" s="904">
        <f t="shared" si="86"/>
        <v>848</v>
      </c>
      <c r="Y445" s="904">
        <f t="shared" si="86"/>
        <v>891</v>
      </c>
      <c r="Z445" s="904">
        <f t="shared" si="86"/>
        <v>873</v>
      </c>
      <c r="AA445" s="904">
        <f t="shared" si="86"/>
        <v>920</v>
      </c>
      <c r="AB445" s="24">
        <v>537</v>
      </c>
    </row>
    <row r="446" spans="1:28" x14ac:dyDescent="0.25">
      <c r="A446" s="903"/>
      <c r="B446" t="s">
        <v>959</v>
      </c>
      <c r="C446" s="906" t="s">
        <v>972</v>
      </c>
      <c r="D446" s="25">
        <v>6.3</v>
      </c>
      <c r="E446" s="903">
        <v>861</v>
      </c>
      <c r="F446" s="903">
        <v>507</v>
      </c>
      <c r="G446" s="903" t="s">
        <v>973</v>
      </c>
      <c r="H446" s="904">
        <f t="shared" si="75"/>
        <v>6</v>
      </c>
      <c r="I446" s="904">
        <f t="shared" si="76"/>
        <v>11</v>
      </c>
      <c r="J446" s="21">
        <f t="shared" si="77"/>
        <v>12500</v>
      </c>
      <c r="K446" s="21">
        <f t="shared" si="78"/>
        <v>12500</v>
      </c>
      <c r="L446" s="21">
        <f t="shared" si="79"/>
        <v>17100</v>
      </c>
      <c r="M446" s="21">
        <f t="shared" si="80"/>
        <v>21700</v>
      </c>
      <c r="N446" s="904">
        <f t="shared" si="81"/>
        <v>97</v>
      </c>
      <c r="O446" s="21"/>
      <c r="P446" s="22" t="s">
        <v>2</v>
      </c>
      <c r="Q446" s="22">
        <v>0.63</v>
      </c>
      <c r="R446" s="904" t="s">
        <v>42</v>
      </c>
      <c r="S446" s="904" t="str">
        <f t="shared" si="82"/>
        <v>Stove</v>
      </c>
      <c r="T446" s="23">
        <f t="shared" si="83"/>
        <v>0.64004096262160781</v>
      </c>
      <c r="U446" s="23">
        <f t="shared" si="84"/>
        <v>1.1111111111111112</v>
      </c>
      <c r="V446" s="23">
        <f t="shared" si="84"/>
        <v>0.81221572449642621</v>
      </c>
      <c r="W446" s="23">
        <f t="shared" si="85"/>
        <v>1.1111111111111112</v>
      </c>
      <c r="X446" s="904">
        <f t="shared" si="86"/>
        <v>946</v>
      </c>
      <c r="Y446" s="904">
        <f t="shared" si="86"/>
        <v>868</v>
      </c>
      <c r="Z446" s="904">
        <f t="shared" si="86"/>
        <v>931</v>
      </c>
      <c r="AA446" s="904">
        <f t="shared" si="86"/>
        <v>794</v>
      </c>
      <c r="AB446" s="24">
        <v>515</v>
      </c>
    </row>
    <row r="447" spans="1:28" x14ac:dyDescent="0.25">
      <c r="A447" s="903"/>
      <c r="B447" t="s">
        <v>959</v>
      </c>
      <c r="C447" s="906" t="s">
        <v>974</v>
      </c>
      <c r="D447" s="25">
        <v>5.9</v>
      </c>
      <c r="E447" s="903">
        <v>836</v>
      </c>
      <c r="F447" s="903">
        <v>483</v>
      </c>
      <c r="G447" s="903" t="s">
        <v>975</v>
      </c>
      <c r="H447" s="904">
        <f t="shared" si="75"/>
        <v>5</v>
      </c>
      <c r="I447" s="904">
        <f t="shared" si="76"/>
        <v>10</v>
      </c>
      <c r="J447" s="21">
        <f t="shared" si="77"/>
        <v>8500</v>
      </c>
      <c r="K447" s="21">
        <f t="shared" si="78"/>
        <v>13124.000000000002</v>
      </c>
      <c r="L447" s="21">
        <f t="shared" si="79"/>
        <v>23550</v>
      </c>
      <c r="M447" s="21">
        <f t="shared" si="80"/>
        <v>38600</v>
      </c>
      <c r="N447" s="904">
        <f t="shared" si="81"/>
        <v>594</v>
      </c>
      <c r="O447" s="21"/>
      <c r="P447" s="22" t="s">
        <v>2</v>
      </c>
      <c r="Q447" s="22">
        <v>0.63</v>
      </c>
      <c r="R447" s="904" t="s">
        <v>42</v>
      </c>
      <c r="S447" s="904" t="str">
        <f t="shared" si="82"/>
        <v>Stove</v>
      </c>
      <c r="T447" s="23">
        <f t="shared" si="83"/>
        <v>0.33697032833474977</v>
      </c>
      <c r="U447" s="23">
        <f t="shared" si="84"/>
        <v>0.99108920098455788</v>
      </c>
      <c r="V447" s="23">
        <f t="shared" si="84"/>
        <v>0.55231654665483398</v>
      </c>
      <c r="W447" s="23">
        <f t="shared" si="85"/>
        <v>1.5302417263201578</v>
      </c>
      <c r="X447" s="904">
        <f t="shared" si="86"/>
        <v>751</v>
      </c>
      <c r="Y447" s="904">
        <f t="shared" si="86"/>
        <v>805</v>
      </c>
      <c r="Z447" s="904">
        <f t="shared" si="86"/>
        <v>800</v>
      </c>
      <c r="AA447" s="904">
        <f t="shared" si="86"/>
        <v>927</v>
      </c>
      <c r="AB447" s="24">
        <v>469</v>
      </c>
    </row>
    <row r="448" spans="1:28" x14ac:dyDescent="0.25">
      <c r="A448" s="903"/>
      <c r="B448" t="s">
        <v>959</v>
      </c>
      <c r="C448" s="906" t="s">
        <v>976</v>
      </c>
      <c r="D448" s="25">
        <v>4.5</v>
      </c>
      <c r="E448" s="903">
        <v>700</v>
      </c>
      <c r="F448" s="903">
        <v>376</v>
      </c>
      <c r="G448" s="903" t="s">
        <v>977</v>
      </c>
      <c r="H448" s="904">
        <f t="shared" si="75"/>
        <v>6</v>
      </c>
      <c r="I448" s="904">
        <f t="shared" si="76"/>
        <v>11</v>
      </c>
      <c r="J448" s="21">
        <f t="shared" si="77"/>
        <v>11000</v>
      </c>
      <c r="K448" s="21">
        <f t="shared" si="78"/>
        <v>11000</v>
      </c>
      <c r="L448" s="21">
        <f t="shared" si="79"/>
        <v>17000</v>
      </c>
      <c r="M448" s="21">
        <f t="shared" si="80"/>
        <v>23000</v>
      </c>
      <c r="N448" s="904">
        <f t="shared" si="81"/>
        <v>92</v>
      </c>
      <c r="O448" s="21"/>
      <c r="P448" s="22" t="s">
        <v>2</v>
      </c>
      <c r="Q448" s="22">
        <v>0.63</v>
      </c>
      <c r="R448" s="904" t="s">
        <v>42</v>
      </c>
      <c r="S448" s="904" t="str">
        <f t="shared" si="82"/>
        <v>Stove</v>
      </c>
      <c r="T448" s="23">
        <f t="shared" si="83"/>
        <v>0.43133195307108352</v>
      </c>
      <c r="U448" s="23">
        <f t="shared" si="84"/>
        <v>0.90187590187590183</v>
      </c>
      <c r="V448" s="23">
        <f t="shared" si="84"/>
        <v>0.58356676003734831</v>
      </c>
      <c r="W448" s="23">
        <f t="shared" si="85"/>
        <v>0.90187590187590183</v>
      </c>
      <c r="X448" s="904">
        <f t="shared" si="86"/>
        <v>851</v>
      </c>
      <c r="Y448" s="904">
        <f t="shared" si="86"/>
        <v>743</v>
      </c>
      <c r="Z448" s="904">
        <f t="shared" si="86"/>
        <v>827</v>
      </c>
      <c r="AA448" s="904">
        <f t="shared" si="86"/>
        <v>648</v>
      </c>
      <c r="AB448" s="24">
        <v>417</v>
      </c>
    </row>
    <row r="449" spans="1:28" x14ac:dyDescent="0.25">
      <c r="A449" s="903"/>
      <c r="B449" t="s">
        <v>978</v>
      </c>
      <c r="C449" s="906" t="s">
        <v>979</v>
      </c>
      <c r="D449" s="25">
        <v>2.9</v>
      </c>
      <c r="E449" s="903">
        <v>295</v>
      </c>
      <c r="F449" s="903">
        <v>96</v>
      </c>
      <c r="G449" s="903" t="s">
        <v>980</v>
      </c>
      <c r="H449" s="904">
        <f t="shared" si="75"/>
        <v>6</v>
      </c>
      <c r="I449" s="904">
        <f t="shared" si="76"/>
        <v>11</v>
      </c>
      <c r="J449" s="21">
        <f t="shared" si="77"/>
        <v>11900</v>
      </c>
      <c r="K449" s="21">
        <f t="shared" si="78"/>
        <v>11900</v>
      </c>
      <c r="L449" s="21">
        <f t="shared" si="79"/>
        <v>21000</v>
      </c>
      <c r="M449" s="21">
        <f t="shared" si="80"/>
        <v>30100</v>
      </c>
      <c r="N449" s="904">
        <f t="shared" si="81"/>
        <v>404</v>
      </c>
      <c r="O449" s="21"/>
      <c r="P449" s="22" t="s">
        <v>2</v>
      </c>
      <c r="Q449" s="22">
        <v>0.63</v>
      </c>
      <c r="R449" s="904" t="s">
        <v>42</v>
      </c>
      <c r="S449" s="904" t="str">
        <f t="shared" si="82"/>
        <v>Stove</v>
      </c>
      <c r="T449" s="23">
        <f t="shared" si="83"/>
        <v>0.21240192890248261</v>
      </c>
      <c r="U449" s="23">
        <f t="shared" si="84"/>
        <v>0.53725193781216185</v>
      </c>
      <c r="V449" s="23">
        <f t="shared" si="84"/>
        <v>0.30444276476022508</v>
      </c>
      <c r="W449" s="23">
        <f t="shared" si="85"/>
        <v>0.53725193781216185</v>
      </c>
      <c r="X449" s="904">
        <f t="shared" si="86"/>
        <v>434</v>
      </c>
      <c r="Y449" s="904">
        <f t="shared" si="86"/>
        <v>346</v>
      </c>
      <c r="Z449" s="904">
        <f t="shared" si="86"/>
        <v>369</v>
      </c>
      <c r="AA449" s="904">
        <f t="shared" si="86"/>
        <v>234</v>
      </c>
      <c r="AB449" s="24">
        <v>137</v>
      </c>
    </row>
    <row r="450" spans="1:28" x14ac:dyDescent="0.25">
      <c r="A450" s="903"/>
      <c r="B450" t="s">
        <v>978</v>
      </c>
      <c r="C450" s="906" t="s">
        <v>981</v>
      </c>
      <c r="D450" s="25">
        <v>3.5</v>
      </c>
      <c r="E450" s="903">
        <v>432</v>
      </c>
      <c r="F450" s="903">
        <v>181</v>
      </c>
      <c r="G450" s="903" t="s">
        <v>982</v>
      </c>
      <c r="H450" s="904">
        <f t="shared" si="75"/>
        <v>5</v>
      </c>
      <c r="I450" s="904">
        <f t="shared" si="76"/>
        <v>10</v>
      </c>
      <c r="J450" s="21">
        <f t="shared" si="77"/>
        <v>7600</v>
      </c>
      <c r="K450" s="21">
        <f t="shared" si="78"/>
        <v>9792</v>
      </c>
      <c r="L450" s="21">
        <f t="shared" si="79"/>
        <v>18200</v>
      </c>
      <c r="M450" s="21">
        <f t="shared" si="80"/>
        <v>28800</v>
      </c>
      <c r="N450" s="904">
        <f t="shared" si="81"/>
        <v>173</v>
      </c>
      <c r="O450" s="21"/>
      <c r="P450" s="22" t="s">
        <v>2</v>
      </c>
      <c r="Q450" s="22">
        <v>0.63</v>
      </c>
      <c r="R450" s="904" t="s">
        <v>42</v>
      </c>
      <c r="S450" s="904" t="str">
        <f t="shared" si="82"/>
        <v>Stove</v>
      </c>
      <c r="T450" s="23">
        <f t="shared" si="83"/>
        <v>0.26791838134430729</v>
      </c>
      <c r="U450" s="23">
        <f t="shared" si="84"/>
        <v>0.78799523924796255</v>
      </c>
      <c r="V450" s="23">
        <f t="shared" si="84"/>
        <v>0.42395875729209065</v>
      </c>
      <c r="W450" s="23">
        <f t="shared" si="85"/>
        <v>1.0152696556205327</v>
      </c>
      <c r="X450" s="904">
        <f t="shared" si="86"/>
        <v>602</v>
      </c>
      <c r="Y450" s="904">
        <f t="shared" si="86"/>
        <v>648</v>
      </c>
      <c r="Z450" s="904">
        <f t="shared" si="86"/>
        <v>637</v>
      </c>
      <c r="AA450" s="904">
        <f t="shared" si="86"/>
        <v>723</v>
      </c>
      <c r="AB450" s="24">
        <v>342</v>
      </c>
    </row>
    <row r="451" spans="1:28" x14ac:dyDescent="0.25">
      <c r="A451" s="903"/>
      <c r="B451" t="s">
        <v>978</v>
      </c>
      <c r="C451" s="906" t="s">
        <v>983</v>
      </c>
      <c r="D451" s="25">
        <v>2.17</v>
      </c>
      <c r="E451" s="903">
        <v>167</v>
      </c>
      <c r="F451" s="903">
        <v>43</v>
      </c>
      <c r="G451" s="903" t="s">
        <v>984</v>
      </c>
      <c r="H451" s="904">
        <f t="shared" si="75"/>
        <v>6</v>
      </c>
      <c r="I451" s="904">
        <f t="shared" si="76"/>
        <v>11</v>
      </c>
      <c r="J451" s="21">
        <f t="shared" si="77"/>
        <v>10032</v>
      </c>
      <c r="K451" s="21">
        <f t="shared" si="78"/>
        <v>10032</v>
      </c>
      <c r="L451" s="21">
        <f t="shared" si="79"/>
        <v>13969</v>
      </c>
      <c r="M451" s="21">
        <f t="shared" si="80"/>
        <v>17906</v>
      </c>
      <c r="N451" s="904">
        <f t="shared" si="81"/>
        <v>24</v>
      </c>
      <c r="O451" s="21"/>
      <c r="P451" s="22" t="s">
        <v>2</v>
      </c>
      <c r="Q451" s="22">
        <v>0.63</v>
      </c>
      <c r="R451" s="904" t="s">
        <v>42</v>
      </c>
      <c r="S451" s="904" t="str">
        <f t="shared" si="82"/>
        <v>Stove</v>
      </c>
      <c r="T451" s="23">
        <f t="shared" si="83"/>
        <v>0.2671702567454457</v>
      </c>
      <c r="U451" s="23">
        <f t="shared" si="84"/>
        <v>0.47686908067025024</v>
      </c>
      <c r="V451" s="23">
        <f t="shared" si="84"/>
        <v>0.34246908277499821</v>
      </c>
      <c r="W451" s="23">
        <f t="shared" si="85"/>
        <v>0.47686908067025024</v>
      </c>
      <c r="X451" s="904">
        <f t="shared" si="86"/>
        <v>599</v>
      </c>
      <c r="Y451" s="904">
        <f t="shared" si="86"/>
        <v>261</v>
      </c>
      <c r="Z451" s="904">
        <f t="shared" si="86"/>
        <v>474</v>
      </c>
      <c r="AA451" s="904">
        <f t="shared" si="86"/>
        <v>169</v>
      </c>
      <c r="AB451" s="24">
        <v>91</v>
      </c>
    </row>
    <row r="452" spans="1:28" x14ac:dyDescent="0.25">
      <c r="A452" s="903"/>
      <c r="B452" t="s">
        <v>978</v>
      </c>
      <c r="C452" s="906" t="s">
        <v>985</v>
      </c>
      <c r="D452" s="25">
        <v>2.2000000000000002</v>
      </c>
      <c r="E452" s="903">
        <v>169</v>
      </c>
      <c r="F452" s="903">
        <v>45</v>
      </c>
      <c r="G452" s="903" t="s">
        <v>986</v>
      </c>
      <c r="H452" s="904">
        <f t="shared" si="75"/>
        <v>6</v>
      </c>
      <c r="I452" s="904">
        <f t="shared" si="76"/>
        <v>11</v>
      </c>
      <c r="J452" s="21">
        <f t="shared" si="77"/>
        <v>10000</v>
      </c>
      <c r="K452" s="21">
        <f t="shared" si="78"/>
        <v>10000</v>
      </c>
      <c r="L452" s="21">
        <f t="shared" si="79"/>
        <v>16050</v>
      </c>
      <c r="M452" s="21">
        <f t="shared" si="80"/>
        <v>22100</v>
      </c>
      <c r="N452" s="904">
        <f t="shared" si="81"/>
        <v>66</v>
      </c>
      <c r="O452" s="21"/>
      <c r="P452" s="22" t="s">
        <v>2</v>
      </c>
      <c r="Q452" s="22">
        <v>0.63</v>
      </c>
      <c r="R452" s="904" t="s">
        <v>42</v>
      </c>
      <c r="S452" s="904" t="str">
        <f t="shared" si="82"/>
        <v>Stove</v>
      </c>
      <c r="T452" s="23">
        <f t="shared" si="83"/>
        <v>0.21946100377472927</v>
      </c>
      <c r="U452" s="23">
        <f t="shared" si="84"/>
        <v>0.48500881834215165</v>
      </c>
      <c r="V452" s="23">
        <f t="shared" si="84"/>
        <v>0.30218617965243094</v>
      </c>
      <c r="W452" s="23">
        <f t="shared" si="85"/>
        <v>0.48500881834215165</v>
      </c>
      <c r="X452" s="904">
        <f t="shared" si="86"/>
        <v>458</v>
      </c>
      <c r="Y452" s="904">
        <f t="shared" si="86"/>
        <v>276</v>
      </c>
      <c r="Z452" s="904">
        <f t="shared" si="86"/>
        <v>364</v>
      </c>
      <c r="AA452" s="904">
        <f t="shared" si="86"/>
        <v>177</v>
      </c>
      <c r="AB452" s="24">
        <v>97</v>
      </c>
    </row>
    <row r="453" spans="1:28" x14ac:dyDescent="0.25">
      <c r="A453" s="903"/>
      <c r="B453" t="s">
        <v>978</v>
      </c>
      <c r="C453" s="906" t="s">
        <v>987</v>
      </c>
      <c r="D453" s="25">
        <v>1.1000000000000001</v>
      </c>
      <c r="E453" s="903">
        <v>36</v>
      </c>
      <c r="F453" s="903">
        <v>9</v>
      </c>
      <c r="G453" s="903" t="s">
        <v>988</v>
      </c>
      <c r="H453" s="904">
        <f t="shared" si="75"/>
        <v>6</v>
      </c>
      <c r="I453" s="904">
        <f t="shared" si="76"/>
        <v>11</v>
      </c>
      <c r="J453" s="21">
        <f t="shared" si="77"/>
        <v>10500</v>
      </c>
      <c r="K453" s="21">
        <f t="shared" si="78"/>
        <v>10500</v>
      </c>
      <c r="L453" s="21">
        <f t="shared" si="79"/>
        <v>19200</v>
      </c>
      <c r="M453" s="21">
        <f t="shared" si="80"/>
        <v>27900</v>
      </c>
      <c r="N453" s="904">
        <f t="shared" si="81"/>
        <v>255</v>
      </c>
      <c r="O453" s="21"/>
      <c r="P453" s="22" t="s">
        <v>2</v>
      </c>
      <c r="Q453" s="22">
        <v>0.63</v>
      </c>
      <c r="R453" s="904" t="s">
        <v>42</v>
      </c>
      <c r="S453" s="904" t="str">
        <f t="shared" si="82"/>
        <v>Stove</v>
      </c>
      <c r="T453" s="23">
        <f t="shared" si="83"/>
        <v>8.6919143072070187E-2</v>
      </c>
      <c r="U453" s="23">
        <f t="shared" si="84"/>
        <v>0.23095658016292936</v>
      </c>
      <c r="V453" s="23">
        <f t="shared" si="84"/>
        <v>0.126304379776602</v>
      </c>
      <c r="W453" s="23">
        <f t="shared" si="85"/>
        <v>0.23095658016292936</v>
      </c>
      <c r="X453" s="904">
        <f t="shared" si="86"/>
        <v>62</v>
      </c>
      <c r="Y453" s="904">
        <f t="shared" si="86"/>
        <v>59</v>
      </c>
      <c r="Z453" s="904">
        <f t="shared" si="86"/>
        <v>55</v>
      </c>
      <c r="AA453" s="904">
        <f t="shared" si="86"/>
        <v>39</v>
      </c>
      <c r="AB453" s="24">
        <v>13</v>
      </c>
    </row>
    <row r="454" spans="1:28" x14ac:dyDescent="0.25">
      <c r="A454" s="903"/>
      <c r="B454" t="s">
        <v>978</v>
      </c>
      <c r="C454" s="906" t="s">
        <v>989</v>
      </c>
      <c r="D454" s="25">
        <v>4.5</v>
      </c>
      <c r="E454" s="903">
        <v>700</v>
      </c>
      <c r="F454" s="903">
        <v>376</v>
      </c>
      <c r="G454" s="903" t="s">
        <v>990</v>
      </c>
      <c r="H454" s="904">
        <f t="shared" si="75"/>
        <v>6</v>
      </c>
      <c r="I454" s="904">
        <f t="shared" si="76"/>
        <v>11</v>
      </c>
      <c r="J454" s="21">
        <f t="shared" si="77"/>
        <v>10600</v>
      </c>
      <c r="K454" s="21">
        <f t="shared" si="78"/>
        <v>10600</v>
      </c>
      <c r="L454" s="21">
        <f t="shared" si="79"/>
        <v>19950</v>
      </c>
      <c r="M454" s="21">
        <f t="shared" si="80"/>
        <v>29300</v>
      </c>
      <c r="N454" s="904">
        <f t="shared" si="81"/>
        <v>316</v>
      </c>
      <c r="O454" s="21"/>
      <c r="P454" s="22" t="s">
        <v>2</v>
      </c>
      <c r="Q454" s="22">
        <v>0.63</v>
      </c>
      <c r="R454" s="904" t="s">
        <v>42</v>
      </c>
      <c r="S454" s="904" t="str">
        <f t="shared" si="82"/>
        <v>Stove</v>
      </c>
      <c r="T454" s="23">
        <f t="shared" si="83"/>
        <v>0.33858822254726689</v>
      </c>
      <c r="U454" s="23">
        <f t="shared" si="84"/>
        <v>0.9359089547768793</v>
      </c>
      <c r="V454" s="23">
        <f t="shared" si="84"/>
        <v>0.49727493336515893</v>
      </c>
      <c r="W454" s="23">
        <f t="shared" si="85"/>
        <v>0.9359089547768793</v>
      </c>
      <c r="X454" s="904">
        <f t="shared" si="86"/>
        <v>754</v>
      </c>
      <c r="Y454" s="904">
        <f t="shared" si="86"/>
        <v>769</v>
      </c>
      <c r="Z454" s="904">
        <f t="shared" si="86"/>
        <v>744</v>
      </c>
      <c r="AA454" s="904">
        <f t="shared" si="86"/>
        <v>669</v>
      </c>
      <c r="AB454" s="24">
        <v>438</v>
      </c>
    </row>
    <row r="455" spans="1:28" x14ac:dyDescent="0.25">
      <c r="A455" s="903"/>
      <c r="B455" t="s">
        <v>978</v>
      </c>
      <c r="C455" s="906" t="s">
        <v>991</v>
      </c>
      <c r="D455" s="25">
        <v>4.4000000000000004</v>
      </c>
      <c r="E455" s="903">
        <v>660</v>
      </c>
      <c r="F455" s="903">
        <v>338</v>
      </c>
      <c r="G455" s="903" t="s">
        <v>992</v>
      </c>
      <c r="H455" s="904">
        <f t="shared" si="75"/>
        <v>6</v>
      </c>
      <c r="I455" s="904">
        <f t="shared" si="76"/>
        <v>11</v>
      </c>
      <c r="J455" s="21">
        <f t="shared" si="77"/>
        <v>11600</v>
      </c>
      <c r="K455" s="21">
        <f t="shared" si="78"/>
        <v>12818.000000000002</v>
      </c>
      <c r="L455" s="21">
        <f t="shared" si="79"/>
        <v>24650</v>
      </c>
      <c r="M455" s="21">
        <f t="shared" si="80"/>
        <v>37700</v>
      </c>
      <c r="N455" s="904">
        <f t="shared" si="81"/>
        <v>674</v>
      </c>
      <c r="O455" s="21"/>
      <c r="P455" s="22" t="s">
        <v>2</v>
      </c>
      <c r="Q455" s="22">
        <v>0.63</v>
      </c>
      <c r="R455" s="904" t="s">
        <v>42</v>
      </c>
      <c r="S455" s="904" t="str">
        <f t="shared" si="82"/>
        <v>Stove</v>
      </c>
      <c r="T455" s="23">
        <f t="shared" si="83"/>
        <v>0.25729910787382054</v>
      </c>
      <c r="U455" s="23">
        <f t="shared" si="84"/>
        <v>0.75676208198182493</v>
      </c>
      <c r="V455" s="23">
        <f t="shared" si="84"/>
        <v>0.39351628263054905</v>
      </c>
      <c r="W455" s="23">
        <f t="shared" si="85"/>
        <v>0.83622210058991664</v>
      </c>
      <c r="X455" s="904">
        <f t="shared" si="86"/>
        <v>583</v>
      </c>
      <c r="Y455" s="904">
        <f t="shared" si="86"/>
        <v>625</v>
      </c>
      <c r="Z455" s="904">
        <f t="shared" si="86"/>
        <v>586</v>
      </c>
      <c r="AA455" s="904">
        <f t="shared" si="86"/>
        <v>581</v>
      </c>
      <c r="AB455" s="24">
        <v>321</v>
      </c>
    </row>
    <row r="456" spans="1:28" x14ac:dyDescent="0.25">
      <c r="A456" s="903"/>
      <c r="B456" t="s">
        <v>978</v>
      </c>
      <c r="C456" s="906" t="s">
        <v>993</v>
      </c>
      <c r="D456" s="25">
        <v>5.0999999999999996</v>
      </c>
      <c r="E456" s="903">
        <v>766</v>
      </c>
      <c r="F456" s="903">
        <v>425</v>
      </c>
      <c r="G456" s="903" t="s">
        <v>994</v>
      </c>
      <c r="H456" s="904">
        <f t="shared" si="75"/>
        <v>5</v>
      </c>
      <c r="I456" s="904">
        <f t="shared" si="76"/>
        <v>10</v>
      </c>
      <c r="J456" s="21">
        <f t="shared" si="77"/>
        <v>9900</v>
      </c>
      <c r="K456" s="21">
        <f t="shared" si="78"/>
        <v>9900</v>
      </c>
      <c r="L456" s="21">
        <f t="shared" si="79"/>
        <v>14450</v>
      </c>
      <c r="M456" s="21">
        <f t="shared" si="80"/>
        <v>19000</v>
      </c>
      <c r="N456" s="904">
        <f t="shared" si="81"/>
        <v>32</v>
      </c>
      <c r="O456" s="21"/>
      <c r="P456" s="22" t="s">
        <v>2</v>
      </c>
      <c r="Q456" s="22">
        <v>0.63</v>
      </c>
      <c r="R456" s="904" t="s">
        <v>42</v>
      </c>
      <c r="S456" s="904" t="str">
        <f t="shared" si="82"/>
        <v>Stove</v>
      </c>
      <c r="T456" s="23">
        <f t="shared" si="83"/>
        <v>0.59175717070453915</v>
      </c>
      <c r="U456" s="23">
        <f t="shared" si="84"/>
        <v>1.1356955801400246</v>
      </c>
      <c r="V456" s="23">
        <f t="shared" si="84"/>
        <v>0.77808901338313108</v>
      </c>
      <c r="W456" s="23">
        <f t="shared" si="85"/>
        <v>1.1356955801400246</v>
      </c>
      <c r="X456" s="904">
        <f t="shared" si="86"/>
        <v>935</v>
      </c>
      <c r="Y456" s="904">
        <f t="shared" si="86"/>
        <v>871</v>
      </c>
      <c r="Z456" s="904">
        <f t="shared" si="86"/>
        <v>921</v>
      </c>
      <c r="AA456" s="904">
        <f t="shared" si="86"/>
        <v>802</v>
      </c>
      <c r="AB456" s="24">
        <v>518</v>
      </c>
    </row>
    <row r="457" spans="1:28" x14ac:dyDescent="0.25">
      <c r="A457" s="903"/>
      <c r="B457" t="s">
        <v>978</v>
      </c>
      <c r="C457" s="906" t="s">
        <v>995</v>
      </c>
      <c r="D457" s="25">
        <v>2.9</v>
      </c>
      <c r="E457" s="903">
        <v>295</v>
      </c>
      <c r="F457" s="903">
        <v>96</v>
      </c>
      <c r="G457" s="903" t="s">
        <v>996</v>
      </c>
      <c r="H457" s="904">
        <f t="shared" si="75"/>
        <v>6</v>
      </c>
      <c r="I457" s="904">
        <f t="shared" si="76"/>
        <v>11</v>
      </c>
      <c r="J457" s="21">
        <f t="shared" si="77"/>
        <v>11300</v>
      </c>
      <c r="K457" s="21">
        <f t="shared" si="78"/>
        <v>11300</v>
      </c>
      <c r="L457" s="21">
        <f t="shared" si="79"/>
        <v>16900</v>
      </c>
      <c r="M457" s="21">
        <f t="shared" si="80"/>
        <v>22500</v>
      </c>
      <c r="N457" s="904">
        <f t="shared" si="81"/>
        <v>88</v>
      </c>
      <c r="O457" s="21"/>
      <c r="P457" s="22" t="s">
        <v>2</v>
      </c>
      <c r="Q457" s="22">
        <v>0.63</v>
      </c>
      <c r="R457" s="904" t="s">
        <v>42</v>
      </c>
      <c r="S457" s="904" t="str">
        <f t="shared" si="82"/>
        <v>Stove</v>
      </c>
      <c r="T457" s="23">
        <f t="shared" si="83"/>
        <v>0.28414658044287672</v>
      </c>
      <c r="U457" s="23">
        <f t="shared" si="84"/>
        <v>0.56577858937740944</v>
      </c>
      <c r="V457" s="23">
        <f t="shared" si="84"/>
        <v>0.37830166035294238</v>
      </c>
      <c r="W457" s="23">
        <f t="shared" si="85"/>
        <v>0.56577858937740944</v>
      </c>
      <c r="X457" s="904">
        <f t="shared" si="86"/>
        <v>641</v>
      </c>
      <c r="Y457" s="904">
        <f t="shared" si="86"/>
        <v>386</v>
      </c>
      <c r="Z457" s="904">
        <f t="shared" si="86"/>
        <v>563</v>
      </c>
      <c r="AA457" s="904">
        <f t="shared" si="86"/>
        <v>262</v>
      </c>
      <c r="AB457" s="24">
        <v>162</v>
      </c>
    </row>
    <row r="458" spans="1:28" x14ac:dyDescent="0.25">
      <c r="A458" s="903"/>
      <c r="B458" t="s">
        <v>978</v>
      </c>
      <c r="C458" s="906" t="s">
        <v>997</v>
      </c>
      <c r="D458" s="25">
        <v>3.3</v>
      </c>
      <c r="E458" s="903">
        <v>393</v>
      </c>
      <c r="F458" s="903">
        <v>152</v>
      </c>
      <c r="G458" s="903" t="s">
        <v>998</v>
      </c>
      <c r="H458" s="904">
        <f t="shared" si="75"/>
        <v>5</v>
      </c>
      <c r="I458" s="904">
        <f t="shared" si="76"/>
        <v>10</v>
      </c>
      <c r="J458" s="21">
        <f t="shared" si="77"/>
        <v>9500</v>
      </c>
      <c r="K458" s="21">
        <f t="shared" si="78"/>
        <v>10540</v>
      </c>
      <c r="L458" s="21">
        <f t="shared" si="79"/>
        <v>20250</v>
      </c>
      <c r="M458" s="21">
        <f t="shared" si="80"/>
        <v>31000</v>
      </c>
      <c r="N458" s="904">
        <f t="shared" si="81"/>
        <v>344</v>
      </c>
      <c r="O458" s="21"/>
      <c r="P458" s="22" t="s">
        <v>2</v>
      </c>
      <c r="Q458" s="22">
        <v>0.63</v>
      </c>
      <c r="R458" s="904" t="s">
        <v>42</v>
      </c>
      <c r="S458" s="904" t="str">
        <f t="shared" si="82"/>
        <v>Stove</v>
      </c>
      <c r="T458" s="23">
        <f t="shared" si="83"/>
        <v>0.23468168629458952</v>
      </c>
      <c r="U458" s="23">
        <f t="shared" si="84"/>
        <v>0.69024025380761622</v>
      </c>
      <c r="V458" s="23">
        <f t="shared" si="84"/>
        <v>0.35926579136455677</v>
      </c>
      <c r="W458" s="23">
        <f t="shared" si="85"/>
        <v>0.76580339738234471</v>
      </c>
      <c r="X458" s="904">
        <f t="shared" si="86"/>
        <v>514</v>
      </c>
      <c r="Y458" s="904">
        <f t="shared" si="86"/>
        <v>559</v>
      </c>
      <c r="Z458" s="904">
        <f t="shared" si="86"/>
        <v>509</v>
      </c>
      <c r="AA458" s="904">
        <f t="shared" ref="AA458:AA521" si="87">RANK(W458,W$11:W$973,1)</f>
        <v>485</v>
      </c>
      <c r="AB458" s="24">
        <v>274</v>
      </c>
    </row>
    <row r="459" spans="1:28" x14ac:dyDescent="0.25">
      <c r="A459" s="903"/>
      <c r="B459" t="s">
        <v>978</v>
      </c>
      <c r="C459" s="906" t="s">
        <v>999</v>
      </c>
      <c r="D459" s="25">
        <v>3.1</v>
      </c>
      <c r="E459" s="903">
        <v>347</v>
      </c>
      <c r="F459" s="903">
        <v>130</v>
      </c>
      <c r="G459" s="903" t="s">
        <v>1000</v>
      </c>
      <c r="H459" s="904">
        <f t="shared" ref="H459:H522" si="88">FIND("-",$G459)</f>
        <v>6</v>
      </c>
      <c r="I459" s="904">
        <f t="shared" ref="I459:I522" si="89">LEN($G459)</f>
        <v>11</v>
      </c>
      <c r="J459" s="21">
        <f t="shared" ref="J459:J522" si="90">VALUE(LEFT($G459,H459-1))</f>
        <v>10400</v>
      </c>
      <c r="K459" s="21">
        <f t="shared" ref="K459:K522" si="91">IF(K$8*M459&gt;J459,K$8*M459,J459)</f>
        <v>10506</v>
      </c>
      <c r="L459" s="21">
        <f t="shared" ref="L459:L522" si="92">AVERAGE(J459,M459)</f>
        <v>20650</v>
      </c>
      <c r="M459" s="21">
        <f t="shared" ref="M459:M522" si="93">VALUE(RIGHT($G459,I459-H459))</f>
        <v>30900</v>
      </c>
      <c r="N459" s="904">
        <f t="shared" ref="N459:N522" si="94">RANK($L459,$L$11:$L$973,1)</f>
        <v>375</v>
      </c>
      <c r="O459" s="21"/>
      <c r="P459" s="22" t="s">
        <v>2</v>
      </c>
      <c r="Q459" s="22">
        <v>0.63</v>
      </c>
      <c r="R459" s="904" t="s">
        <v>42</v>
      </c>
      <c r="S459" s="904" t="str">
        <f t="shared" ref="S459:S522" si="95">IF(AND(ISERROR(FIND("Insert",B459&amp;C459)),ISERROR(FIND("insert",B459&amp;C459))),"Stove","Insert")</f>
        <v>Stove</v>
      </c>
      <c r="T459" s="23">
        <f t="shared" ref="T459:T522" si="96">$D459*10^6/(M459*453.6)</f>
        <v>0.22117201189477348</v>
      </c>
      <c r="U459" s="23">
        <f t="shared" ref="U459:V522" si="97">$D459*10^6/(K459*453.6)</f>
        <v>0.65050591733756902</v>
      </c>
      <c r="V459" s="23">
        <f t="shared" si="97"/>
        <v>0.33095472966336564</v>
      </c>
      <c r="W459" s="23">
        <f t="shared" ref="W459:W522" si="98">$D459*10^6/(J459*453.6)</f>
        <v>0.65713607380274042</v>
      </c>
      <c r="X459" s="904">
        <f t="shared" ref="X459:AA522" si="99">RANK(T459,T$11:T$973,1)</f>
        <v>467</v>
      </c>
      <c r="Y459" s="904">
        <f t="shared" si="99"/>
        <v>501</v>
      </c>
      <c r="Z459" s="904">
        <f t="shared" si="99"/>
        <v>440</v>
      </c>
      <c r="AA459" s="904">
        <f t="shared" si="87"/>
        <v>361</v>
      </c>
      <c r="AB459" s="24">
        <v>238</v>
      </c>
    </row>
    <row r="460" spans="1:28" x14ac:dyDescent="0.25">
      <c r="A460" s="903"/>
      <c r="B460" t="s">
        <v>978</v>
      </c>
      <c r="C460" s="906" t="s">
        <v>1001</v>
      </c>
      <c r="D460" s="25">
        <v>4.2</v>
      </c>
      <c r="E460" s="903">
        <v>619</v>
      </c>
      <c r="F460" s="903">
        <v>303</v>
      </c>
      <c r="G460" s="903" t="s">
        <v>1002</v>
      </c>
      <c r="H460" s="904">
        <f t="shared" si="88"/>
        <v>6</v>
      </c>
      <c r="I460" s="904">
        <f t="shared" si="89"/>
        <v>11</v>
      </c>
      <c r="J460" s="21">
        <f t="shared" si="90"/>
        <v>11800</v>
      </c>
      <c r="K460" s="21">
        <f t="shared" si="91"/>
        <v>11800</v>
      </c>
      <c r="L460" s="21">
        <f t="shared" si="92"/>
        <v>19150</v>
      </c>
      <c r="M460" s="21">
        <f t="shared" si="93"/>
        <v>26500</v>
      </c>
      <c r="N460" s="904">
        <f t="shared" si="94"/>
        <v>251</v>
      </c>
      <c r="O460" s="21"/>
      <c r="P460" s="22" t="s">
        <v>2</v>
      </c>
      <c r="Q460" s="22">
        <v>0.63</v>
      </c>
      <c r="R460" s="904" t="s">
        <v>42</v>
      </c>
      <c r="S460" s="904" t="str">
        <f t="shared" si="95"/>
        <v>Stove</v>
      </c>
      <c r="T460" s="23">
        <f t="shared" si="96"/>
        <v>0.34940600978336828</v>
      </c>
      <c r="U460" s="23">
        <f t="shared" si="97"/>
        <v>0.78468298807281855</v>
      </c>
      <c r="V460" s="23">
        <f t="shared" si="97"/>
        <v>0.48351223285949135</v>
      </c>
      <c r="W460" s="23">
        <f t="shared" si="98"/>
        <v>0.78468298807281855</v>
      </c>
      <c r="X460" s="904">
        <f t="shared" si="99"/>
        <v>763</v>
      </c>
      <c r="Y460" s="904">
        <f t="shared" si="99"/>
        <v>645</v>
      </c>
      <c r="Z460" s="904">
        <f t="shared" si="99"/>
        <v>721</v>
      </c>
      <c r="AA460" s="904">
        <f t="shared" si="87"/>
        <v>508</v>
      </c>
      <c r="AB460" s="24">
        <v>339</v>
      </c>
    </row>
    <row r="461" spans="1:28" x14ac:dyDescent="0.25">
      <c r="A461" s="903"/>
      <c r="B461" t="s">
        <v>978</v>
      </c>
      <c r="C461" s="906" t="s">
        <v>1003</v>
      </c>
      <c r="D461" s="25">
        <v>3.97</v>
      </c>
      <c r="E461" s="903">
        <v>568</v>
      </c>
      <c r="F461" s="903">
        <v>267</v>
      </c>
      <c r="G461" s="903" t="s">
        <v>1004</v>
      </c>
      <c r="H461" s="904">
        <f t="shared" si="88"/>
        <v>5</v>
      </c>
      <c r="I461" s="904">
        <f t="shared" si="89"/>
        <v>10</v>
      </c>
      <c r="J461" s="21">
        <f t="shared" si="90"/>
        <v>8700</v>
      </c>
      <c r="K461" s="21">
        <f t="shared" si="91"/>
        <v>9326.2000000000007</v>
      </c>
      <c r="L461" s="21">
        <f t="shared" si="92"/>
        <v>18065</v>
      </c>
      <c r="M461" s="21">
        <f t="shared" si="93"/>
        <v>27430</v>
      </c>
      <c r="N461" s="904">
        <f t="shared" si="94"/>
        <v>164</v>
      </c>
      <c r="O461" s="21"/>
      <c r="P461" s="22" t="s">
        <v>2</v>
      </c>
      <c r="Q461" s="22">
        <v>0.63</v>
      </c>
      <c r="R461" s="904" t="s">
        <v>42</v>
      </c>
      <c r="S461" s="904" t="str">
        <f t="shared" si="95"/>
        <v>Stove</v>
      </c>
      <c r="T461" s="23">
        <f t="shared" si="96"/>
        <v>0.31907417373452129</v>
      </c>
      <c r="U461" s="23">
        <f t="shared" si="97"/>
        <v>0.93845345216035669</v>
      </c>
      <c r="V461" s="23">
        <f t="shared" si="97"/>
        <v>0.48448406230489449</v>
      </c>
      <c r="W461" s="23">
        <f t="shared" si="98"/>
        <v>1.0060005270733241</v>
      </c>
      <c r="X461" s="904">
        <f t="shared" si="99"/>
        <v>713</v>
      </c>
      <c r="Y461" s="904">
        <f t="shared" si="99"/>
        <v>773</v>
      </c>
      <c r="Z461" s="904">
        <f t="shared" si="99"/>
        <v>723</v>
      </c>
      <c r="AA461" s="904">
        <f t="shared" si="87"/>
        <v>721</v>
      </c>
      <c r="AB461" s="24">
        <v>442</v>
      </c>
    </row>
    <row r="462" spans="1:28" x14ac:dyDescent="0.25">
      <c r="A462" s="903"/>
      <c r="B462" t="s">
        <v>1005</v>
      </c>
      <c r="C462" s="906" t="s">
        <v>7</v>
      </c>
      <c r="D462" s="25">
        <v>3.3</v>
      </c>
      <c r="E462" s="903">
        <v>393</v>
      </c>
      <c r="F462" s="903">
        <v>152</v>
      </c>
      <c r="G462" s="903" t="s">
        <v>1006</v>
      </c>
      <c r="H462" s="904">
        <f t="shared" si="88"/>
        <v>6</v>
      </c>
      <c r="I462" s="904">
        <f t="shared" si="89"/>
        <v>11</v>
      </c>
      <c r="J462" s="21">
        <f t="shared" si="90"/>
        <v>11300</v>
      </c>
      <c r="K462" s="21">
        <f t="shared" si="91"/>
        <v>16320.000000000002</v>
      </c>
      <c r="L462" s="21">
        <f t="shared" si="92"/>
        <v>29650</v>
      </c>
      <c r="M462" s="21">
        <f t="shared" si="93"/>
        <v>48000</v>
      </c>
      <c r="N462" s="904">
        <f t="shared" si="94"/>
        <v>870</v>
      </c>
      <c r="O462" s="21"/>
      <c r="P462" s="22" t="s">
        <v>2</v>
      </c>
      <c r="Q462" s="22">
        <v>0.63</v>
      </c>
      <c r="R462" s="904" t="s">
        <v>42</v>
      </c>
      <c r="S462" s="904" t="str">
        <f t="shared" si="95"/>
        <v>Stove</v>
      </c>
      <c r="T462" s="23">
        <f t="shared" si="96"/>
        <v>0.15156525573192239</v>
      </c>
      <c r="U462" s="23">
        <f t="shared" si="97"/>
        <v>0.44578016391741876</v>
      </c>
      <c r="V462" s="23">
        <f t="shared" si="97"/>
        <v>0.24536702445640052</v>
      </c>
      <c r="W462" s="23">
        <f t="shared" si="98"/>
        <v>0.6438170154984314</v>
      </c>
      <c r="X462" s="904">
        <f t="shared" si="99"/>
        <v>220</v>
      </c>
      <c r="Y462" s="904">
        <f t="shared" si="99"/>
        <v>229</v>
      </c>
      <c r="Z462" s="904">
        <f t="shared" si="99"/>
        <v>237</v>
      </c>
      <c r="AA462" s="904">
        <f t="shared" si="87"/>
        <v>342</v>
      </c>
      <c r="AB462" s="24">
        <v>75</v>
      </c>
    </row>
    <row r="463" spans="1:28" x14ac:dyDescent="0.25">
      <c r="A463" s="903"/>
      <c r="B463" t="s">
        <v>1007</v>
      </c>
      <c r="C463" s="906" t="s">
        <v>9</v>
      </c>
      <c r="D463" s="25">
        <v>4.0999999999999996</v>
      </c>
      <c r="E463" s="903">
        <v>594</v>
      </c>
      <c r="F463" s="903">
        <v>283</v>
      </c>
      <c r="G463" s="903" t="s">
        <v>1008</v>
      </c>
      <c r="H463" s="904">
        <f t="shared" si="88"/>
        <v>6</v>
      </c>
      <c r="I463" s="904">
        <f t="shared" si="89"/>
        <v>11</v>
      </c>
      <c r="J463" s="21">
        <f t="shared" si="90"/>
        <v>11689</v>
      </c>
      <c r="K463" s="21">
        <f t="shared" si="91"/>
        <v>11689</v>
      </c>
      <c r="L463" s="21">
        <f t="shared" si="92"/>
        <v>17947.5</v>
      </c>
      <c r="M463" s="21">
        <f t="shared" si="93"/>
        <v>24206</v>
      </c>
      <c r="N463" s="904">
        <f t="shared" si="94"/>
        <v>153</v>
      </c>
      <c r="O463" s="21"/>
      <c r="P463" s="22" t="s">
        <v>2</v>
      </c>
      <c r="Q463" s="22">
        <v>0.63</v>
      </c>
      <c r="R463" s="904" t="s">
        <v>42</v>
      </c>
      <c r="S463" s="904" t="str">
        <f t="shared" si="95"/>
        <v>Stove</v>
      </c>
      <c r="T463" s="23">
        <f t="shared" si="96"/>
        <v>0.37341157999947827</v>
      </c>
      <c r="U463" s="23">
        <f t="shared" si="97"/>
        <v>0.77327407866090947</v>
      </c>
      <c r="V463" s="23">
        <f t="shared" si="97"/>
        <v>0.50362449953850796</v>
      </c>
      <c r="W463" s="23">
        <f t="shared" si="98"/>
        <v>0.77327407866090947</v>
      </c>
      <c r="X463" s="904">
        <f t="shared" si="99"/>
        <v>804</v>
      </c>
      <c r="Y463" s="904">
        <f t="shared" si="99"/>
        <v>635</v>
      </c>
      <c r="Z463" s="904">
        <f t="shared" si="99"/>
        <v>752</v>
      </c>
      <c r="AA463" s="904">
        <f t="shared" si="87"/>
        <v>497</v>
      </c>
      <c r="AB463" s="24">
        <v>331</v>
      </c>
    </row>
    <row r="464" spans="1:28" x14ac:dyDescent="0.25">
      <c r="A464" s="903"/>
      <c r="B464" t="s">
        <v>1007</v>
      </c>
      <c r="C464" s="906" t="s">
        <v>1009</v>
      </c>
      <c r="D464" s="25">
        <v>2.8</v>
      </c>
      <c r="E464" s="903">
        <v>283</v>
      </c>
      <c r="F464" s="903">
        <v>119</v>
      </c>
      <c r="G464" s="903" t="s">
        <v>1010</v>
      </c>
      <c r="H464" s="904">
        <f t="shared" si="88"/>
        <v>6</v>
      </c>
      <c r="I464" s="904">
        <f t="shared" si="89"/>
        <v>11</v>
      </c>
      <c r="J464" s="21">
        <f t="shared" si="90"/>
        <v>12100</v>
      </c>
      <c r="K464" s="21">
        <f t="shared" si="91"/>
        <v>22168</v>
      </c>
      <c r="L464" s="21">
        <f t="shared" si="92"/>
        <v>38650</v>
      </c>
      <c r="M464" s="21">
        <f t="shared" si="93"/>
        <v>65200</v>
      </c>
      <c r="N464" s="904">
        <f t="shared" si="94"/>
        <v>949</v>
      </c>
      <c r="O464" s="21"/>
      <c r="P464" s="22" t="s">
        <v>2</v>
      </c>
      <c r="Q464" s="22">
        <v>0.72</v>
      </c>
      <c r="R464" s="904" t="s">
        <v>38</v>
      </c>
      <c r="S464" s="904" t="str">
        <f t="shared" si="95"/>
        <v>Stove</v>
      </c>
      <c r="T464" s="23">
        <f t="shared" si="96"/>
        <v>9.4675452548663178E-2</v>
      </c>
      <c r="U464" s="23">
        <f t="shared" si="97"/>
        <v>0.27845721337842111</v>
      </c>
      <c r="V464" s="23">
        <f t="shared" si="97"/>
        <v>0.1597112420743296</v>
      </c>
      <c r="W464" s="23">
        <f t="shared" si="98"/>
        <v>0.51015202530354042</v>
      </c>
      <c r="X464" s="904">
        <f t="shared" si="99"/>
        <v>72</v>
      </c>
      <c r="Y464" s="904">
        <f t="shared" si="99"/>
        <v>82</v>
      </c>
      <c r="Z464" s="904">
        <f t="shared" si="99"/>
        <v>92</v>
      </c>
      <c r="AA464" s="904">
        <f t="shared" si="87"/>
        <v>204</v>
      </c>
      <c r="AB464" s="24">
        <v>33</v>
      </c>
    </row>
    <row r="465" spans="1:28" x14ac:dyDescent="0.25">
      <c r="A465" s="903"/>
      <c r="B465" t="s">
        <v>1007</v>
      </c>
      <c r="C465" s="906" t="s">
        <v>1011</v>
      </c>
      <c r="D465" s="25">
        <v>3.5</v>
      </c>
      <c r="E465" s="903">
        <v>432</v>
      </c>
      <c r="F465" s="903">
        <v>181</v>
      </c>
      <c r="G465" s="903" t="s">
        <v>1012</v>
      </c>
      <c r="H465" s="904">
        <f t="shared" si="88"/>
        <v>6</v>
      </c>
      <c r="I465" s="904">
        <f t="shared" si="89"/>
        <v>11</v>
      </c>
      <c r="J465" s="21">
        <f t="shared" si="90"/>
        <v>11700</v>
      </c>
      <c r="K465" s="21">
        <f t="shared" si="91"/>
        <v>11700</v>
      </c>
      <c r="L465" s="21">
        <f t="shared" si="92"/>
        <v>20750</v>
      </c>
      <c r="M465" s="21">
        <f t="shared" si="93"/>
        <v>29800</v>
      </c>
      <c r="N465" s="904">
        <f t="shared" si="94"/>
        <v>383</v>
      </c>
      <c r="O465" s="21"/>
      <c r="P465" s="22" t="s">
        <v>2</v>
      </c>
      <c r="Q465" s="22">
        <v>0.63</v>
      </c>
      <c r="R465" s="904" t="s">
        <v>42</v>
      </c>
      <c r="S465" s="904" t="str">
        <f t="shared" si="95"/>
        <v>Stove</v>
      </c>
      <c r="T465" s="23">
        <f t="shared" si="96"/>
        <v>0.25892783163476674</v>
      </c>
      <c r="U465" s="23">
        <f t="shared" si="97"/>
        <v>0.65949140023214092</v>
      </c>
      <c r="V465" s="23">
        <f t="shared" si="97"/>
        <v>0.37185780157667708</v>
      </c>
      <c r="W465" s="23">
        <f t="shared" si="98"/>
        <v>0.65949140023214092</v>
      </c>
      <c r="X465" s="904">
        <f t="shared" si="99"/>
        <v>587</v>
      </c>
      <c r="Y465" s="904">
        <f t="shared" si="99"/>
        <v>510</v>
      </c>
      <c r="Z465" s="904">
        <f t="shared" si="99"/>
        <v>546</v>
      </c>
      <c r="AA465" s="904">
        <f t="shared" si="87"/>
        <v>363</v>
      </c>
      <c r="AB465" s="24">
        <v>244</v>
      </c>
    </row>
    <row r="466" spans="1:28" x14ac:dyDescent="0.25">
      <c r="A466" s="903"/>
      <c r="B466" t="s">
        <v>1005</v>
      </c>
      <c r="C466" s="906" t="s">
        <v>1013</v>
      </c>
      <c r="D466" s="25">
        <v>3.2</v>
      </c>
      <c r="E466" s="903">
        <v>376</v>
      </c>
      <c r="F466" s="903">
        <v>141</v>
      </c>
      <c r="G466" s="903" t="s">
        <v>1006</v>
      </c>
      <c r="H466" s="904">
        <f t="shared" si="88"/>
        <v>6</v>
      </c>
      <c r="I466" s="904">
        <f t="shared" si="89"/>
        <v>11</v>
      </c>
      <c r="J466" s="21">
        <f t="shared" si="90"/>
        <v>11300</v>
      </c>
      <c r="K466" s="21">
        <f t="shared" si="91"/>
        <v>16320.000000000002</v>
      </c>
      <c r="L466" s="21">
        <f t="shared" si="92"/>
        <v>29650</v>
      </c>
      <c r="M466" s="21">
        <f t="shared" si="93"/>
        <v>48000</v>
      </c>
      <c r="N466" s="904">
        <f t="shared" si="94"/>
        <v>870</v>
      </c>
      <c r="O466" s="21"/>
      <c r="P466" s="22" t="s">
        <v>2</v>
      </c>
      <c r="Q466" s="22">
        <v>0.63</v>
      </c>
      <c r="R466" s="904" t="s">
        <v>42</v>
      </c>
      <c r="S466" s="904" t="str">
        <f t="shared" si="95"/>
        <v>Stove</v>
      </c>
      <c r="T466" s="23">
        <f t="shared" si="96"/>
        <v>0.14697236919459142</v>
      </c>
      <c r="U466" s="23">
        <f t="shared" si="97"/>
        <v>0.43227167410173939</v>
      </c>
      <c r="V466" s="23">
        <f t="shared" si="97"/>
        <v>0.23793166007893382</v>
      </c>
      <c r="W466" s="23">
        <f t="shared" si="98"/>
        <v>0.62430740896817594</v>
      </c>
      <c r="X466" s="904">
        <f t="shared" si="99"/>
        <v>201</v>
      </c>
      <c r="Y466" s="904">
        <f t="shared" si="99"/>
        <v>210</v>
      </c>
      <c r="Z466" s="904">
        <f t="shared" si="99"/>
        <v>221</v>
      </c>
      <c r="AA466" s="904">
        <f t="shared" si="87"/>
        <v>311</v>
      </c>
      <c r="AB466" s="24">
        <v>66</v>
      </c>
    </row>
    <row r="467" spans="1:28" x14ac:dyDescent="0.25">
      <c r="A467" s="903"/>
      <c r="B467" t="s">
        <v>1007</v>
      </c>
      <c r="C467" s="906" t="s">
        <v>1014</v>
      </c>
      <c r="D467" s="25">
        <v>2.2000000000000002</v>
      </c>
      <c r="E467" s="903">
        <v>169</v>
      </c>
      <c r="F467" s="903">
        <v>64</v>
      </c>
      <c r="G467" s="903" t="s">
        <v>1015</v>
      </c>
      <c r="H467" s="904">
        <f t="shared" si="88"/>
        <v>6</v>
      </c>
      <c r="I467" s="904">
        <f t="shared" si="89"/>
        <v>11</v>
      </c>
      <c r="J467" s="21">
        <f t="shared" si="90"/>
        <v>10100</v>
      </c>
      <c r="K467" s="21">
        <f t="shared" si="91"/>
        <v>17714</v>
      </c>
      <c r="L467" s="21">
        <f t="shared" si="92"/>
        <v>31100</v>
      </c>
      <c r="M467" s="21">
        <f t="shared" si="93"/>
        <v>52100</v>
      </c>
      <c r="N467" s="904">
        <f t="shared" si="94"/>
        <v>891</v>
      </c>
      <c r="O467" s="21"/>
      <c r="P467" s="22" t="s">
        <v>2</v>
      </c>
      <c r="Q467" s="22">
        <v>0.72</v>
      </c>
      <c r="R467" s="904" t="s">
        <v>38</v>
      </c>
      <c r="S467" s="904" t="str">
        <f t="shared" si="95"/>
        <v>Stove</v>
      </c>
      <c r="T467" s="23">
        <f t="shared" si="96"/>
        <v>9.3091903712505114E-2</v>
      </c>
      <c r="U467" s="23">
        <f t="shared" si="97"/>
        <v>0.27379971680148563</v>
      </c>
      <c r="V467" s="23">
        <f t="shared" si="97"/>
        <v>0.15595138853445392</v>
      </c>
      <c r="W467" s="23">
        <f t="shared" si="98"/>
        <v>0.48020675083381353</v>
      </c>
      <c r="X467" s="904">
        <f t="shared" si="99"/>
        <v>71</v>
      </c>
      <c r="Y467" s="904">
        <f t="shared" si="99"/>
        <v>79</v>
      </c>
      <c r="Z467" s="904">
        <f t="shared" si="99"/>
        <v>84</v>
      </c>
      <c r="AA467" s="904">
        <f t="shared" si="87"/>
        <v>174</v>
      </c>
      <c r="AB467" s="24">
        <v>30</v>
      </c>
    </row>
    <row r="468" spans="1:28" x14ac:dyDescent="0.25">
      <c r="A468" s="19"/>
      <c r="B468" s="16" t="s">
        <v>1005</v>
      </c>
      <c r="C468" s="17" t="s">
        <v>1016</v>
      </c>
      <c r="D468" s="18">
        <v>3.3</v>
      </c>
      <c r="E468" s="19">
        <v>393</v>
      </c>
      <c r="F468" s="903">
        <v>152</v>
      </c>
      <c r="G468" s="19" t="s">
        <v>1006</v>
      </c>
      <c r="H468" s="904">
        <f t="shared" si="88"/>
        <v>6</v>
      </c>
      <c r="I468" s="904">
        <f t="shared" si="89"/>
        <v>11</v>
      </c>
      <c r="J468" s="21">
        <f t="shared" si="90"/>
        <v>11300</v>
      </c>
      <c r="K468" s="21">
        <f t="shared" si="91"/>
        <v>16320.000000000002</v>
      </c>
      <c r="L468" s="21">
        <f t="shared" si="92"/>
        <v>29650</v>
      </c>
      <c r="M468" s="21">
        <f t="shared" si="93"/>
        <v>48000</v>
      </c>
      <c r="N468" s="904">
        <f t="shared" si="94"/>
        <v>870</v>
      </c>
      <c r="O468" s="21"/>
      <c r="P468" s="22">
        <v>0.73499999999999999</v>
      </c>
      <c r="Q468" s="22">
        <v>0.63</v>
      </c>
      <c r="R468" s="904" t="s">
        <v>42</v>
      </c>
      <c r="S468" s="904" t="str">
        <f t="shared" si="95"/>
        <v>Stove</v>
      </c>
      <c r="T468" s="23">
        <f t="shared" si="96"/>
        <v>0.15156525573192239</v>
      </c>
      <c r="U468" s="23">
        <f t="shared" si="97"/>
        <v>0.44578016391741876</v>
      </c>
      <c r="V468" s="23">
        <f t="shared" si="97"/>
        <v>0.24536702445640052</v>
      </c>
      <c r="W468" s="23">
        <f t="shared" si="98"/>
        <v>0.6438170154984314</v>
      </c>
      <c r="X468" s="904">
        <f t="shared" si="99"/>
        <v>220</v>
      </c>
      <c r="Y468" s="904">
        <f t="shared" si="99"/>
        <v>229</v>
      </c>
      <c r="Z468" s="904">
        <f t="shared" si="99"/>
        <v>237</v>
      </c>
      <c r="AA468" s="904">
        <f t="shared" si="87"/>
        <v>342</v>
      </c>
      <c r="AB468" s="24">
        <v>75</v>
      </c>
    </row>
    <row r="469" spans="1:28" x14ac:dyDescent="0.25">
      <c r="A469" s="903"/>
      <c r="B469" t="s">
        <v>1017</v>
      </c>
      <c r="C469" s="906" t="s">
        <v>1018</v>
      </c>
      <c r="D469" s="25">
        <v>8.3000000000000007</v>
      </c>
      <c r="E469" s="903">
        <v>957</v>
      </c>
      <c r="F469" s="903">
        <v>600</v>
      </c>
      <c r="G469" s="903" t="s">
        <v>1019</v>
      </c>
      <c r="H469" s="904">
        <f t="shared" si="88"/>
        <v>5</v>
      </c>
      <c r="I469" s="904">
        <f t="shared" si="89"/>
        <v>10</v>
      </c>
      <c r="J469" s="21">
        <f t="shared" si="90"/>
        <v>6600</v>
      </c>
      <c r="K469" s="21">
        <f t="shared" si="91"/>
        <v>10948</v>
      </c>
      <c r="L469" s="21">
        <f t="shared" si="92"/>
        <v>19400</v>
      </c>
      <c r="M469" s="21">
        <f t="shared" si="93"/>
        <v>32200</v>
      </c>
      <c r="N469" s="904">
        <f t="shared" si="94"/>
        <v>269</v>
      </c>
      <c r="O469" s="21"/>
      <c r="P469" s="22" t="s">
        <v>2</v>
      </c>
      <c r="Q469" s="22">
        <v>0.63</v>
      </c>
      <c r="R469" s="904" t="s">
        <v>42</v>
      </c>
      <c r="S469" s="904" t="str">
        <f t="shared" si="95"/>
        <v>Stove</v>
      </c>
      <c r="T469" s="23">
        <f t="shared" si="96"/>
        <v>0.56826273182380849</v>
      </c>
      <c r="U469" s="23">
        <f t="shared" si="97"/>
        <v>1.671360975952378</v>
      </c>
      <c r="V469" s="23">
        <f t="shared" si="97"/>
        <v>0.94319896725395014</v>
      </c>
      <c r="W469" s="23">
        <f t="shared" si="98"/>
        <v>2.772433327988884</v>
      </c>
      <c r="X469" s="904">
        <f t="shared" si="99"/>
        <v>928</v>
      </c>
      <c r="Y469" s="904">
        <f t="shared" si="99"/>
        <v>955</v>
      </c>
      <c r="Z469" s="904">
        <f t="shared" si="99"/>
        <v>952</v>
      </c>
      <c r="AA469" s="904">
        <f t="shared" si="87"/>
        <v>961</v>
      </c>
      <c r="AB469" s="24">
        <v>600</v>
      </c>
    </row>
    <row r="470" spans="1:28" x14ac:dyDescent="0.25">
      <c r="A470" s="903"/>
      <c r="B470" t="s">
        <v>1017</v>
      </c>
      <c r="C470" s="906" t="s">
        <v>1020</v>
      </c>
      <c r="D470" s="25">
        <v>3.7</v>
      </c>
      <c r="E470" s="903">
        <v>501</v>
      </c>
      <c r="F470" s="903">
        <v>196</v>
      </c>
      <c r="G470" s="903" t="s">
        <v>1021</v>
      </c>
      <c r="H470" s="904">
        <f t="shared" si="88"/>
        <v>6</v>
      </c>
      <c r="I470" s="904">
        <f t="shared" si="89"/>
        <v>11</v>
      </c>
      <c r="J470" s="21">
        <f t="shared" si="90"/>
        <v>11700</v>
      </c>
      <c r="K470" s="21">
        <f t="shared" si="91"/>
        <v>12512</v>
      </c>
      <c r="L470" s="21">
        <f t="shared" si="92"/>
        <v>24250</v>
      </c>
      <c r="M470" s="21">
        <f t="shared" si="93"/>
        <v>36800</v>
      </c>
      <c r="N470" s="904">
        <f t="shared" si="94"/>
        <v>655</v>
      </c>
      <c r="O470" s="21"/>
      <c r="P470" s="22" t="s">
        <v>2</v>
      </c>
      <c r="Q470" s="22">
        <v>0.72</v>
      </c>
      <c r="R470" s="904" t="s">
        <v>38</v>
      </c>
      <c r="S470" s="904" t="str">
        <f t="shared" si="95"/>
        <v>Stove</v>
      </c>
      <c r="T470" s="23">
        <f t="shared" si="96"/>
        <v>0.22165669810597347</v>
      </c>
      <c r="U470" s="23">
        <f t="shared" si="97"/>
        <v>0.65193146501756905</v>
      </c>
      <c r="V470" s="23">
        <f t="shared" si="97"/>
        <v>0.3363697521773123</v>
      </c>
      <c r="W470" s="23">
        <f t="shared" si="98"/>
        <v>0.69717662310254902</v>
      </c>
      <c r="X470" s="904">
        <f t="shared" si="99"/>
        <v>471</v>
      </c>
      <c r="Y470" s="904">
        <f t="shared" si="99"/>
        <v>504</v>
      </c>
      <c r="Z470" s="904">
        <f t="shared" si="99"/>
        <v>458</v>
      </c>
      <c r="AA470" s="904">
        <f t="shared" si="87"/>
        <v>414</v>
      </c>
      <c r="AB470" s="24">
        <v>189</v>
      </c>
    </row>
    <row r="471" spans="1:28" x14ac:dyDescent="0.25">
      <c r="A471" s="903"/>
      <c r="B471" t="s">
        <v>1017</v>
      </c>
      <c r="C471" s="906" t="s">
        <v>1022</v>
      </c>
      <c r="D471" s="25">
        <v>4.5</v>
      </c>
      <c r="E471" s="903">
        <v>700</v>
      </c>
      <c r="F471" s="903">
        <v>376</v>
      </c>
      <c r="G471" s="903" t="s">
        <v>1023</v>
      </c>
      <c r="H471" s="904">
        <f t="shared" si="88"/>
        <v>6</v>
      </c>
      <c r="I471" s="904">
        <f t="shared" si="89"/>
        <v>11</v>
      </c>
      <c r="J471" s="21">
        <f t="shared" si="90"/>
        <v>11500</v>
      </c>
      <c r="K471" s="21">
        <f t="shared" si="91"/>
        <v>15878.000000000002</v>
      </c>
      <c r="L471" s="21">
        <f t="shared" si="92"/>
        <v>29100</v>
      </c>
      <c r="M471" s="21">
        <f t="shared" si="93"/>
        <v>46700</v>
      </c>
      <c r="N471" s="904">
        <f t="shared" si="94"/>
        <v>857</v>
      </c>
      <c r="O471" s="21"/>
      <c r="P471" s="22" t="s">
        <v>2</v>
      </c>
      <c r="Q471" s="22">
        <v>0.63</v>
      </c>
      <c r="R471" s="904" t="s">
        <v>42</v>
      </c>
      <c r="S471" s="904" t="str">
        <f t="shared" si="95"/>
        <v>Stove</v>
      </c>
      <c r="T471" s="23">
        <f t="shared" si="96"/>
        <v>0.21243329594507324</v>
      </c>
      <c r="U471" s="23">
        <f t="shared" si="97"/>
        <v>0.62480381160315657</v>
      </c>
      <c r="V471" s="23">
        <f t="shared" si="97"/>
        <v>0.34091528936889759</v>
      </c>
      <c r="W471" s="23">
        <f t="shared" si="98"/>
        <v>0.86266390614216704</v>
      </c>
      <c r="X471" s="904">
        <f t="shared" si="99"/>
        <v>435</v>
      </c>
      <c r="Y471" s="904">
        <f t="shared" si="99"/>
        <v>462</v>
      </c>
      <c r="Z471" s="904">
        <f t="shared" si="99"/>
        <v>468</v>
      </c>
      <c r="AA471" s="904">
        <f t="shared" si="87"/>
        <v>607</v>
      </c>
      <c r="AB471" s="24">
        <v>203</v>
      </c>
    </row>
    <row r="472" spans="1:28" x14ac:dyDescent="0.25">
      <c r="A472" s="903"/>
      <c r="B472" t="s">
        <v>1017</v>
      </c>
      <c r="C472" s="906" t="s">
        <v>1024</v>
      </c>
      <c r="D472" s="25">
        <v>5.5</v>
      </c>
      <c r="E472" s="903">
        <v>808</v>
      </c>
      <c r="F472" s="903">
        <v>268</v>
      </c>
      <c r="G472" s="903" t="s">
        <v>1025</v>
      </c>
      <c r="H472" s="904">
        <f t="shared" si="88"/>
        <v>6</v>
      </c>
      <c r="I472" s="904">
        <f t="shared" si="89"/>
        <v>11</v>
      </c>
      <c r="J472" s="21">
        <f t="shared" si="90"/>
        <v>11000</v>
      </c>
      <c r="K472" s="21">
        <f t="shared" si="91"/>
        <v>18258</v>
      </c>
      <c r="L472" s="21">
        <f t="shared" si="92"/>
        <v>32350</v>
      </c>
      <c r="M472" s="21">
        <f t="shared" si="93"/>
        <v>53700</v>
      </c>
      <c r="N472" s="904">
        <f t="shared" si="94"/>
        <v>908</v>
      </c>
      <c r="O472" s="21"/>
      <c r="P472" s="22" t="s">
        <v>2</v>
      </c>
      <c r="Q472" s="22">
        <v>0.72</v>
      </c>
      <c r="R472" s="904" t="s">
        <v>38</v>
      </c>
      <c r="S472" s="904" t="str">
        <f t="shared" si="95"/>
        <v>Stove</v>
      </c>
      <c r="T472" s="23">
        <f t="shared" si="96"/>
        <v>0.22579553926543375</v>
      </c>
      <c r="U472" s="23">
        <f t="shared" si="97"/>
        <v>0.66410452725127567</v>
      </c>
      <c r="V472" s="23">
        <f t="shared" si="97"/>
        <v>0.37481361541124553</v>
      </c>
      <c r="W472" s="23">
        <f t="shared" si="98"/>
        <v>1.1022927689594357</v>
      </c>
      <c r="X472" s="904">
        <f t="shared" si="99"/>
        <v>476</v>
      </c>
      <c r="Y472" s="904">
        <f t="shared" si="99"/>
        <v>514</v>
      </c>
      <c r="Z472" s="904">
        <f t="shared" si="99"/>
        <v>557</v>
      </c>
      <c r="AA472" s="904">
        <f t="shared" si="87"/>
        <v>781</v>
      </c>
      <c r="AB472" s="24">
        <v>193</v>
      </c>
    </row>
    <row r="473" spans="1:28" x14ac:dyDescent="0.25">
      <c r="A473" s="903"/>
      <c r="B473" t="s">
        <v>1017</v>
      </c>
      <c r="C473" s="906" t="s">
        <v>1026</v>
      </c>
      <c r="D473" s="25">
        <v>3</v>
      </c>
      <c r="E473" s="903">
        <v>322</v>
      </c>
      <c r="F473" s="903">
        <v>134</v>
      </c>
      <c r="G473" s="903" t="s">
        <v>1027</v>
      </c>
      <c r="H473" s="904">
        <f t="shared" si="88"/>
        <v>6</v>
      </c>
      <c r="I473" s="904">
        <f t="shared" si="89"/>
        <v>11</v>
      </c>
      <c r="J473" s="21">
        <f t="shared" si="90"/>
        <v>11000</v>
      </c>
      <c r="K473" s="21">
        <f t="shared" si="91"/>
        <v>16354.000000000002</v>
      </c>
      <c r="L473" s="21">
        <f t="shared" si="92"/>
        <v>29550</v>
      </c>
      <c r="M473" s="21">
        <f t="shared" si="93"/>
        <v>48100</v>
      </c>
      <c r="N473" s="904">
        <f t="shared" si="94"/>
        <v>867</v>
      </c>
      <c r="O473" s="21"/>
      <c r="P473" s="22" t="s">
        <v>2</v>
      </c>
      <c r="Q473" s="22">
        <v>0.72</v>
      </c>
      <c r="R473" s="904" t="s">
        <v>38</v>
      </c>
      <c r="S473" s="904" t="str">
        <f t="shared" si="95"/>
        <v>Stove</v>
      </c>
      <c r="T473" s="23">
        <f t="shared" si="96"/>
        <v>0.13750013750013751</v>
      </c>
      <c r="U473" s="23">
        <f t="shared" si="97"/>
        <v>0.40441216911805139</v>
      </c>
      <c r="V473" s="23">
        <f t="shared" si="97"/>
        <v>0.22381579065166204</v>
      </c>
      <c r="W473" s="23">
        <f t="shared" si="98"/>
        <v>0.60125060125060126</v>
      </c>
      <c r="X473" s="904">
        <f t="shared" si="99"/>
        <v>183</v>
      </c>
      <c r="Y473" s="904">
        <f t="shared" si="99"/>
        <v>194</v>
      </c>
      <c r="Z473" s="904">
        <f t="shared" si="99"/>
        <v>189</v>
      </c>
      <c r="AA473" s="904">
        <f t="shared" si="87"/>
        <v>292</v>
      </c>
      <c r="AB473" s="24">
        <v>74</v>
      </c>
    </row>
    <row r="474" spans="1:28" x14ac:dyDescent="0.25">
      <c r="A474" s="903"/>
      <c r="B474" t="s">
        <v>1017</v>
      </c>
      <c r="C474" s="906" t="s">
        <v>1028</v>
      </c>
      <c r="D474" s="25">
        <v>3.1</v>
      </c>
      <c r="E474" s="903">
        <v>347</v>
      </c>
      <c r="F474" s="903">
        <v>146</v>
      </c>
      <c r="G474" s="903" t="s">
        <v>1029</v>
      </c>
      <c r="H474" s="904">
        <f t="shared" si="88"/>
        <v>5</v>
      </c>
      <c r="I474" s="904">
        <f t="shared" si="89"/>
        <v>10</v>
      </c>
      <c r="J474" s="21">
        <f t="shared" si="90"/>
        <v>9200</v>
      </c>
      <c r="K474" s="21">
        <f t="shared" si="91"/>
        <v>14382.000000000002</v>
      </c>
      <c r="L474" s="21">
        <f t="shared" si="92"/>
        <v>25750</v>
      </c>
      <c r="M474" s="21">
        <f t="shared" si="93"/>
        <v>42300</v>
      </c>
      <c r="N474" s="904">
        <f t="shared" si="94"/>
        <v>735</v>
      </c>
      <c r="O474" s="21"/>
      <c r="P474" s="22" t="s">
        <v>2</v>
      </c>
      <c r="Q474" s="22">
        <v>0.72</v>
      </c>
      <c r="R474" s="904" t="s">
        <v>38</v>
      </c>
      <c r="S474" s="904" t="str">
        <f t="shared" si="95"/>
        <v>Stove</v>
      </c>
      <c r="T474" s="23">
        <f t="shared" si="96"/>
        <v>0.16156537039121752</v>
      </c>
      <c r="U474" s="23">
        <f t="shared" si="97"/>
        <v>0.47519226585652202</v>
      </c>
      <c r="V474" s="23">
        <f t="shared" si="97"/>
        <v>0.26540641427372819</v>
      </c>
      <c r="W474" s="23">
        <f t="shared" si="98"/>
        <v>0.74284947473353269</v>
      </c>
      <c r="X474" s="904">
        <f t="shared" si="99"/>
        <v>241</v>
      </c>
      <c r="Y474" s="904">
        <f t="shared" si="99"/>
        <v>257</v>
      </c>
      <c r="Z474" s="904">
        <f t="shared" si="99"/>
        <v>271</v>
      </c>
      <c r="AA474" s="904">
        <f t="shared" si="87"/>
        <v>457</v>
      </c>
      <c r="AB474" s="24">
        <v>102</v>
      </c>
    </row>
    <row r="475" spans="1:28" x14ac:dyDescent="0.25">
      <c r="A475" s="903"/>
      <c r="B475" t="s">
        <v>1017</v>
      </c>
      <c r="C475" s="906" t="s">
        <v>1030</v>
      </c>
      <c r="D475" s="25">
        <v>1.9</v>
      </c>
      <c r="E475" s="903">
        <v>114</v>
      </c>
      <c r="F475" s="903">
        <v>42</v>
      </c>
      <c r="G475" s="903" t="s">
        <v>1031</v>
      </c>
      <c r="H475" s="904">
        <f t="shared" si="88"/>
        <v>5</v>
      </c>
      <c r="I475" s="904">
        <f t="shared" si="89"/>
        <v>10</v>
      </c>
      <c r="J475" s="21">
        <f t="shared" si="90"/>
        <v>6600</v>
      </c>
      <c r="K475" s="21">
        <f t="shared" si="91"/>
        <v>13906.000000000002</v>
      </c>
      <c r="L475" s="21">
        <f t="shared" si="92"/>
        <v>23750</v>
      </c>
      <c r="M475" s="21">
        <f t="shared" si="93"/>
        <v>40900</v>
      </c>
      <c r="N475" s="904">
        <f t="shared" si="94"/>
        <v>614</v>
      </c>
      <c r="O475" s="21"/>
      <c r="P475" s="22" t="s">
        <v>2</v>
      </c>
      <c r="Q475" s="22">
        <v>0.72</v>
      </c>
      <c r="R475" s="904" t="s">
        <v>38</v>
      </c>
      <c r="S475" s="904" t="str">
        <f t="shared" si="95"/>
        <v>Stove</v>
      </c>
      <c r="T475" s="23">
        <f t="shared" si="96"/>
        <v>0.10241350909647569</v>
      </c>
      <c r="U475" s="23">
        <f t="shared" si="97"/>
        <v>0.30121620322492842</v>
      </c>
      <c r="V475" s="23">
        <f t="shared" si="97"/>
        <v>0.17636684303350969</v>
      </c>
      <c r="W475" s="23">
        <f t="shared" si="98"/>
        <v>0.63465341243119022</v>
      </c>
      <c r="X475" s="904">
        <f t="shared" si="99"/>
        <v>90</v>
      </c>
      <c r="Y475" s="904">
        <f t="shared" si="99"/>
        <v>105</v>
      </c>
      <c r="Z475" s="904">
        <f t="shared" si="99"/>
        <v>125</v>
      </c>
      <c r="AA475" s="904">
        <f t="shared" si="87"/>
        <v>328</v>
      </c>
      <c r="AB475" s="24">
        <v>46</v>
      </c>
    </row>
    <row r="476" spans="1:28" x14ac:dyDescent="0.25">
      <c r="A476" s="903"/>
      <c r="B476" t="s">
        <v>1017</v>
      </c>
      <c r="C476" s="906" t="s">
        <v>1032</v>
      </c>
      <c r="D476" s="25">
        <v>1.01</v>
      </c>
      <c r="E476" s="903">
        <v>35</v>
      </c>
      <c r="F476" s="903">
        <v>18</v>
      </c>
      <c r="G476" s="903" t="s">
        <v>1033</v>
      </c>
      <c r="H476" s="904">
        <f t="shared" si="88"/>
        <v>6</v>
      </c>
      <c r="I476" s="904">
        <f t="shared" si="89"/>
        <v>11</v>
      </c>
      <c r="J476" s="21">
        <f t="shared" si="90"/>
        <v>11202</v>
      </c>
      <c r="K476" s="21">
        <f t="shared" si="91"/>
        <v>11202</v>
      </c>
      <c r="L476" s="21">
        <f t="shared" si="92"/>
        <v>18563.5</v>
      </c>
      <c r="M476" s="21">
        <f t="shared" si="93"/>
        <v>25925</v>
      </c>
      <c r="N476" s="904">
        <f t="shared" si="94"/>
        <v>205</v>
      </c>
      <c r="O476" s="21"/>
      <c r="P476" s="22" t="s">
        <v>2</v>
      </c>
      <c r="Q476" s="22">
        <v>0.78</v>
      </c>
      <c r="R476" s="904" t="s">
        <v>15</v>
      </c>
      <c r="S476" s="904" t="str">
        <f t="shared" si="95"/>
        <v>Stove</v>
      </c>
      <c r="T476" s="23">
        <f t="shared" si="96"/>
        <v>8.5887421149394794E-2</v>
      </c>
      <c r="U476" s="23">
        <f t="shared" si="97"/>
        <v>0.19877087960168363</v>
      </c>
      <c r="V476" s="23">
        <f t="shared" si="97"/>
        <v>0.11994674459547285</v>
      </c>
      <c r="W476" s="23">
        <f t="shared" si="98"/>
        <v>0.19877087960168363</v>
      </c>
      <c r="X476" s="904">
        <f t="shared" si="99"/>
        <v>59</v>
      </c>
      <c r="Y476" s="904">
        <f t="shared" si="99"/>
        <v>48</v>
      </c>
      <c r="Z476" s="904">
        <f t="shared" si="99"/>
        <v>48</v>
      </c>
      <c r="AA476" s="904">
        <f t="shared" si="87"/>
        <v>29</v>
      </c>
      <c r="AB476" s="24">
        <v>24</v>
      </c>
    </row>
    <row r="477" spans="1:28" x14ac:dyDescent="0.25">
      <c r="A477" s="903"/>
      <c r="B477" t="s">
        <v>1017</v>
      </c>
      <c r="C477" s="906" t="s">
        <v>1034</v>
      </c>
      <c r="D477" s="25">
        <v>6</v>
      </c>
      <c r="E477" s="903">
        <v>844</v>
      </c>
      <c r="F477" s="903">
        <v>491</v>
      </c>
      <c r="G477" s="903" t="s">
        <v>1035</v>
      </c>
      <c r="H477" s="904">
        <f t="shared" si="88"/>
        <v>6</v>
      </c>
      <c r="I477" s="904">
        <f t="shared" si="89"/>
        <v>11</v>
      </c>
      <c r="J477" s="21">
        <f t="shared" si="90"/>
        <v>11800</v>
      </c>
      <c r="K477" s="21">
        <f t="shared" si="91"/>
        <v>14960.000000000002</v>
      </c>
      <c r="L477" s="21">
        <f t="shared" si="92"/>
        <v>27900</v>
      </c>
      <c r="M477" s="21">
        <f t="shared" si="93"/>
        <v>44000</v>
      </c>
      <c r="N477" s="904">
        <f t="shared" si="94"/>
        <v>825</v>
      </c>
      <c r="O477" s="21"/>
      <c r="P477" s="22" t="s">
        <v>2</v>
      </c>
      <c r="Q477" s="22">
        <v>0.63</v>
      </c>
      <c r="R477" s="904" t="s">
        <v>42</v>
      </c>
      <c r="S477" s="904" t="str">
        <f t="shared" si="95"/>
        <v>Stove</v>
      </c>
      <c r="T477" s="23">
        <f t="shared" si="96"/>
        <v>0.30062530062530063</v>
      </c>
      <c r="U477" s="23">
        <f t="shared" si="97"/>
        <v>0.88419206066264877</v>
      </c>
      <c r="V477" s="23">
        <f t="shared" si="97"/>
        <v>0.47410441675674653</v>
      </c>
      <c r="W477" s="23">
        <f t="shared" si="98"/>
        <v>1.1209756972468836</v>
      </c>
      <c r="X477" s="904">
        <f t="shared" si="99"/>
        <v>671</v>
      </c>
      <c r="Y477" s="904">
        <f t="shared" si="99"/>
        <v>730</v>
      </c>
      <c r="Z477" s="904">
        <f t="shared" si="99"/>
        <v>707</v>
      </c>
      <c r="AA477" s="904">
        <f t="shared" si="87"/>
        <v>796</v>
      </c>
      <c r="AB477" s="24">
        <v>408</v>
      </c>
    </row>
    <row r="478" spans="1:28" x14ac:dyDescent="0.25">
      <c r="A478" s="903"/>
      <c r="B478" t="s">
        <v>1017</v>
      </c>
      <c r="C478" s="906" t="s">
        <v>1036</v>
      </c>
      <c r="D478" s="25">
        <v>5.3</v>
      </c>
      <c r="E478" s="903">
        <v>792</v>
      </c>
      <c r="F478" s="903">
        <v>444</v>
      </c>
      <c r="G478" s="903" t="s">
        <v>1037</v>
      </c>
      <c r="H478" s="904">
        <f t="shared" si="88"/>
        <v>5</v>
      </c>
      <c r="I478" s="904">
        <f t="shared" si="89"/>
        <v>10</v>
      </c>
      <c r="J478" s="21">
        <f t="shared" si="90"/>
        <v>9300</v>
      </c>
      <c r="K478" s="21">
        <f t="shared" si="91"/>
        <v>16932</v>
      </c>
      <c r="L478" s="21">
        <f t="shared" si="92"/>
        <v>29550</v>
      </c>
      <c r="M478" s="21">
        <f t="shared" si="93"/>
        <v>49800</v>
      </c>
      <c r="N478" s="904">
        <f t="shared" si="94"/>
        <v>867</v>
      </c>
      <c r="O478" s="21"/>
      <c r="P478" s="22" t="s">
        <v>2</v>
      </c>
      <c r="Q478" s="22">
        <v>0.63</v>
      </c>
      <c r="R478" s="904" t="s">
        <v>42</v>
      </c>
      <c r="S478" s="904" t="str">
        <f t="shared" si="95"/>
        <v>Stove</v>
      </c>
      <c r="T478" s="23">
        <f t="shared" si="96"/>
        <v>0.23462456528052245</v>
      </c>
      <c r="U478" s="23">
        <f t="shared" si="97"/>
        <v>0.69007225082506596</v>
      </c>
      <c r="V478" s="23">
        <f t="shared" si="97"/>
        <v>0.39540789681793631</v>
      </c>
      <c r="W478" s="23">
        <f t="shared" si="98"/>
        <v>1.2563767044053782</v>
      </c>
      <c r="X478" s="904">
        <f t="shared" si="99"/>
        <v>513</v>
      </c>
      <c r="Y478" s="904">
        <f t="shared" si="99"/>
        <v>558</v>
      </c>
      <c r="Z478" s="904">
        <f t="shared" si="99"/>
        <v>588</v>
      </c>
      <c r="AA478" s="904">
        <f t="shared" si="87"/>
        <v>841</v>
      </c>
      <c r="AB478" s="24">
        <v>273</v>
      </c>
    </row>
    <row r="479" spans="1:28" x14ac:dyDescent="0.25">
      <c r="A479" s="903"/>
      <c r="B479" t="s">
        <v>1017</v>
      </c>
      <c r="C479" s="906" t="s">
        <v>1036</v>
      </c>
      <c r="D479" s="25">
        <v>6</v>
      </c>
      <c r="E479" s="903">
        <v>844</v>
      </c>
      <c r="F479" s="903">
        <v>491</v>
      </c>
      <c r="G479" s="903" t="s">
        <v>1037</v>
      </c>
      <c r="H479" s="904">
        <f t="shared" si="88"/>
        <v>5</v>
      </c>
      <c r="I479" s="904">
        <f t="shared" si="89"/>
        <v>10</v>
      </c>
      <c r="J479" s="21">
        <f t="shared" si="90"/>
        <v>9300</v>
      </c>
      <c r="K479" s="21">
        <f t="shared" si="91"/>
        <v>16932</v>
      </c>
      <c r="L479" s="21">
        <f t="shared" si="92"/>
        <v>29550</v>
      </c>
      <c r="M479" s="21">
        <f t="shared" si="93"/>
        <v>49800</v>
      </c>
      <c r="N479" s="904">
        <f t="shared" si="94"/>
        <v>867</v>
      </c>
      <c r="O479" s="21"/>
      <c r="P479" s="22" t="s">
        <v>2</v>
      </c>
      <c r="Q479" s="22">
        <v>0.63</v>
      </c>
      <c r="R479" s="904" t="s">
        <v>42</v>
      </c>
      <c r="S479" s="904" t="str">
        <f t="shared" si="95"/>
        <v>Stove</v>
      </c>
      <c r="T479" s="23">
        <f t="shared" si="96"/>
        <v>0.26561271541191223</v>
      </c>
      <c r="U479" s="23">
        <f t="shared" si="97"/>
        <v>0.78121386885856525</v>
      </c>
      <c r="V479" s="23">
        <f t="shared" si="97"/>
        <v>0.44763158130332409</v>
      </c>
      <c r="W479" s="23">
        <f t="shared" si="98"/>
        <v>1.4223132502702396</v>
      </c>
      <c r="X479" s="904">
        <f t="shared" si="99"/>
        <v>594</v>
      </c>
      <c r="Y479" s="904">
        <f t="shared" si="99"/>
        <v>640</v>
      </c>
      <c r="Z479" s="904">
        <f t="shared" si="99"/>
        <v>671</v>
      </c>
      <c r="AA479" s="904">
        <f t="shared" si="87"/>
        <v>908</v>
      </c>
      <c r="AB479" s="24">
        <v>335</v>
      </c>
    </row>
    <row r="480" spans="1:28" x14ac:dyDescent="0.25">
      <c r="A480" s="903"/>
      <c r="B480" t="s">
        <v>1017</v>
      </c>
      <c r="C480" s="906" t="s">
        <v>1038</v>
      </c>
      <c r="D480" s="25">
        <v>3.5</v>
      </c>
      <c r="E480" s="903">
        <v>432</v>
      </c>
      <c r="F480" s="903">
        <v>181</v>
      </c>
      <c r="G480" s="903" t="s">
        <v>362</v>
      </c>
      <c r="H480" s="904">
        <f t="shared" si="88"/>
        <v>6</v>
      </c>
      <c r="I480" s="904">
        <f t="shared" si="89"/>
        <v>11</v>
      </c>
      <c r="J480" s="21">
        <f t="shared" si="90"/>
        <v>11600</v>
      </c>
      <c r="K480" s="21">
        <f t="shared" si="91"/>
        <v>13192.000000000002</v>
      </c>
      <c r="L480" s="21">
        <f t="shared" si="92"/>
        <v>25200</v>
      </c>
      <c r="M480" s="21">
        <f t="shared" si="93"/>
        <v>38800</v>
      </c>
      <c r="N480" s="904">
        <f t="shared" si="94"/>
        <v>711</v>
      </c>
      <c r="O480" s="21"/>
      <c r="P480" s="22" t="s">
        <v>2</v>
      </c>
      <c r="Q480" s="22">
        <v>0.63</v>
      </c>
      <c r="R480" s="904" t="s">
        <v>42</v>
      </c>
      <c r="S480" s="904" t="str">
        <f t="shared" si="95"/>
        <v>Stove</v>
      </c>
      <c r="T480" s="23">
        <f t="shared" si="96"/>
        <v>0.19886725213185694</v>
      </c>
      <c r="U480" s="23">
        <f t="shared" si="97"/>
        <v>0.58490368274075566</v>
      </c>
      <c r="V480" s="23">
        <f t="shared" si="97"/>
        <v>0.30619243582206546</v>
      </c>
      <c r="W480" s="23">
        <f t="shared" si="98"/>
        <v>0.6651766709237974</v>
      </c>
      <c r="X480" s="904">
        <f t="shared" si="99"/>
        <v>383</v>
      </c>
      <c r="Y480" s="904">
        <f t="shared" si="99"/>
        <v>415</v>
      </c>
      <c r="Z480" s="904">
        <f t="shared" si="99"/>
        <v>374</v>
      </c>
      <c r="AA480" s="904">
        <f t="shared" si="87"/>
        <v>371</v>
      </c>
      <c r="AB480" s="24">
        <v>176</v>
      </c>
    </row>
    <row r="481" spans="1:28" x14ac:dyDescent="0.25">
      <c r="A481" s="903"/>
      <c r="B481" t="s">
        <v>1017</v>
      </c>
      <c r="C481" s="906" t="s">
        <v>1039</v>
      </c>
      <c r="D481" s="25">
        <v>6.6</v>
      </c>
      <c r="E481" s="903">
        <v>884</v>
      </c>
      <c r="F481" s="903">
        <v>529</v>
      </c>
      <c r="G481" s="903" t="s">
        <v>1040</v>
      </c>
      <c r="H481" s="904">
        <f t="shared" si="88"/>
        <v>6</v>
      </c>
      <c r="I481" s="904">
        <f t="shared" si="89"/>
        <v>11</v>
      </c>
      <c r="J481" s="21">
        <f t="shared" si="90"/>
        <v>11700</v>
      </c>
      <c r="K481" s="21">
        <f t="shared" si="91"/>
        <v>12580</v>
      </c>
      <c r="L481" s="21">
        <f t="shared" si="92"/>
        <v>24350</v>
      </c>
      <c r="M481" s="21">
        <f t="shared" si="93"/>
        <v>37000</v>
      </c>
      <c r="N481" s="904">
        <f t="shared" si="94"/>
        <v>661</v>
      </c>
      <c r="O481" s="21"/>
      <c r="P481" s="22" t="s">
        <v>2</v>
      </c>
      <c r="Q481" s="22">
        <v>0.63</v>
      </c>
      <c r="R481" s="904" t="s">
        <v>42</v>
      </c>
      <c r="S481" s="904" t="str">
        <f t="shared" si="95"/>
        <v>Stove</v>
      </c>
      <c r="T481" s="23">
        <f t="shared" si="96"/>
        <v>0.39325039325039324</v>
      </c>
      <c r="U481" s="23">
        <f t="shared" si="97"/>
        <v>1.1566188036776273</v>
      </c>
      <c r="V481" s="23">
        <f t="shared" si="97"/>
        <v>0.59754679877883166</v>
      </c>
      <c r="W481" s="23">
        <f t="shared" si="98"/>
        <v>1.2436123547234659</v>
      </c>
      <c r="X481" s="904">
        <f t="shared" si="99"/>
        <v>822</v>
      </c>
      <c r="Y481" s="904">
        <f t="shared" si="99"/>
        <v>874</v>
      </c>
      <c r="Z481" s="904">
        <f t="shared" si="99"/>
        <v>839</v>
      </c>
      <c r="AA481" s="904">
        <f t="shared" si="87"/>
        <v>836</v>
      </c>
      <c r="AB481" s="24">
        <v>521</v>
      </c>
    </row>
    <row r="482" spans="1:28" x14ac:dyDescent="0.25">
      <c r="A482" s="903"/>
      <c r="B482" s="26" t="s">
        <v>1017</v>
      </c>
      <c r="C482" s="27" t="s">
        <v>1041</v>
      </c>
      <c r="D482" s="28">
        <v>3.05</v>
      </c>
      <c r="E482" s="29">
        <v>344</v>
      </c>
      <c r="F482" s="903">
        <v>127</v>
      </c>
      <c r="G482" s="29" t="s">
        <v>1042</v>
      </c>
      <c r="H482" s="904">
        <f t="shared" si="88"/>
        <v>6</v>
      </c>
      <c r="I482" s="904">
        <f t="shared" si="89"/>
        <v>11</v>
      </c>
      <c r="J482" s="21">
        <f t="shared" si="90"/>
        <v>10491</v>
      </c>
      <c r="K482" s="21">
        <f t="shared" si="91"/>
        <v>10491</v>
      </c>
      <c r="L482" s="21">
        <f t="shared" si="92"/>
        <v>20439</v>
      </c>
      <c r="M482" s="21">
        <f t="shared" si="93"/>
        <v>30387</v>
      </c>
      <c r="N482" s="904">
        <f t="shared" si="94"/>
        <v>357</v>
      </c>
      <c r="O482" s="21"/>
      <c r="P482" s="22"/>
      <c r="Q482" s="22">
        <v>0.63</v>
      </c>
      <c r="R482" s="904" t="s">
        <v>42</v>
      </c>
      <c r="S482" s="904" t="str">
        <f t="shared" si="95"/>
        <v>Stove</v>
      </c>
      <c r="T482" s="23">
        <f t="shared" si="96"/>
        <v>0.2212783720226596</v>
      </c>
      <c r="U482" s="23">
        <f t="shared" si="97"/>
        <v>0.64092897632757184</v>
      </c>
      <c r="V482" s="23">
        <f t="shared" si="97"/>
        <v>0.3289782225477057</v>
      </c>
      <c r="W482" s="23">
        <f t="shared" si="98"/>
        <v>0.64092897632757184</v>
      </c>
      <c r="X482" s="904">
        <f t="shared" si="99"/>
        <v>468</v>
      </c>
      <c r="Y482" s="904">
        <f t="shared" si="99"/>
        <v>483</v>
      </c>
      <c r="Z482" s="904">
        <f t="shared" si="99"/>
        <v>436</v>
      </c>
      <c r="AA482" s="904">
        <f t="shared" si="87"/>
        <v>334</v>
      </c>
      <c r="AB482" s="24">
        <v>223</v>
      </c>
    </row>
    <row r="483" spans="1:28" x14ac:dyDescent="0.25">
      <c r="A483" s="903"/>
      <c r="B483" t="s">
        <v>1017</v>
      </c>
      <c r="C483" s="906" t="s">
        <v>1043</v>
      </c>
      <c r="D483" s="25">
        <v>3.6</v>
      </c>
      <c r="E483" s="903">
        <v>467</v>
      </c>
      <c r="F483" s="903">
        <v>207</v>
      </c>
      <c r="G483" s="903" t="s">
        <v>1044</v>
      </c>
      <c r="H483" s="904">
        <f t="shared" si="88"/>
        <v>6</v>
      </c>
      <c r="I483" s="904">
        <f t="shared" si="89"/>
        <v>11</v>
      </c>
      <c r="J483" s="21">
        <f t="shared" si="90"/>
        <v>11214</v>
      </c>
      <c r="K483" s="21">
        <f t="shared" si="91"/>
        <v>11214</v>
      </c>
      <c r="L483" s="21">
        <f t="shared" si="92"/>
        <v>19715</v>
      </c>
      <c r="M483" s="21">
        <f t="shared" si="93"/>
        <v>28216</v>
      </c>
      <c r="N483" s="904">
        <f t="shared" si="94"/>
        <v>293</v>
      </c>
      <c r="O483" s="21"/>
      <c r="P483" s="22" t="s">
        <v>2</v>
      </c>
      <c r="Q483" s="22">
        <v>0.63</v>
      </c>
      <c r="R483" s="904" t="s">
        <v>42</v>
      </c>
      <c r="S483" s="904" t="str">
        <f t="shared" si="95"/>
        <v>Stove</v>
      </c>
      <c r="T483" s="23">
        <f t="shared" si="96"/>
        <v>0.28127686194031526</v>
      </c>
      <c r="U483" s="23">
        <f t="shared" si="97"/>
        <v>0.70773211490172427</v>
      </c>
      <c r="V483" s="23">
        <f t="shared" si="97"/>
        <v>0.40256190395678093</v>
      </c>
      <c r="W483" s="23">
        <f t="shared" si="98"/>
        <v>0.70773211490172427</v>
      </c>
      <c r="X483" s="904">
        <f t="shared" si="99"/>
        <v>635</v>
      </c>
      <c r="Y483" s="904">
        <f t="shared" si="99"/>
        <v>578</v>
      </c>
      <c r="Z483" s="904">
        <f t="shared" si="99"/>
        <v>596</v>
      </c>
      <c r="AA483" s="904">
        <f t="shared" si="87"/>
        <v>420</v>
      </c>
      <c r="AB483" s="24">
        <v>288</v>
      </c>
    </row>
    <row r="484" spans="1:28" x14ac:dyDescent="0.25">
      <c r="A484" s="903"/>
      <c r="B484" t="s">
        <v>1017</v>
      </c>
      <c r="C484" s="906" t="s">
        <v>1045</v>
      </c>
      <c r="D484" s="25">
        <v>6</v>
      </c>
      <c r="E484" s="903">
        <v>844</v>
      </c>
      <c r="F484" s="903">
        <v>491</v>
      </c>
      <c r="G484" s="903" t="s">
        <v>1046</v>
      </c>
      <c r="H484" s="904">
        <f t="shared" si="88"/>
        <v>5</v>
      </c>
      <c r="I484" s="904">
        <f t="shared" si="89"/>
        <v>10</v>
      </c>
      <c r="J484" s="21">
        <f t="shared" si="90"/>
        <v>9500</v>
      </c>
      <c r="K484" s="21">
        <f t="shared" si="91"/>
        <v>13974.000000000002</v>
      </c>
      <c r="L484" s="21">
        <f t="shared" si="92"/>
        <v>25300</v>
      </c>
      <c r="M484" s="21">
        <f t="shared" si="93"/>
        <v>41100</v>
      </c>
      <c r="N484" s="904">
        <f t="shared" si="94"/>
        <v>720</v>
      </c>
      <c r="O484" s="21"/>
      <c r="P484" s="22" t="s">
        <v>2</v>
      </c>
      <c r="Q484" s="22">
        <v>0.63</v>
      </c>
      <c r="R484" s="904" t="s">
        <v>42</v>
      </c>
      <c r="S484" s="904" t="str">
        <f t="shared" si="95"/>
        <v>Stove</v>
      </c>
      <c r="T484" s="23">
        <f t="shared" si="96"/>
        <v>0.32183730480567463</v>
      </c>
      <c r="U484" s="23">
        <f t="shared" si="97"/>
        <v>0.94658030825198403</v>
      </c>
      <c r="V484" s="23">
        <f t="shared" si="97"/>
        <v>0.52282660978313156</v>
      </c>
      <c r="W484" s="23">
        <f t="shared" si="98"/>
        <v>1.3923698134224449</v>
      </c>
      <c r="X484" s="904">
        <f t="shared" si="99"/>
        <v>718</v>
      </c>
      <c r="Y484" s="904">
        <f t="shared" si="99"/>
        <v>783</v>
      </c>
      <c r="Z484" s="904">
        <f t="shared" si="99"/>
        <v>768</v>
      </c>
      <c r="AA484" s="904">
        <f t="shared" si="87"/>
        <v>891</v>
      </c>
      <c r="AB484" s="24">
        <v>452</v>
      </c>
    </row>
    <row r="485" spans="1:28" x14ac:dyDescent="0.25">
      <c r="A485" s="903"/>
      <c r="B485" t="s">
        <v>1017</v>
      </c>
      <c r="C485" s="906" t="s">
        <v>1047</v>
      </c>
      <c r="D485" s="25">
        <v>4.1100000000000003</v>
      </c>
      <c r="E485" s="903">
        <v>613</v>
      </c>
      <c r="F485" s="903">
        <v>297</v>
      </c>
      <c r="G485" s="903" t="s">
        <v>366</v>
      </c>
      <c r="H485" s="904">
        <f t="shared" si="88"/>
        <v>6</v>
      </c>
      <c r="I485" s="904">
        <f t="shared" si="89"/>
        <v>11</v>
      </c>
      <c r="J485" s="21">
        <f t="shared" si="90"/>
        <v>11800</v>
      </c>
      <c r="K485" s="21">
        <f t="shared" si="91"/>
        <v>16320.000000000002</v>
      </c>
      <c r="L485" s="21">
        <f t="shared" si="92"/>
        <v>29900</v>
      </c>
      <c r="M485" s="21">
        <f t="shared" si="93"/>
        <v>48000</v>
      </c>
      <c r="N485" s="904">
        <f t="shared" si="94"/>
        <v>878</v>
      </c>
      <c r="O485" s="21"/>
      <c r="P485" s="22" t="s">
        <v>2</v>
      </c>
      <c r="Q485" s="22">
        <v>0.63</v>
      </c>
      <c r="R485" s="904" t="s">
        <v>42</v>
      </c>
      <c r="S485" s="904" t="str">
        <f t="shared" si="95"/>
        <v>Stove</v>
      </c>
      <c r="T485" s="23">
        <f t="shared" si="96"/>
        <v>0.18876763668430338</v>
      </c>
      <c r="U485" s="23">
        <f t="shared" si="97"/>
        <v>0.55519893142442156</v>
      </c>
      <c r="V485" s="23">
        <f t="shared" si="97"/>
        <v>0.30303834651660744</v>
      </c>
      <c r="W485" s="23">
        <f t="shared" si="98"/>
        <v>0.76786835261411546</v>
      </c>
      <c r="X485" s="904">
        <f t="shared" si="99"/>
        <v>340</v>
      </c>
      <c r="Y485" s="904">
        <f t="shared" si="99"/>
        <v>367</v>
      </c>
      <c r="Z485" s="904">
        <f t="shared" si="99"/>
        <v>366</v>
      </c>
      <c r="AA485" s="904">
        <f t="shared" si="87"/>
        <v>487</v>
      </c>
      <c r="AB485" s="24">
        <v>152</v>
      </c>
    </row>
    <row r="486" spans="1:28" x14ac:dyDescent="0.25">
      <c r="A486" s="903"/>
      <c r="B486" t="s">
        <v>1017</v>
      </c>
      <c r="C486" s="906" t="s">
        <v>1048</v>
      </c>
      <c r="D486" s="25">
        <v>3.2</v>
      </c>
      <c r="E486" s="903">
        <v>376</v>
      </c>
      <c r="F486" s="903">
        <v>162</v>
      </c>
      <c r="G486" s="903" t="s">
        <v>1049</v>
      </c>
      <c r="H486" s="904">
        <f t="shared" si="88"/>
        <v>5</v>
      </c>
      <c r="I486" s="904">
        <f t="shared" si="89"/>
        <v>10</v>
      </c>
      <c r="J486" s="21">
        <f t="shared" si="90"/>
        <v>8500</v>
      </c>
      <c r="K486" s="21">
        <f t="shared" si="91"/>
        <v>11866</v>
      </c>
      <c r="L486" s="21">
        <f t="shared" si="92"/>
        <v>21700</v>
      </c>
      <c r="M486" s="21">
        <f t="shared" si="93"/>
        <v>34900</v>
      </c>
      <c r="N486" s="904">
        <f t="shared" si="94"/>
        <v>444</v>
      </c>
      <c r="O486" s="21"/>
      <c r="P486" s="22" t="s">
        <v>2</v>
      </c>
      <c r="Q486" s="22">
        <v>0.72</v>
      </c>
      <c r="R486" s="904" t="s">
        <v>38</v>
      </c>
      <c r="S486" s="904" t="str">
        <f t="shared" si="95"/>
        <v>Stove</v>
      </c>
      <c r="T486" s="23">
        <f t="shared" si="96"/>
        <v>0.20213964817594235</v>
      </c>
      <c r="U486" s="23">
        <f t="shared" si="97"/>
        <v>0.59452837698806571</v>
      </c>
      <c r="V486" s="23">
        <f t="shared" si="97"/>
        <v>0.32510017149034048</v>
      </c>
      <c r="W486" s="23">
        <f t="shared" si="98"/>
        <v>0.82996161427533977</v>
      </c>
      <c r="X486" s="904">
        <f t="shared" si="99"/>
        <v>394</v>
      </c>
      <c r="Y486" s="904">
        <f t="shared" si="99"/>
        <v>430</v>
      </c>
      <c r="Z486" s="904">
        <f t="shared" si="99"/>
        <v>422</v>
      </c>
      <c r="AA486" s="904">
        <f t="shared" si="87"/>
        <v>575</v>
      </c>
      <c r="AB486" s="24">
        <v>172</v>
      </c>
    </row>
    <row r="487" spans="1:28" x14ac:dyDescent="0.25">
      <c r="A487" s="903"/>
      <c r="B487" t="s">
        <v>1017</v>
      </c>
      <c r="C487" s="906" t="s">
        <v>1050</v>
      </c>
      <c r="D487" s="25">
        <v>4.03</v>
      </c>
      <c r="E487" s="903">
        <v>592</v>
      </c>
      <c r="F487" s="903">
        <v>79</v>
      </c>
      <c r="G487" s="903" t="s">
        <v>1051</v>
      </c>
      <c r="H487" s="904">
        <f t="shared" si="88"/>
        <v>5</v>
      </c>
      <c r="I487" s="904">
        <f t="shared" si="89"/>
        <v>10</v>
      </c>
      <c r="J487" s="21">
        <f t="shared" si="90"/>
        <v>6270</v>
      </c>
      <c r="K487" s="21">
        <f t="shared" si="91"/>
        <v>10126.560000000001</v>
      </c>
      <c r="L487" s="21">
        <f t="shared" si="92"/>
        <v>18027</v>
      </c>
      <c r="M487" s="21">
        <f t="shared" si="93"/>
        <v>29784</v>
      </c>
      <c r="N487" s="904">
        <f t="shared" si="94"/>
        <v>159</v>
      </c>
      <c r="O487" s="21"/>
      <c r="P487" s="22" t="s">
        <v>2</v>
      </c>
      <c r="Q487" s="22">
        <v>0.78</v>
      </c>
      <c r="R487" s="904" t="s">
        <v>15</v>
      </c>
      <c r="S487" s="904" t="str">
        <f t="shared" si="95"/>
        <v>Stove</v>
      </c>
      <c r="T487" s="23">
        <f t="shared" si="96"/>
        <v>0.29829706277911133</v>
      </c>
      <c r="U487" s="23">
        <f t="shared" si="97"/>
        <v>0.87734430229150384</v>
      </c>
      <c r="V487" s="23">
        <f t="shared" si="97"/>
        <v>0.49284294213197161</v>
      </c>
      <c r="W487" s="23">
        <f t="shared" si="98"/>
        <v>1.416982411134458</v>
      </c>
      <c r="X487" s="904">
        <f t="shared" si="99"/>
        <v>667</v>
      </c>
      <c r="Y487" s="904">
        <f t="shared" si="99"/>
        <v>725</v>
      </c>
      <c r="Z487" s="904">
        <f t="shared" si="99"/>
        <v>740</v>
      </c>
      <c r="AA487" s="904">
        <f t="shared" si="87"/>
        <v>905</v>
      </c>
      <c r="AB487" s="24">
        <v>81</v>
      </c>
    </row>
    <row r="488" spans="1:28" x14ac:dyDescent="0.25">
      <c r="A488" s="903"/>
      <c r="B488" t="s">
        <v>1017</v>
      </c>
      <c r="C488" s="906" t="s">
        <v>1052</v>
      </c>
      <c r="D488" s="25">
        <v>4.2</v>
      </c>
      <c r="E488" s="903">
        <v>619</v>
      </c>
      <c r="F488" s="903">
        <v>303</v>
      </c>
      <c r="G488" s="903" t="s">
        <v>370</v>
      </c>
      <c r="H488" s="904">
        <f t="shared" si="88"/>
        <v>5</v>
      </c>
      <c r="I488" s="904">
        <f t="shared" si="89"/>
        <v>10</v>
      </c>
      <c r="J488" s="21">
        <f t="shared" si="90"/>
        <v>9500</v>
      </c>
      <c r="K488" s="21">
        <f t="shared" si="91"/>
        <v>12274</v>
      </c>
      <c r="L488" s="21">
        <f t="shared" si="92"/>
        <v>22800</v>
      </c>
      <c r="M488" s="21">
        <f t="shared" si="93"/>
        <v>36100</v>
      </c>
      <c r="N488" s="904">
        <f t="shared" si="94"/>
        <v>527</v>
      </c>
      <c r="O488" s="21"/>
      <c r="P488" s="22" t="s">
        <v>2</v>
      </c>
      <c r="Q488" s="22">
        <v>0.63</v>
      </c>
      <c r="R488" s="904" t="s">
        <v>42</v>
      </c>
      <c r="S488" s="904" t="str">
        <f t="shared" si="95"/>
        <v>Stove</v>
      </c>
      <c r="T488" s="23">
        <f t="shared" si="96"/>
        <v>0.2564891761567662</v>
      </c>
      <c r="U488" s="23">
        <f t="shared" si="97"/>
        <v>0.75437992987284164</v>
      </c>
      <c r="V488" s="23">
        <f t="shared" si="97"/>
        <v>0.4061078622482131</v>
      </c>
      <c r="W488" s="23">
        <f t="shared" si="98"/>
        <v>0.97465886939571145</v>
      </c>
      <c r="X488" s="904">
        <f t="shared" si="99"/>
        <v>578</v>
      </c>
      <c r="Y488" s="904">
        <f t="shared" si="99"/>
        <v>620</v>
      </c>
      <c r="Z488" s="904">
        <f t="shared" si="99"/>
        <v>606</v>
      </c>
      <c r="AA488" s="904">
        <f t="shared" si="87"/>
        <v>703</v>
      </c>
      <c r="AB488" s="24">
        <v>318</v>
      </c>
    </row>
    <row r="489" spans="1:28" x14ac:dyDescent="0.25">
      <c r="A489" s="903"/>
      <c r="B489" t="s">
        <v>1017</v>
      </c>
      <c r="C489" s="906" t="s">
        <v>1053</v>
      </c>
      <c r="D489" s="25">
        <v>1.6</v>
      </c>
      <c r="E489" s="903">
        <v>86</v>
      </c>
      <c r="F489" s="903">
        <v>22</v>
      </c>
      <c r="G489" s="903" t="s">
        <v>376</v>
      </c>
      <c r="H489" s="904">
        <f t="shared" si="88"/>
        <v>6</v>
      </c>
      <c r="I489" s="904">
        <f t="shared" si="89"/>
        <v>11</v>
      </c>
      <c r="J489" s="21">
        <f t="shared" si="90"/>
        <v>12500</v>
      </c>
      <c r="K489" s="21">
        <f t="shared" si="91"/>
        <v>14008.000000000002</v>
      </c>
      <c r="L489" s="21">
        <f t="shared" si="92"/>
        <v>26850</v>
      </c>
      <c r="M489" s="21">
        <f t="shared" si="93"/>
        <v>41200</v>
      </c>
      <c r="N489" s="904">
        <f t="shared" si="94"/>
        <v>783</v>
      </c>
      <c r="O489" s="21"/>
      <c r="P489" s="22" t="s">
        <v>2</v>
      </c>
      <c r="Q489" s="22">
        <v>0.63</v>
      </c>
      <c r="R489" s="904" t="s">
        <v>42</v>
      </c>
      <c r="S489" s="904" t="str">
        <f t="shared" si="95"/>
        <v>Stove</v>
      </c>
      <c r="T489" s="23">
        <f t="shared" si="96"/>
        <v>8.5614972346363935E-2</v>
      </c>
      <c r="U489" s="23">
        <f t="shared" si="97"/>
        <v>0.25180874219518801</v>
      </c>
      <c r="V489" s="23">
        <f t="shared" si="97"/>
        <v>0.13137195011807054</v>
      </c>
      <c r="W489" s="23">
        <f t="shared" si="98"/>
        <v>0.2821869488536155</v>
      </c>
      <c r="X489" s="904">
        <f t="shared" si="99"/>
        <v>57</v>
      </c>
      <c r="Y489" s="904">
        <f t="shared" si="99"/>
        <v>66</v>
      </c>
      <c r="Z489" s="904">
        <f t="shared" si="99"/>
        <v>59</v>
      </c>
      <c r="AA489" s="904">
        <f t="shared" si="87"/>
        <v>54</v>
      </c>
      <c r="AB489" s="24">
        <v>14</v>
      </c>
    </row>
    <row r="490" spans="1:28" x14ac:dyDescent="0.25">
      <c r="A490" s="903"/>
      <c r="B490" t="s">
        <v>1017</v>
      </c>
      <c r="C490" s="906" t="s">
        <v>1054</v>
      </c>
      <c r="D490" s="25">
        <v>3.8</v>
      </c>
      <c r="E490" s="903">
        <v>518</v>
      </c>
      <c r="F490" s="903">
        <v>205</v>
      </c>
      <c r="G490" s="903" t="s">
        <v>1055</v>
      </c>
      <c r="H490" s="904">
        <f t="shared" si="88"/>
        <v>5</v>
      </c>
      <c r="I490" s="904">
        <f t="shared" si="89"/>
        <v>10</v>
      </c>
      <c r="J490" s="21">
        <f t="shared" si="90"/>
        <v>8300</v>
      </c>
      <c r="K490" s="21">
        <f t="shared" si="91"/>
        <v>14892.000000000002</v>
      </c>
      <c r="L490" s="21">
        <f t="shared" si="92"/>
        <v>26050</v>
      </c>
      <c r="M490" s="21">
        <f t="shared" si="93"/>
        <v>43800</v>
      </c>
      <c r="N490" s="904">
        <f t="shared" si="94"/>
        <v>755</v>
      </c>
      <c r="O490" s="21"/>
      <c r="P490" s="22" t="s">
        <v>2</v>
      </c>
      <c r="Q490" s="22">
        <v>0.72</v>
      </c>
      <c r="R490" s="904" t="s">
        <v>38</v>
      </c>
      <c r="S490" s="904" t="str">
        <f t="shared" si="95"/>
        <v>Stove</v>
      </c>
      <c r="T490" s="23">
        <f t="shared" si="96"/>
        <v>0.19126541196556418</v>
      </c>
      <c r="U490" s="23">
        <f t="shared" si="97"/>
        <v>0.56254532931048273</v>
      </c>
      <c r="V490" s="23">
        <f t="shared" si="97"/>
        <v>0.32159021282501771</v>
      </c>
      <c r="W490" s="23">
        <f t="shared" si="98"/>
        <v>1.0093283185652664</v>
      </c>
      <c r="X490" s="904">
        <f t="shared" si="99"/>
        <v>352</v>
      </c>
      <c r="Y490" s="904">
        <f t="shared" si="99"/>
        <v>382</v>
      </c>
      <c r="Z490" s="904">
        <f t="shared" si="99"/>
        <v>419</v>
      </c>
      <c r="AA490" s="904">
        <f t="shared" si="87"/>
        <v>722</v>
      </c>
      <c r="AB490" s="24">
        <v>152</v>
      </c>
    </row>
    <row r="491" spans="1:28" x14ac:dyDescent="0.25">
      <c r="A491" s="903"/>
      <c r="B491" t="s">
        <v>1017</v>
      </c>
      <c r="C491" s="906" t="s">
        <v>1056</v>
      </c>
      <c r="D491" s="25">
        <v>4.0999999999999996</v>
      </c>
      <c r="E491" s="903">
        <v>594</v>
      </c>
      <c r="F491" s="903">
        <v>233</v>
      </c>
      <c r="G491" s="903" t="s">
        <v>1057</v>
      </c>
      <c r="H491" s="904">
        <f t="shared" si="88"/>
        <v>5</v>
      </c>
      <c r="I491" s="904">
        <f t="shared" si="89"/>
        <v>10</v>
      </c>
      <c r="J491" s="21">
        <f t="shared" si="90"/>
        <v>6500</v>
      </c>
      <c r="K491" s="21">
        <f t="shared" si="91"/>
        <v>12002</v>
      </c>
      <c r="L491" s="21">
        <f t="shared" si="92"/>
        <v>20900</v>
      </c>
      <c r="M491" s="21">
        <f t="shared" si="93"/>
        <v>35300</v>
      </c>
      <c r="N491" s="904">
        <f t="shared" si="94"/>
        <v>394</v>
      </c>
      <c r="O491" s="21"/>
      <c r="P491" s="22" t="s">
        <v>2</v>
      </c>
      <c r="Q491" s="22">
        <v>0.72</v>
      </c>
      <c r="R491" s="904" t="s">
        <v>38</v>
      </c>
      <c r="S491" s="904" t="str">
        <f t="shared" si="95"/>
        <v>Stove</v>
      </c>
      <c r="T491" s="23">
        <f t="shared" si="96"/>
        <v>0.2560566772087074</v>
      </c>
      <c r="U491" s="23">
        <f t="shared" si="97"/>
        <v>0.75310787414325697</v>
      </c>
      <c r="V491" s="23">
        <f t="shared" si="97"/>
        <v>0.43247850265394122</v>
      </c>
      <c r="W491" s="23">
        <f t="shared" si="98"/>
        <v>1.3905847239180571</v>
      </c>
      <c r="X491" s="904">
        <f t="shared" si="99"/>
        <v>577</v>
      </c>
      <c r="Y491" s="904">
        <f t="shared" si="99"/>
        <v>618</v>
      </c>
      <c r="Z491" s="904">
        <f t="shared" si="99"/>
        <v>645</v>
      </c>
      <c r="AA491" s="904">
        <f t="shared" si="87"/>
        <v>890</v>
      </c>
      <c r="AB491" s="24">
        <v>224</v>
      </c>
    </row>
    <row r="492" spans="1:28" x14ac:dyDescent="0.25">
      <c r="A492" s="903"/>
      <c r="B492" t="s">
        <v>1017</v>
      </c>
      <c r="C492" s="906" t="s">
        <v>1058</v>
      </c>
      <c r="D492" s="25">
        <v>2.6</v>
      </c>
      <c r="E492" s="903">
        <v>235</v>
      </c>
      <c r="F492" s="903">
        <v>66</v>
      </c>
      <c r="G492" s="903" t="s">
        <v>1059</v>
      </c>
      <c r="H492" s="904">
        <f t="shared" si="88"/>
        <v>6</v>
      </c>
      <c r="I492" s="904">
        <f t="shared" si="89"/>
        <v>11</v>
      </c>
      <c r="J492" s="21">
        <f t="shared" si="90"/>
        <v>10700</v>
      </c>
      <c r="K492" s="21">
        <f t="shared" si="91"/>
        <v>12716.000000000002</v>
      </c>
      <c r="L492" s="21">
        <f t="shared" si="92"/>
        <v>24050</v>
      </c>
      <c r="M492" s="21">
        <f t="shared" si="93"/>
        <v>37400</v>
      </c>
      <c r="N492" s="904">
        <f t="shared" si="94"/>
        <v>637</v>
      </c>
      <c r="O492" s="21"/>
      <c r="P492" s="22" t="s">
        <v>2</v>
      </c>
      <c r="Q492" s="22">
        <v>0.63</v>
      </c>
      <c r="R492" s="904" t="s">
        <v>42</v>
      </c>
      <c r="S492" s="904" t="str">
        <f t="shared" si="95"/>
        <v>Stove</v>
      </c>
      <c r="T492" s="23">
        <f t="shared" si="96"/>
        <v>0.1532599571815258</v>
      </c>
      <c r="U492" s="23">
        <f t="shared" si="97"/>
        <v>0.45076457994566405</v>
      </c>
      <c r="V492" s="23">
        <f t="shared" si="97"/>
        <v>0.238333571666905</v>
      </c>
      <c r="W492" s="23">
        <f t="shared" si="98"/>
        <v>0.53569368211112756</v>
      </c>
      <c r="X492" s="904">
        <f t="shared" si="99"/>
        <v>228</v>
      </c>
      <c r="Y492" s="904">
        <f t="shared" si="99"/>
        <v>241</v>
      </c>
      <c r="Z492" s="904">
        <f t="shared" si="99"/>
        <v>222</v>
      </c>
      <c r="AA492" s="904">
        <f t="shared" si="87"/>
        <v>232</v>
      </c>
      <c r="AB492" s="24">
        <v>81</v>
      </c>
    </row>
    <row r="493" spans="1:28" x14ac:dyDescent="0.25">
      <c r="A493" s="903"/>
      <c r="B493" t="s">
        <v>1017</v>
      </c>
      <c r="C493" s="906" t="s">
        <v>1060</v>
      </c>
      <c r="D493" s="25">
        <v>1.3</v>
      </c>
      <c r="E493" s="903">
        <v>53</v>
      </c>
      <c r="F493" s="903">
        <v>25</v>
      </c>
      <c r="G493" s="903" t="s">
        <v>945</v>
      </c>
      <c r="H493" s="904">
        <f t="shared" si="88"/>
        <v>6</v>
      </c>
      <c r="I493" s="904">
        <f t="shared" si="89"/>
        <v>11</v>
      </c>
      <c r="J493" s="21">
        <f t="shared" si="90"/>
        <v>10900</v>
      </c>
      <c r="K493" s="21">
        <f t="shared" si="91"/>
        <v>11934</v>
      </c>
      <c r="L493" s="21">
        <f t="shared" si="92"/>
        <v>23000</v>
      </c>
      <c r="M493" s="21">
        <f t="shared" si="93"/>
        <v>35100</v>
      </c>
      <c r="N493" s="904">
        <f t="shared" si="94"/>
        <v>548</v>
      </c>
      <c r="O493" s="21"/>
      <c r="P493" s="22" t="s">
        <v>2</v>
      </c>
      <c r="Q493" s="22">
        <v>0.78</v>
      </c>
      <c r="R493" s="904" t="s">
        <v>15</v>
      </c>
      <c r="S493" s="904" t="str">
        <f t="shared" si="95"/>
        <v>Stove</v>
      </c>
      <c r="T493" s="23">
        <f t="shared" si="96"/>
        <v>8.1651316219217451E-2</v>
      </c>
      <c r="U493" s="23">
        <f t="shared" si="97"/>
        <v>0.24015093005652191</v>
      </c>
      <c r="V493" s="23">
        <f t="shared" si="97"/>
        <v>0.12460700866497967</v>
      </c>
      <c r="W493" s="23">
        <f t="shared" si="98"/>
        <v>0.26293222011876444</v>
      </c>
      <c r="X493" s="904">
        <f t="shared" si="99"/>
        <v>54</v>
      </c>
      <c r="Y493" s="904">
        <f t="shared" si="99"/>
        <v>62</v>
      </c>
      <c r="Z493" s="904">
        <f t="shared" si="99"/>
        <v>54</v>
      </c>
      <c r="AA493" s="904">
        <f t="shared" si="87"/>
        <v>47</v>
      </c>
      <c r="AB493" s="24">
        <v>29</v>
      </c>
    </row>
    <row r="494" spans="1:28" x14ac:dyDescent="0.25">
      <c r="A494" s="903"/>
      <c r="B494" t="s">
        <v>1017</v>
      </c>
      <c r="C494" s="906" t="s">
        <v>1061</v>
      </c>
      <c r="D494" s="25">
        <v>1</v>
      </c>
      <c r="E494" s="903">
        <v>23</v>
      </c>
      <c r="F494" s="903">
        <v>11</v>
      </c>
      <c r="G494" s="903" t="s">
        <v>1062</v>
      </c>
      <c r="H494" s="904">
        <f t="shared" si="88"/>
        <v>6</v>
      </c>
      <c r="I494" s="904">
        <f t="shared" si="89"/>
        <v>11</v>
      </c>
      <c r="J494" s="21">
        <f t="shared" si="90"/>
        <v>11000</v>
      </c>
      <c r="K494" s="21">
        <f t="shared" si="91"/>
        <v>12138</v>
      </c>
      <c r="L494" s="21">
        <f t="shared" si="92"/>
        <v>23350</v>
      </c>
      <c r="M494" s="21">
        <f t="shared" si="93"/>
        <v>35700</v>
      </c>
      <c r="N494" s="904">
        <f t="shared" si="94"/>
        <v>579</v>
      </c>
      <c r="O494" s="21"/>
      <c r="P494" s="22" t="s">
        <v>2</v>
      </c>
      <c r="Q494" s="22">
        <v>0.78</v>
      </c>
      <c r="R494" s="904" t="s">
        <v>15</v>
      </c>
      <c r="S494" s="904" t="str">
        <f t="shared" si="95"/>
        <v>Stove</v>
      </c>
      <c r="T494" s="23">
        <f t="shared" si="96"/>
        <v>6.1753096300248493E-2</v>
      </c>
      <c r="U494" s="23">
        <f t="shared" si="97"/>
        <v>0.18162675382426027</v>
      </c>
      <c r="V494" s="23">
        <f t="shared" si="97"/>
        <v>9.4414798197810332E-2</v>
      </c>
      <c r="W494" s="23">
        <f t="shared" si="98"/>
        <v>0.20041686708353376</v>
      </c>
      <c r="X494" s="904">
        <f t="shared" si="99"/>
        <v>24</v>
      </c>
      <c r="Y494" s="904">
        <f t="shared" si="99"/>
        <v>33</v>
      </c>
      <c r="Z494" s="904">
        <f t="shared" si="99"/>
        <v>27</v>
      </c>
      <c r="AA494" s="904">
        <f t="shared" si="87"/>
        <v>30</v>
      </c>
      <c r="AB494" s="24">
        <v>18</v>
      </c>
    </row>
    <row r="495" spans="1:28" x14ac:dyDescent="0.25">
      <c r="A495" s="903"/>
      <c r="B495" t="s">
        <v>1017</v>
      </c>
      <c r="C495" s="906" t="s">
        <v>1063</v>
      </c>
      <c r="D495" s="25">
        <v>1</v>
      </c>
      <c r="E495" s="903">
        <v>23</v>
      </c>
      <c r="F495" s="903">
        <v>11</v>
      </c>
      <c r="G495" s="903" t="s">
        <v>1064</v>
      </c>
      <c r="H495" s="904">
        <f t="shared" si="88"/>
        <v>5</v>
      </c>
      <c r="I495" s="904">
        <f t="shared" si="89"/>
        <v>10</v>
      </c>
      <c r="J495" s="21">
        <f t="shared" si="90"/>
        <v>9100</v>
      </c>
      <c r="K495" s="21">
        <f t="shared" si="91"/>
        <v>12852.000000000002</v>
      </c>
      <c r="L495" s="21">
        <f t="shared" si="92"/>
        <v>23450</v>
      </c>
      <c r="M495" s="21">
        <f t="shared" si="93"/>
        <v>37800</v>
      </c>
      <c r="N495" s="904">
        <f t="shared" si="94"/>
        <v>585</v>
      </c>
      <c r="O495" s="21"/>
      <c r="P495" s="22" t="s">
        <v>2</v>
      </c>
      <c r="Q495" s="22">
        <v>0.78</v>
      </c>
      <c r="R495" s="904" t="s">
        <v>15</v>
      </c>
      <c r="S495" s="904" t="str">
        <f t="shared" si="95"/>
        <v>Stove</v>
      </c>
      <c r="T495" s="23">
        <f t="shared" si="96"/>
        <v>5.8322368728012469E-2</v>
      </c>
      <c r="U495" s="23">
        <f t="shared" si="97"/>
        <v>0.17153637861180135</v>
      </c>
      <c r="V495" s="23">
        <f t="shared" si="97"/>
        <v>9.4012176457094726E-2</v>
      </c>
      <c r="W495" s="23">
        <f t="shared" si="98"/>
        <v>0.2422621470240518</v>
      </c>
      <c r="X495" s="904">
        <f t="shared" si="99"/>
        <v>18</v>
      </c>
      <c r="Y495" s="904">
        <f t="shared" si="99"/>
        <v>27</v>
      </c>
      <c r="Z495" s="904">
        <f t="shared" si="99"/>
        <v>25</v>
      </c>
      <c r="AA495" s="904">
        <f t="shared" si="87"/>
        <v>41</v>
      </c>
      <c r="AB495" s="24">
        <v>13</v>
      </c>
    </row>
    <row r="496" spans="1:28" x14ac:dyDescent="0.25">
      <c r="A496" s="903"/>
      <c r="B496" t="s">
        <v>1017</v>
      </c>
      <c r="C496" s="906" t="s">
        <v>1065</v>
      </c>
      <c r="D496" s="25">
        <v>1.1399999999999999</v>
      </c>
      <c r="E496" s="903">
        <v>43</v>
      </c>
      <c r="F496" s="903">
        <v>19</v>
      </c>
      <c r="G496" s="903" t="s">
        <v>382</v>
      </c>
      <c r="H496" s="904">
        <f t="shared" si="88"/>
        <v>5</v>
      </c>
      <c r="I496" s="904">
        <f t="shared" si="89"/>
        <v>10</v>
      </c>
      <c r="J496" s="21">
        <f t="shared" si="90"/>
        <v>7476</v>
      </c>
      <c r="K496" s="21">
        <f t="shared" si="91"/>
        <v>7476</v>
      </c>
      <c r="L496" s="21">
        <f t="shared" si="92"/>
        <v>14409.5</v>
      </c>
      <c r="M496" s="21">
        <f t="shared" si="93"/>
        <v>21343</v>
      </c>
      <c r="N496" s="904">
        <f t="shared" si="94"/>
        <v>30</v>
      </c>
      <c r="O496" s="21"/>
      <c r="P496" s="22" t="s">
        <v>2</v>
      </c>
      <c r="Q496" s="22">
        <v>0.78</v>
      </c>
      <c r="R496" s="904" t="s">
        <v>15</v>
      </c>
      <c r="S496" s="904" t="str">
        <f t="shared" si="95"/>
        <v>Stove</v>
      </c>
      <c r="T496" s="23">
        <f t="shared" si="96"/>
        <v>0.11775418231867653</v>
      </c>
      <c r="U496" s="23">
        <f t="shared" si="97"/>
        <v>0.33617275457831902</v>
      </c>
      <c r="V496" s="23">
        <f t="shared" si="97"/>
        <v>0.17441462321576134</v>
      </c>
      <c r="W496" s="23">
        <f t="shared" si="98"/>
        <v>0.33617275457831902</v>
      </c>
      <c r="X496" s="904">
        <f t="shared" si="99"/>
        <v>132</v>
      </c>
      <c r="Y496" s="904">
        <f t="shared" si="99"/>
        <v>138</v>
      </c>
      <c r="Z496" s="904">
        <f t="shared" si="99"/>
        <v>121</v>
      </c>
      <c r="AA496" s="904">
        <f t="shared" si="87"/>
        <v>74</v>
      </c>
      <c r="AB496" s="24">
        <v>51</v>
      </c>
    </row>
    <row r="497" spans="1:28" x14ac:dyDescent="0.25">
      <c r="A497" s="903"/>
      <c r="B497" t="s">
        <v>1017</v>
      </c>
      <c r="C497" s="906" t="s">
        <v>1066</v>
      </c>
      <c r="D497" s="25">
        <v>1</v>
      </c>
      <c r="E497" s="903">
        <v>23</v>
      </c>
      <c r="F497" s="903">
        <v>11</v>
      </c>
      <c r="G497" s="903" t="s">
        <v>1064</v>
      </c>
      <c r="H497" s="904">
        <f t="shared" si="88"/>
        <v>5</v>
      </c>
      <c r="I497" s="904">
        <f t="shared" si="89"/>
        <v>10</v>
      </c>
      <c r="J497" s="21">
        <f t="shared" si="90"/>
        <v>9100</v>
      </c>
      <c r="K497" s="21">
        <f t="shared" si="91"/>
        <v>12852.000000000002</v>
      </c>
      <c r="L497" s="21">
        <f t="shared" si="92"/>
        <v>23450</v>
      </c>
      <c r="M497" s="21">
        <f t="shared" si="93"/>
        <v>37800</v>
      </c>
      <c r="N497" s="904">
        <f t="shared" si="94"/>
        <v>585</v>
      </c>
      <c r="O497" s="21"/>
      <c r="P497" s="22" t="s">
        <v>2</v>
      </c>
      <c r="Q497" s="22">
        <v>0.78</v>
      </c>
      <c r="R497" s="904" t="s">
        <v>15</v>
      </c>
      <c r="S497" s="904" t="str">
        <f t="shared" si="95"/>
        <v>Stove</v>
      </c>
      <c r="T497" s="23">
        <f t="shared" si="96"/>
        <v>5.8322368728012469E-2</v>
      </c>
      <c r="U497" s="23">
        <f t="shared" si="97"/>
        <v>0.17153637861180135</v>
      </c>
      <c r="V497" s="23">
        <f t="shared" si="97"/>
        <v>9.4012176457094726E-2</v>
      </c>
      <c r="W497" s="23">
        <f t="shared" si="98"/>
        <v>0.2422621470240518</v>
      </c>
      <c r="X497" s="904">
        <f t="shared" si="99"/>
        <v>18</v>
      </c>
      <c r="Y497" s="904">
        <f t="shared" si="99"/>
        <v>27</v>
      </c>
      <c r="Z497" s="904">
        <f t="shared" si="99"/>
        <v>25</v>
      </c>
      <c r="AA497" s="904">
        <f t="shared" si="87"/>
        <v>41</v>
      </c>
      <c r="AB497" s="24">
        <v>13</v>
      </c>
    </row>
    <row r="498" spans="1:28" x14ac:dyDescent="0.25">
      <c r="A498" s="903" t="s">
        <v>77</v>
      </c>
      <c r="B498" t="s">
        <v>1067</v>
      </c>
      <c r="C498" s="906" t="s">
        <v>1068</v>
      </c>
      <c r="D498" s="25">
        <v>3.76</v>
      </c>
      <c r="E498" s="903">
        <v>516</v>
      </c>
      <c r="F498" s="903">
        <v>236</v>
      </c>
      <c r="G498" s="903" t="s">
        <v>1069</v>
      </c>
      <c r="H498" s="904">
        <f t="shared" si="88"/>
        <v>6</v>
      </c>
      <c r="I498" s="904">
        <f t="shared" si="89"/>
        <v>11</v>
      </c>
      <c r="J498" s="21">
        <f t="shared" si="90"/>
        <v>11000</v>
      </c>
      <c r="K498" s="21">
        <f t="shared" si="91"/>
        <v>15300.000000000002</v>
      </c>
      <c r="L498" s="21">
        <f t="shared" si="92"/>
        <v>28000</v>
      </c>
      <c r="M498" s="21">
        <f t="shared" si="93"/>
        <v>45000</v>
      </c>
      <c r="N498" s="904">
        <f t="shared" si="94"/>
        <v>829</v>
      </c>
      <c r="O498" s="21"/>
      <c r="P498" s="22" t="s">
        <v>2</v>
      </c>
      <c r="Q498" s="22">
        <v>0.63</v>
      </c>
      <c r="R498" s="904" t="s">
        <v>42</v>
      </c>
      <c r="S498" s="904" t="str">
        <f t="shared" si="95"/>
        <v>Stove</v>
      </c>
      <c r="T498" s="23">
        <f t="shared" si="96"/>
        <v>0.18420536939055457</v>
      </c>
      <c r="U498" s="23">
        <f t="shared" si="97"/>
        <v>0.54178049820751339</v>
      </c>
      <c r="V498" s="23">
        <f t="shared" si="97"/>
        <v>0.29604434366339127</v>
      </c>
      <c r="W498" s="23">
        <f t="shared" si="98"/>
        <v>0.75356742023408685</v>
      </c>
      <c r="X498" s="904">
        <f t="shared" si="99"/>
        <v>328</v>
      </c>
      <c r="Y498" s="904">
        <f t="shared" si="99"/>
        <v>354</v>
      </c>
      <c r="Z498" s="904">
        <f t="shared" si="99"/>
        <v>353</v>
      </c>
      <c r="AA498" s="904">
        <f t="shared" si="87"/>
        <v>471</v>
      </c>
      <c r="AB498" s="24">
        <v>142</v>
      </c>
    </row>
    <row r="499" spans="1:28" x14ac:dyDescent="0.25">
      <c r="A499" s="903" t="s">
        <v>77</v>
      </c>
      <c r="B499" t="s">
        <v>1067</v>
      </c>
      <c r="C499" s="906" t="s">
        <v>1070</v>
      </c>
      <c r="D499" s="25">
        <v>3.47</v>
      </c>
      <c r="E499" s="903">
        <v>431</v>
      </c>
      <c r="F499" s="903">
        <v>180</v>
      </c>
      <c r="G499" s="903" t="s">
        <v>1071</v>
      </c>
      <c r="H499" s="904">
        <f t="shared" si="88"/>
        <v>6</v>
      </c>
      <c r="I499" s="904">
        <f t="shared" si="89"/>
        <v>11</v>
      </c>
      <c r="J499" s="21">
        <f t="shared" si="90"/>
        <v>11000</v>
      </c>
      <c r="K499" s="21">
        <f t="shared" si="91"/>
        <v>11000</v>
      </c>
      <c r="L499" s="21">
        <f t="shared" si="92"/>
        <v>20800</v>
      </c>
      <c r="M499" s="21">
        <f t="shared" si="93"/>
        <v>30600</v>
      </c>
      <c r="N499" s="904">
        <f t="shared" si="94"/>
        <v>387</v>
      </c>
      <c r="O499" s="21"/>
      <c r="P499" s="22" t="s">
        <v>2</v>
      </c>
      <c r="Q499" s="22">
        <v>0.63</v>
      </c>
      <c r="R499" s="904" t="s">
        <v>42</v>
      </c>
      <c r="S499" s="904" t="str">
        <f t="shared" si="95"/>
        <v>Stove</v>
      </c>
      <c r="T499" s="23">
        <f t="shared" si="96"/>
        <v>0.24999711818883932</v>
      </c>
      <c r="U499" s="23">
        <f t="shared" si="97"/>
        <v>0.69544652877986213</v>
      </c>
      <c r="V499" s="23">
        <f t="shared" si="97"/>
        <v>0.36778422195088861</v>
      </c>
      <c r="W499" s="23">
        <f t="shared" si="98"/>
        <v>0.69544652877986213</v>
      </c>
      <c r="X499" s="904">
        <f t="shared" si="99"/>
        <v>556</v>
      </c>
      <c r="Y499" s="904">
        <f t="shared" si="99"/>
        <v>563</v>
      </c>
      <c r="Z499" s="904">
        <f t="shared" si="99"/>
        <v>526</v>
      </c>
      <c r="AA499" s="904">
        <f t="shared" si="87"/>
        <v>412</v>
      </c>
      <c r="AB499" s="24">
        <v>277</v>
      </c>
    </row>
    <row r="500" spans="1:28" x14ac:dyDescent="0.25">
      <c r="A500" s="903" t="s">
        <v>77</v>
      </c>
      <c r="B500" t="s">
        <v>1067</v>
      </c>
      <c r="C500" s="906" t="s">
        <v>1072</v>
      </c>
      <c r="D500" s="25">
        <v>3.5</v>
      </c>
      <c r="E500" s="903">
        <v>432</v>
      </c>
      <c r="F500" s="903">
        <v>181</v>
      </c>
      <c r="G500" s="903" t="s">
        <v>1071</v>
      </c>
      <c r="H500" s="904">
        <f t="shared" si="88"/>
        <v>6</v>
      </c>
      <c r="I500" s="904">
        <f t="shared" si="89"/>
        <v>11</v>
      </c>
      <c r="J500" s="21">
        <f t="shared" si="90"/>
        <v>11000</v>
      </c>
      <c r="K500" s="21">
        <f t="shared" si="91"/>
        <v>11000</v>
      </c>
      <c r="L500" s="21">
        <f t="shared" si="92"/>
        <v>20800</v>
      </c>
      <c r="M500" s="21">
        <f t="shared" si="93"/>
        <v>30600</v>
      </c>
      <c r="N500" s="904">
        <f t="shared" si="94"/>
        <v>387</v>
      </c>
      <c r="O500" s="21"/>
      <c r="P500" s="22" t="s">
        <v>2</v>
      </c>
      <c r="Q500" s="22">
        <v>0.63</v>
      </c>
      <c r="R500" s="904" t="s">
        <v>42</v>
      </c>
      <c r="S500" s="904" t="str">
        <f t="shared" si="95"/>
        <v>Stove</v>
      </c>
      <c r="T500" s="23">
        <f t="shared" si="96"/>
        <v>0.25215847655934803</v>
      </c>
      <c r="U500" s="23">
        <f t="shared" si="97"/>
        <v>0.70145903479236815</v>
      </c>
      <c r="V500" s="23">
        <f t="shared" si="97"/>
        <v>0.37096391263057932</v>
      </c>
      <c r="W500" s="23">
        <f t="shared" si="98"/>
        <v>0.70145903479236815</v>
      </c>
      <c r="X500" s="904">
        <f t="shared" si="99"/>
        <v>561</v>
      </c>
      <c r="Y500" s="904">
        <f t="shared" si="99"/>
        <v>571</v>
      </c>
      <c r="Z500" s="904">
        <f t="shared" si="99"/>
        <v>540</v>
      </c>
      <c r="AA500" s="904">
        <f t="shared" si="87"/>
        <v>417</v>
      </c>
      <c r="AB500" s="24">
        <v>282</v>
      </c>
    </row>
    <row r="501" spans="1:28" x14ac:dyDescent="0.25">
      <c r="A501" s="903" t="s">
        <v>77</v>
      </c>
      <c r="B501" t="s">
        <v>1067</v>
      </c>
      <c r="C501" s="906" t="s">
        <v>1073</v>
      </c>
      <c r="D501" s="25">
        <v>3.5</v>
      </c>
      <c r="E501" s="903">
        <v>432</v>
      </c>
      <c r="F501" s="903">
        <v>181</v>
      </c>
      <c r="G501" s="903" t="s">
        <v>1071</v>
      </c>
      <c r="H501" s="904">
        <f t="shared" si="88"/>
        <v>6</v>
      </c>
      <c r="I501" s="904">
        <f t="shared" si="89"/>
        <v>11</v>
      </c>
      <c r="J501" s="21">
        <f t="shared" si="90"/>
        <v>11000</v>
      </c>
      <c r="K501" s="21">
        <f t="shared" si="91"/>
        <v>11000</v>
      </c>
      <c r="L501" s="21">
        <f t="shared" si="92"/>
        <v>20800</v>
      </c>
      <c r="M501" s="21">
        <f t="shared" si="93"/>
        <v>30600</v>
      </c>
      <c r="N501" s="904">
        <f t="shared" si="94"/>
        <v>387</v>
      </c>
      <c r="O501" s="21"/>
      <c r="P501" s="22" t="s">
        <v>2</v>
      </c>
      <c r="Q501" s="22">
        <v>0.63</v>
      </c>
      <c r="R501" s="904" t="s">
        <v>42</v>
      </c>
      <c r="S501" s="904" t="str">
        <f t="shared" si="95"/>
        <v>Stove</v>
      </c>
      <c r="T501" s="23">
        <f t="shared" si="96"/>
        <v>0.25215847655934803</v>
      </c>
      <c r="U501" s="23">
        <f t="shared" si="97"/>
        <v>0.70145903479236815</v>
      </c>
      <c r="V501" s="23">
        <f t="shared" si="97"/>
        <v>0.37096391263057932</v>
      </c>
      <c r="W501" s="23">
        <f t="shared" si="98"/>
        <v>0.70145903479236815</v>
      </c>
      <c r="X501" s="904">
        <f t="shared" si="99"/>
        <v>561</v>
      </c>
      <c r="Y501" s="904">
        <f t="shared" si="99"/>
        <v>571</v>
      </c>
      <c r="Z501" s="904">
        <f t="shared" si="99"/>
        <v>540</v>
      </c>
      <c r="AA501" s="904">
        <f t="shared" si="87"/>
        <v>417</v>
      </c>
      <c r="AB501" s="24">
        <v>282</v>
      </c>
    </row>
    <row r="502" spans="1:28" x14ac:dyDescent="0.25">
      <c r="A502" s="903" t="s">
        <v>77</v>
      </c>
      <c r="B502" t="s">
        <v>1067</v>
      </c>
      <c r="C502" s="906" t="s">
        <v>1074</v>
      </c>
      <c r="D502" s="25">
        <v>4.3</v>
      </c>
      <c r="E502" s="903">
        <v>635</v>
      </c>
      <c r="F502" s="903">
        <v>318</v>
      </c>
      <c r="G502" s="903" t="s">
        <v>1075</v>
      </c>
      <c r="H502" s="904">
        <f t="shared" si="88"/>
        <v>6</v>
      </c>
      <c r="I502" s="904">
        <f t="shared" si="89"/>
        <v>11</v>
      </c>
      <c r="J502" s="21">
        <f t="shared" si="90"/>
        <v>11963</v>
      </c>
      <c r="K502" s="21">
        <f t="shared" si="91"/>
        <v>12160.78</v>
      </c>
      <c r="L502" s="21">
        <f t="shared" si="92"/>
        <v>23865</v>
      </c>
      <c r="M502" s="21">
        <f t="shared" si="93"/>
        <v>35767</v>
      </c>
      <c r="N502" s="904">
        <f t="shared" si="94"/>
        <v>622</v>
      </c>
      <c r="O502" s="21"/>
      <c r="P502" s="22" t="s">
        <v>2</v>
      </c>
      <c r="Q502" s="22">
        <v>0.63</v>
      </c>
      <c r="R502" s="904" t="s">
        <v>42</v>
      </c>
      <c r="S502" s="904" t="str">
        <f t="shared" si="95"/>
        <v>Stove</v>
      </c>
      <c r="T502" s="23">
        <f t="shared" si="96"/>
        <v>0.2650408983993946</v>
      </c>
      <c r="U502" s="23">
        <f t="shared" si="97"/>
        <v>0.77953205411586646</v>
      </c>
      <c r="V502" s="23">
        <f t="shared" si="97"/>
        <v>0.39722261944484166</v>
      </c>
      <c r="W502" s="23">
        <f t="shared" si="98"/>
        <v>0.79241977873870661</v>
      </c>
      <c r="X502" s="904">
        <f t="shared" si="99"/>
        <v>593</v>
      </c>
      <c r="Y502" s="904">
        <f t="shared" si="99"/>
        <v>639</v>
      </c>
      <c r="Z502" s="904">
        <f t="shared" si="99"/>
        <v>591</v>
      </c>
      <c r="AA502" s="904">
        <f t="shared" si="87"/>
        <v>520</v>
      </c>
      <c r="AB502" s="24">
        <v>334</v>
      </c>
    </row>
    <row r="503" spans="1:28" x14ac:dyDescent="0.25">
      <c r="A503" s="903" t="s">
        <v>77</v>
      </c>
      <c r="B503" t="s">
        <v>1076</v>
      </c>
      <c r="C503" s="906" t="s">
        <v>1077</v>
      </c>
      <c r="D503" s="25">
        <v>3.3</v>
      </c>
      <c r="E503" s="903">
        <v>393</v>
      </c>
      <c r="F503" s="903">
        <v>167</v>
      </c>
      <c r="G503" s="903" t="s">
        <v>1078</v>
      </c>
      <c r="H503" s="904">
        <f t="shared" si="88"/>
        <v>6</v>
      </c>
      <c r="I503" s="904">
        <f t="shared" si="89"/>
        <v>11</v>
      </c>
      <c r="J503" s="21">
        <f t="shared" si="90"/>
        <v>10600</v>
      </c>
      <c r="K503" s="21">
        <f t="shared" si="91"/>
        <v>10600</v>
      </c>
      <c r="L503" s="21">
        <f t="shared" si="92"/>
        <v>15650</v>
      </c>
      <c r="M503" s="21">
        <f t="shared" si="93"/>
        <v>20700</v>
      </c>
      <c r="N503" s="904">
        <f t="shared" si="94"/>
        <v>55</v>
      </c>
      <c r="O503" s="21"/>
      <c r="P503" s="22" t="s">
        <v>2</v>
      </c>
      <c r="Q503" s="22">
        <v>0.72</v>
      </c>
      <c r="R503" s="904" t="s">
        <v>38</v>
      </c>
      <c r="S503" s="904" t="str">
        <f t="shared" si="95"/>
        <v>Insert</v>
      </c>
      <c r="T503" s="23">
        <f t="shared" si="96"/>
        <v>0.3514556654653273</v>
      </c>
      <c r="U503" s="23">
        <f t="shared" si="97"/>
        <v>0.68633323350304487</v>
      </c>
      <c r="V503" s="23">
        <f t="shared" si="97"/>
        <v>0.46486468211707827</v>
      </c>
      <c r="W503" s="23">
        <f t="shared" si="98"/>
        <v>0.68633323350304487</v>
      </c>
      <c r="X503" s="904">
        <f t="shared" si="99"/>
        <v>765</v>
      </c>
      <c r="Y503" s="904">
        <f t="shared" si="99"/>
        <v>550</v>
      </c>
      <c r="Z503" s="904">
        <f t="shared" si="99"/>
        <v>691</v>
      </c>
      <c r="AA503" s="904">
        <f t="shared" si="87"/>
        <v>404</v>
      </c>
      <c r="AB503" s="24">
        <v>207</v>
      </c>
    </row>
    <row r="504" spans="1:28" x14ac:dyDescent="0.25">
      <c r="A504" s="903" t="s">
        <v>77</v>
      </c>
      <c r="B504" t="s">
        <v>1076</v>
      </c>
      <c r="C504" s="906" t="s">
        <v>1079</v>
      </c>
      <c r="D504" s="25">
        <v>5.3</v>
      </c>
      <c r="E504" s="903">
        <v>792</v>
      </c>
      <c r="F504" s="903">
        <v>266</v>
      </c>
      <c r="G504" s="903" t="s">
        <v>1080</v>
      </c>
      <c r="H504" s="904">
        <f t="shared" si="88"/>
        <v>5</v>
      </c>
      <c r="I504" s="904">
        <f t="shared" si="89"/>
        <v>10</v>
      </c>
      <c r="J504" s="21">
        <f t="shared" si="90"/>
        <v>9000</v>
      </c>
      <c r="K504" s="21">
        <f t="shared" si="91"/>
        <v>9214</v>
      </c>
      <c r="L504" s="21">
        <f t="shared" si="92"/>
        <v>18050</v>
      </c>
      <c r="M504" s="21">
        <f t="shared" si="93"/>
        <v>27100</v>
      </c>
      <c r="N504" s="904">
        <f t="shared" si="94"/>
        <v>161</v>
      </c>
      <c r="O504" s="21"/>
      <c r="P504" s="22" t="s">
        <v>2</v>
      </c>
      <c r="Q504" s="22">
        <v>0.72</v>
      </c>
      <c r="R504" s="904" t="s">
        <v>38</v>
      </c>
      <c r="S504" s="904" t="str">
        <f t="shared" si="95"/>
        <v>Stove</v>
      </c>
      <c r="T504" s="23">
        <f t="shared" si="96"/>
        <v>0.43115510520184569</v>
      </c>
      <c r="U504" s="23">
        <f t="shared" si="97"/>
        <v>1.2681032505936636</v>
      </c>
      <c r="V504" s="23">
        <f t="shared" si="97"/>
        <v>0.64732982553850515</v>
      </c>
      <c r="W504" s="23">
        <f t="shared" si="98"/>
        <v>1.2982559278855574</v>
      </c>
      <c r="X504" s="904">
        <f t="shared" si="99"/>
        <v>850</v>
      </c>
      <c r="Y504" s="904">
        <f t="shared" si="99"/>
        <v>893</v>
      </c>
      <c r="Z504" s="904">
        <f t="shared" si="99"/>
        <v>867</v>
      </c>
      <c r="AA504" s="904">
        <f t="shared" si="87"/>
        <v>855</v>
      </c>
      <c r="AB504" s="24">
        <v>271</v>
      </c>
    </row>
    <row r="505" spans="1:28" x14ac:dyDescent="0.25">
      <c r="A505" s="903" t="s">
        <v>77</v>
      </c>
      <c r="B505" t="s">
        <v>1076</v>
      </c>
      <c r="C505" s="906" t="s">
        <v>1081</v>
      </c>
      <c r="D505" s="25">
        <v>2.2999999999999998</v>
      </c>
      <c r="E505" s="903">
        <v>182</v>
      </c>
      <c r="F505" s="903">
        <v>71</v>
      </c>
      <c r="G505" s="903" t="s">
        <v>1082</v>
      </c>
      <c r="H505" s="904">
        <f t="shared" si="88"/>
        <v>5</v>
      </c>
      <c r="I505" s="904">
        <f t="shared" si="89"/>
        <v>10</v>
      </c>
      <c r="J505" s="21">
        <f t="shared" si="90"/>
        <v>9600</v>
      </c>
      <c r="K505" s="21">
        <f t="shared" si="91"/>
        <v>10404</v>
      </c>
      <c r="L505" s="21">
        <f t="shared" si="92"/>
        <v>20100</v>
      </c>
      <c r="M505" s="21">
        <f t="shared" si="93"/>
        <v>30600</v>
      </c>
      <c r="N505" s="904">
        <f t="shared" si="94"/>
        <v>328</v>
      </c>
      <c r="O505" s="21"/>
      <c r="P505" s="22" t="s">
        <v>2</v>
      </c>
      <c r="Q505" s="22">
        <v>0.72</v>
      </c>
      <c r="R505" s="904" t="s">
        <v>38</v>
      </c>
      <c r="S505" s="904" t="str">
        <f t="shared" si="95"/>
        <v>Stove</v>
      </c>
      <c r="T505" s="23">
        <f t="shared" si="96"/>
        <v>0.16570414173900014</v>
      </c>
      <c r="U505" s="23">
        <f t="shared" si="97"/>
        <v>0.48736512276176502</v>
      </c>
      <c r="V505" s="23">
        <f t="shared" si="97"/>
        <v>0.25226600682653749</v>
      </c>
      <c r="W505" s="23">
        <f t="shared" si="98"/>
        <v>0.52818195179306293</v>
      </c>
      <c r="X505" s="904">
        <f t="shared" si="99"/>
        <v>265</v>
      </c>
      <c r="Y505" s="904">
        <f t="shared" si="99"/>
        <v>281</v>
      </c>
      <c r="Z505" s="904">
        <f t="shared" si="99"/>
        <v>251</v>
      </c>
      <c r="AA505" s="904">
        <f t="shared" si="87"/>
        <v>220</v>
      </c>
      <c r="AB505" s="24">
        <v>118</v>
      </c>
    </row>
    <row r="506" spans="1:28" x14ac:dyDescent="0.25">
      <c r="A506" s="903" t="s">
        <v>77</v>
      </c>
      <c r="B506" t="s">
        <v>1076</v>
      </c>
      <c r="C506" s="906" t="s">
        <v>1083</v>
      </c>
      <c r="D506" s="25">
        <v>2.4</v>
      </c>
      <c r="E506" s="903">
        <v>196</v>
      </c>
      <c r="F506" s="903">
        <v>75</v>
      </c>
      <c r="G506" s="903" t="s">
        <v>1084</v>
      </c>
      <c r="H506" s="904">
        <f t="shared" si="88"/>
        <v>5</v>
      </c>
      <c r="I506" s="904">
        <f t="shared" si="89"/>
        <v>10</v>
      </c>
      <c r="J506" s="21">
        <f t="shared" si="90"/>
        <v>9900</v>
      </c>
      <c r="K506" s="21">
        <f t="shared" si="91"/>
        <v>11084</v>
      </c>
      <c r="L506" s="21">
        <f t="shared" si="92"/>
        <v>21250</v>
      </c>
      <c r="M506" s="21">
        <f t="shared" si="93"/>
        <v>32600</v>
      </c>
      <c r="N506" s="904">
        <f t="shared" si="94"/>
        <v>426</v>
      </c>
      <c r="O506" s="21"/>
      <c r="P506" s="22" t="s">
        <v>2</v>
      </c>
      <c r="Q506" s="22">
        <v>0.72</v>
      </c>
      <c r="R506" s="904" t="s">
        <v>38</v>
      </c>
      <c r="S506" s="904" t="str">
        <f t="shared" si="95"/>
        <v>Stove</v>
      </c>
      <c r="T506" s="23">
        <f t="shared" si="96"/>
        <v>0.16230077579770832</v>
      </c>
      <c r="U506" s="23">
        <f t="shared" si="97"/>
        <v>0.47735522293443616</v>
      </c>
      <c r="V506" s="23">
        <f t="shared" si="97"/>
        <v>0.24898848428260192</v>
      </c>
      <c r="W506" s="23">
        <f t="shared" si="98"/>
        <v>0.53444497888942333</v>
      </c>
      <c r="X506" s="904">
        <f t="shared" si="99"/>
        <v>245</v>
      </c>
      <c r="Y506" s="904">
        <f t="shared" si="99"/>
        <v>262</v>
      </c>
      <c r="Z506" s="904">
        <f t="shared" si="99"/>
        <v>243</v>
      </c>
      <c r="AA506" s="904">
        <f t="shared" si="87"/>
        <v>227</v>
      </c>
      <c r="AB506" s="24">
        <v>105</v>
      </c>
    </row>
    <row r="507" spans="1:28" x14ac:dyDescent="0.25">
      <c r="A507" s="903"/>
      <c r="B507" t="s">
        <v>1085</v>
      </c>
      <c r="C507" s="906" t="s">
        <v>1086</v>
      </c>
      <c r="D507" s="25">
        <v>4.0999999999999996</v>
      </c>
      <c r="E507" s="903">
        <v>594</v>
      </c>
      <c r="F507" s="903">
        <v>283</v>
      </c>
      <c r="G507" s="903" t="s">
        <v>130</v>
      </c>
      <c r="H507" s="904">
        <f t="shared" si="88"/>
        <v>6</v>
      </c>
      <c r="I507" s="904">
        <f t="shared" si="89"/>
        <v>11</v>
      </c>
      <c r="J507" s="21">
        <f t="shared" si="90"/>
        <v>11300</v>
      </c>
      <c r="K507" s="21">
        <f t="shared" si="91"/>
        <v>11356</v>
      </c>
      <c r="L507" s="21">
        <f t="shared" si="92"/>
        <v>22350</v>
      </c>
      <c r="M507" s="21">
        <f t="shared" si="93"/>
        <v>33400</v>
      </c>
      <c r="N507" s="904">
        <f t="shared" si="94"/>
        <v>504</v>
      </c>
      <c r="O507" s="21"/>
      <c r="P507" s="22" t="s">
        <v>2</v>
      </c>
      <c r="Q507" s="22">
        <v>0.63</v>
      </c>
      <c r="R507" s="904" t="s">
        <v>42</v>
      </c>
      <c r="S507" s="904" t="str">
        <f t="shared" si="95"/>
        <v>Insert</v>
      </c>
      <c r="T507" s="23">
        <f t="shared" si="96"/>
        <v>0.27062277561279552</v>
      </c>
      <c r="U507" s="23">
        <f t="shared" si="97"/>
        <v>0.79594934003763385</v>
      </c>
      <c r="V507" s="23">
        <f t="shared" si="97"/>
        <v>0.4044206132200166</v>
      </c>
      <c r="W507" s="23">
        <f t="shared" si="98"/>
        <v>0.79989386774047533</v>
      </c>
      <c r="X507" s="904">
        <f t="shared" si="99"/>
        <v>605</v>
      </c>
      <c r="Y507" s="904">
        <f t="shared" si="99"/>
        <v>655</v>
      </c>
      <c r="Z507" s="904">
        <f t="shared" si="99"/>
        <v>598</v>
      </c>
      <c r="AA507" s="904">
        <f t="shared" si="87"/>
        <v>529</v>
      </c>
      <c r="AB507" s="24">
        <v>348</v>
      </c>
    </row>
    <row r="508" spans="1:28" x14ac:dyDescent="0.25">
      <c r="A508" s="903"/>
      <c r="B508" t="s">
        <v>1087</v>
      </c>
      <c r="C508" s="906" t="s">
        <v>1088</v>
      </c>
      <c r="D508" s="25">
        <v>4.4000000000000004</v>
      </c>
      <c r="E508" s="903">
        <v>660</v>
      </c>
      <c r="F508" s="903">
        <v>338</v>
      </c>
      <c r="G508" s="903" t="s">
        <v>143</v>
      </c>
      <c r="H508" s="904">
        <f t="shared" si="88"/>
        <v>6</v>
      </c>
      <c r="I508" s="904">
        <f t="shared" si="89"/>
        <v>11</v>
      </c>
      <c r="J508" s="21">
        <f t="shared" si="90"/>
        <v>11600</v>
      </c>
      <c r="K508" s="21">
        <f t="shared" si="91"/>
        <v>13090.000000000002</v>
      </c>
      <c r="L508" s="21">
        <f t="shared" si="92"/>
        <v>25050</v>
      </c>
      <c r="M508" s="21">
        <f t="shared" si="93"/>
        <v>38500</v>
      </c>
      <c r="N508" s="904">
        <f t="shared" si="94"/>
        <v>687</v>
      </c>
      <c r="O508" s="21"/>
      <c r="P508" s="22" t="s">
        <v>2</v>
      </c>
      <c r="Q508" s="22">
        <v>0.63</v>
      </c>
      <c r="R508" s="904" t="s">
        <v>42</v>
      </c>
      <c r="S508" s="904" t="str">
        <f t="shared" si="95"/>
        <v>Insert</v>
      </c>
      <c r="T508" s="23">
        <f t="shared" si="96"/>
        <v>0.25195263290501385</v>
      </c>
      <c r="U508" s="23">
        <f t="shared" si="97"/>
        <v>0.74103715560298178</v>
      </c>
      <c r="V508" s="23">
        <f t="shared" si="97"/>
        <v>0.38723258949473188</v>
      </c>
      <c r="W508" s="23">
        <f t="shared" si="98"/>
        <v>0.83622210058991664</v>
      </c>
      <c r="X508" s="904">
        <f t="shared" si="99"/>
        <v>557</v>
      </c>
      <c r="Y508" s="904">
        <f t="shared" si="99"/>
        <v>599</v>
      </c>
      <c r="Z508" s="904">
        <f t="shared" si="99"/>
        <v>575</v>
      </c>
      <c r="AA508" s="904">
        <f t="shared" si="87"/>
        <v>581</v>
      </c>
      <c r="AB508" s="24">
        <v>304</v>
      </c>
    </row>
    <row r="509" spans="1:28" x14ac:dyDescent="0.25">
      <c r="A509" s="903"/>
      <c r="B509" t="s">
        <v>1087</v>
      </c>
      <c r="C509" s="906" t="s">
        <v>1089</v>
      </c>
      <c r="D509" s="25">
        <v>3.6</v>
      </c>
      <c r="E509" s="903">
        <v>467</v>
      </c>
      <c r="F509" s="903">
        <v>207</v>
      </c>
      <c r="G509" s="903" t="s">
        <v>1090</v>
      </c>
      <c r="H509" s="904">
        <f t="shared" si="88"/>
        <v>6</v>
      </c>
      <c r="I509" s="904">
        <f t="shared" si="89"/>
        <v>11</v>
      </c>
      <c r="J509" s="21">
        <f t="shared" si="90"/>
        <v>11800</v>
      </c>
      <c r="K509" s="21">
        <f t="shared" si="91"/>
        <v>16150.000000000002</v>
      </c>
      <c r="L509" s="21">
        <f t="shared" si="92"/>
        <v>29650</v>
      </c>
      <c r="M509" s="21">
        <f t="shared" si="93"/>
        <v>47500</v>
      </c>
      <c r="N509" s="904">
        <f t="shared" si="94"/>
        <v>870</v>
      </c>
      <c r="O509" s="21"/>
      <c r="P509" s="22" t="s">
        <v>2</v>
      </c>
      <c r="Q509" s="22">
        <v>0.63</v>
      </c>
      <c r="R509" s="904" t="s">
        <v>42</v>
      </c>
      <c r="S509" s="904" t="str">
        <f t="shared" si="95"/>
        <v>Stove</v>
      </c>
      <c r="T509" s="23">
        <f t="shared" si="96"/>
        <v>0.16708437761069339</v>
      </c>
      <c r="U509" s="23">
        <f t="shared" si="97"/>
        <v>0.49142464003145109</v>
      </c>
      <c r="V509" s="23">
        <f t="shared" si="97"/>
        <v>0.26767311758880058</v>
      </c>
      <c r="W509" s="23">
        <f t="shared" si="98"/>
        <v>0.67258541834813024</v>
      </c>
      <c r="X509" s="904">
        <f t="shared" si="99"/>
        <v>272</v>
      </c>
      <c r="Y509" s="904">
        <f t="shared" si="99"/>
        <v>286</v>
      </c>
      <c r="Z509" s="904">
        <f t="shared" si="99"/>
        <v>279</v>
      </c>
      <c r="AA509" s="904">
        <f t="shared" si="87"/>
        <v>387</v>
      </c>
      <c r="AB509" s="24">
        <v>99</v>
      </c>
    </row>
    <row r="510" spans="1:28" x14ac:dyDescent="0.25">
      <c r="A510" s="903"/>
      <c r="B510" t="s">
        <v>1087</v>
      </c>
      <c r="C510" s="906" t="s">
        <v>1091</v>
      </c>
      <c r="D510" s="25">
        <v>2.4</v>
      </c>
      <c r="E510" s="903">
        <v>196</v>
      </c>
      <c r="F510" s="903">
        <v>56</v>
      </c>
      <c r="G510" s="903" t="s">
        <v>133</v>
      </c>
      <c r="H510" s="904">
        <f t="shared" si="88"/>
        <v>6</v>
      </c>
      <c r="I510" s="904">
        <f t="shared" si="89"/>
        <v>11</v>
      </c>
      <c r="J510" s="21">
        <f t="shared" si="90"/>
        <v>10700</v>
      </c>
      <c r="K510" s="21">
        <f t="shared" si="91"/>
        <v>11526</v>
      </c>
      <c r="L510" s="21">
        <f t="shared" si="92"/>
        <v>22300</v>
      </c>
      <c r="M510" s="21">
        <f t="shared" si="93"/>
        <v>33900</v>
      </c>
      <c r="N510" s="904">
        <f t="shared" si="94"/>
        <v>499</v>
      </c>
      <c r="O510" s="21"/>
      <c r="P510" s="22" t="s">
        <v>2</v>
      </c>
      <c r="Q510" s="22">
        <v>0.63</v>
      </c>
      <c r="R510" s="904" t="s">
        <v>42</v>
      </c>
      <c r="S510" s="904" t="str">
        <f t="shared" si="95"/>
        <v>Stove</v>
      </c>
      <c r="T510" s="23">
        <f t="shared" si="96"/>
        <v>0.15607685224204398</v>
      </c>
      <c r="U510" s="23">
        <f t="shared" si="97"/>
        <v>0.45904956541777636</v>
      </c>
      <c r="V510" s="23">
        <f t="shared" si="97"/>
        <v>0.23726481125584264</v>
      </c>
      <c r="W510" s="23">
        <f t="shared" si="98"/>
        <v>0.49448647579488703</v>
      </c>
      <c r="X510" s="904">
        <f t="shared" si="99"/>
        <v>233</v>
      </c>
      <c r="Y510" s="904">
        <f t="shared" si="99"/>
        <v>245</v>
      </c>
      <c r="Z510" s="904">
        <f t="shared" si="99"/>
        <v>217</v>
      </c>
      <c r="AA510" s="904">
        <f t="shared" si="87"/>
        <v>184</v>
      </c>
      <c r="AB510" s="24">
        <v>82</v>
      </c>
    </row>
    <row r="511" spans="1:28" x14ac:dyDescent="0.25">
      <c r="A511" s="903"/>
      <c r="B511" t="s">
        <v>1087</v>
      </c>
      <c r="C511" s="906" t="s">
        <v>1092</v>
      </c>
      <c r="D511" s="25">
        <v>2.6</v>
      </c>
      <c r="E511" s="903">
        <v>235</v>
      </c>
      <c r="F511" s="903">
        <v>66</v>
      </c>
      <c r="G511" s="903" t="s">
        <v>137</v>
      </c>
      <c r="H511" s="904">
        <f t="shared" si="88"/>
        <v>6</v>
      </c>
      <c r="I511" s="904">
        <f t="shared" si="89"/>
        <v>11</v>
      </c>
      <c r="J511" s="21">
        <f t="shared" si="90"/>
        <v>12000</v>
      </c>
      <c r="K511" s="21">
        <f t="shared" si="91"/>
        <v>15334.000000000002</v>
      </c>
      <c r="L511" s="21">
        <f t="shared" si="92"/>
        <v>28550</v>
      </c>
      <c r="M511" s="21">
        <f t="shared" si="93"/>
        <v>45100</v>
      </c>
      <c r="N511" s="904">
        <f t="shared" si="94"/>
        <v>840</v>
      </c>
      <c r="O511" s="21"/>
      <c r="P511" s="22" t="s">
        <v>2</v>
      </c>
      <c r="Q511" s="22">
        <v>0.63</v>
      </c>
      <c r="R511" s="904" t="s">
        <v>42</v>
      </c>
      <c r="S511" s="904" t="str">
        <f t="shared" si="95"/>
        <v>Insert</v>
      </c>
      <c r="T511" s="23">
        <f t="shared" si="96"/>
        <v>0.12709362302858238</v>
      </c>
      <c r="U511" s="23">
        <f t="shared" si="97"/>
        <v>0.37380477361347753</v>
      </c>
      <c r="V511" s="23">
        <f t="shared" si="97"/>
        <v>0.20076785984550141</v>
      </c>
      <c r="W511" s="23">
        <f t="shared" si="98"/>
        <v>0.47766019988242209</v>
      </c>
      <c r="X511" s="904">
        <f t="shared" si="99"/>
        <v>161</v>
      </c>
      <c r="Y511" s="904">
        <f t="shared" si="99"/>
        <v>168</v>
      </c>
      <c r="Z511" s="904">
        <f t="shared" si="99"/>
        <v>166</v>
      </c>
      <c r="AA511" s="904">
        <f t="shared" si="87"/>
        <v>170</v>
      </c>
      <c r="AB511" s="24">
        <v>47</v>
      </c>
    </row>
    <row r="512" spans="1:28" x14ac:dyDescent="0.25">
      <c r="A512" s="903"/>
      <c r="B512" t="s">
        <v>1087</v>
      </c>
      <c r="C512" s="906" t="s">
        <v>1093</v>
      </c>
      <c r="D512" s="25">
        <v>1.94</v>
      </c>
      <c r="E512" s="903">
        <v>122</v>
      </c>
      <c r="F512" s="903">
        <v>29</v>
      </c>
      <c r="G512" s="903" t="s">
        <v>135</v>
      </c>
      <c r="H512" s="904">
        <f t="shared" si="88"/>
        <v>5</v>
      </c>
      <c r="I512" s="904">
        <f t="shared" si="89"/>
        <v>10</v>
      </c>
      <c r="J512" s="21">
        <f t="shared" si="90"/>
        <v>9300</v>
      </c>
      <c r="K512" s="21">
        <f t="shared" si="91"/>
        <v>14348.000000000002</v>
      </c>
      <c r="L512" s="21">
        <f t="shared" si="92"/>
        <v>25750</v>
      </c>
      <c r="M512" s="21">
        <f t="shared" si="93"/>
        <v>42200</v>
      </c>
      <c r="N512" s="904">
        <f t="shared" si="94"/>
        <v>735</v>
      </c>
      <c r="O512" s="21"/>
      <c r="P512" s="22" t="s">
        <v>2</v>
      </c>
      <c r="Q512" s="22">
        <v>0.63</v>
      </c>
      <c r="R512" s="904" t="s">
        <v>42</v>
      </c>
      <c r="S512" s="904" t="str">
        <f t="shared" si="95"/>
        <v>Insert</v>
      </c>
      <c r="T512" s="23">
        <f t="shared" si="96"/>
        <v>0.10134824510811873</v>
      </c>
      <c r="U512" s="23">
        <f t="shared" si="97"/>
        <v>0.29808307384740801</v>
      </c>
      <c r="V512" s="23">
        <f t="shared" si="97"/>
        <v>0.16609304635194602</v>
      </c>
      <c r="W512" s="23">
        <f t="shared" si="98"/>
        <v>0.45988128425404412</v>
      </c>
      <c r="X512" s="904">
        <f t="shared" si="99"/>
        <v>83</v>
      </c>
      <c r="Y512" s="904">
        <f t="shared" si="99"/>
        <v>97</v>
      </c>
      <c r="Z512" s="904">
        <f t="shared" si="99"/>
        <v>98</v>
      </c>
      <c r="AA512" s="904">
        <f t="shared" si="87"/>
        <v>154</v>
      </c>
      <c r="AB512" s="24">
        <v>20</v>
      </c>
    </row>
    <row r="513" spans="1:28" x14ac:dyDescent="0.25">
      <c r="A513" s="903" t="s">
        <v>77</v>
      </c>
      <c r="B513" t="s">
        <v>1094</v>
      </c>
      <c r="C513" s="906" t="s">
        <v>1095</v>
      </c>
      <c r="D513" s="25">
        <v>2.6</v>
      </c>
      <c r="E513" s="903">
        <v>235</v>
      </c>
      <c r="F513" s="903">
        <v>69</v>
      </c>
      <c r="G513" s="903" t="s">
        <v>1096</v>
      </c>
      <c r="H513" s="904">
        <f t="shared" si="88"/>
        <v>5</v>
      </c>
      <c r="I513" s="904">
        <f t="shared" si="89"/>
        <v>10</v>
      </c>
      <c r="J513" s="21">
        <f t="shared" si="90"/>
        <v>8400</v>
      </c>
      <c r="K513" s="21">
        <f t="shared" si="91"/>
        <v>18768</v>
      </c>
      <c r="L513" s="21">
        <f t="shared" si="92"/>
        <v>31800</v>
      </c>
      <c r="M513" s="21">
        <f t="shared" si="93"/>
        <v>55200</v>
      </c>
      <c r="N513" s="904">
        <f t="shared" si="94"/>
        <v>902</v>
      </c>
      <c r="O513" s="21"/>
      <c r="P513" s="22" t="s">
        <v>2</v>
      </c>
      <c r="Q513" s="22">
        <v>0.78</v>
      </c>
      <c r="R513" s="904" t="s">
        <v>15</v>
      </c>
      <c r="S513" s="904" t="str">
        <f t="shared" si="95"/>
        <v>Stove</v>
      </c>
      <c r="T513" s="23">
        <f t="shared" si="96"/>
        <v>0.10383917388748307</v>
      </c>
      <c r="U513" s="23">
        <f t="shared" si="97"/>
        <v>0.30540933496318545</v>
      </c>
      <c r="V513" s="23">
        <f t="shared" si="97"/>
        <v>0.18024913203110268</v>
      </c>
      <c r="W513" s="23">
        <f t="shared" si="98"/>
        <v>0.68237171411774589</v>
      </c>
      <c r="X513" s="904">
        <f t="shared" si="99"/>
        <v>94</v>
      </c>
      <c r="Y513" s="904">
        <f t="shared" si="99"/>
        <v>110</v>
      </c>
      <c r="Z513" s="904">
        <f t="shared" si="99"/>
        <v>131</v>
      </c>
      <c r="AA513" s="904">
        <f t="shared" si="87"/>
        <v>399</v>
      </c>
      <c r="AB513" s="24">
        <v>39</v>
      </c>
    </row>
    <row r="514" spans="1:28" x14ac:dyDescent="0.25">
      <c r="A514" s="903"/>
      <c r="B514" t="s">
        <v>1097</v>
      </c>
      <c r="C514" s="906" t="s">
        <v>1098</v>
      </c>
      <c r="D514" s="25">
        <v>4.4000000000000004</v>
      </c>
      <c r="E514" s="903">
        <v>660</v>
      </c>
      <c r="F514" s="903">
        <v>338</v>
      </c>
      <c r="G514" s="903" t="s">
        <v>1099</v>
      </c>
      <c r="H514" s="904">
        <f t="shared" si="88"/>
        <v>6</v>
      </c>
      <c r="I514" s="904">
        <f t="shared" si="89"/>
        <v>11</v>
      </c>
      <c r="J514" s="21">
        <f t="shared" si="90"/>
        <v>11817</v>
      </c>
      <c r="K514" s="21">
        <f t="shared" si="91"/>
        <v>11817</v>
      </c>
      <c r="L514" s="21">
        <f t="shared" si="92"/>
        <v>22040</v>
      </c>
      <c r="M514" s="21">
        <f t="shared" si="93"/>
        <v>32263</v>
      </c>
      <c r="N514" s="904">
        <f t="shared" si="94"/>
        <v>478</v>
      </c>
      <c r="O514" s="21"/>
      <c r="P514" s="22" t="s">
        <v>2</v>
      </c>
      <c r="Q514" s="22">
        <v>0.63</v>
      </c>
      <c r="R514" s="904" t="s">
        <v>42</v>
      </c>
      <c r="S514" s="904" t="str">
        <f t="shared" si="95"/>
        <v>Stove</v>
      </c>
      <c r="T514" s="23">
        <f t="shared" si="96"/>
        <v>0.30065946647376351</v>
      </c>
      <c r="U514" s="23">
        <f t="shared" si="97"/>
        <v>0.82086624074156156</v>
      </c>
      <c r="V514" s="23">
        <f t="shared" si="97"/>
        <v>0.4401168950473246</v>
      </c>
      <c r="W514" s="23">
        <f t="shared" si="98"/>
        <v>0.82086624074156156</v>
      </c>
      <c r="X514" s="904">
        <f t="shared" si="99"/>
        <v>672</v>
      </c>
      <c r="Y514" s="904">
        <f t="shared" si="99"/>
        <v>686</v>
      </c>
      <c r="Z514" s="904">
        <f t="shared" si="99"/>
        <v>657</v>
      </c>
      <c r="AA514" s="904">
        <f t="shared" si="87"/>
        <v>559</v>
      </c>
      <c r="AB514" s="24">
        <v>375</v>
      </c>
    </row>
    <row r="515" spans="1:28" x14ac:dyDescent="0.25">
      <c r="A515" s="903"/>
      <c r="B515" t="s">
        <v>1097</v>
      </c>
      <c r="C515" s="906" t="s">
        <v>1100</v>
      </c>
      <c r="D515" s="25">
        <v>3.6</v>
      </c>
      <c r="E515" s="903">
        <v>467</v>
      </c>
      <c r="F515" s="903">
        <v>76</v>
      </c>
      <c r="G515" s="903" t="s">
        <v>1101</v>
      </c>
      <c r="H515" s="904">
        <f t="shared" si="88"/>
        <v>6</v>
      </c>
      <c r="I515" s="904">
        <f t="shared" si="89"/>
        <v>11</v>
      </c>
      <c r="J515" s="21">
        <f t="shared" si="90"/>
        <v>10024</v>
      </c>
      <c r="K515" s="21">
        <f t="shared" si="91"/>
        <v>10631.12</v>
      </c>
      <c r="L515" s="21">
        <f t="shared" si="92"/>
        <v>20646</v>
      </c>
      <c r="M515" s="21">
        <f t="shared" si="93"/>
        <v>31268</v>
      </c>
      <c r="N515" s="904">
        <f t="shared" si="94"/>
        <v>374</v>
      </c>
      <c r="O515" s="21"/>
      <c r="P515" s="22" t="s">
        <v>2</v>
      </c>
      <c r="Q515" s="22">
        <v>0.78</v>
      </c>
      <c r="R515" s="904" t="s">
        <v>15</v>
      </c>
      <c r="S515" s="904" t="str">
        <f t="shared" si="95"/>
        <v>Stove</v>
      </c>
      <c r="T515" s="23">
        <f t="shared" si="96"/>
        <v>0.25382205246603351</v>
      </c>
      <c r="U515" s="23">
        <f t="shared" si="97"/>
        <v>0.74653544842951025</v>
      </c>
      <c r="V515" s="23">
        <f t="shared" si="97"/>
        <v>0.38440898655952421</v>
      </c>
      <c r="W515" s="23">
        <f t="shared" si="98"/>
        <v>0.79175059222944288</v>
      </c>
      <c r="X515" s="904">
        <f t="shared" si="99"/>
        <v>569</v>
      </c>
      <c r="Y515" s="904">
        <f t="shared" si="99"/>
        <v>610</v>
      </c>
      <c r="Z515" s="904">
        <f t="shared" si="99"/>
        <v>569</v>
      </c>
      <c r="AA515" s="904">
        <f t="shared" si="87"/>
        <v>519</v>
      </c>
      <c r="AB515" s="24">
        <v>77</v>
      </c>
    </row>
    <row r="516" spans="1:28" x14ac:dyDescent="0.25">
      <c r="A516" s="903"/>
      <c r="B516" t="s">
        <v>1102</v>
      </c>
      <c r="C516" s="906" t="s">
        <v>1103</v>
      </c>
      <c r="D516" s="25">
        <v>6.4</v>
      </c>
      <c r="E516" s="903">
        <v>868</v>
      </c>
      <c r="F516" s="903">
        <v>514</v>
      </c>
      <c r="G516" s="903" t="s">
        <v>1104</v>
      </c>
      <c r="H516" s="904">
        <f t="shared" si="88"/>
        <v>6</v>
      </c>
      <c r="I516" s="904">
        <f t="shared" si="89"/>
        <v>11</v>
      </c>
      <c r="J516" s="21">
        <f t="shared" si="90"/>
        <v>11721</v>
      </c>
      <c r="K516" s="21">
        <f t="shared" si="91"/>
        <v>11721</v>
      </c>
      <c r="L516" s="21">
        <f t="shared" si="92"/>
        <v>18790</v>
      </c>
      <c r="M516" s="21">
        <f t="shared" si="93"/>
        <v>25859</v>
      </c>
      <c r="N516" s="904">
        <f t="shared" si="94"/>
        <v>217</v>
      </c>
      <c r="O516" s="21"/>
      <c r="P516" s="22" t="s">
        <v>2</v>
      </c>
      <c r="Q516" s="22">
        <v>0.63</v>
      </c>
      <c r="R516" s="904" t="s">
        <v>42</v>
      </c>
      <c r="S516" s="904" t="str">
        <f t="shared" si="95"/>
        <v>Stove</v>
      </c>
      <c r="T516" s="23">
        <f t="shared" si="96"/>
        <v>0.5456261820905981</v>
      </c>
      <c r="U516" s="23">
        <f t="shared" si="97"/>
        <v>1.2037665252692411</v>
      </c>
      <c r="V516" s="23">
        <f t="shared" si="97"/>
        <v>0.75089661749232439</v>
      </c>
      <c r="W516" s="23">
        <f t="shared" si="98"/>
        <v>1.2037665252692411</v>
      </c>
      <c r="X516" s="904">
        <f t="shared" si="99"/>
        <v>919</v>
      </c>
      <c r="Y516" s="904">
        <f t="shared" si="99"/>
        <v>886</v>
      </c>
      <c r="Z516" s="904">
        <f t="shared" si="99"/>
        <v>912</v>
      </c>
      <c r="AA516" s="904">
        <f t="shared" si="87"/>
        <v>821</v>
      </c>
      <c r="AB516" s="24">
        <v>532</v>
      </c>
    </row>
    <row r="517" spans="1:28" x14ac:dyDescent="0.25">
      <c r="A517" s="903" t="s">
        <v>77</v>
      </c>
      <c r="B517" t="s">
        <v>1105</v>
      </c>
      <c r="C517" s="906" t="s">
        <v>1106</v>
      </c>
      <c r="D517" s="25">
        <v>3</v>
      </c>
      <c r="E517" s="903">
        <v>322</v>
      </c>
      <c r="F517" s="903">
        <v>134</v>
      </c>
      <c r="G517" s="903" t="s">
        <v>1107</v>
      </c>
      <c r="H517" s="904">
        <f t="shared" si="88"/>
        <v>5</v>
      </c>
      <c r="I517" s="904">
        <f t="shared" si="89"/>
        <v>10</v>
      </c>
      <c r="J517" s="21">
        <f t="shared" si="90"/>
        <v>9700</v>
      </c>
      <c r="K517" s="21">
        <f t="shared" si="91"/>
        <v>9700</v>
      </c>
      <c r="L517" s="21">
        <f t="shared" si="92"/>
        <v>18800</v>
      </c>
      <c r="M517" s="21">
        <f t="shared" si="93"/>
        <v>27900</v>
      </c>
      <c r="N517" s="904">
        <f t="shared" si="94"/>
        <v>219</v>
      </c>
      <c r="O517" s="21"/>
      <c r="P517" s="22" t="s">
        <v>2</v>
      </c>
      <c r="Q517" s="22">
        <v>0.72</v>
      </c>
      <c r="R517" s="904" t="s">
        <v>38</v>
      </c>
      <c r="S517" s="904" t="str">
        <f t="shared" si="95"/>
        <v>Stove</v>
      </c>
      <c r="T517" s="23">
        <f t="shared" si="96"/>
        <v>0.23705220837837326</v>
      </c>
      <c r="U517" s="23">
        <f t="shared" si="97"/>
        <v>0.68183057873779518</v>
      </c>
      <c r="V517" s="23">
        <f t="shared" si="97"/>
        <v>0.351795564561522</v>
      </c>
      <c r="W517" s="23">
        <f t="shared" si="98"/>
        <v>0.68183057873779518</v>
      </c>
      <c r="X517" s="904">
        <f t="shared" si="99"/>
        <v>519</v>
      </c>
      <c r="Y517" s="904">
        <f t="shared" si="99"/>
        <v>545</v>
      </c>
      <c r="Z517" s="904">
        <f t="shared" si="99"/>
        <v>494</v>
      </c>
      <c r="AA517" s="904">
        <f t="shared" si="87"/>
        <v>398</v>
      </c>
      <c r="AB517" s="24">
        <v>204</v>
      </c>
    </row>
    <row r="518" spans="1:28" x14ac:dyDescent="0.25">
      <c r="A518" s="903" t="s">
        <v>77</v>
      </c>
      <c r="B518" t="s">
        <v>1105</v>
      </c>
      <c r="C518" s="906" t="s">
        <v>1108</v>
      </c>
      <c r="D518" s="25">
        <v>3.8</v>
      </c>
      <c r="E518" s="903">
        <v>518</v>
      </c>
      <c r="F518" s="903">
        <v>205</v>
      </c>
      <c r="G518" s="903" t="s">
        <v>1109</v>
      </c>
      <c r="H518" s="904">
        <f t="shared" si="88"/>
        <v>5</v>
      </c>
      <c r="I518" s="904">
        <f t="shared" si="89"/>
        <v>10</v>
      </c>
      <c r="J518" s="21">
        <f t="shared" si="90"/>
        <v>9400</v>
      </c>
      <c r="K518" s="21">
        <f t="shared" si="91"/>
        <v>12036</v>
      </c>
      <c r="L518" s="21">
        <f t="shared" si="92"/>
        <v>22400</v>
      </c>
      <c r="M518" s="21">
        <f t="shared" si="93"/>
        <v>35400</v>
      </c>
      <c r="N518" s="904">
        <f t="shared" si="94"/>
        <v>509</v>
      </c>
      <c r="O518" s="21"/>
      <c r="P518" s="22" t="s">
        <v>2</v>
      </c>
      <c r="Q518" s="22">
        <v>0.72</v>
      </c>
      <c r="R518" s="904" t="s">
        <v>38</v>
      </c>
      <c r="S518" s="904" t="str">
        <f t="shared" si="95"/>
        <v>Stove</v>
      </c>
      <c r="T518" s="23">
        <f t="shared" si="96"/>
        <v>0.23665042497434211</v>
      </c>
      <c r="U518" s="23">
        <f t="shared" si="97"/>
        <v>0.69603066168924144</v>
      </c>
      <c r="V518" s="23">
        <f t="shared" si="97"/>
        <v>0.37399218946837992</v>
      </c>
      <c r="W518" s="23">
        <f t="shared" si="98"/>
        <v>0.89121543022252248</v>
      </c>
      <c r="X518" s="904">
        <f t="shared" si="99"/>
        <v>517</v>
      </c>
      <c r="Y518" s="904">
        <f t="shared" si="99"/>
        <v>564</v>
      </c>
      <c r="Z518" s="904">
        <f t="shared" si="99"/>
        <v>553</v>
      </c>
      <c r="AA518" s="904">
        <f t="shared" si="87"/>
        <v>639</v>
      </c>
      <c r="AB518" s="24">
        <v>211</v>
      </c>
    </row>
    <row r="519" spans="1:28" x14ac:dyDescent="0.25">
      <c r="A519" s="903" t="s">
        <v>77</v>
      </c>
      <c r="B519" t="s">
        <v>1105</v>
      </c>
      <c r="C519" s="906" t="s">
        <v>1110</v>
      </c>
      <c r="D519" s="25">
        <v>4.8</v>
      </c>
      <c r="E519" s="903">
        <v>740</v>
      </c>
      <c r="F519" s="903">
        <v>255</v>
      </c>
      <c r="G519" s="903" t="s">
        <v>1111</v>
      </c>
      <c r="H519" s="904">
        <f t="shared" si="88"/>
        <v>5</v>
      </c>
      <c r="I519" s="904">
        <f t="shared" si="89"/>
        <v>10</v>
      </c>
      <c r="J519" s="21">
        <f t="shared" si="90"/>
        <v>9900</v>
      </c>
      <c r="K519" s="21">
        <f t="shared" si="91"/>
        <v>10200</v>
      </c>
      <c r="L519" s="21">
        <f t="shared" si="92"/>
        <v>19950</v>
      </c>
      <c r="M519" s="21">
        <f t="shared" si="93"/>
        <v>30000</v>
      </c>
      <c r="N519" s="904">
        <f t="shared" si="94"/>
        <v>316</v>
      </c>
      <c r="O519" s="21"/>
      <c r="P519" s="22" t="s">
        <v>2</v>
      </c>
      <c r="Q519" s="22">
        <v>0.72</v>
      </c>
      <c r="R519" s="904" t="s">
        <v>38</v>
      </c>
      <c r="S519" s="904" t="str">
        <f t="shared" si="95"/>
        <v>Stove</v>
      </c>
      <c r="T519" s="23">
        <f t="shared" si="96"/>
        <v>0.35273368606701938</v>
      </c>
      <c r="U519" s="23">
        <f t="shared" si="97"/>
        <v>1.0374520178441746</v>
      </c>
      <c r="V519" s="23">
        <f t="shared" si="97"/>
        <v>0.53042659558950289</v>
      </c>
      <c r="W519" s="23">
        <f t="shared" si="98"/>
        <v>1.0688899577788467</v>
      </c>
      <c r="X519" s="904">
        <f t="shared" si="99"/>
        <v>768</v>
      </c>
      <c r="Y519" s="904">
        <f t="shared" si="99"/>
        <v>825</v>
      </c>
      <c r="Z519" s="904">
        <f t="shared" si="99"/>
        <v>777</v>
      </c>
      <c r="AA519" s="904">
        <f t="shared" si="87"/>
        <v>759</v>
      </c>
      <c r="AB519" s="24">
        <v>258</v>
      </c>
    </row>
    <row r="520" spans="1:28" x14ac:dyDescent="0.25">
      <c r="A520" s="903" t="s">
        <v>77</v>
      </c>
      <c r="B520" t="s">
        <v>1105</v>
      </c>
      <c r="C520" s="906" t="s">
        <v>1112</v>
      </c>
      <c r="D520" s="25">
        <v>3.8</v>
      </c>
      <c r="E520" s="903">
        <v>518</v>
      </c>
      <c r="F520" s="903">
        <v>205</v>
      </c>
      <c r="G520" s="903" t="s">
        <v>1113</v>
      </c>
      <c r="H520" s="904">
        <f t="shared" si="88"/>
        <v>5</v>
      </c>
      <c r="I520" s="904">
        <f t="shared" si="89"/>
        <v>10</v>
      </c>
      <c r="J520" s="21">
        <f t="shared" si="90"/>
        <v>5700</v>
      </c>
      <c r="K520" s="21">
        <f t="shared" si="91"/>
        <v>12002</v>
      </c>
      <c r="L520" s="21">
        <f t="shared" si="92"/>
        <v>20500</v>
      </c>
      <c r="M520" s="21">
        <f t="shared" si="93"/>
        <v>35300</v>
      </c>
      <c r="N520" s="904">
        <f t="shared" si="94"/>
        <v>362</v>
      </c>
      <c r="O520" s="21"/>
      <c r="P520" s="22" t="s">
        <v>2</v>
      </c>
      <c r="Q520" s="22">
        <v>0.72</v>
      </c>
      <c r="R520" s="904" t="s">
        <v>38</v>
      </c>
      <c r="S520" s="904" t="str">
        <f t="shared" si="95"/>
        <v>Stove</v>
      </c>
      <c r="T520" s="23">
        <f t="shared" si="96"/>
        <v>0.23732082277880201</v>
      </c>
      <c r="U520" s="23">
        <f t="shared" si="97"/>
        <v>0.69800241993765288</v>
      </c>
      <c r="V520" s="23">
        <f t="shared" si="97"/>
        <v>0.40865488019959567</v>
      </c>
      <c r="W520" s="23">
        <f t="shared" si="98"/>
        <v>1.4697236919459142</v>
      </c>
      <c r="X520" s="904">
        <f t="shared" si="99"/>
        <v>520</v>
      </c>
      <c r="Y520" s="904">
        <f t="shared" si="99"/>
        <v>566</v>
      </c>
      <c r="Z520" s="904">
        <f t="shared" si="99"/>
        <v>612</v>
      </c>
      <c r="AA520" s="904">
        <f t="shared" si="87"/>
        <v>917</v>
      </c>
      <c r="AB520" s="24">
        <v>213</v>
      </c>
    </row>
    <row r="521" spans="1:28" x14ac:dyDescent="0.25">
      <c r="A521" s="903" t="s">
        <v>77</v>
      </c>
      <c r="B521" t="s">
        <v>1105</v>
      </c>
      <c r="C521" s="906" t="s">
        <v>1114</v>
      </c>
      <c r="D521" s="25">
        <v>3</v>
      </c>
      <c r="E521" s="903">
        <v>322</v>
      </c>
      <c r="F521" s="903">
        <v>134</v>
      </c>
      <c r="G521" s="903" t="s">
        <v>1115</v>
      </c>
      <c r="H521" s="904">
        <f t="shared" si="88"/>
        <v>6</v>
      </c>
      <c r="I521" s="904">
        <f t="shared" si="89"/>
        <v>11</v>
      </c>
      <c r="J521" s="21">
        <f t="shared" si="90"/>
        <v>13900</v>
      </c>
      <c r="K521" s="21">
        <f t="shared" si="91"/>
        <v>13900</v>
      </c>
      <c r="L521" s="21">
        <f t="shared" si="92"/>
        <v>24800</v>
      </c>
      <c r="M521" s="21">
        <f t="shared" si="93"/>
        <v>35700</v>
      </c>
      <c r="N521" s="904">
        <f t="shared" si="94"/>
        <v>677</v>
      </c>
      <c r="O521" s="21"/>
      <c r="P521" s="22" t="s">
        <v>2</v>
      </c>
      <c r="Q521" s="22">
        <v>0.72</v>
      </c>
      <c r="R521" s="904" t="s">
        <v>38</v>
      </c>
      <c r="S521" s="904" t="str">
        <f t="shared" si="95"/>
        <v>Stove</v>
      </c>
      <c r="T521" s="23">
        <f t="shared" si="96"/>
        <v>0.18525928890074547</v>
      </c>
      <c r="U521" s="23">
        <f t="shared" si="97"/>
        <v>0.47580982832781393</v>
      </c>
      <c r="V521" s="23">
        <f t="shared" si="97"/>
        <v>0.26668373442566989</v>
      </c>
      <c r="W521" s="23">
        <f t="shared" si="98"/>
        <v>0.47580982832781393</v>
      </c>
      <c r="X521" s="904">
        <f t="shared" si="99"/>
        <v>329</v>
      </c>
      <c r="Y521" s="904">
        <f t="shared" si="99"/>
        <v>259</v>
      </c>
      <c r="Z521" s="904">
        <f t="shared" si="99"/>
        <v>275</v>
      </c>
      <c r="AA521" s="904">
        <f t="shared" si="87"/>
        <v>167</v>
      </c>
      <c r="AB521" s="24">
        <v>103</v>
      </c>
    </row>
    <row r="522" spans="1:28" x14ac:dyDescent="0.25">
      <c r="A522" s="903" t="s">
        <v>77</v>
      </c>
      <c r="B522" t="s">
        <v>1105</v>
      </c>
      <c r="C522" s="906" t="s">
        <v>1114</v>
      </c>
      <c r="D522" s="25">
        <v>2.4</v>
      </c>
      <c r="E522" s="903">
        <v>196</v>
      </c>
      <c r="F522" s="903">
        <v>75</v>
      </c>
      <c r="G522" s="903" t="s">
        <v>178</v>
      </c>
      <c r="H522" s="904">
        <f t="shared" si="88"/>
        <v>5</v>
      </c>
      <c r="I522" s="904">
        <f t="shared" si="89"/>
        <v>10</v>
      </c>
      <c r="J522" s="21">
        <f t="shared" si="90"/>
        <v>7200</v>
      </c>
      <c r="K522" s="21">
        <f t="shared" si="91"/>
        <v>10030</v>
      </c>
      <c r="L522" s="21">
        <f t="shared" si="92"/>
        <v>18350</v>
      </c>
      <c r="M522" s="21">
        <f t="shared" si="93"/>
        <v>29500</v>
      </c>
      <c r="N522" s="904">
        <f t="shared" si="94"/>
        <v>180</v>
      </c>
      <c r="O522" s="21"/>
      <c r="P522" s="22" t="s">
        <v>2</v>
      </c>
      <c r="Q522" s="22">
        <v>0.72</v>
      </c>
      <c r="R522" s="904" t="s">
        <v>38</v>
      </c>
      <c r="S522" s="904" t="str">
        <f t="shared" si="95"/>
        <v>Stove</v>
      </c>
      <c r="T522" s="23">
        <f t="shared" si="96"/>
        <v>0.1793561115595014</v>
      </c>
      <c r="U522" s="23">
        <f t="shared" si="97"/>
        <v>0.52751797517500409</v>
      </c>
      <c r="V522" s="23">
        <f t="shared" si="97"/>
        <v>0.28833816299756354</v>
      </c>
      <c r="W522" s="23">
        <f t="shared" si="98"/>
        <v>0.73486184597295712</v>
      </c>
      <c r="X522" s="904">
        <f t="shared" si="99"/>
        <v>311</v>
      </c>
      <c r="Y522" s="904">
        <f t="shared" si="99"/>
        <v>334</v>
      </c>
      <c r="Z522" s="904">
        <f t="shared" si="99"/>
        <v>327</v>
      </c>
      <c r="AA522" s="904">
        <f t="shared" si="99"/>
        <v>441</v>
      </c>
      <c r="AB522" s="24">
        <v>136</v>
      </c>
    </row>
    <row r="523" spans="1:28" x14ac:dyDescent="0.25">
      <c r="A523" s="903" t="s">
        <v>77</v>
      </c>
      <c r="B523" t="s">
        <v>1105</v>
      </c>
      <c r="C523" s="906" t="s">
        <v>1114</v>
      </c>
      <c r="D523" s="25">
        <v>5.3</v>
      </c>
      <c r="E523" s="903">
        <v>792</v>
      </c>
      <c r="F523" s="903">
        <v>266</v>
      </c>
      <c r="G523" s="903" t="s">
        <v>1116</v>
      </c>
      <c r="H523" s="904">
        <f t="shared" ref="H523:H586" si="100">FIND("-",$G523)</f>
        <v>5</v>
      </c>
      <c r="I523" s="904">
        <f t="shared" ref="I523:I586" si="101">LEN($G523)</f>
        <v>10</v>
      </c>
      <c r="J523" s="21">
        <f t="shared" ref="J523:J586" si="102">VALUE(LEFT($G523,H523-1))</f>
        <v>5200</v>
      </c>
      <c r="K523" s="21">
        <f t="shared" ref="K523:K586" si="103">IF(K$8*M523&gt;J523,K$8*M523,J523)</f>
        <v>11288</v>
      </c>
      <c r="L523" s="21">
        <f t="shared" ref="L523:L586" si="104">AVERAGE(J523,M523)</f>
        <v>19200</v>
      </c>
      <c r="M523" s="21">
        <f t="shared" ref="M523:M586" si="105">VALUE(RIGHT($G523,I523-H523))</f>
        <v>33200</v>
      </c>
      <c r="N523" s="904">
        <f t="shared" ref="N523:N586" si="106">RANK($L523,$L$11:$L$973,1)</f>
        <v>255</v>
      </c>
      <c r="O523" s="21"/>
      <c r="P523" s="22" t="s">
        <v>2</v>
      </c>
      <c r="Q523" s="22">
        <v>0.72</v>
      </c>
      <c r="R523" s="904" t="s">
        <v>38</v>
      </c>
      <c r="S523" s="904" t="str">
        <f t="shared" ref="S523:S586" si="107">IF(AND(ISERROR(FIND("Insert",B523&amp;C523)),ISERROR(FIND("insert",B523&amp;C523))),"Stove","Insert")</f>
        <v>Stove</v>
      </c>
      <c r="T523" s="23">
        <f t="shared" ref="T523:T586" si="108">$D523*10^6/(M523*453.6)</f>
        <v>0.35193684792078367</v>
      </c>
      <c r="U523" s="23">
        <f t="shared" ref="U523:V586" si="109">$D523*10^6/(K523*453.6)</f>
        <v>1.035108376237599</v>
      </c>
      <c r="V523" s="23">
        <f t="shared" si="109"/>
        <v>0.60855746619635509</v>
      </c>
      <c r="W523" s="23">
        <f t="shared" ref="W523:W586" si="110">$D523*10^6/(J523*453.6)</f>
        <v>2.2469814136480801</v>
      </c>
      <c r="X523" s="904">
        <f t="shared" ref="X523:AA586" si="111">RANK(T523,T$11:T$973,1)</f>
        <v>766</v>
      </c>
      <c r="Y523" s="904">
        <f t="shared" si="111"/>
        <v>821</v>
      </c>
      <c r="Z523" s="904">
        <f t="shared" si="111"/>
        <v>844</v>
      </c>
      <c r="AA523" s="904">
        <f t="shared" si="111"/>
        <v>952</v>
      </c>
      <c r="AB523" s="24">
        <v>256</v>
      </c>
    </row>
    <row r="524" spans="1:28" x14ac:dyDescent="0.25">
      <c r="A524" s="903"/>
      <c r="B524" t="s">
        <v>1117</v>
      </c>
      <c r="C524" s="906" t="s">
        <v>1118</v>
      </c>
      <c r="D524" s="25">
        <v>4.5</v>
      </c>
      <c r="E524" s="903">
        <v>700</v>
      </c>
      <c r="F524" s="903">
        <v>376</v>
      </c>
      <c r="G524" s="903" t="s">
        <v>1119</v>
      </c>
      <c r="H524" s="904">
        <f t="shared" si="100"/>
        <v>6</v>
      </c>
      <c r="I524" s="904">
        <f t="shared" si="101"/>
        <v>11</v>
      </c>
      <c r="J524" s="21">
        <f t="shared" si="102"/>
        <v>11479</v>
      </c>
      <c r="K524" s="21">
        <f t="shared" si="103"/>
        <v>12243.060000000001</v>
      </c>
      <c r="L524" s="21">
        <f t="shared" si="104"/>
        <v>23744</v>
      </c>
      <c r="M524" s="21">
        <f t="shared" si="105"/>
        <v>36009</v>
      </c>
      <c r="N524" s="904">
        <f t="shared" si="106"/>
        <v>612</v>
      </c>
      <c r="O524" s="21"/>
      <c r="P524" s="22" t="s">
        <v>2</v>
      </c>
      <c r="Q524" s="22">
        <v>0.63</v>
      </c>
      <c r="R524" s="904" t="s">
        <v>42</v>
      </c>
      <c r="S524" s="904" t="str">
        <f t="shared" si="107"/>
        <v>Stove</v>
      </c>
      <c r="T524" s="23">
        <f t="shared" si="108"/>
        <v>0.27550431616081872</v>
      </c>
      <c r="U524" s="23">
        <f t="shared" si="109"/>
        <v>0.81030681223770196</v>
      </c>
      <c r="V524" s="23">
        <f t="shared" si="109"/>
        <v>0.41781649766824969</v>
      </c>
      <c r="W524" s="23">
        <f t="shared" si="110"/>
        <v>0.86424208734514507</v>
      </c>
      <c r="X524" s="904">
        <f t="shared" si="111"/>
        <v>617</v>
      </c>
      <c r="Y524" s="904">
        <f t="shared" si="111"/>
        <v>670</v>
      </c>
      <c r="Z524" s="904">
        <f t="shared" si="111"/>
        <v>626</v>
      </c>
      <c r="AA524" s="904">
        <f t="shared" si="111"/>
        <v>609</v>
      </c>
      <c r="AB524" s="24">
        <v>361</v>
      </c>
    </row>
    <row r="525" spans="1:28" x14ac:dyDescent="0.25">
      <c r="A525" s="903"/>
      <c r="B525" t="s">
        <v>1117</v>
      </c>
      <c r="C525" s="906" t="s">
        <v>1120</v>
      </c>
      <c r="D525" s="25">
        <v>5.6</v>
      </c>
      <c r="E525" s="903">
        <v>820</v>
      </c>
      <c r="F525" s="903">
        <v>468</v>
      </c>
      <c r="G525" s="903" t="s">
        <v>1121</v>
      </c>
      <c r="H525" s="904">
        <f t="shared" si="100"/>
        <v>6</v>
      </c>
      <c r="I525" s="904">
        <f t="shared" si="101"/>
        <v>11</v>
      </c>
      <c r="J525" s="21">
        <f t="shared" si="102"/>
        <v>10129</v>
      </c>
      <c r="K525" s="21">
        <f t="shared" si="103"/>
        <v>11676.28</v>
      </c>
      <c r="L525" s="21">
        <f t="shared" si="104"/>
        <v>22235.5</v>
      </c>
      <c r="M525" s="21">
        <f t="shared" si="105"/>
        <v>34342</v>
      </c>
      <c r="N525" s="904">
        <f t="shared" si="106"/>
        <v>496</v>
      </c>
      <c r="O525" s="21"/>
      <c r="P525" s="22" t="s">
        <v>2</v>
      </c>
      <c r="Q525" s="22">
        <v>0.63</v>
      </c>
      <c r="R525" s="904" t="s">
        <v>42</v>
      </c>
      <c r="S525" s="904" t="str">
        <f t="shared" si="107"/>
        <v>Stove</v>
      </c>
      <c r="T525" s="23">
        <f t="shared" si="108"/>
        <v>0.35949213826642823</v>
      </c>
      <c r="U525" s="23">
        <f t="shared" si="109"/>
        <v>1.0573298184306712</v>
      </c>
      <c r="V525" s="23">
        <f t="shared" si="109"/>
        <v>0.55522380932948112</v>
      </c>
      <c r="W525" s="23">
        <f t="shared" si="110"/>
        <v>1.2188448032723544</v>
      </c>
      <c r="X525" s="904">
        <f t="shared" si="111"/>
        <v>780</v>
      </c>
      <c r="Y525" s="904">
        <f t="shared" si="111"/>
        <v>840</v>
      </c>
      <c r="Z525" s="904">
        <f t="shared" si="111"/>
        <v>807</v>
      </c>
      <c r="AA525" s="904">
        <f t="shared" si="111"/>
        <v>829</v>
      </c>
      <c r="AB525" s="24">
        <v>493</v>
      </c>
    </row>
    <row r="526" spans="1:28" x14ac:dyDescent="0.25">
      <c r="A526" s="903"/>
      <c r="B526" t="s">
        <v>1117</v>
      </c>
      <c r="C526" s="906" t="s">
        <v>1122</v>
      </c>
      <c r="D526" s="25">
        <v>3.1</v>
      </c>
      <c r="E526" s="903">
        <v>347</v>
      </c>
      <c r="F526" s="903">
        <v>130</v>
      </c>
      <c r="G526" s="903" t="s">
        <v>1123</v>
      </c>
      <c r="H526" s="904">
        <f t="shared" si="100"/>
        <v>6</v>
      </c>
      <c r="I526" s="904">
        <f t="shared" si="101"/>
        <v>11</v>
      </c>
      <c r="J526" s="21">
        <f t="shared" si="102"/>
        <v>11842</v>
      </c>
      <c r="K526" s="21">
        <f t="shared" si="103"/>
        <v>11842</v>
      </c>
      <c r="L526" s="21">
        <f t="shared" si="104"/>
        <v>23261</v>
      </c>
      <c r="M526" s="21">
        <f t="shared" si="105"/>
        <v>34680</v>
      </c>
      <c r="N526" s="904">
        <f t="shared" si="106"/>
        <v>574</v>
      </c>
      <c r="O526" s="21"/>
      <c r="P526" s="22" t="s">
        <v>2</v>
      </c>
      <c r="Q526" s="22">
        <v>0.63</v>
      </c>
      <c r="R526" s="904" t="s">
        <v>42</v>
      </c>
      <c r="S526" s="904" t="str">
        <f t="shared" si="107"/>
        <v>Stove</v>
      </c>
      <c r="T526" s="23">
        <f t="shared" si="108"/>
        <v>0.1970650278993224</v>
      </c>
      <c r="U526" s="23">
        <f t="shared" si="109"/>
        <v>0.57711663296305526</v>
      </c>
      <c r="V526" s="23">
        <f t="shared" si="109"/>
        <v>0.29380573352600925</v>
      </c>
      <c r="W526" s="23">
        <f t="shared" si="110"/>
        <v>0.57711663296305526</v>
      </c>
      <c r="X526" s="904">
        <f t="shared" si="111"/>
        <v>376</v>
      </c>
      <c r="Y526" s="904">
        <f t="shared" si="111"/>
        <v>400</v>
      </c>
      <c r="Z526" s="904">
        <f t="shared" si="111"/>
        <v>348</v>
      </c>
      <c r="AA526" s="904">
        <f t="shared" si="111"/>
        <v>271</v>
      </c>
      <c r="AB526" s="24">
        <v>169</v>
      </c>
    </row>
    <row r="527" spans="1:28" x14ac:dyDescent="0.25">
      <c r="A527" s="903"/>
      <c r="B527" t="s">
        <v>1117</v>
      </c>
      <c r="C527" s="906" t="s">
        <v>1124</v>
      </c>
      <c r="D527" s="25">
        <v>5.14</v>
      </c>
      <c r="E527" s="903">
        <v>782</v>
      </c>
      <c r="F527" s="903">
        <v>435</v>
      </c>
      <c r="G527" s="903" t="s">
        <v>1125</v>
      </c>
      <c r="H527" s="904">
        <f t="shared" si="100"/>
        <v>6</v>
      </c>
      <c r="I527" s="904">
        <f t="shared" si="101"/>
        <v>11</v>
      </c>
      <c r="J527" s="21">
        <f t="shared" si="102"/>
        <v>10500</v>
      </c>
      <c r="K527" s="21">
        <f t="shared" si="103"/>
        <v>11220</v>
      </c>
      <c r="L527" s="21">
        <f t="shared" si="104"/>
        <v>21750</v>
      </c>
      <c r="M527" s="21">
        <f t="shared" si="105"/>
        <v>33000</v>
      </c>
      <c r="N527" s="904">
        <f t="shared" si="106"/>
        <v>449</v>
      </c>
      <c r="O527" s="21"/>
      <c r="P527" s="22" t="s">
        <v>2</v>
      </c>
      <c r="Q527" s="22">
        <v>0.63</v>
      </c>
      <c r="R527" s="904" t="s">
        <v>42</v>
      </c>
      <c r="S527" s="904" t="str">
        <f t="shared" si="107"/>
        <v>Stove</v>
      </c>
      <c r="T527" s="23">
        <f t="shared" si="108"/>
        <v>0.34338089893645452</v>
      </c>
      <c r="U527" s="23">
        <f t="shared" si="109"/>
        <v>1.0099438204013367</v>
      </c>
      <c r="V527" s="23">
        <f t="shared" si="109"/>
        <v>0.52099170873117229</v>
      </c>
      <c r="W527" s="23">
        <f t="shared" si="110"/>
        <v>1.0791971109431426</v>
      </c>
      <c r="X527" s="904">
        <f t="shared" si="111"/>
        <v>757</v>
      </c>
      <c r="Y527" s="904">
        <f t="shared" si="111"/>
        <v>810</v>
      </c>
      <c r="Z527" s="904">
        <f t="shared" si="111"/>
        <v>767</v>
      </c>
      <c r="AA527" s="904">
        <f t="shared" si="111"/>
        <v>763</v>
      </c>
      <c r="AB527" s="24">
        <v>471</v>
      </c>
    </row>
    <row r="528" spans="1:28" x14ac:dyDescent="0.25">
      <c r="A528" s="903"/>
      <c r="B528" t="s">
        <v>1117</v>
      </c>
      <c r="C528" s="906" t="s">
        <v>1126</v>
      </c>
      <c r="D528" s="25">
        <v>4.5</v>
      </c>
      <c r="E528" s="903">
        <v>700</v>
      </c>
      <c r="F528" s="903">
        <v>376</v>
      </c>
      <c r="G528" s="903" t="s">
        <v>1119</v>
      </c>
      <c r="H528" s="904">
        <f t="shared" si="100"/>
        <v>6</v>
      </c>
      <c r="I528" s="904">
        <f t="shared" si="101"/>
        <v>11</v>
      </c>
      <c r="J528" s="21">
        <f t="shared" si="102"/>
        <v>11479</v>
      </c>
      <c r="K528" s="21">
        <f t="shared" si="103"/>
        <v>12243.060000000001</v>
      </c>
      <c r="L528" s="21">
        <f t="shared" si="104"/>
        <v>23744</v>
      </c>
      <c r="M528" s="21">
        <f t="shared" si="105"/>
        <v>36009</v>
      </c>
      <c r="N528" s="904">
        <f t="shared" si="106"/>
        <v>612</v>
      </c>
      <c r="O528" s="21"/>
      <c r="P528" s="22" t="s">
        <v>2</v>
      </c>
      <c r="Q528" s="22">
        <v>0.63</v>
      </c>
      <c r="R528" s="904" t="s">
        <v>42</v>
      </c>
      <c r="S528" s="904" t="str">
        <f t="shared" si="107"/>
        <v>Stove</v>
      </c>
      <c r="T528" s="23">
        <f t="shared" si="108"/>
        <v>0.27550431616081872</v>
      </c>
      <c r="U528" s="23">
        <f t="shared" si="109"/>
        <v>0.81030681223770196</v>
      </c>
      <c r="V528" s="23">
        <f t="shared" si="109"/>
        <v>0.41781649766824969</v>
      </c>
      <c r="W528" s="23">
        <f t="shared" si="110"/>
        <v>0.86424208734514507</v>
      </c>
      <c r="X528" s="904">
        <f t="shared" si="111"/>
        <v>617</v>
      </c>
      <c r="Y528" s="904">
        <f t="shared" si="111"/>
        <v>670</v>
      </c>
      <c r="Z528" s="904">
        <f t="shared" si="111"/>
        <v>626</v>
      </c>
      <c r="AA528" s="904">
        <f t="shared" si="111"/>
        <v>609</v>
      </c>
      <c r="AB528" s="24">
        <v>361</v>
      </c>
    </row>
    <row r="529" spans="1:28" x14ac:dyDescent="0.25">
      <c r="A529" s="903"/>
      <c r="B529" t="s">
        <v>1127</v>
      </c>
      <c r="C529" s="906" t="s">
        <v>1128</v>
      </c>
      <c r="D529" s="25">
        <v>1.3</v>
      </c>
      <c r="E529" s="903">
        <v>53</v>
      </c>
      <c r="F529" s="903">
        <v>25</v>
      </c>
      <c r="G529" s="903" t="s">
        <v>1129</v>
      </c>
      <c r="H529" s="904">
        <f t="shared" si="100"/>
        <v>5</v>
      </c>
      <c r="I529" s="904">
        <f t="shared" si="101"/>
        <v>10</v>
      </c>
      <c r="J529" s="21">
        <f t="shared" si="102"/>
        <v>7428</v>
      </c>
      <c r="K529" s="21">
        <f t="shared" si="103"/>
        <v>9198.02</v>
      </c>
      <c r="L529" s="21">
        <f t="shared" si="104"/>
        <v>17240.5</v>
      </c>
      <c r="M529" s="21">
        <f t="shared" si="105"/>
        <v>27053</v>
      </c>
      <c r="N529" s="904">
        <f t="shared" si="106"/>
        <v>104</v>
      </c>
      <c r="O529" s="21"/>
      <c r="P529" s="22" t="s">
        <v>2</v>
      </c>
      <c r="Q529" s="22">
        <v>0.78</v>
      </c>
      <c r="R529" s="904" t="s">
        <v>15</v>
      </c>
      <c r="S529" s="904" t="str">
        <f t="shared" si="107"/>
        <v>Stove</v>
      </c>
      <c r="T529" s="23">
        <f t="shared" si="108"/>
        <v>0.1059387572282014</v>
      </c>
      <c r="U529" s="23">
        <f t="shared" si="109"/>
        <v>0.31158458008294526</v>
      </c>
      <c r="V529" s="23">
        <f t="shared" si="109"/>
        <v>0.16623422750468561</v>
      </c>
      <c r="W529" s="23">
        <f t="shared" si="110"/>
        <v>0.38583214853184333</v>
      </c>
      <c r="X529" s="904">
        <f t="shared" si="111"/>
        <v>99</v>
      </c>
      <c r="Y529" s="904">
        <f t="shared" si="111"/>
        <v>114</v>
      </c>
      <c r="Z529" s="904">
        <f t="shared" si="111"/>
        <v>102</v>
      </c>
      <c r="AA529" s="904">
        <f t="shared" si="111"/>
        <v>97</v>
      </c>
      <c r="AB529" s="24">
        <v>40</v>
      </c>
    </row>
    <row r="530" spans="1:28" x14ac:dyDescent="0.25">
      <c r="A530" s="903"/>
      <c r="B530" t="s">
        <v>1127</v>
      </c>
      <c r="C530" s="906" t="s">
        <v>1130</v>
      </c>
      <c r="D530" s="25">
        <v>1.3</v>
      </c>
      <c r="E530" s="903">
        <v>53</v>
      </c>
      <c r="F530" s="903">
        <v>25</v>
      </c>
      <c r="G530" s="903" t="s">
        <v>1129</v>
      </c>
      <c r="H530" s="904">
        <f t="shared" si="100"/>
        <v>5</v>
      </c>
      <c r="I530" s="904">
        <f t="shared" si="101"/>
        <v>10</v>
      </c>
      <c r="J530" s="21">
        <f t="shared" si="102"/>
        <v>7428</v>
      </c>
      <c r="K530" s="21">
        <f t="shared" si="103"/>
        <v>9198.02</v>
      </c>
      <c r="L530" s="21">
        <f t="shared" si="104"/>
        <v>17240.5</v>
      </c>
      <c r="M530" s="21">
        <f t="shared" si="105"/>
        <v>27053</v>
      </c>
      <c r="N530" s="904">
        <f t="shared" si="106"/>
        <v>104</v>
      </c>
      <c r="O530" s="21"/>
      <c r="P530" s="22" t="s">
        <v>2</v>
      </c>
      <c r="Q530" s="22">
        <v>0.78</v>
      </c>
      <c r="R530" s="904" t="s">
        <v>15</v>
      </c>
      <c r="S530" s="904" t="str">
        <f t="shared" si="107"/>
        <v>Stove</v>
      </c>
      <c r="T530" s="23">
        <f t="shared" si="108"/>
        <v>0.1059387572282014</v>
      </c>
      <c r="U530" s="23">
        <f t="shared" si="109"/>
        <v>0.31158458008294526</v>
      </c>
      <c r="V530" s="23">
        <f t="shared" si="109"/>
        <v>0.16623422750468561</v>
      </c>
      <c r="W530" s="23">
        <f t="shared" si="110"/>
        <v>0.38583214853184333</v>
      </c>
      <c r="X530" s="904">
        <f t="shared" si="111"/>
        <v>99</v>
      </c>
      <c r="Y530" s="904">
        <f t="shared" si="111"/>
        <v>114</v>
      </c>
      <c r="Z530" s="904">
        <f t="shared" si="111"/>
        <v>102</v>
      </c>
      <c r="AA530" s="904">
        <f t="shared" si="111"/>
        <v>97</v>
      </c>
      <c r="AB530" s="24">
        <v>40</v>
      </c>
    </row>
    <row r="531" spans="1:28" x14ac:dyDescent="0.25">
      <c r="A531" s="903"/>
      <c r="B531" t="s">
        <v>1127</v>
      </c>
      <c r="C531" s="906" t="s">
        <v>1131</v>
      </c>
      <c r="D531" s="25">
        <v>1.8</v>
      </c>
      <c r="E531" s="903">
        <v>106</v>
      </c>
      <c r="F531" s="903">
        <v>44</v>
      </c>
      <c r="G531" s="903" t="s">
        <v>1132</v>
      </c>
      <c r="H531" s="904">
        <f t="shared" si="100"/>
        <v>5</v>
      </c>
      <c r="I531" s="904">
        <f t="shared" si="101"/>
        <v>10</v>
      </c>
      <c r="J531" s="21">
        <f t="shared" si="102"/>
        <v>9704</v>
      </c>
      <c r="K531" s="21">
        <f t="shared" si="103"/>
        <v>10797.720000000001</v>
      </c>
      <c r="L531" s="21">
        <f t="shared" si="104"/>
        <v>20731</v>
      </c>
      <c r="M531" s="21">
        <f t="shared" si="105"/>
        <v>31758</v>
      </c>
      <c r="N531" s="904">
        <f t="shared" si="106"/>
        <v>381</v>
      </c>
      <c r="O531" s="21"/>
      <c r="P531" s="22" t="s">
        <v>2</v>
      </c>
      <c r="Q531" s="22">
        <v>0.78</v>
      </c>
      <c r="R531" s="904" t="s">
        <v>15</v>
      </c>
      <c r="S531" s="904" t="str">
        <f t="shared" si="107"/>
        <v>Stove</v>
      </c>
      <c r="T531" s="23">
        <f t="shared" si="108"/>
        <v>0.12495289275942968</v>
      </c>
      <c r="U531" s="23">
        <f t="shared" si="109"/>
        <v>0.36750850811596969</v>
      </c>
      <c r="V531" s="23">
        <f t="shared" si="109"/>
        <v>0.191416427970381</v>
      </c>
      <c r="W531" s="23">
        <f t="shared" si="110"/>
        <v>0.40892971643177739</v>
      </c>
      <c r="X531" s="904">
        <f t="shared" si="111"/>
        <v>153</v>
      </c>
      <c r="Y531" s="904">
        <f t="shared" si="111"/>
        <v>163</v>
      </c>
      <c r="Z531" s="904">
        <f t="shared" si="111"/>
        <v>150</v>
      </c>
      <c r="AA531" s="904">
        <f t="shared" si="111"/>
        <v>119</v>
      </c>
      <c r="AB531" s="24">
        <v>55</v>
      </c>
    </row>
    <row r="532" spans="1:28" x14ac:dyDescent="0.25">
      <c r="A532" s="903"/>
      <c r="B532" t="s">
        <v>1127</v>
      </c>
      <c r="C532" s="906" t="s">
        <v>1133</v>
      </c>
      <c r="D532" s="25">
        <v>1.8</v>
      </c>
      <c r="E532" s="903">
        <v>106</v>
      </c>
      <c r="F532" s="903">
        <v>44</v>
      </c>
      <c r="G532" s="903" t="s">
        <v>1132</v>
      </c>
      <c r="H532" s="904">
        <f t="shared" si="100"/>
        <v>5</v>
      </c>
      <c r="I532" s="904">
        <f t="shared" si="101"/>
        <v>10</v>
      </c>
      <c r="J532" s="21">
        <f t="shared" si="102"/>
        <v>9704</v>
      </c>
      <c r="K532" s="21">
        <f t="shared" si="103"/>
        <v>10797.720000000001</v>
      </c>
      <c r="L532" s="21">
        <f t="shared" si="104"/>
        <v>20731</v>
      </c>
      <c r="M532" s="21">
        <f t="shared" si="105"/>
        <v>31758</v>
      </c>
      <c r="N532" s="904">
        <f t="shared" si="106"/>
        <v>381</v>
      </c>
      <c r="O532" s="21"/>
      <c r="P532" s="22" t="s">
        <v>2</v>
      </c>
      <c r="Q532" s="22">
        <v>0.78</v>
      </c>
      <c r="R532" s="904" t="s">
        <v>15</v>
      </c>
      <c r="S532" s="904" t="str">
        <f t="shared" si="107"/>
        <v>Stove</v>
      </c>
      <c r="T532" s="23">
        <f t="shared" si="108"/>
        <v>0.12495289275942968</v>
      </c>
      <c r="U532" s="23">
        <f t="shared" si="109"/>
        <v>0.36750850811596969</v>
      </c>
      <c r="V532" s="23">
        <f t="shared" si="109"/>
        <v>0.191416427970381</v>
      </c>
      <c r="W532" s="23">
        <f t="shared" si="110"/>
        <v>0.40892971643177739</v>
      </c>
      <c r="X532" s="904">
        <f t="shared" si="111"/>
        <v>153</v>
      </c>
      <c r="Y532" s="904">
        <f t="shared" si="111"/>
        <v>163</v>
      </c>
      <c r="Z532" s="904">
        <f t="shared" si="111"/>
        <v>150</v>
      </c>
      <c r="AA532" s="904">
        <f t="shared" si="111"/>
        <v>119</v>
      </c>
      <c r="AB532" s="24">
        <v>55</v>
      </c>
    </row>
    <row r="533" spans="1:28" x14ac:dyDescent="0.25">
      <c r="A533" s="903"/>
      <c r="B533" t="s">
        <v>1127</v>
      </c>
      <c r="C533" s="906" t="s">
        <v>1134</v>
      </c>
      <c r="D533" s="25">
        <v>1.4</v>
      </c>
      <c r="E533" s="903">
        <v>69</v>
      </c>
      <c r="F533" s="903">
        <v>31</v>
      </c>
      <c r="G533" s="903" t="s">
        <v>1135</v>
      </c>
      <c r="H533" s="904">
        <f t="shared" si="100"/>
        <v>5</v>
      </c>
      <c r="I533" s="904">
        <f t="shared" si="101"/>
        <v>10</v>
      </c>
      <c r="J533" s="21">
        <f t="shared" si="102"/>
        <v>8233</v>
      </c>
      <c r="K533" s="21">
        <f t="shared" si="103"/>
        <v>8341.2200000000012</v>
      </c>
      <c r="L533" s="21">
        <f t="shared" si="104"/>
        <v>16383</v>
      </c>
      <c r="M533" s="21">
        <f t="shared" si="105"/>
        <v>24533</v>
      </c>
      <c r="N533" s="904">
        <f t="shared" si="106"/>
        <v>76</v>
      </c>
      <c r="O533" s="21"/>
      <c r="P533" s="22" t="s">
        <v>2</v>
      </c>
      <c r="Q533" s="22">
        <v>0.78</v>
      </c>
      <c r="R533" s="904" t="s">
        <v>15</v>
      </c>
      <c r="S533" s="904" t="str">
        <f t="shared" si="107"/>
        <v>Stove</v>
      </c>
      <c r="T533" s="23">
        <f t="shared" si="108"/>
        <v>0.12580686231143437</v>
      </c>
      <c r="U533" s="23">
        <f t="shared" si="109"/>
        <v>0.37002018326892455</v>
      </c>
      <c r="V533" s="23">
        <f t="shared" si="109"/>
        <v>0.18839161039409263</v>
      </c>
      <c r="W533" s="23">
        <f t="shared" si="110"/>
        <v>0.3748839734102295</v>
      </c>
      <c r="X533" s="904">
        <f t="shared" si="111"/>
        <v>157</v>
      </c>
      <c r="Y533" s="904">
        <f t="shared" si="111"/>
        <v>166</v>
      </c>
      <c r="Z533" s="904">
        <f t="shared" si="111"/>
        <v>144</v>
      </c>
      <c r="AA533" s="904">
        <f t="shared" si="111"/>
        <v>92</v>
      </c>
      <c r="AB533" s="24">
        <v>57</v>
      </c>
    </row>
    <row r="534" spans="1:28" x14ac:dyDescent="0.25">
      <c r="A534" s="903"/>
      <c r="B534" t="s">
        <v>1127</v>
      </c>
      <c r="C534" s="906" t="s">
        <v>955</v>
      </c>
      <c r="D534" s="25">
        <v>1.3</v>
      </c>
      <c r="E534" s="903">
        <v>53</v>
      </c>
      <c r="F534" s="903">
        <v>25</v>
      </c>
      <c r="G534" s="903" t="s">
        <v>1129</v>
      </c>
      <c r="H534" s="904">
        <f t="shared" si="100"/>
        <v>5</v>
      </c>
      <c r="I534" s="904">
        <f t="shared" si="101"/>
        <v>10</v>
      </c>
      <c r="J534" s="21">
        <f t="shared" si="102"/>
        <v>7428</v>
      </c>
      <c r="K534" s="21">
        <f t="shared" si="103"/>
        <v>9198.02</v>
      </c>
      <c r="L534" s="21">
        <f t="shared" si="104"/>
        <v>17240.5</v>
      </c>
      <c r="M534" s="21">
        <f t="shared" si="105"/>
        <v>27053</v>
      </c>
      <c r="N534" s="904">
        <f t="shared" si="106"/>
        <v>104</v>
      </c>
      <c r="O534" s="21"/>
      <c r="P534" s="22" t="s">
        <v>2</v>
      </c>
      <c r="Q534" s="22">
        <v>0.78</v>
      </c>
      <c r="R534" s="904" t="s">
        <v>15</v>
      </c>
      <c r="S534" s="904" t="str">
        <f t="shared" si="107"/>
        <v>Stove</v>
      </c>
      <c r="T534" s="23">
        <f t="shared" si="108"/>
        <v>0.1059387572282014</v>
      </c>
      <c r="U534" s="23">
        <f t="shared" si="109"/>
        <v>0.31158458008294526</v>
      </c>
      <c r="V534" s="23">
        <f t="shared" si="109"/>
        <v>0.16623422750468561</v>
      </c>
      <c r="W534" s="23">
        <f t="shared" si="110"/>
        <v>0.38583214853184333</v>
      </c>
      <c r="X534" s="904">
        <f t="shared" si="111"/>
        <v>99</v>
      </c>
      <c r="Y534" s="904">
        <f t="shared" si="111"/>
        <v>114</v>
      </c>
      <c r="Z534" s="904">
        <f t="shared" si="111"/>
        <v>102</v>
      </c>
      <c r="AA534" s="904">
        <f t="shared" si="111"/>
        <v>97</v>
      </c>
      <c r="AB534" s="24">
        <v>40</v>
      </c>
    </row>
    <row r="535" spans="1:28" x14ac:dyDescent="0.25">
      <c r="A535" s="903"/>
      <c r="B535" t="s">
        <v>1136</v>
      </c>
      <c r="C535" s="906" t="s">
        <v>1137</v>
      </c>
      <c r="D535" s="25">
        <v>4.3</v>
      </c>
      <c r="E535" s="903">
        <v>635</v>
      </c>
      <c r="F535" s="903">
        <v>318</v>
      </c>
      <c r="G535" s="903" t="s">
        <v>1138</v>
      </c>
      <c r="H535" s="904">
        <f t="shared" si="100"/>
        <v>6</v>
      </c>
      <c r="I535" s="904">
        <f t="shared" si="101"/>
        <v>11</v>
      </c>
      <c r="J535" s="21">
        <f t="shared" si="102"/>
        <v>10800</v>
      </c>
      <c r="K535" s="21">
        <f t="shared" si="103"/>
        <v>11560</v>
      </c>
      <c r="L535" s="21">
        <f t="shared" si="104"/>
        <v>22400</v>
      </c>
      <c r="M535" s="21">
        <f t="shared" si="105"/>
        <v>34000</v>
      </c>
      <c r="N535" s="904">
        <f t="shared" si="106"/>
        <v>509</v>
      </c>
      <c r="O535" s="21"/>
      <c r="P535" s="22" t="s">
        <v>2</v>
      </c>
      <c r="Q535" s="22">
        <v>0.63</v>
      </c>
      <c r="R535" s="904" t="s">
        <v>42</v>
      </c>
      <c r="S535" s="904" t="str">
        <f t="shared" si="107"/>
        <v>Stove</v>
      </c>
      <c r="T535" s="23">
        <f t="shared" si="108"/>
        <v>0.27881522979562195</v>
      </c>
      <c r="U535" s="23">
        <f t="shared" si="109"/>
        <v>0.82004479351653514</v>
      </c>
      <c r="V535" s="23">
        <f t="shared" si="109"/>
        <v>0.42320168808264047</v>
      </c>
      <c r="W535" s="23">
        <f t="shared" si="110"/>
        <v>0.87775164935658767</v>
      </c>
      <c r="X535" s="904">
        <f t="shared" si="111"/>
        <v>629</v>
      </c>
      <c r="Y535" s="904">
        <f t="shared" si="111"/>
        <v>684</v>
      </c>
      <c r="Z535" s="904">
        <f t="shared" si="111"/>
        <v>634</v>
      </c>
      <c r="AA535" s="904">
        <f t="shared" si="111"/>
        <v>619</v>
      </c>
      <c r="AB535" s="24">
        <v>373</v>
      </c>
    </row>
    <row r="536" spans="1:28" x14ac:dyDescent="0.25">
      <c r="A536" s="903"/>
      <c r="B536" t="s">
        <v>1136</v>
      </c>
      <c r="C536" s="906" t="s">
        <v>1139</v>
      </c>
      <c r="D536" s="25">
        <v>7.5</v>
      </c>
      <c r="E536" s="903">
        <v>944</v>
      </c>
      <c r="F536" s="903">
        <v>587</v>
      </c>
      <c r="G536" s="903" t="s">
        <v>1140</v>
      </c>
      <c r="H536" s="904">
        <f t="shared" si="100"/>
        <v>6</v>
      </c>
      <c r="I536" s="904">
        <f t="shared" si="101"/>
        <v>11</v>
      </c>
      <c r="J536" s="21">
        <f t="shared" si="102"/>
        <v>11900</v>
      </c>
      <c r="K536" s="21">
        <f t="shared" si="103"/>
        <v>11900</v>
      </c>
      <c r="L536" s="21">
        <f t="shared" si="104"/>
        <v>23450</v>
      </c>
      <c r="M536" s="21">
        <f t="shared" si="105"/>
        <v>35000</v>
      </c>
      <c r="N536" s="904">
        <f t="shared" si="106"/>
        <v>585</v>
      </c>
      <c r="O536" s="21"/>
      <c r="P536" s="22" t="s">
        <v>2</v>
      </c>
      <c r="Q536" s="22">
        <v>0.63</v>
      </c>
      <c r="R536" s="904" t="s">
        <v>42</v>
      </c>
      <c r="S536" s="904" t="str">
        <f t="shared" si="107"/>
        <v>Stove</v>
      </c>
      <c r="T536" s="23">
        <f t="shared" si="108"/>
        <v>0.47241118669690096</v>
      </c>
      <c r="U536" s="23">
        <f t="shared" si="109"/>
        <v>1.3894446667555911</v>
      </c>
      <c r="V536" s="23">
        <f t="shared" si="109"/>
        <v>0.70509132342821046</v>
      </c>
      <c r="W536" s="23">
        <f t="shared" si="110"/>
        <v>1.3894446667555911</v>
      </c>
      <c r="X536" s="904">
        <f t="shared" si="111"/>
        <v>883</v>
      </c>
      <c r="Y536" s="904">
        <f t="shared" si="111"/>
        <v>931</v>
      </c>
      <c r="Z536" s="904">
        <f t="shared" si="111"/>
        <v>889</v>
      </c>
      <c r="AA536" s="904">
        <f t="shared" si="111"/>
        <v>889</v>
      </c>
      <c r="AB536" s="24">
        <v>576</v>
      </c>
    </row>
    <row r="537" spans="1:28" x14ac:dyDescent="0.25">
      <c r="A537" s="903"/>
      <c r="B537" t="s">
        <v>1141</v>
      </c>
      <c r="C537" s="906" t="s">
        <v>247</v>
      </c>
      <c r="D537" s="25">
        <v>1</v>
      </c>
      <c r="E537" s="903">
        <v>23</v>
      </c>
      <c r="F537" s="903">
        <v>6</v>
      </c>
      <c r="G537" s="903" t="s">
        <v>248</v>
      </c>
      <c r="H537" s="904">
        <f t="shared" si="100"/>
        <v>6</v>
      </c>
      <c r="I537" s="904">
        <f t="shared" si="101"/>
        <v>11</v>
      </c>
      <c r="J537" s="21">
        <f t="shared" si="102"/>
        <v>11800</v>
      </c>
      <c r="K537" s="21">
        <f t="shared" si="103"/>
        <v>11800</v>
      </c>
      <c r="L537" s="21">
        <f t="shared" si="104"/>
        <v>22050</v>
      </c>
      <c r="M537" s="21">
        <f t="shared" si="105"/>
        <v>32300</v>
      </c>
      <c r="N537" s="904">
        <f t="shared" si="106"/>
        <v>479</v>
      </c>
      <c r="O537" s="21"/>
      <c r="P537" s="22" t="s">
        <v>2</v>
      </c>
      <c r="Q537" s="22">
        <v>0.63</v>
      </c>
      <c r="R537" s="904" t="s">
        <v>42</v>
      </c>
      <c r="S537" s="904" t="str">
        <f t="shared" si="107"/>
        <v>Stove</v>
      </c>
      <c r="T537" s="23">
        <f t="shared" si="108"/>
        <v>6.8253422226590435E-2</v>
      </c>
      <c r="U537" s="23">
        <f t="shared" si="109"/>
        <v>0.18682928287448061</v>
      </c>
      <c r="V537" s="23">
        <f t="shared" si="109"/>
        <v>9.9981203533735657E-2</v>
      </c>
      <c r="W537" s="23">
        <f t="shared" si="110"/>
        <v>0.18682928287448061</v>
      </c>
      <c r="X537" s="904">
        <f t="shared" si="111"/>
        <v>39</v>
      </c>
      <c r="Y537" s="904">
        <f t="shared" si="111"/>
        <v>36</v>
      </c>
      <c r="Z537" s="904">
        <f t="shared" si="111"/>
        <v>31</v>
      </c>
      <c r="AA537" s="904">
        <f t="shared" si="111"/>
        <v>20</v>
      </c>
      <c r="AB537" s="24">
        <v>7</v>
      </c>
    </row>
    <row r="538" spans="1:28" x14ac:dyDescent="0.25">
      <c r="A538" s="903"/>
      <c r="B538" t="s">
        <v>1141</v>
      </c>
      <c r="C538" s="906" t="s">
        <v>1142</v>
      </c>
      <c r="D538" s="25">
        <v>4.7</v>
      </c>
      <c r="E538" s="903">
        <v>728</v>
      </c>
      <c r="F538" s="903">
        <v>397</v>
      </c>
      <c r="G538" s="903" t="s">
        <v>201</v>
      </c>
      <c r="H538" s="904">
        <f t="shared" si="100"/>
        <v>5</v>
      </c>
      <c r="I538" s="904">
        <f t="shared" si="101"/>
        <v>10</v>
      </c>
      <c r="J538" s="21">
        <f t="shared" si="102"/>
        <v>9500</v>
      </c>
      <c r="K538" s="21">
        <f t="shared" si="103"/>
        <v>19652</v>
      </c>
      <c r="L538" s="21">
        <f t="shared" si="104"/>
        <v>33650</v>
      </c>
      <c r="M538" s="21">
        <f t="shared" si="105"/>
        <v>57800</v>
      </c>
      <c r="N538" s="904">
        <f t="shared" si="106"/>
        <v>927</v>
      </c>
      <c r="O538" s="21"/>
      <c r="P538" s="22" t="s">
        <v>2</v>
      </c>
      <c r="Q538" s="22">
        <v>0.63</v>
      </c>
      <c r="R538" s="904" t="s">
        <v>42</v>
      </c>
      <c r="S538" s="904" t="str">
        <f t="shared" si="107"/>
        <v>Stove</v>
      </c>
      <c r="T538" s="23">
        <f t="shared" si="108"/>
        <v>0.17926560602454489</v>
      </c>
      <c r="U538" s="23">
        <f t="shared" si="109"/>
        <v>0.52725178242513193</v>
      </c>
      <c r="V538" s="23">
        <f t="shared" si="109"/>
        <v>0.30792130841660309</v>
      </c>
      <c r="W538" s="23">
        <f t="shared" si="110"/>
        <v>1.0906896871809153</v>
      </c>
      <c r="X538" s="904">
        <f t="shared" si="111"/>
        <v>305</v>
      </c>
      <c r="Y538" s="904">
        <f t="shared" si="111"/>
        <v>328</v>
      </c>
      <c r="Z538" s="904">
        <f t="shared" si="111"/>
        <v>381</v>
      </c>
      <c r="AA538" s="904">
        <f t="shared" si="111"/>
        <v>771</v>
      </c>
      <c r="AB538" s="24">
        <v>126</v>
      </c>
    </row>
    <row r="539" spans="1:28" x14ac:dyDescent="0.25">
      <c r="A539" s="903"/>
      <c r="B539" t="s">
        <v>1141</v>
      </c>
      <c r="C539" s="906" t="s">
        <v>1143</v>
      </c>
      <c r="D539" s="25">
        <v>4.7</v>
      </c>
      <c r="E539" s="903">
        <v>728</v>
      </c>
      <c r="F539" s="903">
        <v>397</v>
      </c>
      <c r="G539" s="903" t="s">
        <v>201</v>
      </c>
      <c r="H539" s="904">
        <f t="shared" si="100"/>
        <v>5</v>
      </c>
      <c r="I539" s="904">
        <f t="shared" si="101"/>
        <v>10</v>
      </c>
      <c r="J539" s="21">
        <f t="shared" si="102"/>
        <v>9500</v>
      </c>
      <c r="K539" s="21">
        <f t="shared" si="103"/>
        <v>19652</v>
      </c>
      <c r="L539" s="21">
        <f t="shared" si="104"/>
        <v>33650</v>
      </c>
      <c r="M539" s="21">
        <f t="shared" si="105"/>
        <v>57800</v>
      </c>
      <c r="N539" s="904">
        <f t="shared" si="106"/>
        <v>927</v>
      </c>
      <c r="O539" s="21"/>
      <c r="P539" s="22" t="s">
        <v>2</v>
      </c>
      <c r="Q539" s="22">
        <v>0.63</v>
      </c>
      <c r="R539" s="904" t="s">
        <v>42</v>
      </c>
      <c r="S539" s="904" t="str">
        <f t="shared" si="107"/>
        <v>Stove</v>
      </c>
      <c r="T539" s="23">
        <f t="shared" si="108"/>
        <v>0.17926560602454489</v>
      </c>
      <c r="U539" s="23">
        <f t="shared" si="109"/>
        <v>0.52725178242513193</v>
      </c>
      <c r="V539" s="23">
        <f t="shared" si="109"/>
        <v>0.30792130841660309</v>
      </c>
      <c r="W539" s="23">
        <f t="shared" si="110"/>
        <v>1.0906896871809153</v>
      </c>
      <c r="X539" s="904">
        <f t="shared" si="111"/>
        <v>305</v>
      </c>
      <c r="Y539" s="904">
        <f t="shared" si="111"/>
        <v>328</v>
      </c>
      <c r="Z539" s="904">
        <f t="shared" si="111"/>
        <v>381</v>
      </c>
      <c r="AA539" s="904">
        <f t="shared" si="111"/>
        <v>771</v>
      </c>
      <c r="AB539" s="24">
        <v>126</v>
      </c>
    </row>
    <row r="540" spans="1:28" x14ac:dyDescent="0.25">
      <c r="A540" s="903"/>
      <c r="B540" t="s">
        <v>1141</v>
      </c>
      <c r="C540" s="906" t="s">
        <v>1144</v>
      </c>
      <c r="D540" s="25">
        <v>2.2999999999999998</v>
      </c>
      <c r="E540" s="903">
        <v>182</v>
      </c>
      <c r="F540" s="903">
        <v>48</v>
      </c>
      <c r="G540" s="903" t="s">
        <v>1145</v>
      </c>
      <c r="H540" s="904">
        <f t="shared" si="100"/>
        <v>5</v>
      </c>
      <c r="I540" s="904">
        <f t="shared" si="101"/>
        <v>10</v>
      </c>
      <c r="J540" s="21">
        <f t="shared" si="102"/>
        <v>9600</v>
      </c>
      <c r="K540" s="21">
        <f t="shared" si="103"/>
        <v>9600</v>
      </c>
      <c r="L540" s="21">
        <f t="shared" si="104"/>
        <v>18100</v>
      </c>
      <c r="M540" s="21">
        <f t="shared" si="105"/>
        <v>26600</v>
      </c>
      <c r="N540" s="904">
        <f t="shared" si="106"/>
        <v>166</v>
      </c>
      <c r="O540" s="21"/>
      <c r="P540" s="22" t="s">
        <v>2</v>
      </c>
      <c r="Q540" s="22">
        <v>0.63</v>
      </c>
      <c r="R540" s="904" t="s">
        <v>42</v>
      </c>
      <c r="S540" s="904" t="str">
        <f t="shared" si="107"/>
        <v>Stove</v>
      </c>
      <c r="T540" s="23">
        <f t="shared" si="108"/>
        <v>0.19062205778997759</v>
      </c>
      <c r="U540" s="23">
        <f t="shared" si="109"/>
        <v>0.52818195179306293</v>
      </c>
      <c r="V540" s="23">
        <f t="shared" si="109"/>
        <v>0.28014070371344774</v>
      </c>
      <c r="W540" s="23">
        <f t="shared" si="110"/>
        <v>0.52818195179306293</v>
      </c>
      <c r="X540" s="904">
        <f t="shared" si="111"/>
        <v>351</v>
      </c>
      <c r="Y540" s="904">
        <f t="shared" si="111"/>
        <v>335</v>
      </c>
      <c r="Z540" s="904">
        <f t="shared" si="111"/>
        <v>308</v>
      </c>
      <c r="AA540" s="904">
        <f t="shared" si="111"/>
        <v>220</v>
      </c>
      <c r="AB540" s="24">
        <v>132</v>
      </c>
    </row>
    <row r="541" spans="1:28" x14ac:dyDescent="0.25">
      <c r="A541" s="903"/>
      <c r="B541" t="s">
        <v>1141</v>
      </c>
      <c r="C541" s="906" t="s">
        <v>210</v>
      </c>
      <c r="D541" s="25">
        <v>5</v>
      </c>
      <c r="E541" s="903">
        <v>756</v>
      </c>
      <c r="F541" s="903">
        <v>417</v>
      </c>
      <c r="G541" s="903" t="s">
        <v>211</v>
      </c>
      <c r="H541" s="904">
        <f t="shared" si="100"/>
        <v>6</v>
      </c>
      <c r="I541" s="904">
        <f t="shared" si="101"/>
        <v>11</v>
      </c>
      <c r="J541" s="21">
        <f t="shared" si="102"/>
        <v>11500</v>
      </c>
      <c r="K541" s="21">
        <f t="shared" si="103"/>
        <v>11500</v>
      </c>
      <c r="L541" s="21">
        <f t="shared" si="104"/>
        <v>15200</v>
      </c>
      <c r="M541" s="21">
        <f t="shared" si="105"/>
        <v>18900</v>
      </c>
      <c r="N541" s="904">
        <f t="shared" si="106"/>
        <v>41</v>
      </c>
      <c r="O541" s="21"/>
      <c r="P541" s="22" t="s">
        <v>2</v>
      </c>
      <c r="Q541" s="22">
        <v>0.63</v>
      </c>
      <c r="R541" s="904" t="s">
        <v>42</v>
      </c>
      <c r="S541" s="904" t="str">
        <f t="shared" si="107"/>
        <v>Stove</v>
      </c>
      <c r="T541" s="23">
        <f t="shared" si="108"/>
        <v>0.58322368728012464</v>
      </c>
      <c r="U541" s="23">
        <f t="shared" si="109"/>
        <v>0.95851545126907445</v>
      </c>
      <c r="V541" s="23">
        <f t="shared" si="109"/>
        <v>0.72519261115752343</v>
      </c>
      <c r="W541" s="23">
        <f t="shared" si="110"/>
        <v>0.95851545126907445</v>
      </c>
      <c r="X541" s="904">
        <f t="shared" si="111"/>
        <v>930</v>
      </c>
      <c r="Y541" s="904">
        <f t="shared" si="111"/>
        <v>791</v>
      </c>
      <c r="Z541" s="904">
        <f t="shared" si="111"/>
        <v>903</v>
      </c>
      <c r="AA541" s="904">
        <f t="shared" si="111"/>
        <v>689</v>
      </c>
      <c r="AB541" s="24">
        <v>458</v>
      </c>
    </row>
    <row r="542" spans="1:28" x14ac:dyDescent="0.25">
      <c r="A542" s="903"/>
      <c r="B542" t="s">
        <v>1141</v>
      </c>
      <c r="C542" s="906" t="s">
        <v>1146</v>
      </c>
      <c r="D542" s="25">
        <v>5.3</v>
      </c>
      <c r="E542" s="903">
        <v>792</v>
      </c>
      <c r="F542" s="903">
        <v>444</v>
      </c>
      <c r="G542" s="903" t="s">
        <v>891</v>
      </c>
      <c r="H542" s="904">
        <f t="shared" si="100"/>
        <v>6</v>
      </c>
      <c r="I542" s="904">
        <f t="shared" si="101"/>
        <v>11</v>
      </c>
      <c r="J542" s="21">
        <f t="shared" si="102"/>
        <v>10600</v>
      </c>
      <c r="K542" s="21">
        <f t="shared" si="103"/>
        <v>10600</v>
      </c>
      <c r="L542" s="21">
        <f t="shared" si="104"/>
        <v>18350</v>
      </c>
      <c r="M542" s="21">
        <f t="shared" si="105"/>
        <v>26100</v>
      </c>
      <c r="N542" s="904">
        <f t="shared" si="106"/>
        <v>180</v>
      </c>
      <c r="O542" s="21"/>
      <c r="P542" s="22" t="s">
        <v>2</v>
      </c>
      <c r="Q542" s="22">
        <v>0.63</v>
      </c>
      <c r="R542" s="904" t="s">
        <v>42</v>
      </c>
      <c r="S542" s="904" t="str">
        <f t="shared" si="107"/>
        <v>Stove</v>
      </c>
      <c r="T542" s="23">
        <f t="shared" si="108"/>
        <v>0.44767445789157156</v>
      </c>
      <c r="U542" s="23">
        <f t="shared" si="109"/>
        <v>1.1022927689594357</v>
      </c>
      <c r="V542" s="23">
        <f t="shared" si="109"/>
        <v>0.63674677661961954</v>
      </c>
      <c r="W542" s="23">
        <f t="shared" si="110"/>
        <v>1.1022927689594357</v>
      </c>
      <c r="X542" s="904">
        <f t="shared" si="111"/>
        <v>865</v>
      </c>
      <c r="Y542" s="904">
        <f t="shared" si="111"/>
        <v>858</v>
      </c>
      <c r="Z542" s="904">
        <f t="shared" si="111"/>
        <v>855</v>
      </c>
      <c r="AA542" s="904">
        <f t="shared" si="111"/>
        <v>781</v>
      </c>
      <c r="AB542" s="24">
        <v>505</v>
      </c>
    </row>
    <row r="543" spans="1:28" x14ac:dyDescent="0.25">
      <c r="A543" s="903"/>
      <c r="B543" t="s">
        <v>1141</v>
      </c>
      <c r="C543" s="906" t="s">
        <v>1147</v>
      </c>
      <c r="D543" s="25">
        <v>3.6</v>
      </c>
      <c r="E543" s="903">
        <v>467</v>
      </c>
      <c r="F543" s="903">
        <v>207</v>
      </c>
      <c r="G543" s="903" t="s">
        <v>1148</v>
      </c>
      <c r="H543" s="904">
        <f t="shared" si="100"/>
        <v>6</v>
      </c>
      <c r="I543" s="904">
        <f t="shared" si="101"/>
        <v>11</v>
      </c>
      <c r="J543" s="21">
        <f t="shared" si="102"/>
        <v>10554</v>
      </c>
      <c r="K543" s="21">
        <f t="shared" si="103"/>
        <v>10805.2</v>
      </c>
      <c r="L543" s="21">
        <f t="shared" si="104"/>
        <v>21167</v>
      </c>
      <c r="M543" s="21">
        <f t="shared" si="105"/>
        <v>31780</v>
      </c>
      <c r="N543" s="904">
        <f t="shared" si="106"/>
        <v>422</v>
      </c>
      <c r="O543" s="21"/>
      <c r="P543" s="22" t="s">
        <v>2</v>
      </c>
      <c r="Q543" s="22">
        <v>0.63</v>
      </c>
      <c r="R543" s="904" t="s">
        <v>42</v>
      </c>
      <c r="S543" s="904" t="str">
        <f t="shared" si="107"/>
        <v>Stove</v>
      </c>
      <c r="T543" s="23">
        <f t="shared" si="108"/>
        <v>0.24973278591906659</v>
      </c>
      <c r="U543" s="23">
        <f t="shared" si="109"/>
        <v>0.73450819387960753</v>
      </c>
      <c r="V543" s="23">
        <f t="shared" si="109"/>
        <v>0.37494722617791543</v>
      </c>
      <c r="W543" s="23">
        <f t="shared" si="110"/>
        <v>0.75199051890353763</v>
      </c>
      <c r="X543" s="904">
        <f t="shared" si="111"/>
        <v>552</v>
      </c>
      <c r="Y543" s="904">
        <f t="shared" si="111"/>
        <v>594</v>
      </c>
      <c r="Z543" s="904">
        <f t="shared" si="111"/>
        <v>559</v>
      </c>
      <c r="AA543" s="904">
        <f t="shared" si="111"/>
        <v>468</v>
      </c>
      <c r="AB543" s="24">
        <v>299</v>
      </c>
    </row>
    <row r="544" spans="1:28" x14ac:dyDescent="0.25">
      <c r="A544" s="903"/>
      <c r="B544" t="s">
        <v>1141</v>
      </c>
      <c r="C544" s="906" t="s">
        <v>890</v>
      </c>
      <c r="D544" s="25">
        <v>5.3</v>
      </c>
      <c r="E544" s="903">
        <v>792</v>
      </c>
      <c r="F544" s="903">
        <v>444</v>
      </c>
      <c r="G544" s="903" t="s">
        <v>891</v>
      </c>
      <c r="H544" s="904">
        <f t="shared" si="100"/>
        <v>6</v>
      </c>
      <c r="I544" s="904">
        <f t="shared" si="101"/>
        <v>11</v>
      </c>
      <c r="J544" s="21">
        <f t="shared" si="102"/>
        <v>10600</v>
      </c>
      <c r="K544" s="21">
        <f t="shared" si="103"/>
        <v>10600</v>
      </c>
      <c r="L544" s="21">
        <f t="shared" si="104"/>
        <v>18350</v>
      </c>
      <c r="M544" s="21">
        <f t="shared" si="105"/>
        <v>26100</v>
      </c>
      <c r="N544" s="904">
        <f t="shared" si="106"/>
        <v>180</v>
      </c>
      <c r="O544" s="21"/>
      <c r="P544" s="22" t="s">
        <v>2</v>
      </c>
      <c r="Q544" s="22">
        <v>0.63</v>
      </c>
      <c r="R544" s="904" t="s">
        <v>42</v>
      </c>
      <c r="S544" s="904" t="str">
        <f t="shared" si="107"/>
        <v>Stove</v>
      </c>
      <c r="T544" s="23">
        <f t="shared" si="108"/>
        <v>0.44767445789157156</v>
      </c>
      <c r="U544" s="23">
        <f t="shared" si="109"/>
        <v>1.1022927689594357</v>
      </c>
      <c r="V544" s="23">
        <f t="shared" si="109"/>
        <v>0.63674677661961954</v>
      </c>
      <c r="W544" s="23">
        <f t="shared" si="110"/>
        <v>1.1022927689594357</v>
      </c>
      <c r="X544" s="904">
        <f t="shared" si="111"/>
        <v>865</v>
      </c>
      <c r="Y544" s="904">
        <f t="shared" si="111"/>
        <v>858</v>
      </c>
      <c r="Z544" s="904">
        <f t="shared" si="111"/>
        <v>855</v>
      </c>
      <c r="AA544" s="904">
        <f t="shared" si="111"/>
        <v>781</v>
      </c>
      <c r="AB544" s="24">
        <v>505</v>
      </c>
    </row>
    <row r="545" spans="1:28" x14ac:dyDescent="0.25">
      <c r="A545" s="903"/>
      <c r="B545" t="s">
        <v>1149</v>
      </c>
      <c r="C545" s="906" t="s">
        <v>1150</v>
      </c>
      <c r="D545" s="25">
        <v>3.9</v>
      </c>
      <c r="E545" s="903">
        <v>548</v>
      </c>
      <c r="F545" s="903">
        <v>253</v>
      </c>
      <c r="G545" s="903" t="s">
        <v>1151</v>
      </c>
      <c r="H545" s="904">
        <f t="shared" si="100"/>
        <v>6</v>
      </c>
      <c r="I545" s="904">
        <f t="shared" si="101"/>
        <v>11</v>
      </c>
      <c r="J545" s="21">
        <f t="shared" si="102"/>
        <v>10900</v>
      </c>
      <c r="K545" s="21">
        <f t="shared" si="103"/>
        <v>10900</v>
      </c>
      <c r="L545" s="21">
        <f t="shared" si="104"/>
        <v>17250</v>
      </c>
      <c r="M545" s="21">
        <f t="shared" si="105"/>
        <v>23600</v>
      </c>
      <c r="N545" s="904">
        <f t="shared" si="106"/>
        <v>107</v>
      </c>
      <c r="O545" s="21"/>
      <c r="P545" s="22" t="s">
        <v>2</v>
      </c>
      <c r="Q545" s="22">
        <v>0.63</v>
      </c>
      <c r="R545" s="904" t="s">
        <v>42</v>
      </c>
      <c r="S545" s="904" t="str">
        <f t="shared" si="107"/>
        <v>Stove</v>
      </c>
      <c r="T545" s="23">
        <f t="shared" si="108"/>
        <v>0.36431710160523723</v>
      </c>
      <c r="U545" s="23">
        <f t="shared" si="109"/>
        <v>0.78879666035629337</v>
      </c>
      <c r="V545" s="23">
        <f t="shared" si="109"/>
        <v>0.4984280346599187</v>
      </c>
      <c r="W545" s="23">
        <f t="shared" si="110"/>
        <v>0.78879666035629337</v>
      </c>
      <c r="X545" s="904">
        <f t="shared" si="111"/>
        <v>790</v>
      </c>
      <c r="Y545" s="904">
        <f t="shared" si="111"/>
        <v>649</v>
      </c>
      <c r="Z545" s="904">
        <f t="shared" si="111"/>
        <v>745</v>
      </c>
      <c r="AA545" s="904">
        <f t="shared" si="111"/>
        <v>511</v>
      </c>
      <c r="AB545" s="24">
        <v>343</v>
      </c>
    </row>
    <row r="546" spans="1:28" x14ac:dyDescent="0.25">
      <c r="A546" s="903"/>
      <c r="B546" t="s">
        <v>1152</v>
      </c>
      <c r="C546" s="906">
        <v>6100</v>
      </c>
      <c r="D546" s="25">
        <v>4.0999999999999996</v>
      </c>
      <c r="E546" s="903">
        <v>594</v>
      </c>
      <c r="F546" s="903">
        <v>283</v>
      </c>
      <c r="G546" s="903" t="s">
        <v>1153</v>
      </c>
      <c r="H546" s="904">
        <f t="shared" si="100"/>
        <v>6</v>
      </c>
      <c r="I546" s="904">
        <f t="shared" si="101"/>
        <v>11</v>
      </c>
      <c r="J546" s="21">
        <f t="shared" si="102"/>
        <v>11117</v>
      </c>
      <c r="K546" s="21">
        <f t="shared" si="103"/>
        <v>11117</v>
      </c>
      <c r="L546" s="21">
        <f t="shared" si="104"/>
        <v>16558.5</v>
      </c>
      <c r="M546" s="21">
        <f t="shared" si="105"/>
        <v>22000</v>
      </c>
      <c r="N546" s="904">
        <f t="shared" si="106"/>
        <v>82</v>
      </c>
      <c r="O546" s="21"/>
      <c r="P546" s="22" t="s">
        <v>2</v>
      </c>
      <c r="Q546" s="22">
        <v>0.63</v>
      </c>
      <c r="R546" s="904" t="s">
        <v>42</v>
      </c>
      <c r="S546" s="904" t="str">
        <f t="shared" si="107"/>
        <v>Stove</v>
      </c>
      <c r="T546" s="23">
        <f t="shared" si="108"/>
        <v>0.41085457752124416</v>
      </c>
      <c r="U546" s="23">
        <f t="shared" si="109"/>
        <v>0.81306114108728711</v>
      </c>
      <c r="V546" s="23">
        <f t="shared" si="109"/>
        <v>0.54587074345305253</v>
      </c>
      <c r="W546" s="23">
        <f t="shared" si="110"/>
        <v>0.81306114108728711</v>
      </c>
      <c r="X546" s="904">
        <f t="shared" si="111"/>
        <v>840</v>
      </c>
      <c r="Y546" s="904">
        <f t="shared" si="111"/>
        <v>676</v>
      </c>
      <c r="Z546" s="904">
        <f t="shared" si="111"/>
        <v>791</v>
      </c>
      <c r="AA546" s="904">
        <f t="shared" si="111"/>
        <v>552</v>
      </c>
      <c r="AB546" s="24">
        <v>367</v>
      </c>
    </row>
    <row r="547" spans="1:28" x14ac:dyDescent="0.25">
      <c r="A547" s="903"/>
      <c r="B547" t="s">
        <v>1152</v>
      </c>
      <c r="C547" s="906">
        <v>8180</v>
      </c>
      <c r="D547" s="25">
        <v>5.0999999999999996</v>
      </c>
      <c r="E547" s="903">
        <v>766</v>
      </c>
      <c r="F547" s="903">
        <v>425</v>
      </c>
      <c r="G547" s="903" t="s">
        <v>1154</v>
      </c>
      <c r="H547" s="904">
        <f t="shared" si="100"/>
        <v>5</v>
      </c>
      <c r="I547" s="904">
        <f t="shared" si="101"/>
        <v>10</v>
      </c>
      <c r="J547" s="21">
        <f t="shared" si="102"/>
        <v>9300</v>
      </c>
      <c r="K547" s="21">
        <f t="shared" si="103"/>
        <v>9690</v>
      </c>
      <c r="L547" s="21">
        <f t="shared" si="104"/>
        <v>18900</v>
      </c>
      <c r="M547" s="21">
        <f t="shared" si="105"/>
        <v>28500</v>
      </c>
      <c r="N547" s="904">
        <f t="shared" si="106"/>
        <v>236</v>
      </c>
      <c r="O547" s="21"/>
      <c r="P547" s="22" t="s">
        <v>2</v>
      </c>
      <c r="Q547" s="22">
        <v>0.63</v>
      </c>
      <c r="R547" s="904" t="s">
        <v>42</v>
      </c>
      <c r="S547" s="904" t="str">
        <f t="shared" si="107"/>
        <v>Stove</v>
      </c>
      <c r="T547" s="23">
        <f t="shared" si="108"/>
        <v>0.39450478046969273</v>
      </c>
      <c r="U547" s="23">
        <f t="shared" si="109"/>
        <v>1.1603081778520374</v>
      </c>
      <c r="V547" s="23">
        <f t="shared" si="109"/>
        <v>0.59488816102572717</v>
      </c>
      <c r="W547" s="23">
        <f t="shared" si="110"/>
        <v>1.2089662627297035</v>
      </c>
      <c r="X547" s="904">
        <f t="shared" si="111"/>
        <v>823</v>
      </c>
      <c r="Y547" s="904">
        <f t="shared" si="111"/>
        <v>877</v>
      </c>
      <c r="Z547" s="904">
        <f t="shared" si="111"/>
        <v>836</v>
      </c>
      <c r="AA547" s="904">
        <f t="shared" si="111"/>
        <v>823</v>
      </c>
      <c r="AB547" s="24">
        <v>524</v>
      </c>
    </row>
    <row r="548" spans="1:28" x14ac:dyDescent="0.25">
      <c r="A548" s="903"/>
      <c r="B548" t="s">
        <v>1152</v>
      </c>
      <c r="C548" s="906" t="s">
        <v>1155</v>
      </c>
      <c r="D548" s="25">
        <v>3.1</v>
      </c>
      <c r="E548" s="903">
        <v>347</v>
      </c>
      <c r="F548" s="903">
        <v>130</v>
      </c>
      <c r="G548" s="903" t="s">
        <v>1154</v>
      </c>
      <c r="H548" s="904">
        <f t="shared" si="100"/>
        <v>5</v>
      </c>
      <c r="I548" s="904">
        <f t="shared" si="101"/>
        <v>10</v>
      </c>
      <c r="J548" s="21">
        <f t="shared" si="102"/>
        <v>9300</v>
      </c>
      <c r="K548" s="21">
        <f t="shared" si="103"/>
        <v>9690</v>
      </c>
      <c r="L548" s="21">
        <f t="shared" si="104"/>
        <v>18900</v>
      </c>
      <c r="M548" s="21">
        <f t="shared" si="105"/>
        <v>28500</v>
      </c>
      <c r="N548" s="904">
        <f t="shared" si="106"/>
        <v>236</v>
      </c>
      <c r="O548" s="21"/>
      <c r="P548" s="22" t="s">
        <v>2</v>
      </c>
      <c r="Q548" s="22">
        <v>0.63</v>
      </c>
      <c r="R548" s="904" t="s">
        <v>42</v>
      </c>
      <c r="S548" s="904" t="str">
        <f t="shared" si="107"/>
        <v>Stove</v>
      </c>
      <c r="T548" s="23">
        <f t="shared" si="108"/>
        <v>0.23979702342275441</v>
      </c>
      <c r="U548" s="23">
        <f t="shared" si="109"/>
        <v>0.70528536300810118</v>
      </c>
      <c r="V548" s="23">
        <f t="shared" si="109"/>
        <v>0.36159868611367729</v>
      </c>
      <c r="W548" s="23">
        <f t="shared" si="110"/>
        <v>0.73486184597295712</v>
      </c>
      <c r="X548" s="904">
        <f t="shared" si="111"/>
        <v>529</v>
      </c>
      <c r="Y548" s="904">
        <f t="shared" si="111"/>
        <v>577</v>
      </c>
      <c r="Z548" s="904">
        <f t="shared" si="111"/>
        <v>516</v>
      </c>
      <c r="AA548" s="904">
        <f t="shared" si="111"/>
        <v>441</v>
      </c>
      <c r="AB548" s="24">
        <v>287</v>
      </c>
    </row>
    <row r="549" spans="1:28" x14ac:dyDescent="0.25">
      <c r="A549" s="903"/>
      <c r="B549" t="s">
        <v>1152</v>
      </c>
      <c r="C549" s="906" t="s">
        <v>1156</v>
      </c>
      <c r="D549" s="25">
        <v>5.2</v>
      </c>
      <c r="E549" s="903">
        <v>784</v>
      </c>
      <c r="F549" s="903">
        <v>437</v>
      </c>
      <c r="G549" s="903" t="s">
        <v>1157</v>
      </c>
      <c r="H549" s="904">
        <f t="shared" si="100"/>
        <v>6</v>
      </c>
      <c r="I549" s="904">
        <f t="shared" si="101"/>
        <v>11</v>
      </c>
      <c r="J549" s="21">
        <f t="shared" si="102"/>
        <v>11400</v>
      </c>
      <c r="K549" s="21">
        <f t="shared" si="103"/>
        <v>16830</v>
      </c>
      <c r="L549" s="21">
        <f t="shared" si="104"/>
        <v>30450</v>
      </c>
      <c r="M549" s="21">
        <f t="shared" si="105"/>
        <v>49500</v>
      </c>
      <c r="N549" s="904">
        <f t="shared" si="106"/>
        <v>887</v>
      </c>
      <c r="O549" s="21"/>
      <c r="P549" s="22" t="s">
        <v>2</v>
      </c>
      <c r="Q549" s="22">
        <v>0.63</v>
      </c>
      <c r="R549" s="904" t="s">
        <v>42</v>
      </c>
      <c r="S549" s="904" t="str">
        <f t="shared" si="107"/>
        <v>Stove</v>
      </c>
      <c r="T549" s="23">
        <f t="shared" si="108"/>
        <v>0.23159282418541677</v>
      </c>
      <c r="U549" s="23">
        <f t="shared" si="109"/>
        <v>0.68115536525122578</v>
      </c>
      <c r="V549" s="23">
        <f t="shared" si="109"/>
        <v>0.37648094572013563</v>
      </c>
      <c r="W549" s="23">
        <f t="shared" si="110"/>
        <v>1.0056004208050993</v>
      </c>
      <c r="X549" s="904">
        <f t="shared" si="111"/>
        <v>499</v>
      </c>
      <c r="Y549" s="904">
        <f t="shared" si="111"/>
        <v>541</v>
      </c>
      <c r="Z549" s="904">
        <f t="shared" si="111"/>
        <v>561</v>
      </c>
      <c r="AA549" s="904">
        <f t="shared" si="111"/>
        <v>720</v>
      </c>
      <c r="AB549" s="24">
        <v>263</v>
      </c>
    </row>
    <row r="550" spans="1:28" x14ac:dyDescent="0.25">
      <c r="A550" s="903"/>
      <c r="B550" t="s">
        <v>1152</v>
      </c>
      <c r="C550" s="906" t="s">
        <v>1158</v>
      </c>
      <c r="D550" s="25">
        <v>3.6</v>
      </c>
      <c r="E550" s="903">
        <v>467</v>
      </c>
      <c r="F550" s="903">
        <v>207</v>
      </c>
      <c r="G550" s="903" t="s">
        <v>1159</v>
      </c>
      <c r="H550" s="904">
        <f t="shared" si="100"/>
        <v>6</v>
      </c>
      <c r="I550" s="904">
        <f t="shared" si="101"/>
        <v>11</v>
      </c>
      <c r="J550" s="21">
        <f t="shared" si="102"/>
        <v>10000</v>
      </c>
      <c r="K550" s="21">
        <f t="shared" si="103"/>
        <v>10000</v>
      </c>
      <c r="L550" s="21">
        <f t="shared" si="104"/>
        <v>15650</v>
      </c>
      <c r="M550" s="21">
        <f t="shared" si="105"/>
        <v>21300</v>
      </c>
      <c r="N550" s="904">
        <f t="shared" si="106"/>
        <v>55</v>
      </c>
      <c r="O550" s="21"/>
      <c r="P550" s="22" t="s">
        <v>2</v>
      </c>
      <c r="Q550" s="22">
        <v>0.63</v>
      </c>
      <c r="R550" s="904" t="s">
        <v>42</v>
      </c>
      <c r="S550" s="904" t="str">
        <f t="shared" si="107"/>
        <v>Stove</v>
      </c>
      <c r="T550" s="23">
        <f t="shared" si="108"/>
        <v>0.3726060064088233</v>
      </c>
      <c r="U550" s="23">
        <f t="shared" si="109"/>
        <v>0.79365079365079361</v>
      </c>
      <c r="V550" s="23">
        <f t="shared" si="109"/>
        <v>0.50712510776408537</v>
      </c>
      <c r="W550" s="23">
        <f t="shared" si="110"/>
        <v>0.79365079365079361</v>
      </c>
      <c r="X550" s="904">
        <f t="shared" si="111"/>
        <v>801</v>
      </c>
      <c r="Y550" s="904">
        <f t="shared" si="111"/>
        <v>652</v>
      </c>
      <c r="Z550" s="904">
        <f t="shared" si="111"/>
        <v>756</v>
      </c>
      <c r="AA550" s="904">
        <f t="shared" si="111"/>
        <v>521</v>
      </c>
      <c r="AB550" s="24">
        <v>345</v>
      </c>
    </row>
    <row r="551" spans="1:28" x14ac:dyDescent="0.25">
      <c r="A551" s="903"/>
      <c r="B551" t="s">
        <v>1152</v>
      </c>
      <c r="C551" s="906" t="s">
        <v>1160</v>
      </c>
      <c r="D551" s="25">
        <v>4.5</v>
      </c>
      <c r="E551" s="903">
        <v>700</v>
      </c>
      <c r="F551" s="903">
        <v>376</v>
      </c>
      <c r="G551" s="903" t="s">
        <v>1161</v>
      </c>
      <c r="H551" s="904">
        <f t="shared" si="100"/>
        <v>6</v>
      </c>
      <c r="I551" s="904">
        <f t="shared" si="101"/>
        <v>11</v>
      </c>
      <c r="J551" s="21">
        <f t="shared" si="102"/>
        <v>10864</v>
      </c>
      <c r="K551" s="21">
        <f t="shared" si="103"/>
        <v>10864</v>
      </c>
      <c r="L551" s="21">
        <f t="shared" si="104"/>
        <v>18117</v>
      </c>
      <c r="M551" s="21">
        <f t="shared" si="105"/>
        <v>25370</v>
      </c>
      <c r="N551" s="904">
        <f t="shared" si="106"/>
        <v>167</v>
      </c>
      <c r="O551" s="21"/>
      <c r="P551" s="22" t="s">
        <v>2</v>
      </c>
      <c r="Q551" s="22">
        <v>0.63</v>
      </c>
      <c r="R551" s="904" t="s">
        <v>42</v>
      </c>
      <c r="S551" s="904" t="str">
        <f t="shared" si="107"/>
        <v>Stove</v>
      </c>
      <c r="T551" s="23">
        <f t="shared" si="108"/>
        <v>0.39103803392333153</v>
      </c>
      <c r="U551" s="23">
        <f t="shared" si="109"/>
        <v>0.91316595366668996</v>
      </c>
      <c r="V551" s="23">
        <f t="shared" si="109"/>
        <v>0.54758706853424521</v>
      </c>
      <c r="W551" s="23">
        <f t="shared" si="110"/>
        <v>0.91316595366668996</v>
      </c>
      <c r="X551" s="904">
        <f t="shared" si="111"/>
        <v>818</v>
      </c>
      <c r="Y551" s="904">
        <f t="shared" si="111"/>
        <v>753</v>
      </c>
      <c r="Z551" s="904">
        <f t="shared" si="111"/>
        <v>794</v>
      </c>
      <c r="AA551" s="904">
        <f t="shared" si="111"/>
        <v>658</v>
      </c>
      <c r="AB551" s="24">
        <v>424</v>
      </c>
    </row>
    <row r="552" spans="1:28" x14ac:dyDescent="0.25">
      <c r="A552" s="903"/>
      <c r="B552" t="s">
        <v>1152</v>
      </c>
      <c r="C552" s="906" t="s">
        <v>1162</v>
      </c>
      <c r="D552" s="25">
        <v>3.8</v>
      </c>
      <c r="E552" s="903">
        <v>518</v>
      </c>
      <c r="F552" s="903">
        <v>238</v>
      </c>
      <c r="G552" s="903" t="s">
        <v>1163</v>
      </c>
      <c r="H552" s="904">
        <f t="shared" si="100"/>
        <v>6</v>
      </c>
      <c r="I552" s="904">
        <f t="shared" si="101"/>
        <v>11</v>
      </c>
      <c r="J552" s="21">
        <f t="shared" si="102"/>
        <v>11100</v>
      </c>
      <c r="K552" s="21">
        <f t="shared" si="103"/>
        <v>13634.000000000002</v>
      </c>
      <c r="L552" s="21">
        <f t="shared" si="104"/>
        <v>25600</v>
      </c>
      <c r="M552" s="21">
        <f t="shared" si="105"/>
        <v>40100</v>
      </c>
      <c r="N552" s="904">
        <f t="shared" si="106"/>
        <v>729</v>
      </c>
      <c r="O552" s="21"/>
      <c r="P552" s="22" t="s">
        <v>2</v>
      </c>
      <c r="Q552" s="22">
        <v>0.63</v>
      </c>
      <c r="R552" s="904" t="s">
        <v>42</v>
      </c>
      <c r="S552" s="904" t="str">
        <f t="shared" si="107"/>
        <v>Stove</v>
      </c>
      <c r="T552" s="23">
        <f t="shared" si="108"/>
        <v>0.20891334274542919</v>
      </c>
      <c r="U552" s="23">
        <f t="shared" si="109"/>
        <v>0.61445100807479158</v>
      </c>
      <c r="V552" s="23">
        <f t="shared" si="109"/>
        <v>0.32724316578483242</v>
      </c>
      <c r="W552" s="23">
        <f t="shared" si="110"/>
        <v>0.75472297694519919</v>
      </c>
      <c r="X552" s="904">
        <f t="shared" si="111"/>
        <v>417</v>
      </c>
      <c r="Y552" s="904">
        <f t="shared" si="111"/>
        <v>447</v>
      </c>
      <c r="Z552" s="904">
        <f t="shared" si="111"/>
        <v>429</v>
      </c>
      <c r="AA552" s="904">
        <f t="shared" si="111"/>
        <v>474</v>
      </c>
      <c r="AB552" s="24">
        <v>195</v>
      </c>
    </row>
    <row r="553" spans="1:28" x14ac:dyDescent="0.25">
      <c r="A553" s="903"/>
      <c r="B553" t="s">
        <v>1152</v>
      </c>
      <c r="C553" s="906" t="s">
        <v>1164</v>
      </c>
      <c r="D553" s="25">
        <v>4.0999999999999996</v>
      </c>
      <c r="E553" s="903">
        <v>594</v>
      </c>
      <c r="F553" s="903">
        <v>283</v>
      </c>
      <c r="G553" s="903" t="s">
        <v>1165</v>
      </c>
      <c r="H553" s="904">
        <f t="shared" si="100"/>
        <v>5</v>
      </c>
      <c r="I553" s="904">
        <f t="shared" si="101"/>
        <v>10</v>
      </c>
      <c r="J553" s="21">
        <f t="shared" si="102"/>
        <v>9300</v>
      </c>
      <c r="K553" s="21">
        <f t="shared" si="103"/>
        <v>10438</v>
      </c>
      <c r="L553" s="21">
        <f t="shared" si="104"/>
        <v>20000</v>
      </c>
      <c r="M553" s="21">
        <f t="shared" si="105"/>
        <v>30700</v>
      </c>
      <c r="N553" s="904">
        <f t="shared" si="106"/>
        <v>321</v>
      </c>
      <c r="O553" s="21"/>
      <c r="P553" s="22" t="s">
        <v>2</v>
      </c>
      <c r="Q553" s="22">
        <v>0.63</v>
      </c>
      <c r="R553" s="904" t="s">
        <v>42</v>
      </c>
      <c r="S553" s="904" t="str">
        <f t="shared" si="107"/>
        <v>Stove</v>
      </c>
      <c r="T553" s="23">
        <f t="shared" si="108"/>
        <v>0.29442347574812283</v>
      </c>
      <c r="U553" s="23">
        <f t="shared" si="109"/>
        <v>0.86595139925918485</v>
      </c>
      <c r="V553" s="23">
        <f t="shared" si="109"/>
        <v>0.45194003527336857</v>
      </c>
      <c r="W553" s="23">
        <f t="shared" si="110"/>
        <v>0.97191405435133027</v>
      </c>
      <c r="X553" s="904">
        <f t="shared" si="111"/>
        <v>659</v>
      </c>
      <c r="Y553" s="904">
        <f t="shared" si="111"/>
        <v>717</v>
      </c>
      <c r="Z553" s="904">
        <f t="shared" si="111"/>
        <v>676</v>
      </c>
      <c r="AA553" s="904">
        <f t="shared" si="111"/>
        <v>700</v>
      </c>
      <c r="AB553" s="24">
        <v>397</v>
      </c>
    </row>
    <row r="554" spans="1:28" x14ac:dyDescent="0.25">
      <c r="A554" s="903"/>
      <c r="B554" t="s">
        <v>1152</v>
      </c>
      <c r="C554" s="906" t="s">
        <v>1166</v>
      </c>
      <c r="D554" s="25">
        <v>3.2</v>
      </c>
      <c r="E554" s="903">
        <v>376</v>
      </c>
      <c r="F554" s="903">
        <v>141</v>
      </c>
      <c r="G554" s="903" t="s">
        <v>1167</v>
      </c>
      <c r="H554" s="904">
        <f t="shared" si="100"/>
        <v>6</v>
      </c>
      <c r="I554" s="904">
        <f t="shared" si="101"/>
        <v>11</v>
      </c>
      <c r="J554" s="21">
        <f t="shared" si="102"/>
        <v>11100</v>
      </c>
      <c r="K554" s="21">
        <f t="shared" si="103"/>
        <v>11100</v>
      </c>
      <c r="L554" s="21">
        <f t="shared" si="104"/>
        <v>18350</v>
      </c>
      <c r="M554" s="21">
        <f t="shared" si="105"/>
        <v>25600</v>
      </c>
      <c r="N554" s="904">
        <f t="shared" si="106"/>
        <v>180</v>
      </c>
      <c r="O554" s="21"/>
      <c r="P554" s="22" t="s">
        <v>2</v>
      </c>
      <c r="Q554" s="22">
        <v>0.63</v>
      </c>
      <c r="R554" s="904" t="s">
        <v>42</v>
      </c>
      <c r="S554" s="904" t="str">
        <f t="shared" si="107"/>
        <v>Stove</v>
      </c>
      <c r="T554" s="23">
        <f t="shared" si="108"/>
        <v>0.27557319223985893</v>
      </c>
      <c r="U554" s="23">
        <f t="shared" si="109"/>
        <v>0.63555619111174666</v>
      </c>
      <c r="V554" s="23">
        <f t="shared" si="109"/>
        <v>0.38445088399675137</v>
      </c>
      <c r="W554" s="23">
        <f t="shared" si="110"/>
        <v>0.63555619111174666</v>
      </c>
      <c r="X554" s="904">
        <f t="shared" si="111"/>
        <v>619</v>
      </c>
      <c r="Y554" s="904">
        <f t="shared" si="111"/>
        <v>475</v>
      </c>
      <c r="Z554" s="904">
        <f t="shared" si="111"/>
        <v>570</v>
      </c>
      <c r="AA554" s="904">
        <f t="shared" si="111"/>
        <v>329</v>
      </c>
      <c r="AB554" s="24">
        <v>215</v>
      </c>
    </row>
    <row r="555" spans="1:28" x14ac:dyDescent="0.25">
      <c r="A555" s="903"/>
      <c r="B555" t="s">
        <v>1152</v>
      </c>
      <c r="C555" s="906" t="s">
        <v>1168</v>
      </c>
      <c r="D555" s="25">
        <v>3.7</v>
      </c>
      <c r="E555" s="903">
        <v>501</v>
      </c>
      <c r="F555" s="903">
        <v>230</v>
      </c>
      <c r="G555" s="903" t="s">
        <v>1169</v>
      </c>
      <c r="H555" s="904">
        <f t="shared" si="100"/>
        <v>6</v>
      </c>
      <c r="I555" s="904">
        <f t="shared" si="101"/>
        <v>11</v>
      </c>
      <c r="J555" s="21">
        <f t="shared" si="102"/>
        <v>10900</v>
      </c>
      <c r="K555" s="21">
        <f t="shared" si="103"/>
        <v>10900</v>
      </c>
      <c r="L555" s="21">
        <f t="shared" si="104"/>
        <v>18300</v>
      </c>
      <c r="M555" s="21">
        <f t="shared" si="105"/>
        <v>25700</v>
      </c>
      <c r="N555" s="904">
        <f t="shared" si="106"/>
        <v>179</v>
      </c>
      <c r="O555" s="21"/>
      <c r="P555" s="22" t="s">
        <v>2</v>
      </c>
      <c r="Q555" s="22">
        <v>0.63</v>
      </c>
      <c r="R555" s="904" t="s">
        <v>42</v>
      </c>
      <c r="S555" s="904" t="str">
        <f t="shared" si="107"/>
        <v>Stove</v>
      </c>
      <c r="T555" s="23">
        <f t="shared" si="108"/>
        <v>0.31739169222956515</v>
      </c>
      <c r="U555" s="23">
        <f t="shared" si="109"/>
        <v>0.74834554956879118</v>
      </c>
      <c r="V555" s="23">
        <f t="shared" si="109"/>
        <v>0.44573587378687562</v>
      </c>
      <c r="W555" s="23">
        <f t="shared" si="110"/>
        <v>0.74834554956879118</v>
      </c>
      <c r="X555" s="904">
        <f t="shared" si="111"/>
        <v>707</v>
      </c>
      <c r="Y555" s="904">
        <f t="shared" si="111"/>
        <v>614</v>
      </c>
      <c r="Z555" s="904">
        <f t="shared" si="111"/>
        <v>668</v>
      </c>
      <c r="AA555" s="904">
        <f t="shared" si="111"/>
        <v>463</v>
      </c>
      <c r="AB555" s="24">
        <v>314</v>
      </c>
    </row>
    <row r="556" spans="1:28" x14ac:dyDescent="0.25">
      <c r="A556" s="903"/>
      <c r="B556" t="s">
        <v>1152</v>
      </c>
      <c r="C556" s="906" t="s">
        <v>1170</v>
      </c>
      <c r="D556" s="25">
        <v>4.3</v>
      </c>
      <c r="E556" s="903">
        <v>635</v>
      </c>
      <c r="F556" s="903">
        <v>318</v>
      </c>
      <c r="G556" s="903" t="s">
        <v>1171</v>
      </c>
      <c r="H556" s="904">
        <f t="shared" si="100"/>
        <v>5</v>
      </c>
      <c r="I556" s="904">
        <f t="shared" si="101"/>
        <v>10</v>
      </c>
      <c r="J556" s="21">
        <f t="shared" si="102"/>
        <v>8998</v>
      </c>
      <c r="K556" s="21">
        <f t="shared" si="103"/>
        <v>17026.52</v>
      </c>
      <c r="L556" s="21">
        <f t="shared" si="104"/>
        <v>29538</v>
      </c>
      <c r="M556" s="21">
        <f t="shared" si="105"/>
        <v>50078</v>
      </c>
      <c r="N556" s="904">
        <f t="shared" si="106"/>
        <v>866</v>
      </c>
      <c r="O556" s="21"/>
      <c r="P556" s="22" t="s">
        <v>2</v>
      </c>
      <c r="Q556" s="22">
        <v>0.63</v>
      </c>
      <c r="R556" s="904" t="s">
        <v>42</v>
      </c>
      <c r="S556" s="904" t="str">
        <f t="shared" si="107"/>
        <v>Stove</v>
      </c>
      <c r="T556" s="23">
        <f t="shared" si="108"/>
        <v>0.18929904974342318</v>
      </c>
      <c r="U556" s="23">
        <f t="shared" si="109"/>
        <v>0.55676191101006811</v>
      </c>
      <c r="V556" s="23">
        <f t="shared" si="109"/>
        <v>0.32093296137352378</v>
      </c>
      <c r="W556" s="23">
        <f t="shared" si="110"/>
        <v>1.0535360983608741</v>
      </c>
      <c r="X556" s="904">
        <f t="shared" si="111"/>
        <v>344</v>
      </c>
      <c r="Y556" s="904">
        <f t="shared" si="111"/>
        <v>371</v>
      </c>
      <c r="Z556" s="904">
        <f t="shared" si="111"/>
        <v>416</v>
      </c>
      <c r="AA556" s="904">
        <f t="shared" si="111"/>
        <v>747</v>
      </c>
      <c r="AB556" s="24">
        <v>155</v>
      </c>
    </row>
    <row r="557" spans="1:28" x14ac:dyDescent="0.25">
      <c r="A557" s="903"/>
      <c r="B557" t="s">
        <v>1152</v>
      </c>
      <c r="C557" s="906" t="s">
        <v>1172</v>
      </c>
      <c r="D557" s="25">
        <v>3.8</v>
      </c>
      <c r="E557" s="903">
        <v>518</v>
      </c>
      <c r="F557" s="903">
        <v>238</v>
      </c>
      <c r="G557" s="903" t="s">
        <v>1173</v>
      </c>
      <c r="H557" s="904">
        <f t="shared" si="100"/>
        <v>6</v>
      </c>
      <c r="I557" s="904">
        <f t="shared" si="101"/>
        <v>11</v>
      </c>
      <c r="J557" s="21">
        <f t="shared" si="102"/>
        <v>10700</v>
      </c>
      <c r="K557" s="21">
        <f t="shared" si="103"/>
        <v>10700</v>
      </c>
      <c r="L557" s="21">
        <f t="shared" si="104"/>
        <v>19300</v>
      </c>
      <c r="M557" s="21">
        <f t="shared" si="105"/>
        <v>27900</v>
      </c>
      <c r="N557" s="904">
        <f t="shared" si="106"/>
        <v>260</v>
      </c>
      <c r="O557" s="21"/>
      <c r="P557" s="22" t="s">
        <v>2</v>
      </c>
      <c r="Q557" s="22">
        <v>0.63</v>
      </c>
      <c r="R557" s="904" t="s">
        <v>42</v>
      </c>
      <c r="S557" s="904" t="str">
        <f t="shared" si="107"/>
        <v>Stove</v>
      </c>
      <c r="T557" s="23">
        <f t="shared" si="108"/>
        <v>0.3002661306126061</v>
      </c>
      <c r="U557" s="23">
        <f t="shared" si="109"/>
        <v>0.78293692000857107</v>
      </c>
      <c r="V557" s="23">
        <f t="shared" si="109"/>
        <v>0.43406347378713528</v>
      </c>
      <c r="W557" s="23">
        <f t="shared" si="110"/>
        <v>0.78293692000857107</v>
      </c>
      <c r="X557" s="904">
        <f t="shared" si="111"/>
        <v>670</v>
      </c>
      <c r="Y557" s="904">
        <f t="shared" si="111"/>
        <v>643</v>
      </c>
      <c r="Z557" s="904">
        <f t="shared" si="111"/>
        <v>648</v>
      </c>
      <c r="AA557" s="904">
        <f t="shared" si="111"/>
        <v>505</v>
      </c>
      <c r="AB557" s="24">
        <v>337</v>
      </c>
    </row>
    <row r="558" spans="1:28" x14ac:dyDescent="0.25">
      <c r="A558" s="903"/>
      <c r="B558" t="s">
        <v>1152</v>
      </c>
      <c r="C558" s="906" t="s">
        <v>1174</v>
      </c>
      <c r="D558" s="25">
        <v>4.4000000000000004</v>
      </c>
      <c r="E558" s="903">
        <v>660</v>
      </c>
      <c r="F558" s="903">
        <v>338</v>
      </c>
      <c r="G558" s="903" t="s">
        <v>1175</v>
      </c>
      <c r="H558" s="904">
        <f t="shared" si="100"/>
        <v>6</v>
      </c>
      <c r="I558" s="904">
        <f t="shared" si="101"/>
        <v>11</v>
      </c>
      <c r="J558" s="21">
        <f t="shared" si="102"/>
        <v>12000</v>
      </c>
      <c r="K558" s="21">
        <f t="shared" si="103"/>
        <v>13532.000000000002</v>
      </c>
      <c r="L558" s="21">
        <f t="shared" si="104"/>
        <v>25900</v>
      </c>
      <c r="M558" s="21">
        <f t="shared" si="105"/>
        <v>39800</v>
      </c>
      <c r="N558" s="904">
        <f t="shared" si="106"/>
        <v>746</v>
      </c>
      <c r="O558" s="21"/>
      <c r="P558" s="22" t="s">
        <v>2</v>
      </c>
      <c r="Q558" s="22">
        <v>0.63</v>
      </c>
      <c r="R558" s="904" t="s">
        <v>42</v>
      </c>
      <c r="S558" s="904" t="str">
        <f t="shared" si="107"/>
        <v>Stove</v>
      </c>
      <c r="T558" s="23">
        <f t="shared" si="108"/>
        <v>0.24372302429253853</v>
      </c>
      <c r="U558" s="23">
        <f t="shared" si="109"/>
        <v>0.71683242438981909</v>
      </c>
      <c r="V558" s="23">
        <f t="shared" si="109"/>
        <v>0.37452418404799359</v>
      </c>
      <c r="W558" s="23">
        <f t="shared" si="110"/>
        <v>0.80834803057025284</v>
      </c>
      <c r="X558" s="904">
        <f t="shared" si="111"/>
        <v>542</v>
      </c>
      <c r="Y558" s="904">
        <f t="shared" si="111"/>
        <v>585</v>
      </c>
      <c r="Z558" s="904">
        <f t="shared" si="111"/>
        <v>556</v>
      </c>
      <c r="AA558" s="904">
        <f t="shared" si="111"/>
        <v>541</v>
      </c>
      <c r="AB558" s="24">
        <v>293</v>
      </c>
    </row>
    <row r="559" spans="1:28" x14ac:dyDescent="0.25">
      <c r="A559" s="903"/>
      <c r="B559" t="s">
        <v>1152</v>
      </c>
      <c r="C559" s="906" t="s">
        <v>1176</v>
      </c>
      <c r="D559" s="25">
        <v>3.5</v>
      </c>
      <c r="E559" s="903">
        <v>432</v>
      </c>
      <c r="F559" s="903">
        <v>181</v>
      </c>
      <c r="G559" s="903" t="s">
        <v>1177</v>
      </c>
      <c r="H559" s="904">
        <f t="shared" si="100"/>
        <v>5</v>
      </c>
      <c r="I559" s="904">
        <f t="shared" si="101"/>
        <v>10</v>
      </c>
      <c r="J559" s="21">
        <f t="shared" si="102"/>
        <v>8400</v>
      </c>
      <c r="K559" s="21">
        <f t="shared" si="103"/>
        <v>8400</v>
      </c>
      <c r="L559" s="21">
        <f t="shared" si="104"/>
        <v>16000</v>
      </c>
      <c r="M559" s="21">
        <f t="shared" si="105"/>
        <v>23600</v>
      </c>
      <c r="N559" s="904">
        <f t="shared" si="106"/>
        <v>64</v>
      </c>
      <c r="O559" s="21"/>
      <c r="P559" s="22" t="s">
        <v>2</v>
      </c>
      <c r="Q559" s="22">
        <v>0.63</v>
      </c>
      <c r="R559" s="904" t="s">
        <v>42</v>
      </c>
      <c r="S559" s="904" t="str">
        <f t="shared" si="107"/>
        <v>Stove</v>
      </c>
      <c r="T559" s="23">
        <f t="shared" si="108"/>
        <v>0.32695124503034106</v>
      </c>
      <c r="U559" s="23">
        <f t="shared" si="109"/>
        <v>0.91857730746619637</v>
      </c>
      <c r="V559" s="23">
        <f t="shared" si="109"/>
        <v>0.48225308641975306</v>
      </c>
      <c r="W559" s="23">
        <f t="shared" si="110"/>
        <v>0.91857730746619637</v>
      </c>
      <c r="X559" s="904">
        <f t="shared" si="111"/>
        <v>730</v>
      </c>
      <c r="Y559" s="904">
        <f t="shared" si="111"/>
        <v>759</v>
      </c>
      <c r="Z559" s="904">
        <f t="shared" si="111"/>
        <v>718</v>
      </c>
      <c r="AA559" s="904">
        <f t="shared" si="111"/>
        <v>661</v>
      </c>
      <c r="AB559" s="24">
        <v>429</v>
      </c>
    </row>
    <row r="560" spans="1:28" x14ac:dyDescent="0.25">
      <c r="A560" s="903"/>
      <c r="B560" t="s">
        <v>1152</v>
      </c>
      <c r="C560" s="906" t="s">
        <v>1178</v>
      </c>
      <c r="D560" s="25">
        <v>4.68</v>
      </c>
      <c r="E560" s="903">
        <v>727</v>
      </c>
      <c r="F560" s="903">
        <v>396</v>
      </c>
      <c r="G560" s="903" t="s">
        <v>1179</v>
      </c>
      <c r="H560" s="904">
        <f t="shared" si="100"/>
        <v>6</v>
      </c>
      <c r="I560" s="904">
        <f t="shared" si="101"/>
        <v>11</v>
      </c>
      <c r="J560" s="21">
        <f t="shared" si="102"/>
        <v>10300</v>
      </c>
      <c r="K560" s="21">
        <f t="shared" si="103"/>
        <v>20570</v>
      </c>
      <c r="L560" s="21">
        <f t="shared" si="104"/>
        <v>35400</v>
      </c>
      <c r="M560" s="21">
        <f t="shared" si="105"/>
        <v>60500</v>
      </c>
      <c r="N560" s="904">
        <f t="shared" si="106"/>
        <v>943</v>
      </c>
      <c r="O560" s="21"/>
      <c r="P560" s="22" t="s">
        <v>2</v>
      </c>
      <c r="Q560" s="22">
        <v>0.63</v>
      </c>
      <c r="R560" s="904" t="s">
        <v>42</v>
      </c>
      <c r="S560" s="904" t="str">
        <f t="shared" si="107"/>
        <v>Stove</v>
      </c>
      <c r="T560" s="23">
        <f t="shared" si="108"/>
        <v>0.1705365341728978</v>
      </c>
      <c r="U560" s="23">
        <f t="shared" si="109"/>
        <v>0.50157804168499354</v>
      </c>
      <c r="V560" s="23">
        <f t="shared" si="109"/>
        <v>0.29145368128418975</v>
      </c>
      <c r="W560" s="23">
        <f t="shared" si="110"/>
        <v>1.001695176452458</v>
      </c>
      <c r="X560" s="904">
        <f t="shared" si="111"/>
        <v>279</v>
      </c>
      <c r="Y560" s="904">
        <f t="shared" si="111"/>
        <v>295</v>
      </c>
      <c r="Z560" s="904">
        <f t="shared" si="111"/>
        <v>341</v>
      </c>
      <c r="AA560" s="904">
        <f t="shared" si="111"/>
        <v>714</v>
      </c>
      <c r="AB560" s="24">
        <v>102</v>
      </c>
    </row>
    <row r="561" spans="1:28" x14ac:dyDescent="0.25">
      <c r="A561" s="903"/>
      <c r="B561" t="s">
        <v>1152</v>
      </c>
      <c r="C561" s="906" t="s">
        <v>1180</v>
      </c>
      <c r="D561" s="25">
        <v>4.3</v>
      </c>
      <c r="E561" s="903">
        <v>635</v>
      </c>
      <c r="F561" s="903">
        <v>318</v>
      </c>
      <c r="G561" s="903" t="s">
        <v>1181</v>
      </c>
      <c r="H561" s="904">
        <f t="shared" si="100"/>
        <v>5</v>
      </c>
      <c r="I561" s="904">
        <f t="shared" si="101"/>
        <v>10</v>
      </c>
      <c r="J561" s="21">
        <f t="shared" si="102"/>
        <v>8600</v>
      </c>
      <c r="K561" s="21">
        <f t="shared" si="103"/>
        <v>14314.000000000002</v>
      </c>
      <c r="L561" s="21">
        <f t="shared" si="104"/>
        <v>25350</v>
      </c>
      <c r="M561" s="21">
        <f t="shared" si="105"/>
        <v>42100</v>
      </c>
      <c r="N561" s="904">
        <f t="shared" si="106"/>
        <v>721</v>
      </c>
      <c r="O561" s="21"/>
      <c r="P561" s="22" t="s">
        <v>2</v>
      </c>
      <c r="Q561" s="22">
        <v>0.63</v>
      </c>
      <c r="R561" s="904" t="s">
        <v>42</v>
      </c>
      <c r="S561" s="904" t="str">
        <f t="shared" si="107"/>
        <v>Stove</v>
      </c>
      <c r="T561" s="23">
        <f t="shared" si="108"/>
        <v>0.22517144449052603</v>
      </c>
      <c r="U561" s="23">
        <f t="shared" si="109"/>
        <v>0.66226895438389999</v>
      </c>
      <c r="V561" s="23">
        <f t="shared" si="109"/>
        <v>0.37395336540635687</v>
      </c>
      <c r="W561" s="23">
        <f t="shared" si="110"/>
        <v>1.1022927689594357</v>
      </c>
      <c r="X561" s="904">
        <f t="shared" si="111"/>
        <v>475</v>
      </c>
      <c r="Y561" s="904">
        <f t="shared" si="111"/>
        <v>513</v>
      </c>
      <c r="Z561" s="904">
        <f t="shared" si="111"/>
        <v>552</v>
      </c>
      <c r="AA561" s="904">
        <f t="shared" si="111"/>
        <v>781</v>
      </c>
      <c r="AB561" s="24">
        <v>246</v>
      </c>
    </row>
    <row r="562" spans="1:28" x14ac:dyDescent="0.25">
      <c r="A562" s="903"/>
      <c r="B562" t="s">
        <v>1152</v>
      </c>
      <c r="C562" s="906" t="s">
        <v>1182</v>
      </c>
      <c r="D562" s="25">
        <v>3.3</v>
      </c>
      <c r="E562" s="903">
        <v>393</v>
      </c>
      <c r="F562" s="903">
        <v>152</v>
      </c>
      <c r="G562" s="903" t="s">
        <v>1183</v>
      </c>
      <c r="H562" s="904">
        <f t="shared" si="100"/>
        <v>5</v>
      </c>
      <c r="I562" s="904">
        <f t="shared" si="101"/>
        <v>10</v>
      </c>
      <c r="J562" s="21">
        <f t="shared" si="102"/>
        <v>9600</v>
      </c>
      <c r="K562" s="21">
        <f t="shared" si="103"/>
        <v>9600</v>
      </c>
      <c r="L562" s="21">
        <f t="shared" si="104"/>
        <v>15800</v>
      </c>
      <c r="M562" s="21">
        <f t="shared" si="105"/>
        <v>22000</v>
      </c>
      <c r="N562" s="904">
        <f t="shared" si="106"/>
        <v>59</v>
      </c>
      <c r="O562" s="21"/>
      <c r="P562" s="22" t="s">
        <v>2</v>
      </c>
      <c r="Q562" s="22">
        <v>0.63</v>
      </c>
      <c r="R562" s="904" t="s">
        <v>42</v>
      </c>
      <c r="S562" s="904" t="str">
        <f t="shared" si="107"/>
        <v>Stove</v>
      </c>
      <c r="T562" s="23">
        <f t="shared" si="108"/>
        <v>0.3306878306878307</v>
      </c>
      <c r="U562" s="23">
        <f t="shared" si="109"/>
        <v>0.75782627865961194</v>
      </c>
      <c r="V562" s="23">
        <f t="shared" si="109"/>
        <v>0.46045140981849841</v>
      </c>
      <c r="W562" s="23">
        <f t="shared" si="110"/>
        <v>0.75782627865961194</v>
      </c>
      <c r="X562" s="904">
        <f t="shared" si="111"/>
        <v>736</v>
      </c>
      <c r="Y562" s="904">
        <f t="shared" si="111"/>
        <v>626</v>
      </c>
      <c r="Z562" s="904">
        <f t="shared" si="111"/>
        <v>682</v>
      </c>
      <c r="AA562" s="904">
        <f t="shared" si="111"/>
        <v>476</v>
      </c>
      <c r="AB562" s="24">
        <v>322</v>
      </c>
    </row>
    <row r="563" spans="1:28" x14ac:dyDescent="0.25">
      <c r="A563" s="903" t="s">
        <v>77</v>
      </c>
      <c r="B563" t="s">
        <v>1184</v>
      </c>
      <c r="C563" s="906" t="s">
        <v>1185</v>
      </c>
      <c r="D563" s="25">
        <v>2.2999999999999998</v>
      </c>
      <c r="E563" s="903">
        <v>182</v>
      </c>
      <c r="F563" s="903">
        <v>48</v>
      </c>
      <c r="G563" s="903" t="s">
        <v>1186</v>
      </c>
      <c r="H563" s="904">
        <f t="shared" si="100"/>
        <v>6</v>
      </c>
      <c r="I563" s="904">
        <f t="shared" si="101"/>
        <v>11</v>
      </c>
      <c r="J563" s="21">
        <f t="shared" si="102"/>
        <v>11600</v>
      </c>
      <c r="K563" s="21">
        <f t="shared" si="103"/>
        <v>11600</v>
      </c>
      <c r="L563" s="21">
        <f t="shared" si="104"/>
        <v>22650</v>
      </c>
      <c r="M563" s="21">
        <f t="shared" si="105"/>
        <v>33700</v>
      </c>
      <c r="N563" s="904">
        <f t="shared" si="106"/>
        <v>519</v>
      </c>
      <c r="O563" s="21"/>
      <c r="P563" s="22" t="s">
        <v>2</v>
      </c>
      <c r="Q563" s="22">
        <v>0.63</v>
      </c>
      <c r="R563" s="904" t="s">
        <v>42</v>
      </c>
      <c r="S563" s="904" t="str">
        <f t="shared" si="107"/>
        <v>Stove</v>
      </c>
      <c r="T563" s="23">
        <f t="shared" si="108"/>
        <v>0.15046132751375085</v>
      </c>
      <c r="U563" s="23">
        <f t="shared" si="109"/>
        <v>0.43711609803563828</v>
      </c>
      <c r="V563" s="23">
        <f t="shared" si="109"/>
        <v>0.22386519811096706</v>
      </c>
      <c r="W563" s="23">
        <f t="shared" si="110"/>
        <v>0.43711609803563828</v>
      </c>
      <c r="X563" s="904">
        <f t="shared" si="111"/>
        <v>216</v>
      </c>
      <c r="Y563" s="904">
        <f t="shared" si="111"/>
        <v>216</v>
      </c>
      <c r="Z563" s="904">
        <f t="shared" si="111"/>
        <v>190</v>
      </c>
      <c r="AA563" s="904">
        <f t="shared" si="111"/>
        <v>139</v>
      </c>
      <c r="AB563" s="24">
        <v>68</v>
      </c>
    </row>
    <row r="564" spans="1:28" x14ac:dyDescent="0.25">
      <c r="A564" s="903" t="s">
        <v>77</v>
      </c>
      <c r="B564" t="s">
        <v>1184</v>
      </c>
      <c r="C564" s="906" t="s">
        <v>1187</v>
      </c>
      <c r="D564" s="25">
        <v>5.4</v>
      </c>
      <c r="E564" s="903">
        <v>802</v>
      </c>
      <c r="F564" s="903">
        <v>452</v>
      </c>
      <c r="G564" s="903" t="s">
        <v>1188</v>
      </c>
      <c r="H564" s="904">
        <f t="shared" si="100"/>
        <v>6</v>
      </c>
      <c r="I564" s="904">
        <f t="shared" si="101"/>
        <v>11</v>
      </c>
      <c r="J564" s="21">
        <f t="shared" si="102"/>
        <v>14500</v>
      </c>
      <c r="K564" s="21">
        <f t="shared" si="103"/>
        <v>17340</v>
      </c>
      <c r="L564" s="21">
        <f t="shared" si="104"/>
        <v>32750</v>
      </c>
      <c r="M564" s="21">
        <f t="shared" si="105"/>
        <v>51000</v>
      </c>
      <c r="N564" s="904">
        <f t="shared" si="106"/>
        <v>911</v>
      </c>
      <c r="O564" s="21"/>
      <c r="P564" s="22" t="s">
        <v>2</v>
      </c>
      <c r="Q564" s="22">
        <v>0.63</v>
      </c>
      <c r="R564" s="904" t="s">
        <v>42</v>
      </c>
      <c r="S564" s="904" t="str">
        <f t="shared" si="107"/>
        <v>Stove</v>
      </c>
      <c r="T564" s="23">
        <f t="shared" si="108"/>
        <v>0.23342670401493931</v>
      </c>
      <c r="U564" s="23">
        <f t="shared" si="109"/>
        <v>0.6865491294557039</v>
      </c>
      <c r="V564" s="23">
        <f t="shared" si="109"/>
        <v>0.36350418029807341</v>
      </c>
      <c r="W564" s="23">
        <f t="shared" si="110"/>
        <v>0.82101806239737274</v>
      </c>
      <c r="X564" s="904">
        <f t="shared" si="111"/>
        <v>507</v>
      </c>
      <c r="Y564" s="904">
        <f t="shared" si="111"/>
        <v>552</v>
      </c>
      <c r="Z564" s="904">
        <f t="shared" si="111"/>
        <v>521</v>
      </c>
      <c r="AA564" s="904">
        <f t="shared" si="111"/>
        <v>560</v>
      </c>
      <c r="AB564" s="24">
        <v>268</v>
      </c>
    </row>
    <row r="565" spans="1:28" x14ac:dyDescent="0.25">
      <c r="A565" s="903" t="s">
        <v>77</v>
      </c>
      <c r="B565" t="s">
        <v>1184</v>
      </c>
      <c r="C565" s="906" t="s">
        <v>1189</v>
      </c>
      <c r="D565" s="25">
        <v>3.4</v>
      </c>
      <c r="E565" s="903">
        <v>415</v>
      </c>
      <c r="F565" s="903">
        <v>173</v>
      </c>
      <c r="G565" s="903" t="s">
        <v>1190</v>
      </c>
      <c r="H565" s="904">
        <f t="shared" si="100"/>
        <v>5</v>
      </c>
      <c r="I565" s="904">
        <f t="shared" si="101"/>
        <v>10</v>
      </c>
      <c r="J565" s="21">
        <f t="shared" si="102"/>
        <v>9100</v>
      </c>
      <c r="K565" s="21">
        <f t="shared" si="103"/>
        <v>9100</v>
      </c>
      <c r="L565" s="21">
        <f t="shared" si="104"/>
        <v>15750</v>
      </c>
      <c r="M565" s="21">
        <f t="shared" si="105"/>
        <v>22400</v>
      </c>
      <c r="N565" s="904">
        <f t="shared" si="106"/>
        <v>58</v>
      </c>
      <c r="O565" s="21"/>
      <c r="P565" s="22" t="s">
        <v>2</v>
      </c>
      <c r="Q565" s="22">
        <v>0.72</v>
      </c>
      <c r="R565" s="904" t="s">
        <v>38</v>
      </c>
      <c r="S565" s="904" t="str">
        <f t="shared" si="107"/>
        <v>Insert</v>
      </c>
      <c r="T565" s="23">
        <f t="shared" si="108"/>
        <v>0.33462459057697153</v>
      </c>
      <c r="U565" s="23">
        <f t="shared" si="109"/>
        <v>0.82369129988177603</v>
      </c>
      <c r="V565" s="23">
        <f t="shared" si="109"/>
        <v>0.47591052882058171</v>
      </c>
      <c r="W565" s="23">
        <f t="shared" si="110"/>
        <v>0.82369129988177603</v>
      </c>
      <c r="X565" s="904">
        <f t="shared" si="111"/>
        <v>749</v>
      </c>
      <c r="Y565" s="904">
        <f t="shared" si="111"/>
        <v>692</v>
      </c>
      <c r="Z565" s="904">
        <f t="shared" si="111"/>
        <v>709</v>
      </c>
      <c r="AA565" s="904">
        <f t="shared" si="111"/>
        <v>567</v>
      </c>
      <c r="AB565" s="24">
        <v>235</v>
      </c>
    </row>
    <row r="566" spans="1:28" x14ac:dyDescent="0.25">
      <c r="A566" s="903" t="s">
        <v>77</v>
      </c>
      <c r="B566" t="s">
        <v>1184</v>
      </c>
      <c r="C566" s="906" t="s">
        <v>1191</v>
      </c>
      <c r="D566" s="25">
        <v>3.9</v>
      </c>
      <c r="E566" s="903">
        <v>548</v>
      </c>
      <c r="F566" s="903">
        <v>219</v>
      </c>
      <c r="G566" s="903" t="s">
        <v>1192</v>
      </c>
      <c r="H566" s="904">
        <f t="shared" si="100"/>
        <v>6</v>
      </c>
      <c r="I566" s="904">
        <f t="shared" si="101"/>
        <v>11</v>
      </c>
      <c r="J566" s="21">
        <f t="shared" si="102"/>
        <v>12100</v>
      </c>
      <c r="K566" s="21">
        <f t="shared" si="103"/>
        <v>12104</v>
      </c>
      <c r="L566" s="21">
        <f t="shared" si="104"/>
        <v>23850</v>
      </c>
      <c r="M566" s="21">
        <f t="shared" si="105"/>
        <v>35600</v>
      </c>
      <c r="N566" s="904">
        <f t="shared" si="106"/>
        <v>618</v>
      </c>
      <c r="O566" s="21"/>
      <c r="P566" s="22" t="s">
        <v>2</v>
      </c>
      <c r="Q566" s="22">
        <v>0.72</v>
      </c>
      <c r="R566" s="904" t="s">
        <v>38</v>
      </c>
      <c r="S566" s="904" t="str">
        <f t="shared" si="107"/>
        <v>Stove</v>
      </c>
      <c r="T566" s="23">
        <f t="shared" si="108"/>
        <v>0.24151358421021343</v>
      </c>
      <c r="U566" s="23">
        <f t="shared" si="109"/>
        <v>0.71033407120651004</v>
      </c>
      <c r="V566" s="23">
        <f t="shared" si="109"/>
        <v>0.36049826406220536</v>
      </c>
      <c r="W566" s="23">
        <f t="shared" si="110"/>
        <v>0.71056889238707421</v>
      </c>
      <c r="X566" s="904">
        <f t="shared" si="111"/>
        <v>535</v>
      </c>
      <c r="Y566" s="904">
        <f t="shared" si="111"/>
        <v>581</v>
      </c>
      <c r="Z566" s="904">
        <f t="shared" si="111"/>
        <v>512</v>
      </c>
      <c r="AA566" s="904">
        <f t="shared" si="111"/>
        <v>421</v>
      </c>
      <c r="AB566" s="24">
        <v>215</v>
      </c>
    </row>
    <row r="567" spans="1:28" x14ac:dyDescent="0.25">
      <c r="A567" s="903" t="s">
        <v>77</v>
      </c>
      <c r="B567" t="s">
        <v>1184</v>
      </c>
      <c r="C567" s="906" t="s">
        <v>1193</v>
      </c>
      <c r="D567" s="25">
        <v>3.9</v>
      </c>
      <c r="E567" s="903">
        <v>548</v>
      </c>
      <c r="F567" s="903">
        <v>219</v>
      </c>
      <c r="G567" s="903" t="s">
        <v>1192</v>
      </c>
      <c r="H567" s="904">
        <f t="shared" si="100"/>
        <v>6</v>
      </c>
      <c r="I567" s="904">
        <f t="shared" si="101"/>
        <v>11</v>
      </c>
      <c r="J567" s="21">
        <f t="shared" si="102"/>
        <v>12100</v>
      </c>
      <c r="K567" s="21">
        <f t="shared" si="103"/>
        <v>12104</v>
      </c>
      <c r="L567" s="21">
        <f t="shared" si="104"/>
        <v>23850</v>
      </c>
      <c r="M567" s="21">
        <f t="shared" si="105"/>
        <v>35600</v>
      </c>
      <c r="N567" s="904">
        <f t="shared" si="106"/>
        <v>618</v>
      </c>
      <c r="O567" s="21"/>
      <c r="P567" s="22" t="s">
        <v>2</v>
      </c>
      <c r="Q567" s="22">
        <v>0.72</v>
      </c>
      <c r="R567" s="904" t="s">
        <v>38</v>
      </c>
      <c r="S567" s="904" t="str">
        <f t="shared" si="107"/>
        <v>Stove</v>
      </c>
      <c r="T567" s="23">
        <f t="shared" si="108"/>
        <v>0.24151358421021343</v>
      </c>
      <c r="U567" s="23">
        <f t="shared" si="109"/>
        <v>0.71033407120651004</v>
      </c>
      <c r="V567" s="23">
        <f t="shared" si="109"/>
        <v>0.36049826406220536</v>
      </c>
      <c r="W567" s="23">
        <f t="shared" si="110"/>
        <v>0.71056889238707421</v>
      </c>
      <c r="X567" s="904">
        <f t="shared" si="111"/>
        <v>535</v>
      </c>
      <c r="Y567" s="904">
        <f t="shared" si="111"/>
        <v>581</v>
      </c>
      <c r="Z567" s="904">
        <f t="shared" si="111"/>
        <v>512</v>
      </c>
      <c r="AA567" s="904">
        <f t="shared" si="111"/>
        <v>421</v>
      </c>
      <c r="AB567" s="24">
        <v>215</v>
      </c>
    </row>
    <row r="568" spans="1:28" x14ac:dyDescent="0.25">
      <c r="A568" s="903" t="s">
        <v>77</v>
      </c>
      <c r="B568" t="s">
        <v>1184</v>
      </c>
      <c r="C568" s="906" t="s">
        <v>1194</v>
      </c>
      <c r="D568" s="25">
        <v>3.1</v>
      </c>
      <c r="E568" s="903">
        <v>347</v>
      </c>
      <c r="F568" s="903">
        <v>146</v>
      </c>
      <c r="G568" s="903" t="s">
        <v>1195</v>
      </c>
      <c r="H568" s="904">
        <f t="shared" si="100"/>
        <v>6</v>
      </c>
      <c r="I568" s="904">
        <f t="shared" si="101"/>
        <v>11</v>
      </c>
      <c r="J568" s="21">
        <f t="shared" si="102"/>
        <v>11600</v>
      </c>
      <c r="K568" s="21">
        <f t="shared" si="103"/>
        <v>13974.000000000002</v>
      </c>
      <c r="L568" s="21">
        <f t="shared" si="104"/>
        <v>26350</v>
      </c>
      <c r="M568" s="21">
        <f t="shared" si="105"/>
        <v>41100</v>
      </c>
      <c r="N568" s="904">
        <f t="shared" si="106"/>
        <v>761</v>
      </c>
      <c r="O568" s="21"/>
      <c r="P568" s="22" t="s">
        <v>2</v>
      </c>
      <c r="Q568" s="22">
        <v>0.72</v>
      </c>
      <c r="R568" s="904" t="s">
        <v>38</v>
      </c>
      <c r="S568" s="904" t="str">
        <f t="shared" si="107"/>
        <v>Stove</v>
      </c>
      <c r="T568" s="23">
        <f t="shared" si="108"/>
        <v>0.16628260748293189</v>
      </c>
      <c r="U568" s="23">
        <f t="shared" si="109"/>
        <v>0.48906649259685842</v>
      </c>
      <c r="V568" s="23">
        <f t="shared" si="109"/>
        <v>0.25936300446104366</v>
      </c>
      <c r="W568" s="23">
        <f t="shared" si="110"/>
        <v>0.58915647996107767</v>
      </c>
      <c r="X568" s="904">
        <f t="shared" si="111"/>
        <v>268</v>
      </c>
      <c r="Y568" s="904">
        <f t="shared" si="111"/>
        <v>282</v>
      </c>
      <c r="Z568" s="904">
        <f t="shared" si="111"/>
        <v>261</v>
      </c>
      <c r="AA568" s="904">
        <f t="shared" si="111"/>
        <v>285</v>
      </c>
      <c r="AB568" s="24">
        <v>119</v>
      </c>
    </row>
    <row r="569" spans="1:28" x14ac:dyDescent="0.25">
      <c r="A569" s="903" t="s">
        <v>77</v>
      </c>
      <c r="B569" t="s">
        <v>1184</v>
      </c>
      <c r="C569" s="906" t="s">
        <v>1196</v>
      </c>
      <c r="D569" s="25">
        <v>3.1</v>
      </c>
      <c r="E569" s="903">
        <v>347</v>
      </c>
      <c r="F569" s="903">
        <v>146</v>
      </c>
      <c r="G569" s="903" t="s">
        <v>1195</v>
      </c>
      <c r="H569" s="904">
        <f t="shared" si="100"/>
        <v>6</v>
      </c>
      <c r="I569" s="904">
        <f t="shared" si="101"/>
        <v>11</v>
      </c>
      <c r="J569" s="21">
        <f t="shared" si="102"/>
        <v>11600</v>
      </c>
      <c r="K569" s="21">
        <f t="shared" si="103"/>
        <v>13974.000000000002</v>
      </c>
      <c r="L569" s="21">
        <f t="shared" si="104"/>
        <v>26350</v>
      </c>
      <c r="M569" s="21">
        <f t="shared" si="105"/>
        <v>41100</v>
      </c>
      <c r="N569" s="904">
        <f t="shared" si="106"/>
        <v>761</v>
      </c>
      <c r="O569" s="21"/>
      <c r="P569" s="22" t="s">
        <v>2</v>
      </c>
      <c r="Q569" s="22">
        <v>0.72</v>
      </c>
      <c r="R569" s="904" t="s">
        <v>38</v>
      </c>
      <c r="S569" s="904" t="str">
        <f t="shared" si="107"/>
        <v>Stove</v>
      </c>
      <c r="T569" s="23">
        <f t="shared" si="108"/>
        <v>0.16628260748293189</v>
      </c>
      <c r="U569" s="23">
        <f t="shared" si="109"/>
        <v>0.48906649259685842</v>
      </c>
      <c r="V569" s="23">
        <f t="shared" si="109"/>
        <v>0.25936300446104366</v>
      </c>
      <c r="W569" s="23">
        <f t="shared" si="110"/>
        <v>0.58915647996107767</v>
      </c>
      <c r="X569" s="904">
        <f t="shared" si="111"/>
        <v>268</v>
      </c>
      <c r="Y569" s="904">
        <f t="shared" si="111"/>
        <v>282</v>
      </c>
      <c r="Z569" s="904">
        <f t="shared" si="111"/>
        <v>261</v>
      </c>
      <c r="AA569" s="904">
        <f t="shared" si="111"/>
        <v>285</v>
      </c>
      <c r="AB569" s="24">
        <v>119</v>
      </c>
    </row>
    <row r="570" spans="1:28" x14ac:dyDescent="0.25">
      <c r="A570" s="903"/>
      <c r="B570" t="s">
        <v>1197</v>
      </c>
      <c r="C570" s="906" t="s">
        <v>1198</v>
      </c>
      <c r="D570" s="25">
        <v>3.6</v>
      </c>
      <c r="E570" s="903">
        <v>467</v>
      </c>
      <c r="F570" s="903">
        <v>207</v>
      </c>
      <c r="G570" s="903" t="s">
        <v>1199</v>
      </c>
      <c r="H570" s="904">
        <f t="shared" si="100"/>
        <v>6</v>
      </c>
      <c r="I570" s="904">
        <f t="shared" si="101"/>
        <v>11</v>
      </c>
      <c r="J570" s="21">
        <f t="shared" si="102"/>
        <v>10500</v>
      </c>
      <c r="K570" s="21">
        <f t="shared" si="103"/>
        <v>10500</v>
      </c>
      <c r="L570" s="21">
        <f t="shared" si="104"/>
        <v>19350</v>
      </c>
      <c r="M570" s="21">
        <f t="shared" si="105"/>
        <v>28200</v>
      </c>
      <c r="N570" s="904">
        <f t="shared" si="106"/>
        <v>265</v>
      </c>
      <c r="O570" s="21"/>
      <c r="P570" s="22" t="s">
        <v>2</v>
      </c>
      <c r="Q570" s="22">
        <v>0.63</v>
      </c>
      <c r="R570" s="904" t="s">
        <v>42</v>
      </c>
      <c r="S570" s="904" t="str">
        <f t="shared" si="107"/>
        <v>Stove</v>
      </c>
      <c r="T570" s="23">
        <f t="shared" si="108"/>
        <v>0.2814364516492176</v>
      </c>
      <c r="U570" s="23">
        <f t="shared" si="109"/>
        <v>0.75585789871504161</v>
      </c>
      <c r="V570" s="23">
        <f t="shared" si="109"/>
        <v>0.41015544891513883</v>
      </c>
      <c r="W570" s="23">
        <f t="shared" si="110"/>
        <v>0.75585789871504161</v>
      </c>
      <c r="X570" s="904">
        <f t="shared" si="111"/>
        <v>636</v>
      </c>
      <c r="Y570" s="904">
        <f t="shared" si="111"/>
        <v>622</v>
      </c>
      <c r="Z570" s="904">
        <f t="shared" si="111"/>
        <v>617</v>
      </c>
      <c r="AA570" s="904">
        <f t="shared" si="111"/>
        <v>475</v>
      </c>
      <c r="AB570" s="24">
        <v>320</v>
      </c>
    </row>
    <row r="571" spans="1:28" x14ac:dyDescent="0.25">
      <c r="A571" s="903"/>
      <c r="B571" t="s">
        <v>1197</v>
      </c>
      <c r="C571" s="906" t="s">
        <v>1200</v>
      </c>
      <c r="D571" s="25">
        <v>3.5</v>
      </c>
      <c r="E571" s="903">
        <v>432</v>
      </c>
      <c r="F571" s="903">
        <v>181</v>
      </c>
      <c r="G571" s="903" t="s">
        <v>1201</v>
      </c>
      <c r="H571" s="904">
        <f t="shared" si="100"/>
        <v>6</v>
      </c>
      <c r="I571" s="904">
        <f t="shared" si="101"/>
        <v>11</v>
      </c>
      <c r="J571" s="21">
        <f t="shared" si="102"/>
        <v>11400</v>
      </c>
      <c r="K571" s="21">
        <f t="shared" si="103"/>
        <v>11400</v>
      </c>
      <c r="L571" s="21">
        <f t="shared" si="104"/>
        <v>15400</v>
      </c>
      <c r="M571" s="21">
        <f t="shared" si="105"/>
        <v>19400</v>
      </c>
      <c r="N571" s="904">
        <f t="shared" si="106"/>
        <v>50</v>
      </c>
      <c r="O571" s="21"/>
      <c r="P571" s="22" t="s">
        <v>2</v>
      </c>
      <c r="Q571" s="22">
        <v>0.63</v>
      </c>
      <c r="R571" s="904" t="s">
        <v>42</v>
      </c>
      <c r="S571" s="904" t="str">
        <f t="shared" si="107"/>
        <v>Stove</v>
      </c>
      <c r="T571" s="23">
        <f t="shared" si="108"/>
        <v>0.39773450426371387</v>
      </c>
      <c r="U571" s="23">
        <f t="shared" si="109"/>
        <v>0.67684643708035519</v>
      </c>
      <c r="V571" s="23">
        <f t="shared" si="109"/>
        <v>0.50104216770883436</v>
      </c>
      <c r="W571" s="23">
        <f t="shared" si="110"/>
        <v>0.67684643708035519</v>
      </c>
      <c r="X571" s="904">
        <f t="shared" si="111"/>
        <v>826</v>
      </c>
      <c r="Y571" s="904">
        <f t="shared" si="111"/>
        <v>538</v>
      </c>
      <c r="Z571" s="904">
        <f t="shared" si="111"/>
        <v>748</v>
      </c>
      <c r="AA571" s="904">
        <f t="shared" si="111"/>
        <v>390</v>
      </c>
      <c r="AB571" s="24">
        <v>261</v>
      </c>
    </row>
    <row r="572" spans="1:28" x14ac:dyDescent="0.25">
      <c r="A572" s="903"/>
      <c r="B572" t="s">
        <v>1202</v>
      </c>
      <c r="C572" s="906" t="s">
        <v>1203</v>
      </c>
      <c r="D572" s="25">
        <v>2.6</v>
      </c>
      <c r="E572" s="903">
        <v>235</v>
      </c>
      <c r="F572" s="903">
        <v>102</v>
      </c>
      <c r="G572" s="903" t="s">
        <v>1204</v>
      </c>
      <c r="H572" s="904">
        <f t="shared" si="100"/>
        <v>5</v>
      </c>
      <c r="I572" s="904">
        <f t="shared" si="101"/>
        <v>10</v>
      </c>
      <c r="J572" s="21">
        <f t="shared" si="102"/>
        <v>6900</v>
      </c>
      <c r="K572" s="21">
        <f t="shared" si="103"/>
        <v>9452</v>
      </c>
      <c r="L572" s="21">
        <f t="shared" si="104"/>
        <v>17350</v>
      </c>
      <c r="M572" s="21">
        <f t="shared" si="105"/>
        <v>27800</v>
      </c>
      <c r="N572" s="904">
        <f t="shared" si="106"/>
        <v>120</v>
      </c>
      <c r="O572" s="21"/>
      <c r="P572" s="22" t="s">
        <v>2</v>
      </c>
      <c r="Q572" s="22">
        <v>0.72</v>
      </c>
      <c r="R572" s="904" t="s">
        <v>38</v>
      </c>
      <c r="S572" s="904" t="str">
        <f t="shared" si="107"/>
        <v>Stove</v>
      </c>
      <c r="T572" s="23">
        <f t="shared" si="108"/>
        <v>0.20618425894205269</v>
      </c>
      <c r="U572" s="23">
        <f t="shared" si="109"/>
        <v>0.60642429100603734</v>
      </c>
      <c r="V572" s="23">
        <f t="shared" si="109"/>
        <v>0.3303701670656522</v>
      </c>
      <c r="W572" s="23">
        <f t="shared" si="110"/>
        <v>0.83071339109986453</v>
      </c>
      <c r="X572" s="904">
        <f t="shared" si="111"/>
        <v>407</v>
      </c>
      <c r="Y572" s="904">
        <f t="shared" si="111"/>
        <v>442</v>
      </c>
      <c r="Z572" s="904">
        <f t="shared" si="111"/>
        <v>438</v>
      </c>
      <c r="AA572" s="904">
        <f t="shared" si="111"/>
        <v>576</v>
      </c>
      <c r="AB572" s="24">
        <v>178</v>
      </c>
    </row>
    <row r="573" spans="1:28" x14ac:dyDescent="0.25">
      <c r="A573" s="903"/>
      <c r="B573" t="s">
        <v>1202</v>
      </c>
      <c r="C573" s="906" t="s">
        <v>1205</v>
      </c>
      <c r="D573" s="25">
        <v>2.5</v>
      </c>
      <c r="E573" s="903">
        <v>218</v>
      </c>
      <c r="F573" s="903">
        <v>89</v>
      </c>
      <c r="G573" s="903" t="s">
        <v>1206</v>
      </c>
      <c r="H573" s="904">
        <f t="shared" si="100"/>
        <v>6</v>
      </c>
      <c r="I573" s="904">
        <f t="shared" si="101"/>
        <v>11</v>
      </c>
      <c r="J573" s="21">
        <f t="shared" si="102"/>
        <v>10100</v>
      </c>
      <c r="K573" s="21">
        <f t="shared" si="103"/>
        <v>12920.000000000002</v>
      </c>
      <c r="L573" s="21">
        <f t="shared" si="104"/>
        <v>24050</v>
      </c>
      <c r="M573" s="21">
        <f t="shared" si="105"/>
        <v>38000</v>
      </c>
      <c r="N573" s="904">
        <f t="shared" si="106"/>
        <v>637</v>
      </c>
      <c r="O573" s="21"/>
      <c r="P573" s="22" t="s">
        <v>2</v>
      </c>
      <c r="Q573" s="22">
        <v>0.72</v>
      </c>
      <c r="R573" s="904" t="s">
        <v>38</v>
      </c>
      <c r="S573" s="904" t="str">
        <f t="shared" si="107"/>
        <v>Stove</v>
      </c>
      <c r="T573" s="23">
        <f t="shared" si="108"/>
        <v>0.14503852223150468</v>
      </c>
      <c r="U573" s="23">
        <f t="shared" si="109"/>
        <v>0.4265838889161902</v>
      </c>
      <c r="V573" s="23">
        <f t="shared" si="109"/>
        <v>0.22916689583356251</v>
      </c>
      <c r="W573" s="23">
        <f t="shared" si="110"/>
        <v>0.54568948958387897</v>
      </c>
      <c r="X573" s="904">
        <f t="shared" si="111"/>
        <v>198</v>
      </c>
      <c r="Y573" s="904">
        <f t="shared" si="111"/>
        <v>207</v>
      </c>
      <c r="Z573" s="904">
        <f t="shared" si="111"/>
        <v>198</v>
      </c>
      <c r="AA573" s="904">
        <f t="shared" si="111"/>
        <v>245</v>
      </c>
      <c r="AB573" s="24">
        <v>80</v>
      </c>
    </row>
    <row r="574" spans="1:28" x14ac:dyDescent="0.25">
      <c r="A574" s="903"/>
      <c r="B574" t="s">
        <v>1202</v>
      </c>
      <c r="C574" s="906" t="s">
        <v>1207</v>
      </c>
      <c r="D574" s="25">
        <v>3.81</v>
      </c>
      <c r="E574" s="903">
        <v>544</v>
      </c>
      <c r="F574" s="903">
        <v>250</v>
      </c>
      <c r="G574" s="903" t="s">
        <v>1208</v>
      </c>
      <c r="H574" s="904">
        <f t="shared" si="100"/>
        <v>6</v>
      </c>
      <c r="I574" s="904">
        <f t="shared" si="101"/>
        <v>11</v>
      </c>
      <c r="J574" s="21">
        <f t="shared" si="102"/>
        <v>11390</v>
      </c>
      <c r="K574" s="21">
        <f t="shared" si="103"/>
        <v>14348.000000000002</v>
      </c>
      <c r="L574" s="21">
        <f t="shared" si="104"/>
        <v>26795</v>
      </c>
      <c r="M574" s="21">
        <f t="shared" si="105"/>
        <v>42200</v>
      </c>
      <c r="N574" s="904">
        <f t="shared" si="106"/>
        <v>782</v>
      </c>
      <c r="O574" s="21"/>
      <c r="P574" s="22" t="s">
        <v>2</v>
      </c>
      <c r="Q574" s="22">
        <v>0.63</v>
      </c>
      <c r="R574" s="904" t="s">
        <v>42</v>
      </c>
      <c r="S574" s="904" t="str">
        <f t="shared" si="107"/>
        <v>Stove</v>
      </c>
      <c r="T574" s="23">
        <f t="shared" si="108"/>
        <v>0.19903959477419192</v>
      </c>
      <c r="U574" s="23">
        <f t="shared" si="109"/>
        <v>0.58541057286527032</v>
      </c>
      <c r="V574" s="23">
        <f t="shared" si="109"/>
        <v>0.31347157676696769</v>
      </c>
      <c r="W574" s="23">
        <f t="shared" si="110"/>
        <v>0.73744257238550481</v>
      </c>
      <c r="X574" s="904">
        <f t="shared" si="111"/>
        <v>385</v>
      </c>
      <c r="Y574" s="904">
        <f t="shared" si="111"/>
        <v>419</v>
      </c>
      <c r="Z574" s="904">
        <f t="shared" si="111"/>
        <v>399</v>
      </c>
      <c r="AA574" s="904">
        <f t="shared" si="111"/>
        <v>447</v>
      </c>
      <c r="AB574" s="24">
        <v>179</v>
      </c>
    </row>
    <row r="575" spans="1:28" x14ac:dyDescent="0.25">
      <c r="A575" s="903"/>
      <c r="B575" t="s">
        <v>1202</v>
      </c>
      <c r="C575" s="906" t="s">
        <v>1209</v>
      </c>
      <c r="D575" s="25">
        <v>3.5</v>
      </c>
      <c r="E575" s="903">
        <v>432</v>
      </c>
      <c r="F575" s="903">
        <v>177</v>
      </c>
      <c r="G575" s="903" t="s">
        <v>1210</v>
      </c>
      <c r="H575" s="904">
        <f t="shared" si="100"/>
        <v>6</v>
      </c>
      <c r="I575" s="904">
        <f t="shared" si="101"/>
        <v>11</v>
      </c>
      <c r="J575" s="21">
        <f t="shared" si="102"/>
        <v>10400</v>
      </c>
      <c r="K575" s="21">
        <f t="shared" si="103"/>
        <v>17136</v>
      </c>
      <c r="L575" s="21">
        <f t="shared" si="104"/>
        <v>30400</v>
      </c>
      <c r="M575" s="21">
        <f t="shared" si="105"/>
        <v>50400</v>
      </c>
      <c r="N575" s="904">
        <f t="shared" si="106"/>
        <v>886</v>
      </c>
      <c r="O575" s="21"/>
      <c r="P575" s="22" t="s">
        <v>2</v>
      </c>
      <c r="Q575" s="22">
        <v>0.72</v>
      </c>
      <c r="R575" s="904" t="s">
        <v>38</v>
      </c>
      <c r="S575" s="904" t="str">
        <f t="shared" si="107"/>
        <v>Stove</v>
      </c>
      <c r="T575" s="23">
        <f t="shared" si="108"/>
        <v>0.15309621791103273</v>
      </c>
      <c r="U575" s="23">
        <f t="shared" si="109"/>
        <v>0.45028299385597859</v>
      </c>
      <c r="V575" s="23">
        <f t="shared" si="109"/>
        <v>0.25381741390513318</v>
      </c>
      <c r="W575" s="23">
        <f t="shared" si="110"/>
        <v>0.74192782526115864</v>
      </c>
      <c r="X575" s="904">
        <f t="shared" si="111"/>
        <v>226</v>
      </c>
      <c r="Y575" s="904">
        <f t="shared" si="111"/>
        <v>239</v>
      </c>
      <c r="Z575" s="904">
        <f t="shared" si="111"/>
        <v>253</v>
      </c>
      <c r="AA575" s="904">
        <f t="shared" si="111"/>
        <v>455</v>
      </c>
      <c r="AB575" s="24">
        <v>96</v>
      </c>
    </row>
    <row r="576" spans="1:28" x14ac:dyDescent="0.25">
      <c r="A576" s="903"/>
      <c r="B576" t="s">
        <v>1202</v>
      </c>
      <c r="C576" s="906" t="s">
        <v>1211</v>
      </c>
      <c r="D576" s="25">
        <v>4.7</v>
      </c>
      <c r="E576" s="903">
        <v>728</v>
      </c>
      <c r="F576" s="903">
        <v>250</v>
      </c>
      <c r="G576" s="903" t="s">
        <v>1212</v>
      </c>
      <c r="H576" s="904">
        <f t="shared" si="100"/>
        <v>5</v>
      </c>
      <c r="I576" s="904">
        <f t="shared" si="101"/>
        <v>10</v>
      </c>
      <c r="J576" s="21">
        <f t="shared" si="102"/>
        <v>8500</v>
      </c>
      <c r="K576" s="21">
        <f t="shared" si="103"/>
        <v>13294.000000000002</v>
      </c>
      <c r="L576" s="21">
        <f t="shared" si="104"/>
        <v>23800</v>
      </c>
      <c r="M576" s="21">
        <f t="shared" si="105"/>
        <v>39100</v>
      </c>
      <c r="N576" s="904">
        <f t="shared" si="106"/>
        <v>615</v>
      </c>
      <c r="O576" s="21"/>
      <c r="P576" s="22" t="s">
        <v>2</v>
      </c>
      <c r="Q576" s="22">
        <v>0.72</v>
      </c>
      <c r="R576" s="904" t="s">
        <v>38</v>
      </c>
      <c r="S576" s="904" t="str">
        <f t="shared" si="107"/>
        <v>Stove</v>
      </c>
      <c r="T576" s="23">
        <f t="shared" si="108"/>
        <v>0.26500133064497938</v>
      </c>
      <c r="U576" s="23">
        <f t="shared" si="109"/>
        <v>0.7794156783675863</v>
      </c>
      <c r="V576" s="23">
        <f t="shared" si="109"/>
        <v>0.43535932891675189</v>
      </c>
      <c r="W576" s="23">
        <f t="shared" si="110"/>
        <v>1.2190061209669052</v>
      </c>
      <c r="X576" s="904">
        <f t="shared" si="111"/>
        <v>592</v>
      </c>
      <c r="Y576" s="904">
        <f t="shared" si="111"/>
        <v>637</v>
      </c>
      <c r="Z576" s="904">
        <f t="shared" si="111"/>
        <v>651</v>
      </c>
      <c r="AA576" s="904">
        <f t="shared" si="111"/>
        <v>830</v>
      </c>
      <c r="AB576" s="24">
        <v>227</v>
      </c>
    </row>
    <row r="577" spans="1:28" x14ac:dyDescent="0.25">
      <c r="A577" s="903"/>
      <c r="B577" t="s">
        <v>1202</v>
      </c>
      <c r="C577" s="906" t="s">
        <v>1213</v>
      </c>
      <c r="D577" s="25">
        <v>1.2</v>
      </c>
      <c r="E577" s="903">
        <v>45</v>
      </c>
      <c r="F577" s="903">
        <v>12</v>
      </c>
      <c r="G577" s="903" t="s">
        <v>1214</v>
      </c>
      <c r="H577" s="904">
        <f t="shared" si="100"/>
        <v>5</v>
      </c>
      <c r="I577" s="904">
        <f t="shared" si="101"/>
        <v>10</v>
      </c>
      <c r="J577" s="21">
        <f t="shared" si="102"/>
        <v>8800</v>
      </c>
      <c r="K577" s="21">
        <f t="shared" si="103"/>
        <v>17408</v>
      </c>
      <c r="L577" s="21">
        <f t="shared" si="104"/>
        <v>30000</v>
      </c>
      <c r="M577" s="21">
        <f t="shared" si="105"/>
        <v>51200</v>
      </c>
      <c r="N577" s="904">
        <f t="shared" si="106"/>
        <v>880</v>
      </c>
      <c r="O577" s="21"/>
      <c r="P577" s="22" t="s">
        <v>2</v>
      </c>
      <c r="Q577" s="22">
        <v>0.72</v>
      </c>
      <c r="R577" s="904" t="s">
        <v>38</v>
      </c>
      <c r="S577" s="904" t="str">
        <f t="shared" si="107"/>
        <v>Stove</v>
      </c>
      <c r="T577" s="23">
        <f t="shared" si="108"/>
        <v>5.1669973544973546E-2</v>
      </c>
      <c r="U577" s="23">
        <f t="shared" si="109"/>
        <v>0.15197051042639276</v>
      </c>
      <c r="V577" s="23">
        <f t="shared" si="109"/>
        <v>8.8183421516754845E-2</v>
      </c>
      <c r="W577" s="23">
        <f t="shared" si="110"/>
        <v>0.30062530062530063</v>
      </c>
      <c r="X577" s="904">
        <f t="shared" si="111"/>
        <v>14</v>
      </c>
      <c r="Y577" s="904">
        <f t="shared" si="111"/>
        <v>21</v>
      </c>
      <c r="Z577" s="904">
        <f t="shared" si="111"/>
        <v>17</v>
      </c>
      <c r="AA577" s="904">
        <f t="shared" si="111"/>
        <v>63</v>
      </c>
      <c r="AB577" s="24">
        <v>9</v>
      </c>
    </row>
    <row r="578" spans="1:28" x14ac:dyDescent="0.25">
      <c r="A578" s="903"/>
      <c r="B578" t="s">
        <v>1202</v>
      </c>
      <c r="C578" s="906" t="s">
        <v>1215</v>
      </c>
      <c r="D578" s="25">
        <v>6.7</v>
      </c>
      <c r="E578" s="903">
        <v>893</v>
      </c>
      <c r="F578" s="903">
        <v>537</v>
      </c>
      <c r="G578" s="903" t="s">
        <v>1216</v>
      </c>
      <c r="H578" s="904">
        <f t="shared" si="100"/>
        <v>6</v>
      </c>
      <c r="I578" s="904">
        <f t="shared" si="101"/>
        <v>11</v>
      </c>
      <c r="J578" s="21">
        <f t="shared" si="102"/>
        <v>11800</v>
      </c>
      <c r="K578" s="21">
        <f t="shared" si="103"/>
        <v>13906.000000000002</v>
      </c>
      <c r="L578" s="21">
        <f t="shared" si="104"/>
        <v>26350</v>
      </c>
      <c r="M578" s="21">
        <f t="shared" si="105"/>
        <v>40900</v>
      </c>
      <c r="N578" s="904">
        <f t="shared" si="106"/>
        <v>761</v>
      </c>
      <c r="O578" s="21"/>
      <c r="P578" s="22" t="s">
        <v>2</v>
      </c>
      <c r="Q578" s="22">
        <v>0.63</v>
      </c>
      <c r="R578" s="904" t="s">
        <v>42</v>
      </c>
      <c r="S578" s="904" t="str">
        <f t="shared" si="107"/>
        <v>Stove</v>
      </c>
      <c r="T578" s="23">
        <f t="shared" si="108"/>
        <v>0.36114237418230899</v>
      </c>
      <c r="U578" s="23">
        <f t="shared" si="109"/>
        <v>1.0621834534773791</v>
      </c>
      <c r="V578" s="23">
        <f t="shared" si="109"/>
        <v>0.56055875157709445</v>
      </c>
      <c r="W578" s="23">
        <f t="shared" si="110"/>
        <v>1.2517561952590202</v>
      </c>
      <c r="X578" s="904">
        <f t="shared" si="111"/>
        <v>782</v>
      </c>
      <c r="Y578" s="904">
        <f t="shared" si="111"/>
        <v>841</v>
      </c>
      <c r="Z578" s="904">
        <f t="shared" si="111"/>
        <v>811</v>
      </c>
      <c r="AA578" s="904">
        <f t="shared" si="111"/>
        <v>839</v>
      </c>
      <c r="AB578" s="24">
        <v>494</v>
      </c>
    </row>
    <row r="579" spans="1:28" x14ac:dyDescent="0.25">
      <c r="A579" s="903"/>
      <c r="B579" t="s">
        <v>1202</v>
      </c>
      <c r="C579" s="906" t="s">
        <v>1217</v>
      </c>
      <c r="D579" s="25">
        <v>2.1</v>
      </c>
      <c r="E579" s="903">
        <v>145</v>
      </c>
      <c r="F579" s="903">
        <v>53</v>
      </c>
      <c r="G579" s="903" t="s">
        <v>1218</v>
      </c>
      <c r="H579" s="904">
        <f t="shared" si="100"/>
        <v>6</v>
      </c>
      <c r="I579" s="904">
        <f t="shared" si="101"/>
        <v>11</v>
      </c>
      <c r="J579" s="21">
        <f t="shared" si="102"/>
        <v>10800</v>
      </c>
      <c r="K579" s="21">
        <f t="shared" si="103"/>
        <v>16932</v>
      </c>
      <c r="L579" s="21">
        <f t="shared" si="104"/>
        <v>30300</v>
      </c>
      <c r="M579" s="21">
        <f t="shared" si="105"/>
        <v>49800</v>
      </c>
      <c r="N579" s="904">
        <f t="shared" si="106"/>
        <v>885</v>
      </c>
      <c r="O579" s="21"/>
      <c r="P579" s="22" t="s">
        <v>2</v>
      </c>
      <c r="Q579" s="22">
        <v>0.72</v>
      </c>
      <c r="R579" s="904" t="s">
        <v>38</v>
      </c>
      <c r="S579" s="904" t="str">
        <f t="shared" si="107"/>
        <v>Stove</v>
      </c>
      <c r="T579" s="23">
        <f t="shared" si="108"/>
        <v>9.2964450394169271E-2</v>
      </c>
      <c r="U579" s="23">
        <f t="shared" si="109"/>
        <v>0.27342485410049783</v>
      </c>
      <c r="V579" s="23">
        <f t="shared" si="109"/>
        <v>0.15279305708348612</v>
      </c>
      <c r="W579" s="23">
        <f t="shared" si="110"/>
        <v>0.42866941015089161</v>
      </c>
      <c r="X579" s="904">
        <f t="shared" si="111"/>
        <v>70</v>
      </c>
      <c r="Y579" s="904">
        <f t="shared" si="111"/>
        <v>78</v>
      </c>
      <c r="Z579" s="904">
        <f t="shared" si="111"/>
        <v>77</v>
      </c>
      <c r="AA579" s="904">
        <f t="shared" si="111"/>
        <v>136</v>
      </c>
      <c r="AB579" s="24">
        <v>29</v>
      </c>
    </row>
    <row r="580" spans="1:28" x14ac:dyDescent="0.25">
      <c r="A580" s="903"/>
      <c r="B580" t="s">
        <v>1202</v>
      </c>
      <c r="C580" s="906" t="s">
        <v>1219</v>
      </c>
      <c r="D580" s="25">
        <v>3.6</v>
      </c>
      <c r="E580" s="903">
        <v>467</v>
      </c>
      <c r="F580" s="903">
        <v>207</v>
      </c>
      <c r="G580" s="903" t="s">
        <v>1220</v>
      </c>
      <c r="H580" s="904">
        <f t="shared" si="100"/>
        <v>6</v>
      </c>
      <c r="I580" s="904">
        <f t="shared" si="101"/>
        <v>11</v>
      </c>
      <c r="J580" s="21">
        <f t="shared" si="102"/>
        <v>11600</v>
      </c>
      <c r="K580" s="21">
        <f t="shared" si="103"/>
        <v>14076.000000000002</v>
      </c>
      <c r="L580" s="21">
        <f t="shared" si="104"/>
        <v>26500</v>
      </c>
      <c r="M580" s="21">
        <f t="shared" si="105"/>
        <v>41400</v>
      </c>
      <c r="N580" s="904">
        <f t="shared" si="106"/>
        <v>770</v>
      </c>
      <c r="O580" s="21"/>
      <c r="P580" s="22" t="s">
        <v>2</v>
      </c>
      <c r="Q580" s="22">
        <v>0.63</v>
      </c>
      <c r="R580" s="904" t="s">
        <v>42</v>
      </c>
      <c r="S580" s="904" t="str">
        <f t="shared" si="107"/>
        <v>Stove</v>
      </c>
      <c r="T580" s="23">
        <f t="shared" si="108"/>
        <v>0.19170309025381488</v>
      </c>
      <c r="U580" s="23">
        <f t="shared" si="109"/>
        <v>0.56383261839357313</v>
      </c>
      <c r="V580" s="23">
        <f t="shared" si="109"/>
        <v>0.29949086552860138</v>
      </c>
      <c r="W580" s="23">
        <f t="shared" si="110"/>
        <v>0.6841817186644773</v>
      </c>
      <c r="X580" s="904">
        <f t="shared" si="111"/>
        <v>354</v>
      </c>
      <c r="Y580" s="904">
        <f t="shared" si="111"/>
        <v>384</v>
      </c>
      <c r="Z580" s="904">
        <f t="shared" si="111"/>
        <v>357</v>
      </c>
      <c r="AA580" s="904">
        <f t="shared" si="111"/>
        <v>403</v>
      </c>
      <c r="AB580" s="24">
        <v>161</v>
      </c>
    </row>
    <row r="581" spans="1:28" x14ac:dyDescent="0.25">
      <c r="A581" s="903"/>
      <c r="B581" t="s">
        <v>1202</v>
      </c>
      <c r="C581" s="906" t="s">
        <v>1221</v>
      </c>
      <c r="D581" s="25">
        <v>4</v>
      </c>
      <c r="E581" s="903">
        <v>571</v>
      </c>
      <c r="F581" s="903">
        <v>225</v>
      </c>
      <c r="G581" s="903" t="s">
        <v>1222</v>
      </c>
      <c r="H581" s="904">
        <f t="shared" si="100"/>
        <v>5</v>
      </c>
      <c r="I581" s="904">
        <f t="shared" si="101"/>
        <v>10</v>
      </c>
      <c r="J581" s="21">
        <f t="shared" si="102"/>
        <v>6800</v>
      </c>
      <c r="K581" s="21">
        <f t="shared" si="103"/>
        <v>13158.000000000002</v>
      </c>
      <c r="L581" s="21">
        <f t="shared" si="104"/>
        <v>22750</v>
      </c>
      <c r="M581" s="21">
        <f t="shared" si="105"/>
        <v>38700</v>
      </c>
      <c r="N581" s="904">
        <f t="shared" si="106"/>
        <v>524</v>
      </c>
      <c r="O581" s="21"/>
      <c r="P581" s="22" t="s">
        <v>2</v>
      </c>
      <c r="Q581" s="22">
        <v>0.72</v>
      </c>
      <c r="R581" s="904" t="s">
        <v>38</v>
      </c>
      <c r="S581" s="904" t="str">
        <f t="shared" si="107"/>
        <v>Stove</v>
      </c>
      <c r="T581" s="23">
        <f t="shared" si="108"/>
        <v>0.22786413828618823</v>
      </c>
      <c r="U581" s="23">
        <f t="shared" si="109"/>
        <v>0.67018864201820061</v>
      </c>
      <c r="V581" s="23">
        <f t="shared" si="109"/>
        <v>0.38761943523848286</v>
      </c>
      <c r="W581" s="23">
        <f t="shared" si="110"/>
        <v>1.2968150223052184</v>
      </c>
      <c r="X581" s="904">
        <f t="shared" si="111"/>
        <v>487</v>
      </c>
      <c r="Y581" s="904">
        <f t="shared" si="111"/>
        <v>527</v>
      </c>
      <c r="Z581" s="904">
        <f t="shared" si="111"/>
        <v>579</v>
      </c>
      <c r="AA581" s="904">
        <f t="shared" si="111"/>
        <v>852</v>
      </c>
      <c r="AB581" s="24">
        <v>199</v>
      </c>
    </row>
    <row r="582" spans="1:28" x14ac:dyDescent="0.25">
      <c r="A582" s="903"/>
      <c r="B582" t="s">
        <v>1202</v>
      </c>
      <c r="C582" s="906" t="s">
        <v>1223</v>
      </c>
      <c r="D582" s="25">
        <v>3.1</v>
      </c>
      <c r="E582" s="903">
        <v>347</v>
      </c>
      <c r="F582" s="903">
        <v>130</v>
      </c>
      <c r="G582" s="903" t="s">
        <v>572</v>
      </c>
      <c r="H582" s="904">
        <f t="shared" si="100"/>
        <v>6</v>
      </c>
      <c r="I582" s="904">
        <f t="shared" si="101"/>
        <v>11</v>
      </c>
      <c r="J582" s="21">
        <f t="shared" si="102"/>
        <v>10000</v>
      </c>
      <c r="K582" s="21">
        <f t="shared" si="103"/>
        <v>10000</v>
      </c>
      <c r="L582" s="21">
        <f t="shared" si="104"/>
        <v>16200</v>
      </c>
      <c r="M582" s="21">
        <f t="shared" si="105"/>
        <v>22400</v>
      </c>
      <c r="N582" s="904">
        <f t="shared" si="106"/>
        <v>69</v>
      </c>
      <c r="O582" s="21"/>
      <c r="P582" s="22" t="s">
        <v>2</v>
      </c>
      <c r="Q582" s="22">
        <v>0.63</v>
      </c>
      <c r="R582" s="904" t="s">
        <v>42</v>
      </c>
      <c r="S582" s="904" t="str">
        <f t="shared" si="107"/>
        <v>Stove</v>
      </c>
      <c r="T582" s="23">
        <f t="shared" si="108"/>
        <v>0.30509889140841523</v>
      </c>
      <c r="U582" s="23">
        <f t="shared" si="109"/>
        <v>0.68342151675485008</v>
      </c>
      <c r="V582" s="23">
        <f t="shared" si="109"/>
        <v>0.42186513379929019</v>
      </c>
      <c r="W582" s="23">
        <f t="shared" si="110"/>
        <v>0.68342151675485008</v>
      </c>
      <c r="X582" s="904">
        <f t="shared" si="111"/>
        <v>684</v>
      </c>
      <c r="Y582" s="904">
        <f t="shared" si="111"/>
        <v>547</v>
      </c>
      <c r="Z582" s="904">
        <f t="shared" si="111"/>
        <v>633</v>
      </c>
      <c r="AA582" s="904">
        <f t="shared" si="111"/>
        <v>402</v>
      </c>
      <c r="AB582" s="24">
        <v>267</v>
      </c>
    </row>
    <row r="583" spans="1:28" x14ac:dyDescent="0.25">
      <c r="A583" s="903"/>
      <c r="B583" t="s">
        <v>1202</v>
      </c>
      <c r="C583" s="906" t="s">
        <v>1224</v>
      </c>
      <c r="D583" s="25">
        <v>3.2</v>
      </c>
      <c r="E583" s="903">
        <v>376</v>
      </c>
      <c r="F583" s="903">
        <v>162</v>
      </c>
      <c r="G583" s="903" t="s">
        <v>1225</v>
      </c>
      <c r="H583" s="904">
        <f t="shared" si="100"/>
        <v>6</v>
      </c>
      <c r="I583" s="904">
        <f t="shared" si="101"/>
        <v>11</v>
      </c>
      <c r="J583" s="21">
        <f t="shared" si="102"/>
        <v>10800</v>
      </c>
      <c r="K583" s="21">
        <f t="shared" si="103"/>
        <v>12750.000000000002</v>
      </c>
      <c r="L583" s="21">
        <f t="shared" si="104"/>
        <v>24150</v>
      </c>
      <c r="M583" s="21">
        <f t="shared" si="105"/>
        <v>37500</v>
      </c>
      <c r="N583" s="904">
        <f t="shared" si="106"/>
        <v>647</v>
      </c>
      <c r="O583" s="21"/>
      <c r="P583" s="22" t="s">
        <v>2</v>
      </c>
      <c r="Q583" s="22">
        <v>0.72</v>
      </c>
      <c r="R583" s="904" t="s">
        <v>38</v>
      </c>
      <c r="S583" s="904" t="str">
        <f t="shared" si="107"/>
        <v>Stove</v>
      </c>
      <c r="T583" s="23">
        <f t="shared" si="108"/>
        <v>0.18812463256907702</v>
      </c>
      <c r="U583" s="23">
        <f t="shared" si="109"/>
        <v>0.55330774285022644</v>
      </c>
      <c r="V583" s="23">
        <f t="shared" si="109"/>
        <v>0.29211899467247981</v>
      </c>
      <c r="W583" s="23">
        <f t="shared" si="110"/>
        <v>0.65321052975373961</v>
      </c>
      <c r="X583" s="904">
        <f t="shared" si="111"/>
        <v>334</v>
      </c>
      <c r="Y583" s="904">
        <f t="shared" si="111"/>
        <v>361</v>
      </c>
      <c r="Z583" s="904">
        <f t="shared" si="111"/>
        <v>343</v>
      </c>
      <c r="AA583" s="904">
        <f t="shared" si="111"/>
        <v>353</v>
      </c>
      <c r="AB583" s="24">
        <v>145</v>
      </c>
    </row>
    <row r="584" spans="1:28" x14ac:dyDescent="0.25">
      <c r="A584" s="903"/>
      <c r="B584" t="s">
        <v>1202</v>
      </c>
      <c r="C584" s="906" t="s">
        <v>1226</v>
      </c>
      <c r="D584" s="25">
        <v>4.4000000000000004</v>
      </c>
      <c r="E584" s="903">
        <v>660</v>
      </c>
      <c r="F584" s="903">
        <v>338</v>
      </c>
      <c r="G584" s="903" t="s">
        <v>1227</v>
      </c>
      <c r="H584" s="904">
        <f t="shared" si="100"/>
        <v>6</v>
      </c>
      <c r="I584" s="904">
        <f t="shared" si="101"/>
        <v>11</v>
      </c>
      <c r="J584" s="21">
        <f t="shared" si="102"/>
        <v>12000</v>
      </c>
      <c r="K584" s="21">
        <f t="shared" si="103"/>
        <v>14960.000000000002</v>
      </c>
      <c r="L584" s="21">
        <f t="shared" si="104"/>
        <v>28000</v>
      </c>
      <c r="M584" s="21">
        <f t="shared" si="105"/>
        <v>44000</v>
      </c>
      <c r="N584" s="904">
        <f t="shared" si="106"/>
        <v>829</v>
      </c>
      <c r="O584" s="21"/>
      <c r="P584" s="22" t="s">
        <v>2</v>
      </c>
      <c r="Q584" s="22">
        <v>0.63</v>
      </c>
      <c r="R584" s="904" t="s">
        <v>42</v>
      </c>
      <c r="S584" s="904" t="str">
        <f t="shared" si="107"/>
        <v>Stove</v>
      </c>
      <c r="T584" s="23">
        <f t="shared" si="108"/>
        <v>0.22045855379188711</v>
      </c>
      <c r="U584" s="23">
        <f t="shared" si="109"/>
        <v>0.64840751115260908</v>
      </c>
      <c r="V584" s="23">
        <f t="shared" si="109"/>
        <v>0.34643487024439407</v>
      </c>
      <c r="W584" s="23">
        <f t="shared" si="110"/>
        <v>0.80834803057025284</v>
      </c>
      <c r="X584" s="904">
        <f t="shared" si="111"/>
        <v>461</v>
      </c>
      <c r="Y584" s="904">
        <f t="shared" si="111"/>
        <v>497</v>
      </c>
      <c r="Z584" s="904">
        <f t="shared" si="111"/>
        <v>482</v>
      </c>
      <c r="AA584" s="904">
        <f t="shared" si="111"/>
        <v>541</v>
      </c>
      <c r="AB584" s="24">
        <v>235</v>
      </c>
    </row>
    <row r="585" spans="1:28" x14ac:dyDescent="0.25">
      <c r="A585" s="903"/>
      <c r="B585" t="s">
        <v>1202</v>
      </c>
      <c r="C585" s="906" t="s">
        <v>1228</v>
      </c>
      <c r="D585" s="25">
        <v>5.4</v>
      </c>
      <c r="E585" s="903">
        <v>802</v>
      </c>
      <c r="F585" s="903">
        <v>452</v>
      </c>
      <c r="G585" s="903" t="s">
        <v>1229</v>
      </c>
      <c r="H585" s="904">
        <f t="shared" si="100"/>
        <v>6</v>
      </c>
      <c r="I585" s="904">
        <f t="shared" si="101"/>
        <v>11</v>
      </c>
      <c r="J585" s="21">
        <f t="shared" si="102"/>
        <v>11900</v>
      </c>
      <c r="K585" s="21">
        <f t="shared" si="103"/>
        <v>14484.000000000002</v>
      </c>
      <c r="L585" s="21">
        <f t="shared" si="104"/>
        <v>27250</v>
      </c>
      <c r="M585" s="21">
        <f t="shared" si="105"/>
        <v>42600</v>
      </c>
      <c r="N585" s="904">
        <f t="shared" si="106"/>
        <v>804</v>
      </c>
      <c r="O585" s="21"/>
      <c r="P585" s="22" t="s">
        <v>2</v>
      </c>
      <c r="Q585" s="22">
        <v>0.63</v>
      </c>
      <c r="R585" s="904" t="s">
        <v>42</v>
      </c>
      <c r="S585" s="904" t="str">
        <f t="shared" si="107"/>
        <v>Stove</v>
      </c>
      <c r="T585" s="23">
        <f t="shared" si="108"/>
        <v>0.27945450480661749</v>
      </c>
      <c r="U585" s="23">
        <f t="shared" si="109"/>
        <v>0.82192501413711005</v>
      </c>
      <c r="V585" s="23">
        <f t="shared" si="109"/>
        <v>0.43687199650502401</v>
      </c>
      <c r="W585" s="23">
        <f t="shared" si="110"/>
        <v>1.0004001600640255</v>
      </c>
      <c r="X585" s="904">
        <f t="shared" si="111"/>
        <v>632</v>
      </c>
      <c r="Y585" s="904">
        <f t="shared" si="111"/>
        <v>688</v>
      </c>
      <c r="Z585" s="904">
        <f t="shared" si="111"/>
        <v>655</v>
      </c>
      <c r="AA585" s="904">
        <f t="shared" si="111"/>
        <v>711</v>
      </c>
      <c r="AB585" s="24">
        <v>377</v>
      </c>
    </row>
    <row r="586" spans="1:28" x14ac:dyDescent="0.25">
      <c r="A586" s="903"/>
      <c r="B586" t="s">
        <v>1202</v>
      </c>
      <c r="C586" s="906" t="s">
        <v>1230</v>
      </c>
      <c r="D586" s="25">
        <v>2.92</v>
      </c>
      <c r="E586" s="903">
        <v>320</v>
      </c>
      <c r="F586" s="903">
        <v>115</v>
      </c>
      <c r="G586" s="903" t="s">
        <v>1231</v>
      </c>
      <c r="H586" s="904">
        <f t="shared" si="100"/>
        <v>6</v>
      </c>
      <c r="I586" s="904">
        <f t="shared" si="101"/>
        <v>11</v>
      </c>
      <c r="J586" s="21">
        <f t="shared" si="102"/>
        <v>10271</v>
      </c>
      <c r="K586" s="21">
        <f t="shared" si="103"/>
        <v>10969.42</v>
      </c>
      <c r="L586" s="21">
        <f t="shared" si="104"/>
        <v>21267</v>
      </c>
      <c r="M586" s="21">
        <f t="shared" si="105"/>
        <v>32263</v>
      </c>
      <c r="N586" s="904">
        <f t="shared" si="106"/>
        <v>428</v>
      </c>
      <c r="O586" s="21"/>
      <c r="P586" s="22" t="s">
        <v>2</v>
      </c>
      <c r="Q586" s="22">
        <v>0.63</v>
      </c>
      <c r="R586" s="904" t="s">
        <v>42</v>
      </c>
      <c r="S586" s="904" t="str">
        <f t="shared" si="107"/>
        <v>Stove</v>
      </c>
      <c r="T586" s="23">
        <f t="shared" si="108"/>
        <v>0.19952855502349762</v>
      </c>
      <c r="U586" s="23">
        <f t="shared" si="109"/>
        <v>0.58684869124558126</v>
      </c>
      <c r="V586" s="23">
        <f t="shared" si="109"/>
        <v>0.30269383414318446</v>
      </c>
      <c r="W586" s="23">
        <f t="shared" si="110"/>
        <v>0.62675394515851457</v>
      </c>
      <c r="X586" s="904">
        <f t="shared" si="111"/>
        <v>386</v>
      </c>
      <c r="Y586" s="904">
        <f t="shared" si="111"/>
        <v>421</v>
      </c>
      <c r="Z586" s="904">
        <f t="shared" si="111"/>
        <v>365</v>
      </c>
      <c r="AA586" s="904">
        <f t="shared" ref="AA586:AA649" si="112">RANK(W586,W$11:W$973,1)</f>
        <v>315</v>
      </c>
      <c r="AB586" s="24">
        <v>180</v>
      </c>
    </row>
    <row r="587" spans="1:28" x14ac:dyDescent="0.25">
      <c r="A587" s="903"/>
      <c r="B587" t="s">
        <v>1202</v>
      </c>
      <c r="C587" s="906" t="s">
        <v>1232</v>
      </c>
      <c r="D587" s="25">
        <v>5</v>
      </c>
      <c r="E587" s="903">
        <v>756</v>
      </c>
      <c r="F587" s="903">
        <v>257</v>
      </c>
      <c r="G587" s="903" t="s">
        <v>1233</v>
      </c>
      <c r="H587" s="904">
        <f t="shared" ref="H587:H650" si="113">FIND("-",$G587)</f>
        <v>5</v>
      </c>
      <c r="I587" s="904">
        <f t="shared" ref="I587:I650" si="114">LEN($G587)</f>
        <v>10</v>
      </c>
      <c r="J587" s="21">
        <f t="shared" ref="J587:J650" si="115">VALUE(LEFT($G587,H587-1))</f>
        <v>9800</v>
      </c>
      <c r="K587" s="21">
        <f t="shared" ref="K587:K650" si="116">IF(K$8*M587&gt;J587,K$8*M587,J587)</f>
        <v>10642</v>
      </c>
      <c r="L587" s="21">
        <f t="shared" ref="L587:L650" si="117">AVERAGE(J587,M587)</f>
        <v>20550</v>
      </c>
      <c r="M587" s="21">
        <f t="shared" ref="M587:M650" si="118">VALUE(RIGHT($G587,I587-H587))</f>
        <v>31300</v>
      </c>
      <c r="N587" s="904">
        <f t="shared" ref="N587:N650" si="119">RANK($L587,$L$11:$L$973,1)</f>
        <v>369</v>
      </c>
      <c r="O587" s="21"/>
      <c r="P587" s="22" t="s">
        <v>2</v>
      </c>
      <c r="Q587" s="22">
        <v>0.72</v>
      </c>
      <c r="R587" s="904" t="s">
        <v>38</v>
      </c>
      <c r="S587" s="904" t="str">
        <f t="shared" ref="S587:S650" si="120">IF(AND(ISERROR(FIND("Insert",B587&amp;C587)),ISERROR(FIND("insert",B587&amp;C587))),"Stove","Insert")</f>
        <v>Stove</v>
      </c>
      <c r="T587" s="23">
        <f t="shared" ref="T587:T650" si="121">$D587*10^6/(M587*453.6)</f>
        <v>0.3521702137250593</v>
      </c>
      <c r="U587" s="23">
        <f t="shared" ref="U587:V650" si="122">$D587*10^6/(K587*453.6)</f>
        <v>1.0357947462501744</v>
      </c>
      <c r="V587" s="23">
        <f t="shared" si="122"/>
        <v>0.53639550800945768</v>
      </c>
      <c r="W587" s="23">
        <f t="shared" ref="W587:W650" si="123">$D587*10^6/(J587*453.6)</f>
        <v>1.1247885397545261</v>
      </c>
      <c r="X587" s="904">
        <f t="shared" ref="X587:AA650" si="124">RANK(T587,T$11:T$973,1)</f>
        <v>767</v>
      </c>
      <c r="Y587" s="904">
        <f t="shared" si="124"/>
        <v>823</v>
      </c>
      <c r="Z587" s="904">
        <f t="shared" si="124"/>
        <v>783</v>
      </c>
      <c r="AA587" s="904">
        <f t="shared" si="112"/>
        <v>799</v>
      </c>
      <c r="AB587" s="24">
        <v>257</v>
      </c>
    </row>
    <row r="588" spans="1:28" x14ac:dyDescent="0.25">
      <c r="A588" s="903"/>
      <c r="B588" t="s">
        <v>1202</v>
      </c>
      <c r="C588" s="906" t="s">
        <v>1234</v>
      </c>
      <c r="D588" s="25">
        <v>3.6</v>
      </c>
      <c r="E588" s="903">
        <v>467</v>
      </c>
      <c r="F588" s="903">
        <v>186</v>
      </c>
      <c r="G588" s="903" t="s">
        <v>1235</v>
      </c>
      <c r="H588" s="904">
        <f t="shared" si="113"/>
        <v>6</v>
      </c>
      <c r="I588" s="904">
        <f t="shared" si="114"/>
        <v>11</v>
      </c>
      <c r="J588" s="21">
        <f t="shared" si="115"/>
        <v>13100</v>
      </c>
      <c r="K588" s="21">
        <f t="shared" si="116"/>
        <v>13668.000000000002</v>
      </c>
      <c r="L588" s="21">
        <f t="shared" si="117"/>
        <v>26650</v>
      </c>
      <c r="M588" s="21">
        <f t="shared" si="118"/>
        <v>40200</v>
      </c>
      <c r="N588" s="904">
        <f t="shared" si="119"/>
        <v>776</v>
      </c>
      <c r="O588" s="21"/>
      <c r="P588" s="22" t="s">
        <v>2</v>
      </c>
      <c r="Q588" s="22">
        <v>0.72</v>
      </c>
      <c r="R588" s="904" t="s">
        <v>38</v>
      </c>
      <c r="S588" s="904" t="str">
        <f t="shared" si="120"/>
        <v>Insert</v>
      </c>
      <c r="T588" s="23">
        <f t="shared" si="121"/>
        <v>0.19742557055989893</v>
      </c>
      <c r="U588" s="23">
        <f t="shared" si="122"/>
        <v>0.58066344282323201</v>
      </c>
      <c r="V588" s="23">
        <f t="shared" si="122"/>
        <v>0.29780517585395633</v>
      </c>
      <c r="W588" s="23">
        <f t="shared" si="123"/>
        <v>0.60584030049678905</v>
      </c>
      <c r="X588" s="904">
        <f t="shared" si="124"/>
        <v>377</v>
      </c>
      <c r="Y588" s="904">
        <f t="shared" si="124"/>
        <v>406</v>
      </c>
      <c r="Z588" s="904">
        <f t="shared" si="124"/>
        <v>354</v>
      </c>
      <c r="AA588" s="904">
        <f t="shared" si="112"/>
        <v>295</v>
      </c>
      <c r="AB588" s="24">
        <v>162</v>
      </c>
    </row>
    <row r="589" spans="1:28" x14ac:dyDescent="0.25">
      <c r="A589" s="903"/>
      <c r="B589" t="s">
        <v>1202</v>
      </c>
      <c r="C589" s="906" t="s">
        <v>1236</v>
      </c>
      <c r="D589" s="25">
        <v>4.3</v>
      </c>
      <c r="E589" s="903">
        <v>635</v>
      </c>
      <c r="F589" s="903">
        <v>318</v>
      </c>
      <c r="G589" s="903" t="s">
        <v>1237</v>
      </c>
      <c r="H589" s="904">
        <f t="shared" si="113"/>
        <v>6</v>
      </c>
      <c r="I589" s="904">
        <f t="shared" si="114"/>
        <v>11</v>
      </c>
      <c r="J589" s="21">
        <f t="shared" si="115"/>
        <v>11900</v>
      </c>
      <c r="K589" s="21">
        <f t="shared" si="116"/>
        <v>15436.000000000002</v>
      </c>
      <c r="L589" s="21">
        <f t="shared" si="117"/>
        <v>28650</v>
      </c>
      <c r="M589" s="21">
        <f t="shared" si="118"/>
        <v>45400</v>
      </c>
      <c r="N589" s="904">
        <f t="shared" si="119"/>
        <v>846</v>
      </c>
      <c r="O589" s="21"/>
      <c r="P589" s="22" t="s">
        <v>2</v>
      </c>
      <c r="Q589" s="22">
        <v>0.63</v>
      </c>
      <c r="R589" s="904" t="s">
        <v>42</v>
      </c>
      <c r="S589" s="904" t="str">
        <f t="shared" si="120"/>
        <v>Stove</v>
      </c>
      <c r="T589" s="23">
        <f t="shared" si="121"/>
        <v>0.20880435711566403</v>
      </c>
      <c r="U589" s="23">
        <f t="shared" si="122"/>
        <v>0.61413046210489408</v>
      </c>
      <c r="V589" s="23">
        <f t="shared" si="122"/>
        <v>0.33088020289881837</v>
      </c>
      <c r="W589" s="23">
        <f t="shared" si="123"/>
        <v>0.79661494227320562</v>
      </c>
      <c r="X589" s="904">
        <f t="shared" si="124"/>
        <v>416</v>
      </c>
      <c r="Y589" s="904">
        <f t="shared" si="124"/>
        <v>446</v>
      </c>
      <c r="Z589" s="904">
        <f t="shared" si="124"/>
        <v>439</v>
      </c>
      <c r="AA589" s="904">
        <f t="shared" si="112"/>
        <v>525</v>
      </c>
      <c r="AB589" s="24">
        <v>194</v>
      </c>
    </row>
    <row r="590" spans="1:28" x14ac:dyDescent="0.25">
      <c r="A590" s="903"/>
      <c r="B590" t="s">
        <v>1202</v>
      </c>
      <c r="C590" s="906" t="s">
        <v>1238</v>
      </c>
      <c r="D590" s="25">
        <v>2.7</v>
      </c>
      <c r="E590" s="903">
        <v>257</v>
      </c>
      <c r="F590" s="903">
        <v>109</v>
      </c>
      <c r="G590" s="903" t="s">
        <v>1239</v>
      </c>
      <c r="H590" s="904">
        <f t="shared" si="113"/>
        <v>5</v>
      </c>
      <c r="I590" s="904">
        <f t="shared" si="114"/>
        <v>10</v>
      </c>
      <c r="J590" s="21">
        <f t="shared" si="115"/>
        <v>9200</v>
      </c>
      <c r="K590" s="21">
        <f t="shared" si="116"/>
        <v>13770.000000000002</v>
      </c>
      <c r="L590" s="21">
        <f t="shared" si="117"/>
        <v>24850</v>
      </c>
      <c r="M590" s="21">
        <f t="shared" si="118"/>
        <v>40500</v>
      </c>
      <c r="N590" s="904">
        <f t="shared" si="119"/>
        <v>680</v>
      </c>
      <c r="O590" s="21"/>
      <c r="P590" s="22" t="s">
        <v>2</v>
      </c>
      <c r="Q590" s="22">
        <v>0.72</v>
      </c>
      <c r="R590" s="904" t="s">
        <v>38</v>
      </c>
      <c r="S590" s="904" t="str">
        <f t="shared" si="120"/>
        <v>Stove</v>
      </c>
      <c r="T590" s="23">
        <f t="shared" si="121"/>
        <v>0.14697236919459142</v>
      </c>
      <c r="U590" s="23">
        <f t="shared" si="122"/>
        <v>0.43227167410173939</v>
      </c>
      <c r="V590" s="23">
        <f t="shared" si="122"/>
        <v>0.23953243269138641</v>
      </c>
      <c r="W590" s="23">
        <f t="shared" si="123"/>
        <v>0.64699792960662528</v>
      </c>
      <c r="X590" s="904">
        <f t="shared" si="124"/>
        <v>201</v>
      </c>
      <c r="Y590" s="904">
        <f t="shared" si="124"/>
        <v>210</v>
      </c>
      <c r="Z590" s="904">
        <f t="shared" si="124"/>
        <v>225</v>
      </c>
      <c r="AA590" s="904">
        <f t="shared" si="112"/>
        <v>349</v>
      </c>
      <c r="AB590" s="24">
        <v>82</v>
      </c>
    </row>
    <row r="591" spans="1:28" x14ac:dyDescent="0.25">
      <c r="A591" s="903"/>
      <c r="B591" t="s">
        <v>1202</v>
      </c>
      <c r="C591" s="906" t="s">
        <v>1240</v>
      </c>
      <c r="D591" s="25">
        <v>1.2</v>
      </c>
      <c r="E591" s="903">
        <v>45</v>
      </c>
      <c r="F591" s="903">
        <v>12</v>
      </c>
      <c r="G591" s="903" t="s">
        <v>1241</v>
      </c>
      <c r="H591" s="904">
        <f t="shared" si="113"/>
        <v>5</v>
      </c>
      <c r="I591" s="904">
        <f t="shared" si="114"/>
        <v>10</v>
      </c>
      <c r="J591" s="21">
        <f t="shared" si="115"/>
        <v>8100</v>
      </c>
      <c r="K591" s="21">
        <f t="shared" si="116"/>
        <v>9486</v>
      </c>
      <c r="L591" s="21">
        <f t="shared" si="117"/>
        <v>18000</v>
      </c>
      <c r="M591" s="21">
        <f t="shared" si="118"/>
        <v>27900</v>
      </c>
      <c r="N591" s="904">
        <f t="shared" si="119"/>
        <v>158</v>
      </c>
      <c r="O591" s="21"/>
      <c r="P591" s="22" t="s">
        <v>2</v>
      </c>
      <c r="Q591" s="22">
        <v>0.72</v>
      </c>
      <c r="R591" s="904" t="s">
        <v>38</v>
      </c>
      <c r="S591" s="904" t="str">
        <f t="shared" si="120"/>
        <v>Stove</v>
      </c>
      <c r="T591" s="23">
        <f t="shared" si="121"/>
        <v>9.4820883351349305E-2</v>
      </c>
      <c r="U591" s="23">
        <f t="shared" si="122"/>
        <v>0.27888495103338024</v>
      </c>
      <c r="V591" s="23">
        <f t="shared" si="122"/>
        <v>0.14697236919459142</v>
      </c>
      <c r="W591" s="23">
        <f t="shared" si="123"/>
        <v>0.32660526487686981</v>
      </c>
      <c r="X591" s="904">
        <f t="shared" si="124"/>
        <v>73</v>
      </c>
      <c r="Y591" s="904">
        <f t="shared" si="124"/>
        <v>83</v>
      </c>
      <c r="Z591" s="904">
        <f t="shared" si="124"/>
        <v>71</v>
      </c>
      <c r="AA591" s="904">
        <f t="shared" si="112"/>
        <v>73</v>
      </c>
      <c r="AB591" s="24">
        <v>34</v>
      </c>
    </row>
    <row r="592" spans="1:28" x14ac:dyDescent="0.25">
      <c r="A592" s="903"/>
      <c r="B592" t="s">
        <v>1202</v>
      </c>
      <c r="C592" s="906" t="s">
        <v>1242</v>
      </c>
      <c r="D592" s="25">
        <v>3.8</v>
      </c>
      <c r="E592" s="903">
        <v>518</v>
      </c>
      <c r="F592" s="903">
        <v>205</v>
      </c>
      <c r="G592" s="903" t="s">
        <v>1243</v>
      </c>
      <c r="H592" s="904">
        <f t="shared" si="113"/>
        <v>6</v>
      </c>
      <c r="I592" s="904">
        <f t="shared" si="114"/>
        <v>11</v>
      </c>
      <c r="J592" s="21">
        <f t="shared" si="115"/>
        <v>14700</v>
      </c>
      <c r="K592" s="21">
        <f t="shared" si="116"/>
        <v>14700</v>
      </c>
      <c r="L592" s="21">
        <f t="shared" si="117"/>
        <v>19900</v>
      </c>
      <c r="M592" s="21">
        <f t="shared" si="118"/>
        <v>25100</v>
      </c>
      <c r="N592" s="904">
        <f t="shared" si="119"/>
        <v>311</v>
      </c>
      <c r="O592" s="21"/>
      <c r="P592" s="22" t="s">
        <v>2</v>
      </c>
      <c r="Q592" s="22">
        <v>0.72</v>
      </c>
      <c r="R592" s="904" t="s">
        <v>38</v>
      </c>
      <c r="S592" s="904" t="str">
        <f t="shared" si="120"/>
        <v>Stove</v>
      </c>
      <c r="T592" s="23">
        <f t="shared" si="121"/>
        <v>0.33376195394787694</v>
      </c>
      <c r="U592" s="23">
        <f t="shared" si="122"/>
        <v>0.56989286014229323</v>
      </c>
      <c r="V592" s="23">
        <f t="shared" si="122"/>
        <v>0.42097613286893021</v>
      </c>
      <c r="W592" s="23">
        <f t="shared" si="123"/>
        <v>0.56989286014229323</v>
      </c>
      <c r="X592" s="904">
        <f t="shared" si="124"/>
        <v>747</v>
      </c>
      <c r="Y592" s="904">
        <f t="shared" si="124"/>
        <v>389</v>
      </c>
      <c r="Z592" s="904">
        <f t="shared" si="124"/>
        <v>631</v>
      </c>
      <c r="AA592" s="904">
        <f t="shared" si="112"/>
        <v>265</v>
      </c>
      <c r="AB592" s="24">
        <v>155</v>
      </c>
    </row>
    <row r="593" spans="1:28" x14ac:dyDescent="0.25">
      <c r="A593" s="903"/>
      <c r="B593" t="s">
        <v>1202</v>
      </c>
      <c r="C593" s="906" t="s">
        <v>1244</v>
      </c>
      <c r="D593" s="25">
        <v>4.8</v>
      </c>
      <c r="E593" s="903">
        <v>740</v>
      </c>
      <c r="F593" s="903">
        <v>255</v>
      </c>
      <c r="G593" s="903" t="s">
        <v>1245</v>
      </c>
      <c r="H593" s="904">
        <f t="shared" si="113"/>
        <v>6</v>
      </c>
      <c r="I593" s="904">
        <f t="shared" si="114"/>
        <v>11</v>
      </c>
      <c r="J593" s="21">
        <f t="shared" si="115"/>
        <v>14700</v>
      </c>
      <c r="K593" s="21">
        <f t="shared" si="116"/>
        <v>14700</v>
      </c>
      <c r="L593" s="21">
        <f t="shared" si="117"/>
        <v>22750</v>
      </c>
      <c r="M593" s="21">
        <f t="shared" si="118"/>
        <v>30800</v>
      </c>
      <c r="N593" s="904">
        <f t="shared" si="119"/>
        <v>524</v>
      </c>
      <c r="O593" s="21"/>
      <c r="P593" s="22" t="s">
        <v>2</v>
      </c>
      <c r="Q593" s="22">
        <v>0.72</v>
      </c>
      <c r="R593" s="904" t="s">
        <v>38</v>
      </c>
      <c r="S593" s="904" t="str">
        <f t="shared" si="120"/>
        <v>Stove</v>
      </c>
      <c r="T593" s="23">
        <f t="shared" si="121"/>
        <v>0.34357177214320073</v>
      </c>
      <c r="U593" s="23">
        <f t="shared" si="122"/>
        <v>0.71986466544289673</v>
      </c>
      <c r="V593" s="23">
        <f t="shared" si="122"/>
        <v>0.46514332228617944</v>
      </c>
      <c r="W593" s="23">
        <f t="shared" si="123"/>
        <v>0.71986466544289673</v>
      </c>
      <c r="X593" s="904">
        <f t="shared" si="124"/>
        <v>758</v>
      </c>
      <c r="Y593" s="904">
        <f t="shared" si="124"/>
        <v>587</v>
      </c>
      <c r="Z593" s="904">
        <f t="shared" si="124"/>
        <v>693</v>
      </c>
      <c r="AA593" s="904">
        <f t="shared" si="112"/>
        <v>430</v>
      </c>
      <c r="AB593" s="24">
        <v>218</v>
      </c>
    </row>
    <row r="594" spans="1:28" x14ac:dyDescent="0.25">
      <c r="A594" s="903"/>
      <c r="B594" t="s">
        <v>1202</v>
      </c>
      <c r="C594" s="906" t="s">
        <v>1246</v>
      </c>
      <c r="D594" s="25">
        <v>6.2</v>
      </c>
      <c r="E594" s="903">
        <v>857</v>
      </c>
      <c r="F594" s="903">
        <v>504</v>
      </c>
      <c r="G594" s="903" t="s">
        <v>1247</v>
      </c>
      <c r="H594" s="904">
        <f t="shared" si="113"/>
        <v>6</v>
      </c>
      <c r="I594" s="904">
        <f t="shared" si="114"/>
        <v>11</v>
      </c>
      <c r="J594" s="21">
        <f t="shared" si="115"/>
        <v>11400</v>
      </c>
      <c r="K594" s="21">
        <f t="shared" si="116"/>
        <v>14008.000000000002</v>
      </c>
      <c r="L594" s="21">
        <f t="shared" si="117"/>
        <v>26300</v>
      </c>
      <c r="M594" s="21">
        <f t="shared" si="118"/>
        <v>41200</v>
      </c>
      <c r="N594" s="904">
        <f t="shared" si="119"/>
        <v>759</v>
      </c>
      <c r="O594" s="21"/>
      <c r="P594" s="22" t="s">
        <v>2</v>
      </c>
      <c r="Q594" s="22">
        <v>0.63</v>
      </c>
      <c r="R594" s="904" t="s">
        <v>42</v>
      </c>
      <c r="S594" s="904" t="str">
        <f t="shared" si="120"/>
        <v>Stove</v>
      </c>
      <c r="T594" s="23">
        <f t="shared" si="121"/>
        <v>0.33175801784216025</v>
      </c>
      <c r="U594" s="23">
        <f t="shared" si="122"/>
        <v>0.97575887600635347</v>
      </c>
      <c r="V594" s="23">
        <f t="shared" si="122"/>
        <v>0.51971218004171105</v>
      </c>
      <c r="W594" s="23">
        <f t="shared" si="123"/>
        <v>1.198985117113772</v>
      </c>
      <c r="X594" s="904">
        <f t="shared" si="124"/>
        <v>737</v>
      </c>
      <c r="Y594" s="904">
        <f t="shared" si="124"/>
        <v>799</v>
      </c>
      <c r="Z594" s="904">
        <f t="shared" si="124"/>
        <v>765</v>
      </c>
      <c r="AA594" s="904">
        <f t="shared" si="112"/>
        <v>820</v>
      </c>
      <c r="AB594" s="24">
        <v>465</v>
      </c>
    </row>
    <row r="595" spans="1:28" x14ac:dyDescent="0.25">
      <c r="A595" s="903"/>
      <c r="B595" t="s">
        <v>1248</v>
      </c>
      <c r="C595" s="906" t="s">
        <v>1249</v>
      </c>
      <c r="D595" s="25">
        <v>4</v>
      </c>
      <c r="E595" s="903">
        <v>571</v>
      </c>
      <c r="F595" s="903">
        <v>270</v>
      </c>
      <c r="G595" s="903" t="s">
        <v>1250</v>
      </c>
      <c r="H595" s="904">
        <f t="shared" si="113"/>
        <v>6</v>
      </c>
      <c r="I595" s="904">
        <f t="shared" si="114"/>
        <v>11</v>
      </c>
      <c r="J595" s="21">
        <f t="shared" si="115"/>
        <v>10700</v>
      </c>
      <c r="K595" s="21">
        <f t="shared" si="116"/>
        <v>10700</v>
      </c>
      <c r="L595" s="21">
        <f t="shared" si="117"/>
        <v>18850</v>
      </c>
      <c r="M595" s="21">
        <f t="shared" si="118"/>
        <v>27000</v>
      </c>
      <c r="N595" s="904">
        <f t="shared" si="119"/>
        <v>230</v>
      </c>
      <c r="O595" s="21"/>
      <c r="P595" s="22" t="s">
        <v>2</v>
      </c>
      <c r="Q595" s="22">
        <v>0.63</v>
      </c>
      <c r="R595" s="904" t="s">
        <v>42</v>
      </c>
      <c r="S595" s="904" t="str">
        <f t="shared" si="120"/>
        <v>Stove</v>
      </c>
      <c r="T595" s="23">
        <f t="shared" si="121"/>
        <v>0.32660526487686981</v>
      </c>
      <c r="U595" s="23">
        <f t="shared" si="122"/>
        <v>0.82414412632481171</v>
      </c>
      <c r="V595" s="23">
        <f t="shared" si="122"/>
        <v>0.46781655977058278</v>
      </c>
      <c r="W595" s="23">
        <f t="shared" si="123"/>
        <v>0.82414412632481171</v>
      </c>
      <c r="X595" s="904">
        <f t="shared" si="124"/>
        <v>729</v>
      </c>
      <c r="Y595" s="904">
        <f t="shared" si="124"/>
        <v>693</v>
      </c>
      <c r="Z595" s="904">
        <f t="shared" si="124"/>
        <v>702</v>
      </c>
      <c r="AA595" s="904">
        <f t="shared" si="112"/>
        <v>569</v>
      </c>
      <c r="AB595" s="24">
        <v>380</v>
      </c>
    </row>
    <row r="596" spans="1:28" x14ac:dyDescent="0.25">
      <c r="A596" s="903"/>
      <c r="B596" t="s">
        <v>1248</v>
      </c>
      <c r="C596" s="906" t="s">
        <v>1251</v>
      </c>
      <c r="D596" s="25">
        <v>3.04</v>
      </c>
      <c r="E596" s="903">
        <v>343</v>
      </c>
      <c r="F596" s="903">
        <v>126</v>
      </c>
      <c r="G596" s="903" t="s">
        <v>1250</v>
      </c>
      <c r="H596" s="904">
        <f t="shared" si="113"/>
        <v>6</v>
      </c>
      <c r="I596" s="904">
        <f t="shared" si="114"/>
        <v>11</v>
      </c>
      <c r="J596" s="21">
        <f t="shared" si="115"/>
        <v>10700</v>
      </c>
      <c r="K596" s="21">
        <f t="shared" si="116"/>
        <v>10700</v>
      </c>
      <c r="L596" s="21">
        <f t="shared" si="117"/>
        <v>18850</v>
      </c>
      <c r="M596" s="21">
        <f t="shared" si="118"/>
        <v>27000</v>
      </c>
      <c r="N596" s="904">
        <f t="shared" si="119"/>
        <v>230</v>
      </c>
      <c r="O596" s="21"/>
      <c r="P596" s="22" t="s">
        <v>2</v>
      </c>
      <c r="Q596" s="22">
        <v>0.63</v>
      </c>
      <c r="R596" s="904" t="s">
        <v>42</v>
      </c>
      <c r="S596" s="904" t="str">
        <f t="shared" si="120"/>
        <v>Stove</v>
      </c>
      <c r="T596" s="23">
        <f t="shared" si="121"/>
        <v>0.24822000130642105</v>
      </c>
      <c r="U596" s="23">
        <f t="shared" si="122"/>
        <v>0.62634953600685683</v>
      </c>
      <c r="V596" s="23">
        <f t="shared" si="122"/>
        <v>0.35554058542564287</v>
      </c>
      <c r="W596" s="23">
        <f t="shared" si="123"/>
        <v>0.62634953600685683</v>
      </c>
      <c r="X596" s="904">
        <f t="shared" si="124"/>
        <v>550</v>
      </c>
      <c r="Y596" s="904">
        <f t="shared" si="124"/>
        <v>465</v>
      </c>
      <c r="Z596" s="904">
        <f t="shared" si="124"/>
        <v>500</v>
      </c>
      <c r="AA596" s="904">
        <f t="shared" si="112"/>
        <v>314</v>
      </c>
      <c r="AB596" s="24">
        <v>206</v>
      </c>
    </row>
    <row r="597" spans="1:28" x14ac:dyDescent="0.25">
      <c r="A597" s="903"/>
      <c r="B597" t="s">
        <v>1248</v>
      </c>
      <c r="C597" s="906" t="s">
        <v>1252</v>
      </c>
      <c r="D597" s="25">
        <v>4.97</v>
      </c>
      <c r="E597" s="903">
        <v>753</v>
      </c>
      <c r="F597" s="903">
        <v>414</v>
      </c>
      <c r="G597" s="903" t="s">
        <v>1253</v>
      </c>
      <c r="H597" s="904">
        <f t="shared" si="113"/>
        <v>6</v>
      </c>
      <c r="I597" s="904">
        <f t="shared" si="114"/>
        <v>11</v>
      </c>
      <c r="J597" s="21">
        <f t="shared" si="115"/>
        <v>11600</v>
      </c>
      <c r="K597" s="21">
        <f t="shared" si="116"/>
        <v>11600</v>
      </c>
      <c r="L597" s="21">
        <f t="shared" si="117"/>
        <v>19500</v>
      </c>
      <c r="M597" s="21">
        <f t="shared" si="118"/>
        <v>27400</v>
      </c>
      <c r="N597" s="904">
        <f t="shared" si="119"/>
        <v>277</v>
      </c>
      <c r="O597" s="21"/>
      <c r="P597" s="22" t="s">
        <v>2</v>
      </c>
      <c r="Q597" s="22">
        <v>0.63</v>
      </c>
      <c r="R597" s="904" t="s">
        <v>42</v>
      </c>
      <c r="S597" s="904" t="str">
        <f t="shared" si="120"/>
        <v>Stove</v>
      </c>
      <c r="T597" s="23">
        <f t="shared" si="121"/>
        <v>0.39988285122105072</v>
      </c>
      <c r="U597" s="23">
        <f t="shared" si="122"/>
        <v>0.94455087271179228</v>
      </c>
      <c r="V597" s="23">
        <f t="shared" si="122"/>
        <v>0.56188667299778405</v>
      </c>
      <c r="W597" s="23">
        <f t="shared" si="123"/>
        <v>0.94455087271179228</v>
      </c>
      <c r="X597" s="904">
        <f t="shared" si="124"/>
        <v>830</v>
      </c>
      <c r="Y597" s="904">
        <f t="shared" si="124"/>
        <v>781</v>
      </c>
      <c r="Z597" s="904">
        <f t="shared" si="124"/>
        <v>812</v>
      </c>
      <c r="AA597" s="904">
        <f t="shared" si="112"/>
        <v>681</v>
      </c>
      <c r="AB597" s="24">
        <v>450</v>
      </c>
    </row>
    <row r="598" spans="1:28" x14ac:dyDescent="0.25">
      <c r="A598" s="903"/>
      <c r="B598" t="s">
        <v>1248</v>
      </c>
      <c r="C598" s="906" t="s">
        <v>1254</v>
      </c>
      <c r="D598" s="25">
        <v>2.72</v>
      </c>
      <c r="E598" s="903">
        <v>280</v>
      </c>
      <c r="F598" s="903">
        <v>92</v>
      </c>
      <c r="G598" s="903" t="s">
        <v>1255</v>
      </c>
      <c r="H598" s="904">
        <f t="shared" si="113"/>
        <v>6</v>
      </c>
      <c r="I598" s="904">
        <f t="shared" si="114"/>
        <v>11</v>
      </c>
      <c r="J598" s="21">
        <f t="shared" si="115"/>
        <v>11852</v>
      </c>
      <c r="K598" s="21">
        <f t="shared" si="116"/>
        <v>11852</v>
      </c>
      <c r="L598" s="21">
        <f t="shared" si="117"/>
        <v>13887</v>
      </c>
      <c r="M598" s="21">
        <f t="shared" si="118"/>
        <v>15922</v>
      </c>
      <c r="N598" s="904">
        <f t="shared" si="119"/>
        <v>21</v>
      </c>
      <c r="O598" s="21"/>
      <c r="P598" s="22" t="s">
        <v>2</v>
      </c>
      <c r="Q598" s="22">
        <v>0.63</v>
      </c>
      <c r="R598" s="904" t="s">
        <v>42</v>
      </c>
      <c r="S598" s="904" t="str">
        <f t="shared" si="120"/>
        <v>Stove</v>
      </c>
      <c r="T598" s="23">
        <f t="shared" si="121"/>
        <v>0.37661554221450383</v>
      </c>
      <c r="U598" s="23">
        <f t="shared" si="122"/>
        <v>0.50594605662667314</v>
      </c>
      <c r="V598" s="23">
        <f t="shared" si="122"/>
        <v>0.43180475719300998</v>
      </c>
      <c r="W598" s="23">
        <f t="shared" si="123"/>
        <v>0.50594605662667314</v>
      </c>
      <c r="X598" s="904">
        <f t="shared" si="124"/>
        <v>809</v>
      </c>
      <c r="Y598" s="904">
        <f t="shared" si="124"/>
        <v>296</v>
      </c>
      <c r="Z598" s="904">
        <f t="shared" si="124"/>
        <v>643</v>
      </c>
      <c r="AA598" s="904">
        <f t="shared" si="112"/>
        <v>198</v>
      </c>
      <c r="AB598" s="24">
        <v>103</v>
      </c>
    </row>
    <row r="599" spans="1:28" x14ac:dyDescent="0.25">
      <c r="A599" s="903" t="s">
        <v>77</v>
      </c>
      <c r="B599" t="s">
        <v>1256</v>
      </c>
      <c r="C599" s="906" t="s">
        <v>1257</v>
      </c>
      <c r="D599" s="25">
        <v>2.5</v>
      </c>
      <c r="E599" s="903">
        <v>218</v>
      </c>
      <c r="F599" s="903">
        <v>89</v>
      </c>
      <c r="G599" s="903" t="s">
        <v>1258</v>
      </c>
      <c r="H599" s="904">
        <f t="shared" si="113"/>
        <v>6</v>
      </c>
      <c r="I599" s="904">
        <f t="shared" si="114"/>
        <v>11</v>
      </c>
      <c r="J599" s="21">
        <f t="shared" si="115"/>
        <v>10500</v>
      </c>
      <c r="K599" s="21">
        <f t="shared" si="116"/>
        <v>12376</v>
      </c>
      <c r="L599" s="21">
        <f t="shared" si="117"/>
        <v>23450</v>
      </c>
      <c r="M599" s="21">
        <f t="shared" si="118"/>
        <v>36400</v>
      </c>
      <c r="N599" s="904">
        <f t="shared" si="119"/>
        <v>585</v>
      </c>
      <c r="O599" s="21"/>
      <c r="P599" s="22" t="s">
        <v>2</v>
      </c>
      <c r="Q599" s="22">
        <v>0.72</v>
      </c>
      <c r="R599" s="904" t="s">
        <v>38</v>
      </c>
      <c r="S599" s="904" t="str">
        <f t="shared" si="120"/>
        <v>Stove</v>
      </c>
      <c r="T599" s="23">
        <f t="shared" si="121"/>
        <v>0.15141384189003237</v>
      </c>
      <c r="U599" s="23">
        <f t="shared" si="122"/>
        <v>0.44533482908833044</v>
      </c>
      <c r="V599" s="23">
        <f t="shared" si="122"/>
        <v>0.2350304411427368</v>
      </c>
      <c r="W599" s="23">
        <f t="shared" si="123"/>
        <v>0.52490131855211219</v>
      </c>
      <c r="X599" s="904">
        <f t="shared" si="124"/>
        <v>219</v>
      </c>
      <c r="Y599" s="904">
        <f t="shared" si="124"/>
        <v>228</v>
      </c>
      <c r="Z599" s="904">
        <f t="shared" si="124"/>
        <v>212</v>
      </c>
      <c r="AA599" s="904">
        <f t="shared" si="112"/>
        <v>218</v>
      </c>
      <c r="AB599" s="24">
        <v>91</v>
      </c>
    </row>
    <row r="600" spans="1:28" x14ac:dyDescent="0.25">
      <c r="A600" s="903" t="s">
        <v>77</v>
      </c>
      <c r="B600" t="s">
        <v>1256</v>
      </c>
      <c r="C600" s="906" t="s">
        <v>1259</v>
      </c>
      <c r="D600" s="25">
        <v>3.8</v>
      </c>
      <c r="E600" s="903">
        <v>518</v>
      </c>
      <c r="F600" s="903">
        <v>205</v>
      </c>
      <c r="G600" s="903" t="s">
        <v>1260</v>
      </c>
      <c r="H600" s="904">
        <f t="shared" si="113"/>
        <v>5</v>
      </c>
      <c r="I600" s="904">
        <f t="shared" si="114"/>
        <v>10</v>
      </c>
      <c r="J600" s="21">
        <f t="shared" si="115"/>
        <v>8800</v>
      </c>
      <c r="K600" s="21">
        <f t="shared" si="116"/>
        <v>9826</v>
      </c>
      <c r="L600" s="21">
        <f t="shared" si="117"/>
        <v>18850</v>
      </c>
      <c r="M600" s="21">
        <f t="shared" si="118"/>
        <v>28900</v>
      </c>
      <c r="N600" s="904">
        <f t="shared" si="119"/>
        <v>230</v>
      </c>
      <c r="O600" s="21"/>
      <c r="P600" s="22" t="s">
        <v>2</v>
      </c>
      <c r="Q600" s="22">
        <v>0.72</v>
      </c>
      <c r="R600" s="904" t="s">
        <v>38</v>
      </c>
      <c r="S600" s="904" t="str">
        <f t="shared" si="120"/>
        <v>Stove</v>
      </c>
      <c r="T600" s="23">
        <f t="shared" si="121"/>
        <v>0.28987629910351942</v>
      </c>
      <c r="U600" s="23">
        <f t="shared" si="122"/>
        <v>0.85257735030446868</v>
      </c>
      <c r="V600" s="23">
        <f t="shared" si="122"/>
        <v>0.44442573178205363</v>
      </c>
      <c r="W600" s="23">
        <f t="shared" si="123"/>
        <v>0.95198011864678533</v>
      </c>
      <c r="X600" s="904">
        <f t="shared" si="124"/>
        <v>650</v>
      </c>
      <c r="Y600" s="904">
        <f t="shared" si="124"/>
        <v>711</v>
      </c>
      <c r="Z600" s="904">
        <f t="shared" si="124"/>
        <v>666</v>
      </c>
      <c r="AA600" s="904">
        <f t="shared" si="112"/>
        <v>683</v>
      </c>
      <c r="AB600" s="24">
        <v>239</v>
      </c>
    </row>
    <row r="601" spans="1:28" x14ac:dyDescent="0.25">
      <c r="A601" s="903" t="s">
        <v>77</v>
      </c>
      <c r="B601" t="s">
        <v>1256</v>
      </c>
      <c r="C601" s="906" t="s">
        <v>738</v>
      </c>
      <c r="D601" s="25">
        <v>3.2</v>
      </c>
      <c r="E601" s="903">
        <v>376</v>
      </c>
      <c r="F601" s="903">
        <v>141</v>
      </c>
      <c r="G601" s="903" t="s">
        <v>1261</v>
      </c>
      <c r="H601" s="904">
        <f t="shared" si="113"/>
        <v>6</v>
      </c>
      <c r="I601" s="904">
        <f t="shared" si="114"/>
        <v>11</v>
      </c>
      <c r="J601" s="21">
        <f t="shared" si="115"/>
        <v>10200</v>
      </c>
      <c r="K601" s="21">
        <f t="shared" si="116"/>
        <v>10200</v>
      </c>
      <c r="L601" s="21">
        <f t="shared" si="117"/>
        <v>19050</v>
      </c>
      <c r="M601" s="21">
        <f t="shared" si="118"/>
        <v>27900</v>
      </c>
      <c r="N601" s="904">
        <f t="shared" si="119"/>
        <v>245</v>
      </c>
      <c r="O601" s="21"/>
      <c r="P601" s="22" t="s">
        <v>2</v>
      </c>
      <c r="Q601" s="22">
        <v>0.63</v>
      </c>
      <c r="R601" s="904" t="s">
        <v>42</v>
      </c>
      <c r="S601" s="904" t="str">
        <f t="shared" si="120"/>
        <v>Stove</v>
      </c>
      <c r="T601" s="23">
        <f t="shared" si="121"/>
        <v>0.25285568893693144</v>
      </c>
      <c r="U601" s="23">
        <f t="shared" si="122"/>
        <v>0.69163467856278316</v>
      </c>
      <c r="V601" s="23">
        <f t="shared" si="122"/>
        <v>0.37032407986038784</v>
      </c>
      <c r="W601" s="23">
        <f t="shared" si="123"/>
        <v>0.69163467856278316</v>
      </c>
      <c r="X601" s="904">
        <f t="shared" si="124"/>
        <v>564</v>
      </c>
      <c r="Y601" s="904">
        <f t="shared" si="124"/>
        <v>561</v>
      </c>
      <c r="Z601" s="904">
        <f t="shared" si="124"/>
        <v>538</v>
      </c>
      <c r="AA601" s="904">
        <f t="shared" si="112"/>
        <v>409</v>
      </c>
      <c r="AB601" s="24">
        <v>276</v>
      </c>
    </row>
    <row r="602" spans="1:28" x14ac:dyDescent="0.25">
      <c r="A602" s="903" t="s">
        <v>77</v>
      </c>
      <c r="B602" t="s">
        <v>1256</v>
      </c>
      <c r="C602" s="906" t="s">
        <v>1262</v>
      </c>
      <c r="D602" s="25">
        <v>2.9</v>
      </c>
      <c r="E602" s="903">
        <v>295</v>
      </c>
      <c r="F602" s="903">
        <v>96</v>
      </c>
      <c r="G602" s="903" t="s">
        <v>1263</v>
      </c>
      <c r="H602" s="904">
        <f t="shared" si="113"/>
        <v>6</v>
      </c>
      <c r="I602" s="904">
        <f t="shared" si="114"/>
        <v>11</v>
      </c>
      <c r="J602" s="21">
        <f t="shared" si="115"/>
        <v>13600</v>
      </c>
      <c r="K602" s="21">
        <f t="shared" si="116"/>
        <v>15402.000000000002</v>
      </c>
      <c r="L602" s="21">
        <f t="shared" si="117"/>
        <v>29450</v>
      </c>
      <c r="M602" s="21">
        <f t="shared" si="118"/>
        <v>45300</v>
      </c>
      <c r="N602" s="904">
        <f t="shared" si="119"/>
        <v>863</v>
      </c>
      <c r="O602" s="21"/>
      <c r="P602" s="22" t="s">
        <v>2</v>
      </c>
      <c r="Q602" s="22">
        <v>0.63</v>
      </c>
      <c r="R602" s="904" t="s">
        <v>42</v>
      </c>
      <c r="S602" s="904" t="str">
        <f t="shared" si="120"/>
        <v>Stove</v>
      </c>
      <c r="T602" s="23">
        <f t="shared" si="121"/>
        <v>0.1411324075047401</v>
      </c>
      <c r="U602" s="23">
        <f t="shared" si="122"/>
        <v>0.41509531619041201</v>
      </c>
      <c r="V602" s="23">
        <f t="shared" si="122"/>
        <v>0.21708991714651024</v>
      </c>
      <c r="W602" s="23">
        <f t="shared" si="123"/>
        <v>0.47009544558564165</v>
      </c>
      <c r="X602" s="904">
        <f t="shared" si="124"/>
        <v>189</v>
      </c>
      <c r="Y602" s="904">
        <f t="shared" si="124"/>
        <v>199</v>
      </c>
      <c r="Z602" s="904">
        <f t="shared" si="124"/>
        <v>183</v>
      </c>
      <c r="AA602" s="904">
        <f t="shared" si="112"/>
        <v>163</v>
      </c>
      <c r="AB602" s="24">
        <v>60</v>
      </c>
    </row>
    <row r="603" spans="1:28" x14ac:dyDescent="0.25">
      <c r="A603" s="903" t="s">
        <v>77</v>
      </c>
      <c r="B603" t="s">
        <v>1256</v>
      </c>
      <c r="C603" s="906" t="s">
        <v>1264</v>
      </c>
      <c r="D603" s="25">
        <v>2</v>
      </c>
      <c r="E603" s="903">
        <v>131</v>
      </c>
      <c r="F603" s="903">
        <v>46</v>
      </c>
      <c r="G603" s="903" t="s">
        <v>1265</v>
      </c>
      <c r="H603" s="904">
        <f t="shared" si="113"/>
        <v>5</v>
      </c>
      <c r="I603" s="904">
        <f t="shared" si="114"/>
        <v>10</v>
      </c>
      <c r="J603" s="21">
        <f t="shared" si="115"/>
        <v>7900</v>
      </c>
      <c r="K603" s="21">
        <f t="shared" si="116"/>
        <v>7900</v>
      </c>
      <c r="L603" s="21">
        <f t="shared" si="117"/>
        <v>11450</v>
      </c>
      <c r="M603" s="21">
        <f t="shared" si="118"/>
        <v>15000</v>
      </c>
      <c r="N603" s="904">
        <f t="shared" si="119"/>
        <v>7</v>
      </c>
      <c r="O603" s="21"/>
      <c r="P603" s="22" t="s">
        <v>2</v>
      </c>
      <c r="Q603" s="22">
        <v>0.72</v>
      </c>
      <c r="R603" s="904" t="s">
        <v>38</v>
      </c>
      <c r="S603" s="904" t="str">
        <f t="shared" si="120"/>
        <v>Stove</v>
      </c>
      <c r="T603" s="23">
        <f t="shared" si="121"/>
        <v>0.29394473838918284</v>
      </c>
      <c r="U603" s="23">
        <f t="shared" si="122"/>
        <v>0.55812292099211935</v>
      </c>
      <c r="V603" s="23">
        <f t="shared" si="122"/>
        <v>0.38508044330460633</v>
      </c>
      <c r="W603" s="23">
        <f t="shared" si="123"/>
        <v>0.55812292099211935</v>
      </c>
      <c r="X603" s="904">
        <f t="shared" si="124"/>
        <v>656</v>
      </c>
      <c r="Y603" s="904">
        <f t="shared" si="124"/>
        <v>372</v>
      </c>
      <c r="Z603" s="904">
        <f t="shared" si="124"/>
        <v>572</v>
      </c>
      <c r="AA603" s="904">
        <f t="shared" si="112"/>
        <v>254</v>
      </c>
      <c r="AB603" s="24">
        <v>148</v>
      </c>
    </row>
    <row r="604" spans="1:28" x14ac:dyDescent="0.25">
      <c r="A604" s="903" t="s">
        <v>77</v>
      </c>
      <c r="B604" t="s">
        <v>1256</v>
      </c>
      <c r="C604" s="906" t="s">
        <v>1266</v>
      </c>
      <c r="D604" s="25">
        <v>4.9400000000000004</v>
      </c>
      <c r="E604" s="903">
        <v>752</v>
      </c>
      <c r="F604" s="903">
        <v>413</v>
      </c>
      <c r="G604" s="903" t="s">
        <v>1267</v>
      </c>
      <c r="H604" s="904">
        <f t="shared" si="113"/>
        <v>6</v>
      </c>
      <c r="I604" s="904">
        <f t="shared" si="114"/>
        <v>11</v>
      </c>
      <c r="J604" s="21">
        <f t="shared" si="115"/>
        <v>10300</v>
      </c>
      <c r="K604" s="21">
        <f t="shared" si="116"/>
        <v>14620.000000000002</v>
      </c>
      <c r="L604" s="21">
        <f t="shared" si="117"/>
        <v>26650</v>
      </c>
      <c r="M604" s="21">
        <f t="shared" si="118"/>
        <v>43000</v>
      </c>
      <c r="N604" s="904">
        <f t="shared" si="119"/>
        <v>776</v>
      </c>
      <c r="O604" s="21"/>
      <c r="P604" s="22" t="s">
        <v>2</v>
      </c>
      <c r="Q604" s="22">
        <v>0.63</v>
      </c>
      <c r="R604" s="904" t="s">
        <v>42</v>
      </c>
      <c r="S604" s="904" t="str">
        <f t="shared" si="120"/>
        <v>Stove</v>
      </c>
      <c r="T604" s="23">
        <f t="shared" si="121"/>
        <v>0.25327098970509826</v>
      </c>
      <c r="U604" s="23">
        <f t="shared" si="122"/>
        <v>0.74491467560322999</v>
      </c>
      <c r="V604" s="23">
        <f t="shared" si="122"/>
        <v>0.40865488019959567</v>
      </c>
      <c r="W604" s="23">
        <f t="shared" si="123"/>
        <v>1.0573449084775945</v>
      </c>
      <c r="X604" s="904">
        <f t="shared" si="124"/>
        <v>566</v>
      </c>
      <c r="Y604" s="904">
        <f t="shared" si="124"/>
        <v>607</v>
      </c>
      <c r="Z604" s="904">
        <f t="shared" si="124"/>
        <v>612</v>
      </c>
      <c r="AA604" s="904">
        <f t="shared" si="112"/>
        <v>751</v>
      </c>
      <c r="AB604" s="24">
        <v>311</v>
      </c>
    </row>
    <row r="605" spans="1:28" x14ac:dyDescent="0.25">
      <c r="A605" s="903" t="s">
        <v>77</v>
      </c>
      <c r="B605" t="s">
        <v>1256</v>
      </c>
      <c r="C605" s="906" t="s">
        <v>1268</v>
      </c>
      <c r="D605" s="25">
        <v>3.4</v>
      </c>
      <c r="E605" s="903">
        <v>415</v>
      </c>
      <c r="F605" s="903">
        <v>168</v>
      </c>
      <c r="G605" s="903" t="s">
        <v>1269</v>
      </c>
      <c r="H605" s="904">
        <f t="shared" si="113"/>
        <v>6</v>
      </c>
      <c r="I605" s="904">
        <f t="shared" si="114"/>
        <v>11</v>
      </c>
      <c r="J605" s="21">
        <f t="shared" si="115"/>
        <v>10400</v>
      </c>
      <c r="K605" s="21">
        <f t="shared" si="116"/>
        <v>11968</v>
      </c>
      <c r="L605" s="21">
        <f t="shared" si="117"/>
        <v>22800</v>
      </c>
      <c r="M605" s="21">
        <f t="shared" si="118"/>
        <v>35200</v>
      </c>
      <c r="N605" s="904">
        <f t="shared" si="119"/>
        <v>527</v>
      </c>
      <c r="O605" s="21"/>
      <c r="P605" s="22" t="s">
        <v>2</v>
      </c>
      <c r="Q605" s="22">
        <v>0.63</v>
      </c>
      <c r="R605" s="904" t="s">
        <v>42</v>
      </c>
      <c r="S605" s="904" t="str">
        <f t="shared" si="120"/>
        <v>Stove</v>
      </c>
      <c r="T605" s="23">
        <f t="shared" si="121"/>
        <v>0.21294292127625461</v>
      </c>
      <c r="U605" s="23">
        <f t="shared" si="122"/>
        <v>0.62630270963604295</v>
      </c>
      <c r="V605" s="23">
        <f t="shared" si="122"/>
        <v>0.32875398372474396</v>
      </c>
      <c r="W605" s="23">
        <f t="shared" si="123"/>
        <v>0.72072988739655408</v>
      </c>
      <c r="X605" s="904">
        <f t="shared" si="124"/>
        <v>437</v>
      </c>
      <c r="Y605" s="904">
        <f t="shared" si="124"/>
        <v>464</v>
      </c>
      <c r="Z605" s="904">
        <f t="shared" si="124"/>
        <v>433</v>
      </c>
      <c r="AA605" s="904">
        <f t="shared" si="112"/>
        <v>432</v>
      </c>
      <c r="AB605" s="24">
        <v>205</v>
      </c>
    </row>
    <row r="606" spans="1:28" x14ac:dyDescent="0.25">
      <c r="A606" s="903"/>
      <c r="B606" t="s">
        <v>1270</v>
      </c>
      <c r="C606" s="906" t="s">
        <v>1271</v>
      </c>
      <c r="D606" s="25">
        <v>7.5</v>
      </c>
      <c r="E606" s="903">
        <v>944</v>
      </c>
      <c r="F606" s="903">
        <v>587</v>
      </c>
      <c r="G606" s="903" t="s">
        <v>1272</v>
      </c>
      <c r="H606" s="904">
        <f t="shared" si="113"/>
        <v>6</v>
      </c>
      <c r="I606" s="904">
        <f t="shared" si="114"/>
        <v>11</v>
      </c>
      <c r="J606" s="21">
        <f t="shared" si="115"/>
        <v>11100</v>
      </c>
      <c r="K606" s="21">
        <f t="shared" si="116"/>
        <v>11100</v>
      </c>
      <c r="L606" s="21">
        <f t="shared" si="117"/>
        <v>18600</v>
      </c>
      <c r="M606" s="21">
        <f t="shared" si="118"/>
        <v>26100</v>
      </c>
      <c r="N606" s="904">
        <f t="shared" si="119"/>
        <v>206</v>
      </c>
      <c r="O606" s="21"/>
      <c r="P606" s="22" t="s">
        <v>2</v>
      </c>
      <c r="Q606" s="22">
        <v>0.63</v>
      </c>
      <c r="R606" s="904" t="s">
        <v>42</v>
      </c>
      <c r="S606" s="904" t="str">
        <f t="shared" si="120"/>
        <v>Insert</v>
      </c>
      <c r="T606" s="23">
        <f t="shared" si="121"/>
        <v>0.63350159135599748</v>
      </c>
      <c r="U606" s="23">
        <f t="shared" si="122"/>
        <v>1.4895848229181563</v>
      </c>
      <c r="V606" s="23">
        <f t="shared" si="122"/>
        <v>0.88894578141889968</v>
      </c>
      <c r="W606" s="23">
        <f t="shared" si="123"/>
        <v>1.4895848229181563</v>
      </c>
      <c r="X606" s="904">
        <f t="shared" si="124"/>
        <v>943</v>
      </c>
      <c r="Y606" s="904">
        <f t="shared" si="124"/>
        <v>942</v>
      </c>
      <c r="Z606" s="904">
        <f t="shared" si="124"/>
        <v>946</v>
      </c>
      <c r="AA606" s="904">
        <f t="shared" si="112"/>
        <v>918</v>
      </c>
      <c r="AB606" s="24">
        <v>587</v>
      </c>
    </row>
    <row r="607" spans="1:28" x14ac:dyDescent="0.25">
      <c r="A607" s="903"/>
      <c r="B607" t="s">
        <v>1270</v>
      </c>
      <c r="C607" s="906" t="s">
        <v>1273</v>
      </c>
      <c r="D607" s="25">
        <v>5.6</v>
      </c>
      <c r="E607" s="903">
        <v>820</v>
      </c>
      <c r="F607" s="903">
        <v>468</v>
      </c>
      <c r="G607" s="903" t="s">
        <v>1274</v>
      </c>
      <c r="H607" s="904">
        <f t="shared" si="113"/>
        <v>6</v>
      </c>
      <c r="I607" s="904">
        <f t="shared" si="114"/>
        <v>11</v>
      </c>
      <c r="J607" s="21">
        <f t="shared" si="115"/>
        <v>12588</v>
      </c>
      <c r="K607" s="21">
        <f t="shared" si="116"/>
        <v>12754.42</v>
      </c>
      <c r="L607" s="21">
        <f t="shared" si="117"/>
        <v>25050.5</v>
      </c>
      <c r="M607" s="21">
        <f t="shared" si="118"/>
        <v>37513</v>
      </c>
      <c r="N607" s="904">
        <f t="shared" si="119"/>
        <v>695</v>
      </c>
      <c r="O607" s="21"/>
      <c r="P607" s="22" t="s">
        <v>2</v>
      </c>
      <c r="Q607" s="22">
        <v>0.63</v>
      </c>
      <c r="R607" s="904" t="s">
        <v>42</v>
      </c>
      <c r="S607" s="904" t="str">
        <f t="shared" si="120"/>
        <v>Stove</v>
      </c>
      <c r="T607" s="23">
        <f t="shared" si="121"/>
        <v>0.32910401760311569</v>
      </c>
      <c r="U607" s="23">
        <f t="shared" si="122"/>
        <v>0.96795299295034021</v>
      </c>
      <c r="V607" s="23">
        <f t="shared" si="122"/>
        <v>0.49283164057985585</v>
      </c>
      <c r="W607" s="23">
        <f t="shared" si="123"/>
        <v>0.98074984209927529</v>
      </c>
      <c r="X607" s="904">
        <f t="shared" si="124"/>
        <v>733</v>
      </c>
      <c r="Y607" s="904">
        <f t="shared" si="124"/>
        <v>797</v>
      </c>
      <c r="Z607" s="904">
        <f t="shared" si="124"/>
        <v>739</v>
      </c>
      <c r="AA607" s="904">
        <f t="shared" si="112"/>
        <v>708</v>
      </c>
      <c r="AB607" s="24">
        <v>463</v>
      </c>
    </row>
    <row r="608" spans="1:28" x14ac:dyDescent="0.25">
      <c r="A608" s="903"/>
      <c r="B608" t="s">
        <v>1270</v>
      </c>
      <c r="C608" s="906" t="s">
        <v>1275</v>
      </c>
      <c r="D608" s="25">
        <v>5.9</v>
      </c>
      <c r="E608" s="903">
        <v>836</v>
      </c>
      <c r="F608" s="903">
        <v>483</v>
      </c>
      <c r="G608" s="903" t="s">
        <v>1274</v>
      </c>
      <c r="H608" s="904">
        <f t="shared" si="113"/>
        <v>6</v>
      </c>
      <c r="I608" s="904">
        <f t="shared" si="114"/>
        <v>11</v>
      </c>
      <c r="J608" s="21">
        <f t="shared" si="115"/>
        <v>12588</v>
      </c>
      <c r="K608" s="21">
        <f t="shared" si="116"/>
        <v>12754.42</v>
      </c>
      <c r="L608" s="21">
        <f t="shared" si="117"/>
        <v>25050.5</v>
      </c>
      <c r="M608" s="21">
        <f t="shared" si="118"/>
        <v>37513</v>
      </c>
      <c r="N608" s="904">
        <f t="shared" si="119"/>
        <v>695</v>
      </c>
      <c r="O608" s="21"/>
      <c r="P608" s="22" t="s">
        <v>2</v>
      </c>
      <c r="Q608" s="22">
        <v>0.63</v>
      </c>
      <c r="R608" s="904" t="s">
        <v>42</v>
      </c>
      <c r="S608" s="904" t="str">
        <f t="shared" si="120"/>
        <v>Stove</v>
      </c>
      <c r="T608" s="23">
        <f t="shared" si="121"/>
        <v>0.34673458997471118</v>
      </c>
      <c r="U608" s="23">
        <f t="shared" si="122"/>
        <v>1.0198076175726798</v>
      </c>
      <c r="V608" s="23">
        <f t="shared" si="122"/>
        <v>0.51923333561091956</v>
      </c>
      <c r="W608" s="23">
        <f t="shared" si="123"/>
        <v>1.0332900122117366</v>
      </c>
      <c r="X608" s="904">
        <f t="shared" si="124"/>
        <v>761</v>
      </c>
      <c r="Y608" s="904">
        <f t="shared" si="124"/>
        <v>813</v>
      </c>
      <c r="Z608" s="904">
        <f t="shared" si="124"/>
        <v>762</v>
      </c>
      <c r="AA608" s="904">
        <f t="shared" si="112"/>
        <v>732</v>
      </c>
      <c r="AB608" s="24">
        <v>474</v>
      </c>
    </row>
    <row r="609" spans="1:28" x14ac:dyDescent="0.25">
      <c r="A609" s="903"/>
      <c r="B609" t="s">
        <v>1270</v>
      </c>
      <c r="C609" s="906" t="s">
        <v>874</v>
      </c>
      <c r="D609" s="25">
        <v>3.5</v>
      </c>
      <c r="E609" s="903">
        <v>432</v>
      </c>
      <c r="F609" s="903">
        <v>181</v>
      </c>
      <c r="G609" s="903" t="s">
        <v>1276</v>
      </c>
      <c r="H609" s="904">
        <f t="shared" si="113"/>
        <v>5</v>
      </c>
      <c r="I609" s="904">
        <f t="shared" si="114"/>
        <v>10</v>
      </c>
      <c r="J609" s="21">
        <f t="shared" si="115"/>
        <v>8588</v>
      </c>
      <c r="K609" s="21">
        <f t="shared" si="116"/>
        <v>12754.42</v>
      </c>
      <c r="L609" s="21">
        <f t="shared" si="117"/>
        <v>23050.5</v>
      </c>
      <c r="M609" s="21">
        <f t="shared" si="118"/>
        <v>37513</v>
      </c>
      <c r="N609" s="904">
        <f t="shared" si="119"/>
        <v>557</v>
      </c>
      <c r="O609" s="21"/>
      <c r="P609" s="22" t="s">
        <v>2</v>
      </c>
      <c r="Q609" s="22">
        <v>0.63</v>
      </c>
      <c r="R609" s="904" t="s">
        <v>42</v>
      </c>
      <c r="S609" s="904" t="str">
        <f t="shared" si="120"/>
        <v>Stove</v>
      </c>
      <c r="T609" s="23">
        <f t="shared" si="121"/>
        <v>0.20569001100194731</v>
      </c>
      <c r="U609" s="23">
        <f t="shared" si="122"/>
        <v>0.60497062059396267</v>
      </c>
      <c r="V609" s="23">
        <f t="shared" si="122"/>
        <v>0.33474542342751995</v>
      </c>
      <c r="W609" s="23">
        <f t="shared" si="123"/>
        <v>0.89846872178808213</v>
      </c>
      <c r="X609" s="904">
        <f t="shared" si="124"/>
        <v>404</v>
      </c>
      <c r="Y609" s="904">
        <f t="shared" si="124"/>
        <v>439</v>
      </c>
      <c r="Z609" s="904">
        <f t="shared" si="124"/>
        <v>449</v>
      </c>
      <c r="AA609" s="904">
        <f t="shared" si="112"/>
        <v>646</v>
      </c>
      <c r="AB609" s="24">
        <v>189</v>
      </c>
    </row>
    <row r="610" spans="1:28" x14ac:dyDescent="0.25">
      <c r="A610" s="903"/>
      <c r="B610" t="s">
        <v>1270</v>
      </c>
      <c r="C610" s="906" t="s">
        <v>1277</v>
      </c>
      <c r="D610" s="25">
        <v>4.97</v>
      </c>
      <c r="E610" s="903">
        <v>753</v>
      </c>
      <c r="F610" s="903">
        <v>414</v>
      </c>
      <c r="G610" s="903" t="s">
        <v>1278</v>
      </c>
      <c r="H610" s="904">
        <f t="shared" si="113"/>
        <v>6</v>
      </c>
      <c r="I610" s="904">
        <f t="shared" si="114"/>
        <v>11</v>
      </c>
      <c r="J610" s="21">
        <f t="shared" si="115"/>
        <v>11700</v>
      </c>
      <c r="K610" s="21">
        <f t="shared" si="116"/>
        <v>11700</v>
      </c>
      <c r="L610" s="21">
        <f t="shared" si="117"/>
        <v>20700</v>
      </c>
      <c r="M610" s="21">
        <f t="shared" si="118"/>
        <v>29700</v>
      </c>
      <c r="N610" s="904">
        <f t="shared" si="119"/>
        <v>377</v>
      </c>
      <c r="O610" s="21"/>
      <c r="P610" s="22" t="s">
        <v>2</v>
      </c>
      <c r="Q610" s="22">
        <v>0.63</v>
      </c>
      <c r="R610" s="904" t="s">
        <v>42</v>
      </c>
      <c r="S610" s="904" t="str">
        <f t="shared" si="120"/>
        <v>Stove</v>
      </c>
      <c r="T610" s="23">
        <f t="shared" si="121"/>
        <v>0.36891549237228249</v>
      </c>
      <c r="U610" s="23">
        <f t="shared" si="122"/>
        <v>0.93647778832964013</v>
      </c>
      <c r="V610" s="23">
        <f t="shared" si="122"/>
        <v>0.52931353253414448</v>
      </c>
      <c r="W610" s="23">
        <f t="shared" si="123"/>
        <v>0.93647778832964013</v>
      </c>
      <c r="X610" s="904">
        <f t="shared" si="124"/>
        <v>795</v>
      </c>
      <c r="Y610" s="904">
        <f t="shared" si="124"/>
        <v>770</v>
      </c>
      <c r="Z610" s="904">
        <f t="shared" si="124"/>
        <v>775</v>
      </c>
      <c r="AA610" s="904">
        <f t="shared" si="112"/>
        <v>670</v>
      </c>
      <c r="AB610" s="24">
        <v>439</v>
      </c>
    </row>
    <row r="611" spans="1:28" x14ac:dyDescent="0.25">
      <c r="A611" s="903"/>
      <c r="B611" t="s">
        <v>1270</v>
      </c>
      <c r="C611" s="906" t="s">
        <v>1279</v>
      </c>
      <c r="D611" s="25">
        <v>4.5999999999999996</v>
      </c>
      <c r="E611" s="903">
        <v>721</v>
      </c>
      <c r="F611" s="903">
        <v>248</v>
      </c>
      <c r="G611" s="903" t="s">
        <v>1280</v>
      </c>
      <c r="H611" s="904">
        <f t="shared" si="113"/>
        <v>5</v>
      </c>
      <c r="I611" s="904">
        <f t="shared" si="114"/>
        <v>10</v>
      </c>
      <c r="J611" s="21">
        <f t="shared" si="115"/>
        <v>9659</v>
      </c>
      <c r="K611" s="21">
        <f t="shared" si="116"/>
        <v>9659</v>
      </c>
      <c r="L611" s="21">
        <f t="shared" si="117"/>
        <v>18033</v>
      </c>
      <c r="M611" s="21">
        <f t="shared" si="118"/>
        <v>26407</v>
      </c>
      <c r="N611" s="904">
        <f t="shared" si="119"/>
        <v>160</v>
      </c>
      <c r="O611" s="21"/>
      <c r="P611" s="22" t="s">
        <v>2</v>
      </c>
      <c r="Q611" s="22">
        <v>0.72</v>
      </c>
      <c r="R611" s="904" t="s">
        <v>38</v>
      </c>
      <c r="S611" s="904" t="str">
        <f t="shared" si="120"/>
        <v>Stove</v>
      </c>
      <c r="T611" s="23">
        <f t="shared" si="121"/>
        <v>0.38403050230722185</v>
      </c>
      <c r="U611" s="23">
        <f t="shared" si="122"/>
        <v>1.0499113235766442</v>
      </c>
      <c r="V611" s="23">
        <f t="shared" si="122"/>
        <v>0.5623630829272338</v>
      </c>
      <c r="W611" s="23">
        <f t="shared" si="123"/>
        <v>1.0499113235766442</v>
      </c>
      <c r="X611" s="904">
        <f t="shared" si="124"/>
        <v>814</v>
      </c>
      <c r="Y611" s="904">
        <f t="shared" si="124"/>
        <v>833</v>
      </c>
      <c r="Z611" s="904">
        <f t="shared" si="124"/>
        <v>813</v>
      </c>
      <c r="AA611" s="904">
        <f t="shared" si="112"/>
        <v>743</v>
      </c>
      <c r="AB611" s="24">
        <v>261</v>
      </c>
    </row>
    <row r="612" spans="1:28" x14ac:dyDescent="0.25">
      <c r="A612" s="903"/>
      <c r="B612" t="s">
        <v>1270</v>
      </c>
      <c r="C612" s="906" t="s">
        <v>1281</v>
      </c>
      <c r="D612" s="25">
        <v>4.97</v>
      </c>
      <c r="E612" s="903">
        <v>753</v>
      </c>
      <c r="F612" s="903">
        <v>414</v>
      </c>
      <c r="G612" s="903" t="s">
        <v>1278</v>
      </c>
      <c r="H612" s="904">
        <f t="shared" si="113"/>
        <v>6</v>
      </c>
      <c r="I612" s="904">
        <f t="shared" si="114"/>
        <v>11</v>
      </c>
      <c r="J612" s="21">
        <f t="shared" si="115"/>
        <v>11700</v>
      </c>
      <c r="K612" s="21">
        <f t="shared" si="116"/>
        <v>11700</v>
      </c>
      <c r="L612" s="21">
        <f t="shared" si="117"/>
        <v>20700</v>
      </c>
      <c r="M612" s="21">
        <f t="shared" si="118"/>
        <v>29700</v>
      </c>
      <c r="N612" s="904">
        <f t="shared" si="119"/>
        <v>377</v>
      </c>
      <c r="O612" s="21"/>
      <c r="P612" s="22" t="s">
        <v>2</v>
      </c>
      <c r="Q612" s="22">
        <v>0.63</v>
      </c>
      <c r="R612" s="904" t="s">
        <v>42</v>
      </c>
      <c r="S612" s="904" t="str">
        <f t="shared" si="120"/>
        <v>Stove</v>
      </c>
      <c r="T612" s="23">
        <f t="shared" si="121"/>
        <v>0.36891549237228249</v>
      </c>
      <c r="U612" s="23">
        <f t="shared" si="122"/>
        <v>0.93647778832964013</v>
      </c>
      <c r="V612" s="23">
        <f t="shared" si="122"/>
        <v>0.52931353253414448</v>
      </c>
      <c r="W612" s="23">
        <f t="shared" si="123"/>
        <v>0.93647778832964013</v>
      </c>
      <c r="X612" s="904">
        <f t="shared" si="124"/>
        <v>795</v>
      </c>
      <c r="Y612" s="904">
        <f t="shared" si="124"/>
        <v>770</v>
      </c>
      <c r="Z612" s="904">
        <f t="shared" si="124"/>
        <v>775</v>
      </c>
      <c r="AA612" s="904">
        <f t="shared" si="112"/>
        <v>670</v>
      </c>
      <c r="AB612" s="24">
        <v>439</v>
      </c>
    </row>
    <row r="613" spans="1:28" x14ac:dyDescent="0.25">
      <c r="A613" s="903"/>
      <c r="B613" t="s">
        <v>1270</v>
      </c>
      <c r="C613" s="906" t="s">
        <v>1282</v>
      </c>
      <c r="D613" s="25">
        <v>3.5</v>
      </c>
      <c r="E613" s="903">
        <v>432</v>
      </c>
      <c r="F613" s="903">
        <v>181</v>
      </c>
      <c r="G613" s="903" t="s">
        <v>1276</v>
      </c>
      <c r="H613" s="904">
        <f t="shared" si="113"/>
        <v>5</v>
      </c>
      <c r="I613" s="904">
        <f t="shared" si="114"/>
        <v>10</v>
      </c>
      <c r="J613" s="21">
        <f t="shared" si="115"/>
        <v>8588</v>
      </c>
      <c r="K613" s="21">
        <f t="shared" si="116"/>
        <v>12754.42</v>
      </c>
      <c r="L613" s="21">
        <f t="shared" si="117"/>
        <v>23050.5</v>
      </c>
      <c r="M613" s="21">
        <f t="shared" si="118"/>
        <v>37513</v>
      </c>
      <c r="N613" s="904">
        <f t="shared" si="119"/>
        <v>557</v>
      </c>
      <c r="O613" s="21"/>
      <c r="P613" s="22" t="s">
        <v>2</v>
      </c>
      <c r="Q613" s="22">
        <v>0.63</v>
      </c>
      <c r="R613" s="904" t="s">
        <v>42</v>
      </c>
      <c r="S613" s="904" t="str">
        <f t="shared" si="120"/>
        <v>Stove</v>
      </c>
      <c r="T613" s="23">
        <f t="shared" si="121"/>
        <v>0.20569001100194731</v>
      </c>
      <c r="U613" s="23">
        <f t="shared" si="122"/>
        <v>0.60497062059396267</v>
      </c>
      <c r="V613" s="23">
        <f t="shared" si="122"/>
        <v>0.33474542342751995</v>
      </c>
      <c r="W613" s="23">
        <f t="shared" si="123"/>
        <v>0.89846872178808213</v>
      </c>
      <c r="X613" s="904">
        <f t="shared" si="124"/>
        <v>404</v>
      </c>
      <c r="Y613" s="904">
        <f t="shared" si="124"/>
        <v>439</v>
      </c>
      <c r="Z613" s="904">
        <f t="shared" si="124"/>
        <v>449</v>
      </c>
      <c r="AA613" s="904">
        <f t="shared" si="112"/>
        <v>646</v>
      </c>
      <c r="AB613" s="24">
        <v>189</v>
      </c>
    </row>
    <row r="614" spans="1:28" x14ac:dyDescent="0.25">
      <c r="A614" s="903"/>
      <c r="B614" t="s">
        <v>1283</v>
      </c>
      <c r="C614" s="906" t="s">
        <v>1284</v>
      </c>
      <c r="D614" s="25">
        <v>6</v>
      </c>
      <c r="E614" s="903">
        <v>844</v>
      </c>
      <c r="F614" s="903">
        <v>491</v>
      </c>
      <c r="G614" s="903" t="s">
        <v>1285</v>
      </c>
      <c r="H614" s="904">
        <f t="shared" si="113"/>
        <v>6</v>
      </c>
      <c r="I614" s="904">
        <f t="shared" si="114"/>
        <v>11</v>
      </c>
      <c r="J614" s="21">
        <f t="shared" si="115"/>
        <v>10100</v>
      </c>
      <c r="K614" s="21">
        <f t="shared" si="116"/>
        <v>10100</v>
      </c>
      <c r="L614" s="21">
        <f t="shared" si="117"/>
        <v>17550</v>
      </c>
      <c r="M614" s="21">
        <f t="shared" si="118"/>
        <v>25000</v>
      </c>
      <c r="N614" s="904">
        <f t="shared" si="119"/>
        <v>135</v>
      </c>
      <c r="O614" s="21"/>
      <c r="P614" s="22" t="s">
        <v>2</v>
      </c>
      <c r="Q614" s="22">
        <v>0.63</v>
      </c>
      <c r="R614" s="904" t="s">
        <v>42</v>
      </c>
      <c r="S614" s="904" t="str">
        <f t="shared" si="120"/>
        <v>Stove</v>
      </c>
      <c r="T614" s="23">
        <f t="shared" si="121"/>
        <v>0.52910052910052907</v>
      </c>
      <c r="U614" s="23">
        <f t="shared" si="122"/>
        <v>1.3096547750013097</v>
      </c>
      <c r="V614" s="23">
        <f t="shared" si="122"/>
        <v>0.75370445740816117</v>
      </c>
      <c r="W614" s="23">
        <f t="shared" si="123"/>
        <v>1.3096547750013097</v>
      </c>
      <c r="X614" s="904">
        <f t="shared" si="124"/>
        <v>914</v>
      </c>
      <c r="Y614" s="904">
        <f t="shared" si="124"/>
        <v>905</v>
      </c>
      <c r="Z614" s="904">
        <f t="shared" si="124"/>
        <v>915</v>
      </c>
      <c r="AA614" s="904">
        <f t="shared" si="112"/>
        <v>859</v>
      </c>
      <c r="AB614" s="24">
        <v>550</v>
      </c>
    </row>
    <row r="615" spans="1:28" x14ac:dyDescent="0.25">
      <c r="A615" s="903"/>
      <c r="B615" t="s">
        <v>1286</v>
      </c>
      <c r="C615" s="906" t="s">
        <v>1287</v>
      </c>
      <c r="D615" s="25">
        <v>1.43</v>
      </c>
      <c r="E615" s="903">
        <v>75</v>
      </c>
      <c r="F615" s="903">
        <v>25</v>
      </c>
      <c r="G615" s="903" t="s">
        <v>1288</v>
      </c>
      <c r="H615" s="904">
        <f t="shared" si="113"/>
        <v>6</v>
      </c>
      <c r="I615" s="904">
        <f t="shared" si="114"/>
        <v>11</v>
      </c>
      <c r="J615" s="21">
        <f t="shared" si="115"/>
        <v>11000</v>
      </c>
      <c r="K615" s="21">
        <f t="shared" si="116"/>
        <v>11000</v>
      </c>
      <c r="L615" s="21">
        <f t="shared" si="117"/>
        <v>20200</v>
      </c>
      <c r="M615" s="21">
        <f t="shared" si="118"/>
        <v>29400</v>
      </c>
      <c r="N615" s="904">
        <f t="shared" si="119"/>
        <v>342</v>
      </c>
      <c r="O615" s="21"/>
      <c r="P615" s="22" t="s">
        <v>2</v>
      </c>
      <c r="Q615" s="22">
        <v>0.72</v>
      </c>
      <c r="R615" s="904" t="s">
        <v>38</v>
      </c>
      <c r="S615" s="904" t="str">
        <f t="shared" si="120"/>
        <v>Stove</v>
      </c>
      <c r="T615" s="23">
        <f t="shared" si="121"/>
        <v>0.10722984078993149</v>
      </c>
      <c r="U615" s="23">
        <f t="shared" si="122"/>
        <v>0.28659611992945327</v>
      </c>
      <c r="V615" s="23">
        <f t="shared" si="122"/>
        <v>0.1560671940209894</v>
      </c>
      <c r="W615" s="23">
        <f t="shared" si="123"/>
        <v>0.28659611992945327</v>
      </c>
      <c r="X615" s="904">
        <f t="shared" si="124"/>
        <v>104</v>
      </c>
      <c r="Y615" s="904">
        <f t="shared" si="124"/>
        <v>89</v>
      </c>
      <c r="Z615" s="904">
        <f t="shared" si="124"/>
        <v>85</v>
      </c>
      <c r="AA615" s="904">
        <f t="shared" si="112"/>
        <v>59</v>
      </c>
      <c r="AB615" s="24">
        <v>38</v>
      </c>
    </row>
    <row r="616" spans="1:28" x14ac:dyDescent="0.25">
      <c r="A616" s="903"/>
      <c r="B616" t="s">
        <v>1286</v>
      </c>
      <c r="C616" s="906" t="s">
        <v>1289</v>
      </c>
      <c r="D616" s="25">
        <v>2.7</v>
      </c>
      <c r="E616" s="903">
        <v>257</v>
      </c>
      <c r="F616" s="903">
        <v>109</v>
      </c>
      <c r="G616" s="903" t="s">
        <v>1290</v>
      </c>
      <c r="H616" s="904">
        <f t="shared" si="113"/>
        <v>6</v>
      </c>
      <c r="I616" s="904">
        <f t="shared" si="114"/>
        <v>11</v>
      </c>
      <c r="J616" s="21">
        <f t="shared" si="115"/>
        <v>10200</v>
      </c>
      <c r="K616" s="21">
        <f t="shared" si="116"/>
        <v>10200</v>
      </c>
      <c r="L616" s="21">
        <f t="shared" si="117"/>
        <v>18850</v>
      </c>
      <c r="M616" s="21">
        <f t="shared" si="118"/>
        <v>27500</v>
      </c>
      <c r="N616" s="904">
        <f t="shared" si="119"/>
        <v>230</v>
      </c>
      <c r="O616" s="21"/>
      <c r="P616" s="22" t="s">
        <v>2</v>
      </c>
      <c r="Q616" s="22">
        <v>0.72</v>
      </c>
      <c r="R616" s="904" t="s">
        <v>38</v>
      </c>
      <c r="S616" s="904" t="str">
        <f t="shared" si="120"/>
        <v>Stove</v>
      </c>
      <c r="T616" s="23">
        <f t="shared" si="121"/>
        <v>0.21645021645021645</v>
      </c>
      <c r="U616" s="23">
        <f t="shared" si="122"/>
        <v>0.58356676003734831</v>
      </c>
      <c r="V616" s="23">
        <f t="shared" si="122"/>
        <v>0.31577617784514334</v>
      </c>
      <c r="W616" s="23">
        <f t="shared" si="123"/>
        <v>0.58356676003734831</v>
      </c>
      <c r="X616" s="904">
        <f t="shared" si="124"/>
        <v>444</v>
      </c>
      <c r="Y616" s="904">
        <f t="shared" si="124"/>
        <v>413</v>
      </c>
      <c r="Z616" s="904">
        <f t="shared" si="124"/>
        <v>400</v>
      </c>
      <c r="AA616" s="904">
        <f t="shared" si="112"/>
        <v>277</v>
      </c>
      <c r="AB616" s="24">
        <v>166</v>
      </c>
    </row>
    <row r="617" spans="1:28" x14ac:dyDescent="0.25">
      <c r="A617" s="903"/>
      <c r="B617" t="s">
        <v>1286</v>
      </c>
      <c r="C617" s="906" t="s">
        <v>1291</v>
      </c>
      <c r="D617" s="25">
        <v>2.6</v>
      </c>
      <c r="E617" s="903">
        <v>235</v>
      </c>
      <c r="F617" s="903">
        <v>102</v>
      </c>
      <c r="G617" s="903" t="s">
        <v>1292</v>
      </c>
      <c r="H617" s="904">
        <f t="shared" si="113"/>
        <v>6</v>
      </c>
      <c r="I617" s="904">
        <f t="shared" si="114"/>
        <v>11</v>
      </c>
      <c r="J617" s="21">
        <f t="shared" si="115"/>
        <v>10600</v>
      </c>
      <c r="K617" s="21">
        <f t="shared" si="116"/>
        <v>10600</v>
      </c>
      <c r="L617" s="21">
        <f t="shared" si="117"/>
        <v>17100</v>
      </c>
      <c r="M617" s="21">
        <f t="shared" si="118"/>
        <v>23600</v>
      </c>
      <c r="N617" s="904">
        <f t="shared" si="119"/>
        <v>97</v>
      </c>
      <c r="O617" s="21"/>
      <c r="P617" s="22" t="s">
        <v>2</v>
      </c>
      <c r="Q617" s="22">
        <v>0.72</v>
      </c>
      <c r="R617" s="904" t="s">
        <v>38</v>
      </c>
      <c r="S617" s="904" t="str">
        <f t="shared" si="120"/>
        <v>Stove</v>
      </c>
      <c r="T617" s="23">
        <f t="shared" si="121"/>
        <v>0.2428780677368248</v>
      </c>
      <c r="U617" s="23">
        <f t="shared" si="122"/>
        <v>0.54074739609330802</v>
      </c>
      <c r="V617" s="23">
        <f t="shared" si="122"/>
        <v>0.33520014026836636</v>
      </c>
      <c r="W617" s="23">
        <f t="shared" si="123"/>
        <v>0.54074739609330802</v>
      </c>
      <c r="X617" s="904">
        <f t="shared" si="124"/>
        <v>538</v>
      </c>
      <c r="Y617" s="904">
        <f t="shared" si="124"/>
        <v>353</v>
      </c>
      <c r="Z617" s="904">
        <f t="shared" si="124"/>
        <v>456</v>
      </c>
      <c r="AA617" s="904">
        <f t="shared" si="112"/>
        <v>237</v>
      </c>
      <c r="AB617" s="24">
        <v>143</v>
      </c>
    </row>
    <row r="618" spans="1:28" x14ac:dyDescent="0.25">
      <c r="A618" s="903"/>
      <c r="B618" t="s">
        <v>1293</v>
      </c>
      <c r="C618" s="906" t="s">
        <v>1294</v>
      </c>
      <c r="D618" s="25">
        <v>2.4</v>
      </c>
      <c r="E618" s="903">
        <v>196</v>
      </c>
      <c r="F618" s="903">
        <v>56</v>
      </c>
      <c r="G618" s="903" t="s">
        <v>1295</v>
      </c>
      <c r="H618" s="904">
        <f t="shared" si="113"/>
        <v>6</v>
      </c>
      <c r="I618" s="904">
        <f t="shared" si="114"/>
        <v>11</v>
      </c>
      <c r="J618" s="21">
        <f t="shared" si="115"/>
        <v>11519</v>
      </c>
      <c r="K618" s="21">
        <f t="shared" si="116"/>
        <v>11519</v>
      </c>
      <c r="L618" s="21">
        <f t="shared" si="117"/>
        <v>19475.5</v>
      </c>
      <c r="M618" s="21">
        <f t="shared" si="118"/>
        <v>27432</v>
      </c>
      <c r="N618" s="904">
        <f t="shared" si="119"/>
        <v>275</v>
      </c>
      <c r="O618" s="21"/>
      <c r="P618" s="22" t="s">
        <v>2</v>
      </c>
      <c r="Q618" s="22">
        <v>0.63</v>
      </c>
      <c r="R618" s="904" t="s">
        <v>42</v>
      </c>
      <c r="S618" s="904" t="str">
        <f t="shared" si="120"/>
        <v>Stove</v>
      </c>
      <c r="T618" s="23">
        <f t="shared" si="121"/>
        <v>0.19287712492728531</v>
      </c>
      <c r="U618" s="23">
        <f t="shared" si="122"/>
        <v>0.45932852600098018</v>
      </c>
      <c r="V618" s="23">
        <f t="shared" si="122"/>
        <v>0.27167493984777236</v>
      </c>
      <c r="W618" s="23">
        <f t="shared" si="123"/>
        <v>0.45932852600098018</v>
      </c>
      <c r="X618" s="904">
        <f t="shared" si="124"/>
        <v>359</v>
      </c>
      <c r="Y618" s="904">
        <f t="shared" si="124"/>
        <v>248</v>
      </c>
      <c r="Z618" s="904">
        <f t="shared" si="124"/>
        <v>287</v>
      </c>
      <c r="AA618" s="904">
        <f t="shared" si="112"/>
        <v>152</v>
      </c>
      <c r="AB618" s="24">
        <v>85</v>
      </c>
    </row>
    <row r="619" spans="1:28" x14ac:dyDescent="0.25">
      <c r="A619" s="903" t="s">
        <v>77</v>
      </c>
      <c r="B619" t="s">
        <v>1296</v>
      </c>
      <c r="C619" s="906" t="s">
        <v>1297</v>
      </c>
      <c r="D619" s="25">
        <v>3.6</v>
      </c>
      <c r="E619" s="903">
        <v>467</v>
      </c>
      <c r="F619" s="903">
        <v>186</v>
      </c>
      <c r="G619" s="903" t="s">
        <v>1298</v>
      </c>
      <c r="H619" s="904">
        <f t="shared" si="113"/>
        <v>5</v>
      </c>
      <c r="I619" s="904">
        <f t="shared" si="114"/>
        <v>10</v>
      </c>
      <c r="J619" s="21">
        <f t="shared" si="115"/>
        <v>9900</v>
      </c>
      <c r="K619" s="21">
        <f t="shared" si="116"/>
        <v>9900</v>
      </c>
      <c r="L619" s="21">
        <f t="shared" si="117"/>
        <v>14950</v>
      </c>
      <c r="M619" s="21">
        <f t="shared" si="118"/>
        <v>20000</v>
      </c>
      <c r="N619" s="904">
        <f t="shared" si="119"/>
        <v>37</v>
      </c>
      <c r="O619" s="21"/>
      <c r="P619" s="22" t="s">
        <v>2</v>
      </c>
      <c r="Q619" s="22">
        <v>0.72</v>
      </c>
      <c r="R619" s="904" t="s">
        <v>38</v>
      </c>
      <c r="S619" s="904" t="str">
        <f t="shared" si="120"/>
        <v>Stove</v>
      </c>
      <c r="T619" s="23">
        <f t="shared" si="121"/>
        <v>0.3968253968253968</v>
      </c>
      <c r="U619" s="23">
        <f t="shared" si="122"/>
        <v>0.80166746833413505</v>
      </c>
      <c r="V619" s="23">
        <f t="shared" si="122"/>
        <v>0.53087009608748736</v>
      </c>
      <c r="W619" s="23">
        <f t="shared" si="123"/>
        <v>0.80166746833413505</v>
      </c>
      <c r="X619" s="904">
        <f t="shared" si="124"/>
        <v>824</v>
      </c>
      <c r="Y619" s="904">
        <f t="shared" si="124"/>
        <v>661</v>
      </c>
      <c r="Z619" s="904">
        <f t="shared" si="124"/>
        <v>778</v>
      </c>
      <c r="AA619" s="904">
        <f t="shared" si="112"/>
        <v>533</v>
      </c>
      <c r="AB619" s="24">
        <v>230</v>
      </c>
    </row>
    <row r="620" spans="1:28" x14ac:dyDescent="0.25">
      <c r="A620" s="903" t="s">
        <v>77</v>
      </c>
      <c r="B620" t="s">
        <v>1299</v>
      </c>
      <c r="C620" s="906" t="s">
        <v>1300</v>
      </c>
      <c r="D620" s="25">
        <v>2.1</v>
      </c>
      <c r="E620" s="903">
        <v>145</v>
      </c>
      <c r="F620" s="903">
        <v>37</v>
      </c>
      <c r="G620" s="903" t="s">
        <v>1301</v>
      </c>
      <c r="H620" s="904">
        <f t="shared" si="113"/>
        <v>6</v>
      </c>
      <c r="I620" s="904">
        <f t="shared" si="114"/>
        <v>11</v>
      </c>
      <c r="J620" s="21">
        <f t="shared" si="115"/>
        <v>11800</v>
      </c>
      <c r="K620" s="21">
        <f t="shared" si="116"/>
        <v>11800</v>
      </c>
      <c r="L620" s="21">
        <f t="shared" si="117"/>
        <v>22000</v>
      </c>
      <c r="M620" s="21">
        <f t="shared" si="118"/>
        <v>32200</v>
      </c>
      <c r="N620" s="904">
        <f t="shared" si="119"/>
        <v>473</v>
      </c>
      <c r="O620" s="21"/>
      <c r="P620" s="22" t="s">
        <v>2</v>
      </c>
      <c r="Q620" s="22">
        <v>0.63</v>
      </c>
      <c r="R620" s="904" t="s">
        <v>42</v>
      </c>
      <c r="S620" s="904" t="str">
        <f t="shared" si="120"/>
        <v>Stove</v>
      </c>
      <c r="T620" s="23">
        <f t="shared" si="121"/>
        <v>0.14377731769036117</v>
      </c>
      <c r="U620" s="23">
        <f t="shared" si="122"/>
        <v>0.39234149403640928</v>
      </c>
      <c r="V620" s="23">
        <f t="shared" si="122"/>
        <v>0.21043771043771045</v>
      </c>
      <c r="W620" s="23">
        <f t="shared" si="123"/>
        <v>0.39234149403640928</v>
      </c>
      <c r="X620" s="904">
        <f t="shared" si="124"/>
        <v>196</v>
      </c>
      <c r="Y620" s="904">
        <f t="shared" si="124"/>
        <v>187</v>
      </c>
      <c r="Z620" s="904">
        <f t="shared" si="124"/>
        <v>176</v>
      </c>
      <c r="AA620" s="904">
        <f t="shared" si="112"/>
        <v>107</v>
      </c>
      <c r="AB620" s="24">
        <v>54</v>
      </c>
    </row>
    <row r="621" spans="1:28" x14ac:dyDescent="0.25">
      <c r="A621" s="903" t="s">
        <v>77</v>
      </c>
      <c r="B621" t="s">
        <v>1299</v>
      </c>
      <c r="C621" s="906" t="s">
        <v>1302</v>
      </c>
      <c r="D621" s="25">
        <v>2.7</v>
      </c>
      <c r="E621" s="903">
        <v>257</v>
      </c>
      <c r="F621" s="903">
        <v>79</v>
      </c>
      <c r="G621" s="903" t="s">
        <v>1303</v>
      </c>
      <c r="H621" s="904">
        <f t="shared" si="113"/>
        <v>6</v>
      </c>
      <c r="I621" s="904">
        <f t="shared" si="114"/>
        <v>11</v>
      </c>
      <c r="J621" s="21">
        <f t="shared" si="115"/>
        <v>11000</v>
      </c>
      <c r="K621" s="21">
        <f t="shared" si="116"/>
        <v>11288</v>
      </c>
      <c r="L621" s="21">
        <f t="shared" si="117"/>
        <v>22100</v>
      </c>
      <c r="M621" s="21">
        <f t="shared" si="118"/>
        <v>33200</v>
      </c>
      <c r="N621" s="904">
        <f t="shared" si="119"/>
        <v>485</v>
      </c>
      <c r="O621" s="21"/>
      <c r="P621" s="22" t="s">
        <v>2</v>
      </c>
      <c r="Q621" s="22">
        <v>0.63</v>
      </c>
      <c r="R621" s="904" t="s">
        <v>42</v>
      </c>
      <c r="S621" s="904" t="str">
        <f t="shared" si="120"/>
        <v>Stove</v>
      </c>
      <c r="T621" s="23">
        <f t="shared" si="121"/>
        <v>0.17928858290304073</v>
      </c>
      <c r="U621" s="23">
        <f t="shared" si="122"/>
        <v>0.52731936147953162</v>
      </c>
      <c r="V621" s="23">
        <f t="shared" si="122"/>
        <v>0.26933850463262227</v>
      </c>
      <c r="W621" s="23">
        <f t="shared" si="123"/>
        <v>0.54112554112554112</v>
      </c>
      <c r="X621" s="904">
        <f t="shared" si="124"/>
        <v>310</v>
      </c>
      <c r="Y621" s="904">
        <f t="shared" si="124"/>
        <v>333</v>
      </c>
      <c r="Z621" s="904">
        <f t="shared" si="124"/>
        <v>283</v>
      </c>
      <c r="AA621" s="904">
        <f t="shared" si="112"/>
        <v>238</v>
      </c>
      <c r="AB621" s="24">
        <v>131</v>
      </c>
    </row>
    <row r="622" spans="1:28" x14ac:dyDescent="0.25">
      <c r="A622" s="903" t="s">
        <v>77</v>
      </c>
      <c r="B622" t="s">
        <v>1304</v>
      </c>
      <c r="C622" s="906" t="s">
        <v>1305</v>
      </c>
      <c r="D622" s="25">
        <v>2.7</v>
      </c>
      <c r="E622" s="903">
        <v>257</v>
      </c>
      <c r="F622" s="903">
        <v>109</v>
      </c>
      <c r="G622" s="903" t="s">
        <v>1306</v>
      </c>
      <c r="H622" s="904">
        <f t="shared" si="113"/>
        <v>5</v>
      </c>
      <c r="I622" s="904">
        <f t="shared" si="114"/>
        <v>10</v>
      </c>
      <c r="J622" s="21">
        <f t="shared" si="115"/>
        <v>9600</v>
      </c>
      <c r="K622" s="21">
        <f t="shared" si="116"/>
        <v>16898</v>
      </c>
      <c r="L622" s="21">
        <f t="shared" si="117"/>
        <v>29650</v>
      </c>
      <c r="M622" s="21">
        <f t="shared" si="118"/>
        <v>49700</v>
      </c>
      <c r="N622" s="904">
        <f t="shared" si="119"/>
        <v>870</v>
      </c>
      <c r="O622" s="21"/>
      <c r="P622" s="22" t="s">
        <v>2</v>
      </c>
      <c r="Q622" s="22">
        <v>0.72</v>
      </c>
      <c r="R622" s="904" t="s">
        <v>38</v>
      </c>
      <c r="S622" s="904" t="str">
        <f t="shared" si="120"/>
        <v>Stove</v>
      </c>
      <c r="T622" s="23">
        <f t="shared" si="121"/>
        <v>0.1197662163456932</v>
      </c>
      <c r="U622" s="23">
        <f t="shared" si="122"/>
        <v>0.35225357748733294</v>
      </c>
      <c r="V622" s="23">
        <f t="shared" si="122"/>
        <v>0.20075483819160042</v>
      </c>
      <c r="W622" s="23">
        <f t="shared" si="123"/>
        <v>0.62003968253968256</v>
      </c>
      <c r="X622" s="904">
        <f t="shared" si="124"/>
        <v>139</v>
      </c>
      <c r="Y622" s="904">
        <f t="shared" si="124"/>
        <v>150</v>
      </c>
      <c r="Z622" s="904">
        <f t="shared" si="124"/>
        <v>165</v>
      </c>
      <c r="AA622" s="904">
        <f t="shared" si="112"/>
        <v>306</v>
      </c>
      <c r="AB622" s="24">
        <v>56</v>
      </c>
    </row>
    <row r="623" spans="1:28" x14ac:dyDescent="0.25">
      <c r="A623" s="903" t="s">
        <v>77</v>
      </c>
      <c r="B623" t="s">
        <v>1304</v>
      </c>
      <c r="C623" s="906" t="s">
        <v>1307</v>
      </c>
      <c r="D623" s="25">
        <v>1.4</v>
      </c>
      <c r="E623" s="903">
        <v>69</v>
      </c>
      <c r="F623" s="903">
        <v>22</v>
      </c>
      <c r="G623" s="903" t="s">
        <v>1308</v>
      </c>
      <c r="H623" s="904">
        <f t="shared" si="113"/>
        <v>5</v>
      </c>
      <c r="I623" s="904">
        <f t="shared" si="114"/>
        <v>10</v>
      </c>
      <c r="J623" s="21">
        <f t="shared" si="115"/>
        <v>7800</v>
      </c>
      <c r="K623" s="21">
        <f t="shared" si="116"/>
        <v>13600.000000000002</v>
      </c>
      <c r="L623" s="21">
        <f t="shared" si="117"/>
        <v>23900</v>
      </c>
      <c r="M623" s="21">
        <f t="shared" si="118"/>
        <v>40000</v>
      </c>
      <c r="N623" s="904">
        <f t="shared" si="119"/>
        <v>623</v>
      </c>
      <c r="O623" s="21"/>
      <c r="P623" s="22" t="s">
        <v>2</v>
      </c>
      <c r="Q623" s="22">
        <v>0.72</v>
      </c>
      <c r="R623" s="904" t="s">
        <v>38</v>
      </c>
      <c r="S623" s="904" t="str">
        <f t="shared" si="120"/>
        <v>Stove</v>
      </c>
      <c r="T623" s="23">
        <f t="shared" si="121"/>
        <v>7.716049382716049E-2</v>
      </c>
      <c r="U623" s="23">
        <f t="shared" si="122"/>
        <v>0.22694262890341318</v>
      </c>
      <c r="V623" s="23">
        <f t="shared" si="122"/>
        <v>0.12913890180277907</v>
      </c>
      <c r="W623" s="23">
        <f t="shared" si="123"/>
        <v>0.39569484013928458</v>
      </c>
      <c r="X623" s="904">
        <f t="shared" si="124"/>
        <v>50</v>
      </c>
      <c r="Y623" s="904">
        <f t="shared" si="124"/>
        <v>58</v>
      </c>
      <c r="Z623" s="904">
        <f t="shared" si="124"/>
        <v>56</v>
      </c>
      <c r="AA623" s="904">
        <f t="shared" si="112"/>
        <v>111</v>
      </c>
      <c r="AB623" s="24">
        <v>19</v>
      </c>
    </row>
    <row r="624" spans="1:28" x14ac:dyDescent="0.25">
      <c r="A624" s="903" t="s">
        <v>77</v>
      </c>
      <c r="B624" t="s">
        <v>1309</v>
      </c>
      <c r="C624" s="906" t="s">
        <v>1310</v>
      </c>
      <c r="D624" s="25">
        <v>2.7</v>
      </c>
      <c r="E624" s="903">
        <v>257</v>
      </c>
      <c r="F624" s="903">
        <v>109</v>
      </c>
      <c r="G624" s="903" t="s">
        <v>1311</v>
      </c>
      <c r="H624" s="904">
        <f t="shared" si="113"/>
        <v>5</v>
      </c>
      <c r="I624" s="904">
        <f t="shared" si="114"/>
        <v>10</v>
      </c>
      <c r="J624" s="21">
        <f t="shared" si="115"/>
        <v>9100</v>
      </c>
      <c r="K624" s="21">
        <f t="shared" si="116"/>
        <v>12308</v>
      </c>
      <c r="L624" s="21">
        <f t="shared" si="117"/>
        <v>22650</v>
      </c>
      <c r="M624" s="21">
        <f t="shared" si="118"/>
        <v>36200</v>
      </c>
      <c r="N624" s="904">
        <f t="shared" si="119"/>
        <v>519</v>
      </c>
      <c r="O624" s="21"/>
      <c r="P624" s="22" t="s">
        <v>2</v>
      </c>
      <c r="Q624" s="22">
        <v>0.72</v>
      </c>
      <c r="R624" s="904" t="s">
        <v>38</v>
      </c>
      <c r="S624" s="904" t="str">
        <f t="shared" si="120"/>
        <v>Stove</v>
      </c>
      <c r="T624" s="23">
        <f t="shared" si="121"/>
        <v>0.16443041304919759</v>
      </c>
      <c r="U624" s="23">
        <f t="shared" si="122"/>
        <v>0.48361886190940456</v>
      </c>
      <c r="V624" s="23">
        <f t="shared" si="122"/>
        <v>0.26279827604330913</v>
      </c>
      <c r="W624" s="23">
        <f t="shared" si="123"/>
        <v>0.65410779696493981</v>
      </c>
      <c r="X624" s="904">
        <f t="shared" si="124"/>
        <v>255</v>
      </c>
      <c r="Y624" s="904">
        <f t="shared" si="124"/>
        <v>271</v>
      </c>
      <c r="Z624" s="904">
        <f t="shared" si="124"/>
        <v>266</v>
      </c>
      <c r="AA624" s="904">
        <f t="shared" si="112"/>
        <v>356</v>
      </c>
      <c r="AB624" s="24">
        <v>112</v>
      </c>
    </row>
    <row r="625" spans="1:28" x14ac:dyDescent="0.25">
      <c r="A625" s="903" t="s">
        <v>77</v>
      </c>
      <c r="B625" t="s">
        <v>1309</v>
      </c>
      <c r="C625" s="906" t="s">
        <v>1312</v>
      </c>
      <c r="D625" s="25">
        <v>3.5</v>
      </c>
      <c r="E625" s="903">
        <v>432</v>
      </c>
      <c r="F625" s="903">
        <v>177</v>
      </c>
      <c r="G625" s="903" t="s">
        <v>1313</v>
      </c>
      <c r="H625" s="904">
        <f t="shared" si="113"/>
        <v>5</v>
      </c>
      <c r="I625" s="904">
        <f t="shared" si="114"/>
        <v>10</v>
      </c>
      <c r="J625" s="21">
        <f t="shared" si="115"/>
        <v>9100</v>
      </c>
      <c r="K625" s="21">
        <f t="shared" si="116"/>
        <v>13260.000000000002</v>
      </c>
      <c r="L625" s="21">
        <f t="shared" si="117"/>
        <v>24050</v>
      </c>
      <c r="M625" s="21">
        <f t="shared" si="118"/>
        <v>39000</v>
      </c>
      <c r="N625" s="904">
        <f t="shared" si="119"/>
        <v>637</v>
      </c>
      <c r="O625" s="21"/>
      <c r="P625" s="22" t="s">
        <v>2</v>
      </c>
      <c r="Q625" s="22">
        <v>0.72</v>
      </c>
      <c r="R625" s="904" t="s">
        <v>38</v>
      </c>
      <c r="S625" s="904" t="str">
        <f t="shared" si="120"/>
        <v>Stove</v>
      </c>
      <c r="T625" s="23">
        <f t="shared" si="121"/>
        <v>0.19784742006964229</v>
      </c>
      <c r="U625" s="23">
        <f t="shared" si="122"/>
        <v>0.58190417667541838</v>
      </c>
      <c r="V625" s="23">
        <f t="shared" si="122"/>
        <v>0.3208336541669875</v>
      </c>
      <c r="W625" s="23">
        <f t="shared" si="123"/>
        <v>0.8479175145841813</v>
      </c>
      <c r="X625" s="904">
        <f t="shared" si="124"/>
        <v>381</v>
      </c>
      <c r="Y625" s="904">
        <f t="shared" si="124"/>
        <v>410</v>
      </c>
      <c r="Z625" s="904">
        <f t="shared" si="124"/>
        <v>415</v>
      </c>
      <c r="AA625" s="904">
        <f t="shared" si="112"/>
        <v>596</v>
      </c>
      <c r="AB625" s="24">
        <v>163</v>
      </c>
    </row>
    <row r="626" spans="1:28" x14ac:dyDescent="0.25">
      <c r="A626" s="903" t="s">
        <v>77</v>
      </c>
      <c r="B626" t="s">
        <v>1314</v>
      </c>
      <c r="C626" s="906" t="s">
        <v>1315</v>
      </c>
      <c r="D626" s="25">
        <v>3.8</v>
      </c>
      <c r="E626" s="903">
        <v>518</v>
      </c>
      <c r="F626" s="903">
        <v>205</v>
      </c>
      <c r="G626" s="903" t="s">
        <v>1316</v>
      </c>
      <c r="H626" s="904">
        <f t="shared" si="113"/>
        <v>6</v>
      </c>
      <c r="I626" s="904">
        <f t="shared" si="114"/>
        <v>11</v>
      </c>
      <c r="J626" s="21">
        <f t="shared" si="115"/>
        <v>13700</v>
      </c>
      <c r="K626" s="21">
        <f t="shared" si="116"/>
        <v>23426</v>
      </c>
      <c r="L626" s="21">
        <f t="shared" si="117"/>
        <v>41300</v>
      </c>
      <c r="M626" s="21">
        <f t="shared" si="118"/>
        <v>68900</v>
      </c>
      <c r="N626" s="904">
        <f t="shared" si="119"/>
        <v>957</v>
      </c>
      <c r="O626" s="21"/>
      <c r="P626" s="22" t="s">
        <v>2</v>
      </c>
      <c r="Q626" s="22">
        <v>0.72</v>
      </c>
      <c r="R626" s="904" t="s">
        <v>38</v>
      </c>
      <c r="S626" s="904" t="str">
        <f t="shared" si="120"/>
        <v>Stove</v>
      </c>
      <c r="T626" s="23">
        <f t="shared" si="121"/>
        <v>0.12158817190263731</v>
      </c>
      <c r="U626" s="23">
        <f t="shared" si="122"/>
        <v>0.35761227030187448</v>
      </c>
      <c r="V626" s="23">
        <f t="shared" si="122"/>
        <v>0.20284322140657896</v>
      </c>
      <c r="W626" s="23">
        <f t="shared" si="123"/>
        <v>0.61149087913078182</v>
      </c>
      <c r="X626" s="904">
        <f t="shared" si="124"/>
        <v>144</v>
      </c>
      <c r="Y626" s="904">
        <f t="shared" si="124"/>
        <v>156</v>
      </c>
      <c r="Z626" s="904">
        <f t="shared" si="124"/>
        <v>171</v>
      </c>
      <c r="AA626" s="904">
        <f t="shared" si="112"/>
        <v>298</v>
      </c>
      <c r="AB626" s="24">
        <v>61</v>
      </c>
    </row>
    <row r="627" spans="1:28" x14ac:dyDescent="0.25">
      <c r="A627" s="903" t="s">
        <v>77</v>
      </c>
      <c r="B627" t="s">
        <v>1314</v>
      </c>
      <c r="C627" s="906" t="s">
        <v>1317</v>
      </c>
      <c r="D627" s="25">
        <v>4.4000000000000004</v>
      </c>
      <c r="E627" s="903">
        <v>660</v>
      </c>
      <c r="F627" s="903">
        <v>338</v>
      </c>
      <c r="G627" s="903" t="s">
        <v>1318</v>
      </c>
      <c r="H627" s="904">
        <f t="shared" si="113"/>
        <v>6</v>
      </c>
      <c r="I627" s="904">
        <f t="shared" si="114"/>
        <v>11</v>
      </c>
      <c r="J627" s="21">
        <f t="shared" si="115"/>
        <v>10900</v>
      </c>
      <c r="K627" s="21">
        <f t="shared" si="116"/>
        <v>13328.000000000002</v>
      </c>
      <c r="L627" s="21">
        <f t="shared" si="117"/>
        <v>25050</v>
      </c>
      <c r="M627" s="21">
        <f t="shared" si="118"/>
        <v>39200</v>
      </c>
      <c r="N627" s="904">
        <f t="shared" si="119"/>
        <v>687</v>
      </c>
      <c r="O627" s="21"/>
      <c r="P627" s="22" t="s">
        <v>2</v>
      </c>
      <c r="Q627" s="22">
        <v>0.63</v>
      </c>
      <c r="R627" s="904" t="s">
        <v>42</v>
      </c>
      <c r="S627" s="904" t="str">
        <f t="shared" si="120"/>
        <v>Stove</v>
      </c>
      <c r="T627" s="23">
        <f t="shared" si="121"/>
        <v>0.24745347874599574</v>
      </c>
      <c r="U627" s="23">
        <f t="shared" si="122"/>
        <v>0.72780434925292858</v>
      </c>
      <c r="V627" s="23">
        <f t="shared" si="122"/>
        <v>0.38723258949473188</v>
      </c>
      <c r="W627" s="23">
        <f t="shared" si="123"/>
        <v>0.889924437325049</v>
      </c>
      <c r="X627" s="904">
        <f t="shared" si="124"/>
        <v>549</v>
      </c>
      <c r="Y627" s="904">
        <f t="shared" si="124"/>
        <v>592</v>
      </c>
      <c r="Z627" s="904">
        <f t="shared" si="124"/>
        <v>575</v>
      </c>
      <c r="AA627" s="904">
        <f t="shared" si="112"/>
        <v>638</v>
      </c>
      <c r="AB627" s="24">
        <v>298</v>
      </c>
    </row>
    <row r="628" spans="1:28" x14ac:dyDescent="0.25">
      <c r="A628" s="903" t="s">
        <v>77</v>
      </c>
      <c r="B628" t="s">
        <v>1314</v>
      </c>
      <c r="C628" s="906" t="s">
        <v>1319</v>
      </c>
      <c r="D628" s="25">
        <v>3.9</v>
      </c>
      <c r="E628" s="903">
        <v>548</v>
      </c>
      <c r="F628" s="903">
        <v>253</v>
      </c>
      <c r="G628" s="903" t="s">
        <v>1320</v>
      </c>
      <c r="H628" s="904">
        <f t="shared" si="113"/>
        <v>6</v>
      </c>
      <c r="I628" s="904">
        <f t="shared" si="114"/>
        <v>11</v>
      </c>
      <c r="J628" s="21">
        <f t="shared" si="115"/>
        <v>10700</v>
      </c>
      <c r="K628" s="21">
        <f t="shared" si="116"/>
        <v>19584</v>
      </c>
      <c r="L628" s="21">
        <f t="shared" si="117"/>
        <v>34150</v>
      </c>
      <c r="M628" s="21">
        <f t="shared" si="118"/>
        <v>57600</v>
      </c>
      <c r="N628" s="904">
        <f t="shared" si="119"/>
        <v>933</v>
      </c>
      <c r="O628" s="21"/>
      <c r="P628" s="22" t="s">
        <v>2</v>
      </c>
      <c r="Q628" s="22">
        <v>0.63</v>
      </c>
      <c r="R628" s="904" t="s">
        <v>42</v>
      </c>
      <c r="S628" s="904" t="str">
        <f t="shared" si="120"/>
        <v>Stove</v>
      </c>
      <c r="T628" s="23">
        <f t="shared" si="121"/>
        <v>0.14926881246325691</v>
      </c>
      <c r="U628" s="23">
        <f t="shared" si="122"/>
        <v>0.4390259190095791</v>
      </c>
      <c r="V628" s="23">
        <f t="shared" si="122"/>
        <v>0.25176818734651824</v>
      </c>
      <c r="W628" s="23">
        <f t="shared" si="123"/>
        <v>0.80354052316669144</v>
      </c>
      <c r="X628" s="904">
        <f t="shared" si="124"/>
        <v>213</v>
      </c>
      <c r="Y628" s="904">
        <f t="shared" si="124"/>
        <v>225</v>
      </c>
      <c r="Z628" s="904">
        <f t="shared" si="124"/>
        <v>250</v>
      </c>
      <c r="AA628" s="904">
        <f t="shared" si="112"/>
        <v>538</v>
      </c>
      <c r="AB628" s="24">
        <v>73</v>
      </c>
    </row>
    <row r="629" spans="1:28" x14ac:dyDescent="0.25">
      <c r="A629" s="903" t="s">
        <v>77</v>
      </c>
      <c r="B629" t="s">
        <v>1314</v>
      </c>
      <c r="C629" s="906" t="s">
        <v>1321</v>
      </c>
      <c r="D629" s="25">
        <v>5.3</v>
      </c>
      <c r="E629" s="903">
        <v>792</v>
      </c>
      <c r="F629" s="903">
        <v>444</v>
      </c>
      <c r="G629" s="903" t="s">
        <v>1322</v>
      </c>
      <c r="H629" s="904">
        <f t="shared" si="113"/>
        <v>6</v>
      </c>
      <c r="I629" s="904">
        <f t="shared" si="114"/>
        <v>11</v>
      </c>
      <c r="J629" s="21">
        <f t="shared" si="115"/>
        <v>11300</v>
      </c>
      <c r="K629" s="21">
        <f t="shared" si="116"/>
        <v>15674.000000000002</v>
      </c>
      <c r="L629" s="21">
        <f t="shared" si="117"/>
        <v>28700</v>
      </c>
      <c r="M629" s="21">
        <f t="shared" si="118"/>
        <v>46100</v>
      </c>
      <c r="N629" s="904">
        <f t="shared" si="119"/>
        <v>847</v>
      </c>
      <c r="O629" s="21"/>
      <c r="P629" s="22" t="s">
        <v>2</v>
      </c>
      <c r="Q629" s="22">
        <v>0.63</v>
      </c>
      <c r="R629" s="904" t="s">
        <v>42</v>
      </c>
      <c r="S629" s="904" t="str">
        <f t="shared" si="120"/>
        <v>Stove</v>
      </c>
      <c r="T629" s="23">
        <f t="shared" si="121"/>
        <v>0.25345560414251667</v>
      </c>
      <c r="U629" s="23">
        <f t="shared" si="122"/>
        <v>0.74545765924269591</v>
      </c>
      <c r="V629" s="23">
        <f t="shared" si="122"/>
        <v>0.40711858365749193</v>
      </c>
      <c r="W629" s="23">
        <f t="shared" si="123"/>
        <v>1.0340091461035414</v>
      </c>
      <c r="X629" s="904">
        <f t="shared" si="124"/>
        <v>567</v>
      </c>
      <c r="Y629" s="904">
        <f t="shared" si="124"/>
        <v>608</v>
      </c>
      <c r="Z629" s="904">
        <f t="shared" si="124"/>
        <v>608</v>
      </c>
      <c r="AA629" s="904">
        <f t="shared" si="112"/>
        <v>733</v>
      </c>
      <c r="AB629" s="24">
        <v>312</v>
      </c>
    </row>
    <row r="630" spans="1:28" x14ac:dyDescent="0.25">
      <c r="A630" s="903" t="s">
        <v>77</v>
      </c>
      <c r="B630" t="s">
        <v>1314</v>
      </c>
      <c r="C630" s="906" t="s">
        <v>1323</v>
      </c>
      <c r="D630" s="25">
        <v>3.8</v>
      </c>
      <c r="E630" s="903">
        <v>518</v>
      </c>
      <c r="F630" s="903">
        <v>238</v>
      </c>
      <c r="G630" s="903" t="s">
        <v>1324</v>
      </c>
      <c r="H630" s="904">
        <f t="shared" si="113"/>
        <v>6</v>
      </c>
      <c r="I630" s="904">
        <f t="shared" si="114"/>
        <v>11</v>
      </c>
      <c r="J630" s="21">
        <f t="shared" si="115"/>
        <v>11500</v>
      </c>
      <c r="K630" s="21">
        <f t="shared" si="116"/>
        <v>16524</v>
      </c>
      <c r="L630" s="21">
        <f t="shared" si="117"/>
        <v>30050</v>
      </c>
      <c r="M630" s="21">
        <f t="shared" si="118"/>
        <v>48600</v>
      </c>
      <c r="N630" s="904">
        <f t="shared" si="119"/>
        <v>881</v>
      </c>
      <c r="O630" s="21"/>
      <c r="P630" s="22" t="s">
        <v>2</v>
      </c>
      <c r="Q630" s="22">
        <v>0.63</v>
      </c>
      <c r="R630" s="904" t="s">
        <v>42</v>
      </c>
      <c r="S630" s="904" t="str">
        <f t="shared" si="120"/>
        <v>Stove</v>
      </c>
      <c r="T630" s="23">
        <f t="shared" si="121"/>
        <v>0.17237500090723684</v>
      </c>
      <c r="U630" s="23">
        <f t="shared" si="122"/>
        <v>0.50698529678599069</v>
      </c>
      <c r="V630" s="23">
        <f t="shared" si="122"/>
        <v>0.27878286336411684</v>
      </c>
      <c r="W630" s="23">
        <f t="shared" si="123"/>
        <v>0.72847174296449657</v>
      </c>
      <c r="X630" s="904">
        <f t="shared" si="124"/>
        <v>280</v>
      </c>
      <c r="Y630" s="904">
        <f t="shared" si="124"/>
        <v>297</v>
      </c>
      <c r="Z630" s="904">
        <f t="shared" si="124"/>
        <v>301</v>
      </c>
      <c r="AA630" s="904">
        <f t="shared" si="112"/>
        <v>440</v>
      </c>
      <c r="AB630" s="24">
        <v>104</v>
      </c>
    </row>
    <row r="631" spans="1:28" x14ac:dyDescent="0.25">
      <c r="A631" s="903" t="s">
        <v>77</v>
      </c>
      <c r="B631" t="s">
        <v>1314</v>
      </c>
      <c r="C631" s="906" t="s">
        <v>1325</v>
      </c>
      <c r="D631" s="25">
        <v>3.5</v>
      </c>
      <c r="E631" s="903">
        <v>432</v>
      </c>
      <c r="F631" s="903">
        <v>177</v>
      </c>
      <c r="G631" s="903" t="s">
        <v>1326</v>
      </c>
      <c r="H631" s="904">
        <f t="shared" si="113"/>
        <v>6</v>
      </c>
      <c r="I631" s="904">
        <f t="shared" si="114"/>
        <v>11</v>
      </c>
      <c r="J631" s="21">
        <f t="shared" si="115"/>
        <v>13200</v>
      </c>
      <c r="K631" s="21">
        <f t="shared" si="116"/>
        <v>13200</v>
      </c>
      <c r="L631" s="21">
        <f t="shared" si="117"/>
        <v>21500</v>
      </c>
      <c r="M631" s="21">
        <f t="shared" si="118"/>
        <v>29800</v>
      </c>
      <c r="N631" s="904">
        <f t="shared" si="119"/>
        <v>437</v>
      </c>
      <c r="O631" s="21"/>
      <c r="P631" s="22" t="s">
        <v>2</v>
      </c>
      <c r="Q631" s="22">
        <v>0.72</v>
      </c>
      <c r="R631" s="904" t="s">
        <v>38</v>
      </c>
      <c r="S631" s="904" t="str">
        <f t="shared" si="120"/>
        <v>Stove</v>
      </c>
      <c r="T631" s="23">
        <f t="shared" si="121"/>
        <v>0.25892783163476674</v>
      </c>
      <c r="U631" s="23">
        <f t="shared" si="122"/>
        <v>0.58454919566030672</v>
      </c>
      <c r="V631" s="23">
        <f t="shared" si="122"/>
        <v>0.35888601780074647</v>
      </c>
      <c r="W631" s="23">
        <f t="shared" si="123"/>
        <v>0.58454919566030672</v>
      </c>
      <c r="X631" s="904">
        <f t="shared" si="124"/>
        <v>587</v>
      </c>
      <c r="Y631" s="904">
        <f t="shared" si="124"/>
        <v>414</v>
      </c>
      <c r="Z631" s="904">
        <f t="shared" si="124"/>
        <v>508</v>
      </c>
      <c r="AA631" s="904">
        <f t="shared" si="112"/>
        <v>278</v>
      </c>
      <c r="AB631" s="24">
        <v>167</v>
      </c>
    </row>
    <row r="632" spans="1:28" x14ac:dyDescent="0.25">
      <c r="A632" s="903" t="s">
        <v>77</v>
      </c>
      <c r="B632" t="s">
        <v>1314</v>
      </c>
      <c r="C632" s="906" t="s">
        <v>1327</v>
      </c>
      <c r="D632" s="25">
        <v>8.5</v>
      </c>
      <c r="E632" s="903">
        <v>959</v>
      </c>
      <c r="F632" s="903">
        <v>602</v>
      </c>
      <c r="G632" s="903" t="s">
        <v>1328</v>
      </c>
      <c r="H632" s="904">
        <f t="shared" si="113"/>
        <v>5</v>
      </c>
      <c r="I632" s="904">
        <f t="shared" si="114"/>
        <v>10</v>
      </c>
      <c r="J632" s="21">
        <f t="shared" si="115"/>
        <v>8700</v>
      </c>
      <c r="K632" s="21">
        <f t="shared" si="116"/>
        <v>11356</v>
      </c>
      <c r="L632" s="21">
        <f t="shared" si="117"/>
        <v>21050</v>
      </c>
      <c r="M632" s="21">
        <f t="shared" si="118"/>
        <v>33400</v>
      </c>
      <c r="N632" s="904">
        <f t="shared" si="119"/>
        <v>410</v>
      </c>
      <c r="O632" s="21"/>
      <c r="P632" s="22" t="s">
        <v>2</v>
      </c>
      <c r="Q632" s="22">
        <v>0.63</v>
      </c>
      <c r="R632" s="904" t="s">
        <v>42</v>
      </c>
      <c r="S632" s="904" t="str">
        <f t="shared" si="120"/>
        <v>Stove</v>
      </c>
      <c r="T632" s="23">
        <f t="shared" si="121"/>
        <v>0.56104721773384447</v>
      </c>
      <c r="U632" s="23">
        <f t="shared" si="122"/>
        <v>1.6501388756877777</v>
      </c>
      <c r="V632" s="23">
        <f t="shared" si="122"/>
        <v>0.89021268752068439</v>
      </c>
      <c r="W632" s="23">
        <f t="shared" si="123"/>
        <v>2.1539054106103914</v>
      </c>
      <c r="X632" s="904">
        <f t="shared" si="124"/>
        <v>924</v>
      </c>
      <c r="Y632" s="904">
        <f t="shared" si="124"/>
        <v>954</v>
      </c>
      <c r="Z632" s="904">
        <f t="shared" si="124"/>
        <v>947</v>
      </c>
      <c r="AA632" s="904">
        <f t="shared" si="112"/>
        <v>950</v>
      </c>
      <c r="AB632" s="24">
        <v>599</v>
      </c>
    </row>
    <row r="633" spans="1:28" x14ac:dyDescent="0.25">
      <c r="A633" s="903" t="s">
        <v>77</v>
      </c>
      <c r="B633" t="s">
        <v>1314</v>
      </c>
      <c r="C633" s="906" t="s">
        <v>1329</v>
      </c>
      <c r="D633" s="25">
        <v>9.5</v>
      </c>
      <c r="E633" s="903">
        <v>960</v>
      </c>
      <c r="F633" s="903">
        <v>603</v>
      </c>
      <c r="G633" s="903" t="s">
        <v>1330</v>
      </c>
      <c r="H633" s="904">
        <f t="shared" si="113"/>
        <v>6</v>
      </c>
      <c r="I633" s="904">
        <f t="shared" si="114"/>
        <v>11</v>
      </c>
      <c r="J633" s="21">
        <f t="shared" si="115"/>
        <v>12300</v>
      </c>
      <c r="K633" s="21">
        <f t="shared" si="116"/>
        <v>12300</v>
      </c>
      <c r="L633" s="21">
        <f t="shared" si="117"/>
        <v>19950</v>
      </c>
      <c r="M633" s="21">
        <f t="shared" si="118"/>
        <v>27600</v>
      </c>
      <c r="N633" s="904">
        <f t="shared" si="119"/>
        <v>316</v>
      </c>
      <c r="O633" s="21"/>
      <c r="P633" s="22" t="s">
        <v>2</v>
      </c>
      <c r="Q633" s="22">
        <v>0.63</v>
      </c>
      <c r="R633" s="904" t="s">
        <v>42</v>
      </c>
      <c r="S633" s="904" t="str">
        <f t="shared" si="120"/>
        <v>Stove</v>
      </c>
      <c r="T633" s="23">
        <f t="shared" si="121"/>
        <v>0.75882473225468394</v>
      </c>
      <c r="U633" s="23">
        <f t="shared" si="122"/>
        <v>1.7027286674983151</v>
      </c>
      <c r="V633" s="23">
        <f t="shared" si="122"/>
        <v>1.0498026371042244</v>
      </c>
      <c r="W633" s="23">
        <f t="shared" si="123"/>
        <v>1.7027286674983151</v>
      </c>
      <c r="X633" s="904">
        <f t="shared" si="124"/>
        <v>959</v>
      </c>
      <c r="Y633" s="904">
        <f t="shared" si="124"/>
        <v>956</v>
      </c>
      <c r="Z633" s="904">
        <f t="shared" si="124"/>
        <v>958</v>
      </c>
      <c r="AA633" s="904">
        <f t="shared" si="112"/>
        <v>939</v>
      </c>
      <c r="AB633" s="24">
        <v>601</v>
      </c>
    </row>
    <row r="634" spans="1:28" x14ac:dyDescent="0.25">
      <c r="A634" s="903" t="s">
        <v>77</v>
      </c>
      <c r="B634" t="s">
        <v>1314</v>
      </c>
      <c r="C634" s="906" t="s">
        <v>1331</v>
      </c>
      <c r="D634" s="25">
        <v>7.5</v>
      </c>
      <c r="E634" s="903">
        <v>944</v>
      </c>
      <c r="F634" s="903">
        <v>587</v>
      </c>
      <c r="G634" s="903" t="s">
        <v>1332</v>
      </c>
      <c r="H634" s="904">
        <f t="shared" si="113"/>
        <v>5</v>
      </c>
      <c r="I634" s="904">
        <f t="shared" si="114"/>
        <v>10</v>
      </c>
      <c r="J634" s="21">
        <f t="shared" si="115"/>
        <v>7200</v>
      </c>
      <c r="K634" s="21">
        <f t="shared" si="116"/>
        <v>8126.0000000000009</v>
      </c>
      <c r="L634" s="21">
        <f t="shared" si="117"/>
        <v>15550</v>
      </c>
      <c r="M634" s="21">
        <f t="shared" si="118"/>
        <v>23900</v>
      </c>
      <c r="N634" s="904">
        <f t="shared" si="119"/>
        <v>52</v>
      </c>
      <c r="O634" s="21"/>
      <c r="P634" s="22" t="s">
        <v>2</v>
      </c>
      <c r="Q634" s="22">
        <v>0.63</v>
      </c>
      <c r="R634" s="904" t="s">
        <v>42</v>
      </c>
      <c r="S634" s="904" t="str">
        <f t="shared" si="120"/>
        <v>Stove</v>
      </c>
      <c r="T634" s="23">
        <f t="shared" si="121"/>
        <v>0.69181554537203072</v>
      </c>
      <c r="U634" s="23">
        <f t="shared" si="122"/>
        <v>2.0347516040353844</v>
      </c>
      <c r="V634" s="23">
        <f t="shared" si="122"/>
        <v>1.0633049218258221</v>
      </c>
      <c r="W634" s="23">
        <f t="shared" si="123"/>
        <v>2.2964432686654908</v>
      </c>
      <c r="X634" s="904">
        <f t="shared" si="124"/>
        <v>956</v>
      </c>
      <c r="Y634" s="904">
        <f t="shared" si="124"/>
        <v>961</v>
      </c>
      <c r="Z634" s="904">
        <f t="shared" si="124"/>
        <v>960</v>
      </c>
      <c r="AA634" s="904">
        <f t="shared" si="112"/>
        <v>953</v>
      </c>
      <c r="AB634" s="24">
        <v>605</v>
      </c>
    </row>
    <row r="635" spans="1:28" x14ac:dyDescent="0.25">
      <c r="A635" s="903" t="s">
        <v>77</v>
      </c>
      <c r="B635" t="s">
        <v>1314</v>
      </c>
      <c r="C635" s="906" t="s">
        <v>1333</v>
      </c>
      <c r="D635" s="25">
        <v>2.9</v>
      </c>
      <c r="E635" s="903">
        <v>295</v>
      </c>
      <c r="F635" s="903">
        <v>96</v>
      </c>
      <c r="G635" s="903" t="s">
        <v>1334</v>
      </c>
      <c r="H635" s="904">
        <f t="shared" si="113"/>
        <v>6</v>
      </c>
      <c r="I635" s="904">
        <f t="shared" si="114"/>
        <v>11</v>
      </c>
      <c r="J635" s="21">
        <f t="shared" si="115"/>
        <v>11900</v>
      </c>
      <c r="K635" s="21">
        <f t="shared" si="116"/>
        <v>16252.000000000002</v>
      </c>
      <c r="L635" s="21">
        <f t="shared" si="117"/>
        <v>29850</v>
      </c>
      <c r="M635" s="21">
        <f t="shared" si="118"/>
        <v>47800</v>
      </c>
      <c r="N635" s="904">
        <f t="shared" si="119"/>
        <v>876</v>
      </c>
      <c r="O635" s="21"/>
      <c r="P635" s="22" t="s">
        <v>2</v>
      </c>
      <c r="Q635" s="22">
        <v>0.63</v>
      </c>
      <c r="R635" s="904" t="s">
        <v>42</v>
      </c>
      <c r="S635" s="904" t="str">
        <f t="shared" si="120"/>
        <v>Stove</v>
      </c>
      <c r="T635" s="23">
        <f t="shared" si="121"/>
        <v>0.13375100543859261</v>
      </c>
      <c r="U635" s="23">
        <f t="shared" si="122"/>
        <v>0.39338531011350764</v>
      </c>
      <c r="V635" s="23">
        <f t="shared" si="122"/>
        <v>0.2141808395298066</v>
      </c>
      <c r="W635" s="23">
        <f t="shared" si="123"/>
        <v>0.53725193781216185</v>
      </c>
      <c r="X635" s="904">
        <f t="shared" si="124"/>
        <v>179</v>
      </c>
      <c r="Y635" s="904">
        <f t="shared" si="124"/>
        <v>189</v>
      </c>
      <c r="Z635" s="904">
        <f t="shared" si="124"/>
        <v>180</v>
      </c>
      <c r="AA635" s="904">
        <f t="shared" si="112"/>
        <v>234</v>
      </c>
      <c r="AB635" s="24">
        <v>56</v>
      </c>
    </row>
    <row r="636" spans="1:28" x14ac:dyDescent="0.25">
      <c r="A636" s="903" t="s">
        <v>77</v>
      </c>
      <c r="B636" t="s">
        <v>1314</v>
      </c>
      <c r="C636" s="906" t="s">
        <v>1335</v>
      </c>
      <c r="D636" s="25">
        <v>5.25</v>
      </c>
      <c r="E636" s="903">
        <v>791</v>
      </c>
      <c r="F636" s="903">
        <v>443</v>
      </c>
      <c r="G636" s="903" t="s">
        <v>1336</v>
      </c>
      <c r="H636" s="904">
        <f t="shared" si="113"/>
        <v>6</v>
      </c>
      <c r="I636" s="904">
        <f t="shared" si="114"/>
        <v>11</v>
      </c>
      <c r="J636" s="21">
        <f t="shared" si="115"/>
        <v>11600</v>
      </c>
      <c r="K636" s="21">
        <f t="shared" si="116"/>
        <v>12410</v>
      </c>
      <c r="L636" s="21">
        <f t="shared" si="117"/>
        <v>24050</v>
      </c>
      <c r="M636" s="21">
        <f t="shared" si="118"/>
        <v>36500</v>
      </c>
      <c r="N636" s="904">
        <f t="shared" si="119"/>
        <v>637</v>
      </c>
      <c r="O636" s="21"/>
      <c r="P636" s="22" t="s">
        <v>2</v>
      </c>
      <c r="Q636" s="22">
        <v>0.63</v>
      </c>
      <c r="R636" s="904" t="s">
        <v>42</v>
      </c>
      <c r="S636" s="904" t="str">
        <f t="shared" si="120"/>
        <v>Stove</v>
      </c>
      <c r="T636" s="23">
        <f t="shared" si="121"/>
        <v>0.31709791983764585</v>
      </c>
      <c r="U636" s="23">
        <f t="shared" si="122"/>
        <v>0.93264094069895842</v>
      </c>
      <c r="V636" s="23">
        <f t="shared" si="122"/>
        <v>0.48125048125048125</v>
      </c>
      <c r="W636" s="23">
        <f t="shared" si="123"/>
        <v>0.9977650063856961</v>
      </c>
      <c r="X636" s="904">
        <f t="shared" si="124"/>
        <v>706</v>
      </c>
      <c r="Y636" s="904">
        <f t="shared" si="124"/>
        <v>767</v>
      </c>
      <c r="Z636" s="904">
        <f t="shared" si="124"/>
        <v>715</v>
      </c>
      <c r="AA636" s="904">
        <f t="shared" si="112"/>
        <v>709</v>
      </c>
      <c r="AB636" s="24">
        <v>436</v>
      </c>
    </row>
    <row r="637" spans="1:28" x14ac:dyDescent="0.25">
      <c r="A637" s="903" t="s">
        <v>77</v>
      </c>
      <c r="B637" t="s">
        <v>1314</v>
      </c>
      <c r="C637" s="906" t="s">
        <v>1337</v>
      </c>
      <c r="D637" s="25">
        <v>3.5</v>
      </c>
      <c r="E637" s="903">
        <v>432</v>
      </c>
      <c r="F637" s="903">
        <v>177</v>
      </c>
      <c r="G637" s="903" t="s">
        <v>1338</v>
      </c>
      <c r="H637" s="904">
        <f t="shared" si="113"/>
        <v>6</v>
      </c>
      <c r="I637" s="904">
        <f t="shared" si="114"/>
        <v>11</v>
      </c>
      <c r="J637" s="21">
        <f t="shared" si="115"/>
        <v>18600</v>
      </c>
      <c r="K637" s="21">
        <f t="shared" si="116"/>
        <v>20604</v>
      </c>
      <c r="L637" s="21">
        <f t="shared" si="117"/>
        <v>39600</v>
      </c>
      <c r="M637" s="21">
        <f t="shared" si="118"/>
        <v>60600</v>
      </c>
      <c r="N637" s="904">
        <f t="shared" si="119"/>
        <v>950</v>
      </c>
      <c r="O637" s="21"/>
      <c r="P637" s="22" t="s">
        <v>2</v>
      </c>
      <c r="Q637" s="22">
        <v>0.72</v>
      </c>
      <c r="R637" s="904" t="s">
        <v>38</v>
      </c>
      <c r="S637" s="904" t="str">
        <f t="shared" si="120"/>
        <v>Stove</v>
      </c>
      <c r="T637" s="23">
        <f t="shared" si="121"/>
        <v>0.12732754756957176</v>
      </c>
      <c r="U637" s="23">
        <f t="shared" si="122"/>
        <v>0.37449278696932875</v>
      </c>
      <c r="V637" s="23">
        <f t="shared" si="122"/>
        <v>0.19484973188676893</v>
      </c>
      <c r="W637" s="23">
        <f t="shared" si="123"/>
        <v>0.41484136466215321</v>
      </c>
      <c r="X637" s="904">
        <f t="shared" si="124"/>
        <v>165</v>
      </c>
      <c r="Y637" s="904">
        <f t="shared" si="124"/>
        <v>172</v>
      </c>
      <c r="Z637" s="904">
        <f t="shared" si="124"/>
        <v>157</v>
      </c>
      <c r="AA637" s="904">
        <f t="shared" si="112"/>
        <v>123</v>
      </c>
      <c r="AB637" s="24">
        <v>65</v>
      </c>
    </row>
    <row r="638" spans="1:28" x14ac:dyDescent="0.25">
      <c r="A638" s="903" t="s">
        <v>77</v>
      </c>
      <c r="B638" t="s">
        <v>1314</v>
      </c>
      <c r="C638" s="906" t="s">
        <v>1339</v>
      </c>
      <c r="D638" s="25">
        <v>4.3</v>
      </c>
      <c r="E638" s="903">
        <v>635</v>
      </c>
      <c r="F638" s="903">
        <v>238</v>
      </c>
      <c r="G638" s="903" t="s">
        <v>1340</v>
      </c>
      <c r="H638" s="904">
        <f t="shared" si="113"/>
        <v>6</v>
      </c>
      <c r="I638" s="904">
        <f t="shared" si="114"/>
        <v>11</v>
      </c>
      <c r="J638" s="21">
        <f t="shared" si="115"/>
        <v>11200</v>
      </c>
      <c r="K638" s="21">
        <f t="shared" si="116"/>
        <v>11200</v>
      </c>
      <c r="L638" s="21">
        <f t="shared" si="117"/>
        <v>20150</v>
      </c>
      <c r="M638" s="21">
        <f t="shared" si="118"/>
        <v>29100</v>
      </c>
      <c r="N638" s="904">
        <f t="shared" si="119"/>
        <v>335</v>
      </c>
      <c r="O638" s="21"/>
      <c r="P638" s="22" t="s">
        <v>2</v>
      </c>
      <c r="Q638" s="22">
        <v>0.72</v>
      </c>
      <c r="R638" s="904" t="s">
        <v>38</v>
      </c>
      <c r="S638" s="904" t="str">
        <f t="shared" si="120"/>
        <v>Stove</v>
      </c>
      <c r="T638" s="23">
        <f t="shared" si="121"/>
        <v>0.32576349873027993</v>
      </c>
      <c r="U638" s="23">
        <f t="shared" si="122"/>
        <v>0.84640337616528094</v>
      </c>
      <c r="V638" s="23">
        <f t="shared" si="122"/>
        <v>0.47045745970477154</v>
      </c>
      <c r="W638" s="23">
        <f t="shared" si="123"/>
        <v>0.84640337616528094</v>
      </c>
      <c r="X638" s="904">
        <f t="shared" si="124"/>
        <v>727</v>
      </c>
      <c r="Y638" s="904">
        <f t="shared" si="124"/>
        <v>705</v>
      </c>
      <c r="Z638" s="904">
        <f t="shared" si="124"/>
        <v>705</v>
      </c>
      <c r="AA638" s="904">
        <f t="shared" si="112"/>
        <v>595</v>
      </c>
      <c r="AB638" s="24">
        <v>237</v>
      </c>
    </row>
    <row r="639" spans="1:28" x14ac:dyDescent="0.25">
      <c r="A639" s="903"/>
      <c r="B639" t="s">
        <v>1341</v>
      </c>
      <c r="C639" s="906">
        <v>1050</v>
      </c>
      <c r="D639" s="25">
        <v>6.9</v>
      </c>
      <c r="E639" s="903">
        <v>900</v>
      </c>
      <c r="F639" s="903">
        <v>543</v>
      </c>
      <c r="G639" s="903" t="s">
        <v>1342</v>
      </c>
      <c r="H639" s="904">
        <f t="shared" si="113"/>
        <v>6</v>
      </c>
      <c r="I639" s="904">
        <f t="shared" si="114"/>
        <v>11</v>
      </c>
      <c r="J639" s="21">
        <f t="shared" si="115"/>
        <v>10600</v>
      </c>
      <c r="K639" s="21">
        <f t="shared" si="116"/>
        <v>14586.000000000002</v>
      </c>
      <c r="L639" s="21">
        <f t="shared" si="117"/>
        <v>26750</v>
      </c>
      <c r="M639" s="21">
        <f t="shared" si="118"/>
        <v>42900</v>
      </c>
      <c r="N639" s="904">
        <f t="shared" si="119"/>
        <v>781</v>
      </c>
      <c r="O639" s="21"/>
      <c r="P639" s="22" t="s">
        <v>2</v>
      </c>
      <c r="Q639" s="22">
        <v>0.63</v>
      </c>
      <c r="R639" s="904" t="s">
        <v>42</v>
      </c>
      <c r="S639" s="904" t="str">
        <f t="shared" si="120"/>
        <v>Stove</v>
      </c>
      <c r="T639" s="23">
        <f t="shared" si="121"/>
        <v>0.35458368791702127</v>
      </c>
      <c r="U639" s="23">
        <f t="shared" si="122"/>
        <v>1.0428931997559445</v>
      </c>
      <c r="V639" s="23">
        <f t="shared" si="122"/>
        <v>0.56865944716412009</v>
      </c>
      <c r="W639" s="23">
        <f t="shared" si="123"/>
        <v>1.4350603973245484</v>
      </c>
      <c r="X639" s="904">
        <f t="shared" si="124"/>
        <v>773</v>
      </c>
      <c r="Y639" s="904">
        <f t="shared" si="124"/>
        <v>829</v>
      </c>
      <c r="Z639" s="904">
        <f t="shared" si="124"/>
        <v>817</v>
      </c>
      <c r="AA639" s="904">
        <f t="shared" si="112"/>
        <v>910</v>
      </c>
      <c r="AB639" s="24">
        <v>487</v>
      </c>
    </row>
    <row r="640" spans="1:28" x14ac:dyDescent="0.25">
      <c r="A640" s="903"/>
      <c r="B640" t="s">
        <v>1341</v>
      </c>
      <c r="C640" s="906">
        <v>2200</v>
      </c>
      <c r="D640" s="25">
        <v>5.7</v>
      </c>
      <c r="E640" s="903">
        <v>824</v>
      </c>
      <c r="F640" s="903">
        <v>472</v>
      </c>
      <c r="G640" s="903" t="s">
        <v>1343</v>
      </c>
      <c r="H640" s="904">
        <f t="shared" si="113"/>
        <v>6</v>
      </c>
      <c r="I640" s="904">
        <f t="shared" si="114"/>
        <v>11</v>
      </c>
      <c r="J640" s="21">
        <f t="shared" si="115"/>
        <v>10400</v>
      </c>
      <c r="K640" s="21">
        <f t="shared" si="116"/>
        <v>14110.000000000002</v>
      </c>
      <c r="L640" s="21">
        <f t="shared" si="117"/>
        <v>25950</v>
      </c>
      <c r="M640" s="21">
        <f t="shared" si="118"/>
        <v>41500</v>
      </c>
      <c r="N640" s="904">
        <f t="shared" si="119"/>
        <v>750</v>
      </c>
      <c r="O640" s="21"/>
      <c r="P640" s="22" t="s">
        <v>2</v>
      </c>
      <c r="Q640" s="22">
        <v>0.63</v>
      </c>
      <c r="R640" s="904" t="s">
        <v>42</v>
      </c>
      <c r="S640" s="904" t="str">
        <f t="shared" si="120"/>
        <v>Stove</v>
      </c>
      <c r="T640" s="23">
        <f t="shared" si="121"/>
        <v>0.30279849556957988</v>
      </c>
      <c r="U640" s="23">
        <f t="shared" si="122"/>
        <v>0.89058381049876434</v>
      </c>
      <c r="V640" s="23">
        <f t="shared" si="122"/>
        <v>0.484244222201833</v>
      </c>
      <c r="W640" s="23">
        <f t="shared" si="123"/>
        <v>1.2082824582824583</v>
      </c>
      <c r="X640" s="904">
        <f t="shared" si="124"/>
        <v>676</v>
      </c>
      <c r="Y640" s="904">
        <f t="shared" si="124"/>
        <v>735</v>
      </c>
      <c r="Z640" s="904">
        <f t="shared" si="124"/>
        <v>722</v>
      </c>
      <c r="AA640" s="904">
        <f t="shared" si="112"/>
        <v>822</v>
      </c>
      <c r="AB640" s="24">
        <v>413</v>
      </c>
    </row>
    <row r="641" spans="1:28" x14ac:dyDescent="0.25">
      <c r="A641" s="903"/>
      <c r="B641" t="s">
        <v>1341</v>
      </c>
      <c r="C641" s="906" t="s">
        <v>1344</v>
      </c>
      <c r="D641" s="25">
        <v>4.5999999999999996</v>
      </c>
      <c r="E641" s="903">
        <v>721</v>
      </c>
      <c r="F641" s="903">
        <v>392</v>
      </c>
      <c r="G641" s="903" t="s">
        <v>1345</v>
      </c>
      <c r="H641" s="904">
        <f t="shared" si="113"/>
        <v>5</v>
      </c>
      <c r="I641" s="904">
        <f t="shared" si="114"/>
        <v>10</v>
      </c>
      <c r="J641" s="21">
        <f t="shared" si="115"/>
        <v>9000</v>
      </c>
      <c r="K641" s="21">
        <f t="shared" si="116"/>
        <v>11220</v>
      </c>
      <c r="L641" s="21">
        <f t="shared" si="117"/>
        <v>21000</v>
      </c>
      <c r="M641" s="21">
        <f t="shared" si="118"/>
        <v>33000</v>
      </c>
      <c r="N641" s="904">
        <f t="shared" si="119"/>
        <v>404</v>
      </c>
      <c r="O641" s="21"/>
      <c r="P641" s="22" t="s">
        <v>2</v>
      </c>
      <c r="Q641" s="22">
        <v>0.63</v>
      </c>
      <c r="R641" s="904" t="s">
        <v>42</v>
      </c>
      <c r="S641" s="904" t="str">
        <f t="shared" si="120"/>
        <v>Stove</v>
      </c>
      <c r="T641" s="23">
        <f t="shared" si="121"/>
        <v>0.30730586286141842</v>
      </c>
      <c r="U641" s="23">
        <f t="shared" si="122"/>
        <v>0.90384077312181887</v>
      </c>
      <c r="V641" s="23">
        <f t="shared" si="122"/>
        <v>0.48290921306794321</v>
      </c>
      <c r="W641" s="23">
        <f t="shared" si="123"/>
        <v>1.1267881638252009</v>
      </c>
      <c r="X641" s="904">
        <f t="shared" si="124"/>
        <v>690</v>
      </c>
      <c r="Y641" s="904">
        <f t="shared" si="124"/>
        <v>746</v>
      </c>
      <c r="Z641" s="904">
        <f t="shared" si="124"/>
        <v>719</v>
      </c>
      <c r="AA641" s="904">
        <f t="shared" si="112"/>
        <v>800</v>
      </c>
      <c r="AB641" s="24">
        <v>420</v>
      </c>
    </row>
    <row r="642" spans="1:28" x14ac:dyDescent="0.25">
      <c r="A642" s="903"/>
      <c r="B642" t="s">
        <v>1341</v>
      </c>
      <c r="C642" s="906" t="s">
        <v>1346</v>
      </c>
      <c r="D642" s="25">
        <v>7</v>
      </c>
      <c r="E642" s="903">
        <v>907</v>
      </c>
      <c r="F642" s="903">
        <v>550</v>
      </c>
      <c r="G642" s="903" t="s">
        <v>1347</v>
      </c>
      <c r="H642" s="904">
        <f t="shared" si="113"/>
        <v>6</v>
      </c>
      <c r="I642" s="904">
        <f t="shared" si="114"/>
        <v>11</v>
      </c>
      <c r="J642" s="21">
        <f t="shared" si="115"/>
        <v>10700</v>
      </c>
      <c r="K642" s="21">
        <f t="shared" si="116"/>
        <v>17544</v>
      </c>
      <c r="L642" s="21">
        <f t="shared" si="117"/>
        <v>31150</v>
      </c>
      <c r="M642" s="21">
        <f t="shared" si="118"/>
        <v>51600</v>
      </c>
      <c r="N642" s="904">
        <f t="shared" si="119"/>
        <v>895</v>
      </c>
      <c r="O642" s="21"/>
      <c r="P642" s="22" t="s">
        <v>2</v>
      </c>
      <c r="Q642" s="22">
        <v>0.63</v>
      </c>
      <c r="R642" s="904" t="s">
        <v>42</v>
      </c>
      <c r="S642" s="904" t="str">
        <f t="shared" si="120"/>
        <v>Insert</v>
      </c>
      <c r="T642" s="23">
        <f t="shared" si="121"/>
        <v>0.29907168150062208</v>
      </c>
      <c r="U642" s="23">
        <f t="shared" si="122"/>
        <v>0.87962259264888842</v>
      </c>
      <c r="V642" s="23">
        <f t="shared" si="122"/>
        <v>0.495412480431207</v>
      </c>
      <c r="W642" s="23">
        <f t="shared" si="123"/>
        <v>1.4422522210684205</v>
      </c>
      <c r="X642" s="904">
        <f t="shared" si="124"/>
        <v>669</v>
      </c>
      <c r="Y642" s="904">
        <f t="shared" si="124"/>
        <v>727</v>
      </c>
      <c r="Z642" s="904">
        <f t="shared" si="124"/>
        <v>742</v>
      </c>
      <c r="AA642" s="904">
        <f t="shared" si="112"/>
        <v>913</v>
      </c>
      <c r="AB642" s="24">
        <v>406</v>
      </c>
    </row>
    <row r="643" spans="1:28" x14ac:dyDescent="0.25">
      <c r="A643" s="903"/>
      <c r="B643" t="s">
        <v>1348</v>
      </c>
      <c r="C643" s="906" t="s">
        <v>1349</v>
      </c>
      <c r="D643" s="25">
        <v>3.4</v>
      </c>
      <c r="E643" s="903">
        <v>415</v>
      </c>
      <c r="F643" s="903">
        <v>168</v>
      </c>
      <c r="G643" s="903" t="s">
        <v>1350</v>
      </c>
      <c r="H643" s="904">
        <f t="shared" si="113"/>
        <v>6</v>
      </c>
      <c r="I643" s="904">
        <f t="shared" si="114"/>
        <v>11</v>
      </c>
      <c r="J643" s="21">
        <f t="shared" si="115"/>
        <v>11000</v>
      </c>
      <c r="K643" s="21">
        <f t="shared" si="116"/>
        <v>11764</v>
      </c>
      <c r="L643" s="21">
        <f t="shared" si="117"/>
        <v>22800</v>
      </c>
      <c r="M643" s="21">
        <f t="shared" si="118"/>
        <v>34600</v>
      </c>
      <c r="N643" s="904">
        <f t="shared" si="119"/>
        <v>527</v>
      </c>
      <c r="O643" s="21"/>
      <c r="P643" s="22" t="s">
        <v>2</v>
      </c>
      <c r="Q643" s="22">
        <v>0.63</v>
      </c>
      <c r="R643" s="904" t="s">
        <v>42</v>
      </c>
      <c r="S643" s="904" t="str">
        <f t="shared" si="120"/>
        <v>Stove</v>
      </c>
      <c r="T643" s="23">
        <f t="shared" si="121"/>
        <v>0.21663557309029371</v>
      </c>
      <c r="U643" s="23">
        <f t="shared" si="122"/>
        <v>0.63716345026556964</v>
      </c>
      <c r="V643" s="23">
        <f t="shared" si="122"/>
        <v>0.32875398372474396</v>
      </c>
      <c r="W643" s="23">
        <f t="shared" si="123"/>
        <v>0.68141734808401477</v>
      </c>
      <c r="X643" s="904">
        <f t="shared" si="124"/>
        <v>447</v>
      </c>
      <c r="Y643" s="904">
        <f t="shared" si="124"/>
        <v>478</v>
      </c>
      <c r="Z643" s="904">
        <f t="shared" si="124"/>
        <v>433</v>
      </c>
      <c r="AA643" s="904">
        <f t="shared" si="112"/>
        <v>395</v>
      </c>
      <c r="AB643" s="24">
        <v>218</v>
      </c>
    </row>
    <row r="644" spans="1:28" x14ac:dyDescent="0.25">
      <c r="A644" s="903"/>
      <c r="B644" t="s">
        <v>1348</v>
      </c>
      <c r="C644" s="906" t="s">
        <v>1351</v>
      </c>
      <c r="D644" s="25">
        <v>2.68</v>
      </c>
      <c r="E644" s="903">
        <v>256</v>
      </c>
      <c r="F644" s="903">
        <v>78</v>
      </c>
      <c r="G644" s="903" t="s">
        <v>1352</v>
      </c>
      <c r="H644" s="904">
        <f t="shared" si="113"/>
        <v>6</v>
      </c>
      <c r="I644" s="904">
        <f t="shared" si="114"/>
        <v>11</v>
      </c>
      <c r="J644" s="21">
        <f t="shared" si="115"/>
        <v>11829</v>
      </c>
      <c r="K644" s="21">
        <f t="shared" si="116"/>
        <v>13109.04</v>
      </c>
      <c r="L644" s="21">
        <f t="shared" si="117"/>
        <v>25192.5</v>
      </c>
      <c r="M644" s="21">
        <f t="shared" si="118"/>
        <v>38556</v>
      </c>
      <c r="N644" s="904">
        <f t="shared" si="119"/>
        <v>710</v>
      </c>
      <c r="O644" s="21"/>
      <c r="P644" s="22" t="s">
        <v>2</v>
      </c>
      <c r="Q644" s="22">
        <v>0.63</v>
      </c>
      <c r="R644" s="904" t="s">
        <v>42</v>
      </c>
      <c r="S644" s="904" t="str">
        <f t="shared" si="120"/>
        <v>Stove</v>
      </c>
      <c r="T644" s="23">
        <f t="shared" si="121"/>
        <v>0.15323916489320921</v>
      </c>
      <c r="U644" s="23">
        <f t="shared" si="122"/>
        <v>0.45070342615649767</v>
      </c>
      <c r="V644" s="23">
        <f t="shared" si="122"/>
        <v>0.23452572160851742</v>
      </c>
      <c r="W644" s="23">
        <f t="shared" si="123"/>
        <v>0.4994749549093393</v>
      </c>
      <c r="X644" s="904">
        <f t="shared" si="124"/>
        <v>227</v>
      </c>
      <c r="Y644" s="904">
        <f t="shared" si="124"/>
        <v>240</v>
      </c>
      <c r="Z644" s="904">
        <f t="shared" si="124"/>
        <v>211</v>
      </c>
      <c r="AA644" s="904">
        <f t="shared" si="112"/>
        <v>188</v>
      </c>
      <c r="AB644" s="24">
        <v>80</v>
      </c>
    </row>
    <row r="645" spans="1:28" x14ac:dyDescent="0.25">
      <c r="A645" s="903"/>
      <c r="B645" t="s">
        <v>1348</v>
      </c>
      <c r="C645" s="906" t="s">
        <v>1353</v>
      </c>
      <c r="D645" s="25">
        <v>6.4</v>
      </c>
      <c r="E645" s="903">
        <v>868</v>
      </c>
      <c r="F645" s="903">
        <v>514</v>
      </c>
      <c r="G645" s="903" t="s">
        <v>1354</v>
      </c>
      <c r="H645" s="904">
        <f t="shared" si="113"/>
        <v>6</v>
      </c>
      <c r="I645" s="904">
        <f t="shared" si="114"/>
        <v>11</v>
      </c>
      <c r="J645" s="21">
        <f t="shared" si="115"/>
        <v>10600</v>
      </c>
      <c r="K645" s="21">
        <f t="shared" si="116"/>
        <v>12376</v>
      </c>
      <c r="L645" s="21">
        <f t="shared" si="117"/>
        <v>23500</v>
      </c>
      <c r="M645" s="21">
        <f t="shared" si="118"/>
        <v>36400</v>
      </c>
      <c r="N645" s="904">
        <f t="shared" si="119"/>
        <v>590</v>
      </c>
      <c r="O645" s="21"/>
      <c r="P645" s="22" t="s">
        <v>2</v>
      </c>
      <c r="Q645" s="22">
        <v>0.63</v>
      </c>
      <c r="R645" s="904" t="s">
        <v>42</v>
      </c>
      <c r="S645" s="904" t="str">
        <f t="shared" si="120"/>
        <v>Stove</v>
      </c>
      <c r="T645" s="23">
        <f t="shared" si="121"/>
        <v>0.38761943523848286</v>
      </c>
      <c r="U645" s="23">
        <f t="shared" si="122"/>
        <v>1.140057162466126</v>
      </c>
      <c r="V645" s="23">
        <f t="shared" si="122"/>
        <v>0.60039776351833085</v>
      </c>
      <c r="W645" s="23">
        <f t="shared" si="123"/>
        <v>1.3310705134604506</v>
      </c>
      <c r="X645" s="904">
        <f t="shared" si="124"/>
        <v>817</v>
      </c>
      <c r="Y645" s="904">
        <f t="shared" si="124"/>
        <v>872</v>
      </c>
      <c r="Z645" s="904">
        <f t="shared" si="124"/>
        <v>840</v>
      </c>
      <c r="AA645" s="904">
        <f t="shared" si="112"/>
        <v>871</v>
      </c>
      <c r="AB645" s="24">
        <v>519</v>
      </c>
    </row>
    <row r="646" spans="1:28" x14ac:dyDescent="0.25">
      <c r="A646" s="903"/>
      <c r="B646" t="s">
        <v>1348</v>
      </c>
      <c r="C646" s="906" t="s">
        <v>1355</v>
      </c>
      <c r="D646" s="25">
        <v>3.4</v>
      </c>
      <c r="E646" s="903">
        <v>415</v>
      </c>
      <c r="F646" s="903">
        <v>168</v>
      </c>
      <c r="G646" s="903" t="s">
        <v>1350</v>
      </c>
      <c r="H646" s="904">
        <f t="shared" si="113"/>
        <v>6</v>
      </c>
      <c r="I646" s="904">
        <f t="shared" si="114"/>
        <v>11</v>
      </c>
      <c r="J646" s="21">
        <f t="shared" si="115"/>
        <v>11000</v>
      </c>
      <c r="K646" s="21">
        <f t="shared" si="116"/>
        <v>11764</v>
      </c>
      <c r="L646" s="21">
        <f t="shared" si="117"/>
        <v>22800</v>
      </c>
      <c r="M646" s="21">
        <f t="shared" si="118"/>
        <v>34600</v>
      </c>
      <c r="N646" s="904">
        <f t="shared" si="119"/>
        <v>527</v>
      </c>
      <c r="O646" s="21"/>
      <c r="P646" s="22" t="s">
        <v>2</v>
      </c>
      <c r="Q646" s="22">
        <v>0.63</v>
      </c>
      <c r="R646" s="904" t="s">
        <v>42</v>
      </c>
      <c r="S646" s="904" t="str">
        <f t="shared" si="120"/>
        <v>Stove</v>
      </c>
      <c r="T646" s="23">
        <f t="shared" si="121"/>
        <v>0.21663557309029371</v>
      </c>
      <c r="U646" s="23">
        <f t="shared" si="122"/>
        <v>0.63716345026556964</v>
      </c>
      <c r="V646" s="23">
        <f t="shared" si="122"/>
        <v>0.32875398372474396</v>
      </c>
      <c r="W646" s="23">
        <f t="shared" si="123"/>
        <v>0.68141734808401477</v>
      </c>
      <c r="X646" s="904">
        <f t="shared" si="124"/>
        <v>447</v>
      </c>
      <c r="Y646" s="904">
        <f t="shared" si="124"/>
        <v>478</v>
      </c>
      <c r="Z646" s="904">
        <f t="shared" si="124"/>
        <v>433</v>
      </c>
      <c r="AA646" s="904">
        <f t="shared" si="112"/>
        <v>395</v>
      </c>
      <c r="AB646" s="24">
        <v>218</v>
      </c>
    </row>
    <row r="647" spans="1:28" x14ac:dyDescent="0.25">
      <c r="A647" s="903"/>
      <c r="B647" t="s">
        <v>1348</v>
      </c>
      <c r="C647" s="906" t="s">
        <v>1356</v>
      </c>
      <c r="D647" s="25">
        <v>3.6</v>
      </c>
      <c r="E647" s="903">
        <v>467</v>
      </c>
      <c r="F647" s="903">
        <v>207</v>
      </c>
      <c r="G647" s="903" t="s">
        <v>967</v>
      </c>
      <c r="H647" s="904">
        <f t="shared" si="113"/>
        <v>6</v>
      </c>
      <c r="I647" s="904">
        <f t="shared" si="114"/>
        <v>11</v>
      </c>
      <c r="J647" s="21">
        <f t="shared" si="115"/>
        <v>10300</v>
      </c>
      <c r="K647" s="21">
        <f t="shared" si="116"/>
        <v>12750.000000000002</v>
      </c>
      <c r="L647" s="21">
        <f t="shared" si="117"/>
        <v>23900</v>
      </c>
      <c r="M647" s="21">
        <f t="shared" si="118"/>
        <v>37500</v>
      </c>
      <c r="N647" s="904">
        <f t="shared" si="119"/>
        <v>623</v>
      </c>
      <c r="O647" s="21"/>
      <c r="P647" s="22" t="s">
        <v>2</v>
      </c>
      <c r="Q647" s="22">
        <v>0.63</v>
      </c>
      <c r="R647" s="904" t="s">
        <v>42</v>
      </c>
      <c r="S647" s="904" t="str">
        <f t="shared" si="120"/>
        <v>Insert</v>
      </c>
      <c r="T647" s="23">
        <f t="shared" si="121"/>
        <v>0.21164021164021163</v>
      </c>
      <c r="U647" s="23">
        <f t="shared" si="122"/>
        <v>0.62247121070650469</v>
      </c>
      <c r="V647" s="23">
        <f t="shared" si="122"/>
        <v>0.33207146177857477</v>
      </c>
      <c r="W647" s="23">
        <f t="shared" si="123"/>
        <v>0.77053475111727543</v>
      </c>
      <c r="X647" s="904">
        <f t="shared" si="124"/>
        <v>429</v>
      </c>
      <c r="Y647" s="904">
        <f t="shared" si="124"/>
        <v>458</v>
      </c>
      <c r="Z647" s="904">
        <f t="shared" si="124"/>
        <v>442</v>
      </c>
      <c r="AA647" s="904">
        <f t="shared" si="112"/>
        <v>491</v>
      </c>
      <c r="AB647" s="24">
        <v>200</v>
      </c>
    </row>
    <row r="648" spans="1:28" x14ac:dyDescent="0.25">
      <c r="A648" s="903"/>
      <c r="B648" t="s">
        <v>1348</v>
      </c>
      <c r="C648" s="906" t="s">
        <v>1357</v>
      </c>
      <c r="D648" s="25">
        <v>4.0999999999999996</v>
      </c>
      <c r="E648" s="903">
        <v>594</v>
      </c>
      <c r="F648" s="903">
        <v>283</v>
      </c>
      <c r="G648" s="903" t="s">
        <v>1358</v>
      </c>
      <c r="H648" s="904">
        <f t="shared" si="113"/>
        <v>6</v>
      </c>
      <c r="I648" s="904">
        <f t="shared" si="114"/>
        <v>11</v>
      </c>
      <c r="J648" s="21">
        <f t="shared" si="115"/>
        <v>10652</v>
      </c>
      <c r="K648" s="21">
        <f t="shared" si="116"/>
        <v>11193.820000000002</v>
      </c>
      <c r="L648" s="21">
        <f t="shared" si="117"/>
        <v>21787.5</v>
      </c>
      <c r="M648" s="21">
        <f t="shared" si="118"/>
        <v>32923</v>
      </c>
      <c r="N648" s="904">
        <f t="shared" si="119"/>
        <v>455</v>
      </c>
      <c r="O648" s="21"/>
      <c r="P648" s="22" t="s">
        <v>2</v>
      </c>
      <c r="Q648" s="22">
        <v>0.63</v>
      </c>
      <c r="R648" s="904" t="s">
        <v>42</v>
      </c>
      <c r="S648" s="904" t="str">
        <f t="shared" si="120"/>
        <v>Stove</v>
      </c>
      <c r="T648" s="23">
        <f t="shared" si="121"/>
        <v>0.27454365353908727</v>
      </c>
      <c r="U648" s="23">
        <f t="shared" si="122"/>
        <v>0.80748133393849186</v>
      </c>
      <c r="V648" s="23">
        <f t="shared" si="122"/>
        <v>0.41486176502431998</v>
      </c>
      <c r="W648" s="23">
        <f t="shared" si="123"/>
        <v>0.84855432833903222</v>
      </c>
      <c r="X648" s="904">
        <f t="shared" si="124"/>
        <v>615</v>
      </c>
      <c r="Y648" s="904">
        <f t="shared" si="124"/>
        <v>666</v>
      </c>
      <c r="Z648" s="904">
        <f t="shared" si="124"/>
        <v>623</v>
      </c>
      <c r="AA648" s="904">
        <f t="shared" si="112"/>
        <v>597</v>
      </c>
      <c r="AB648" s="24">
        <v>357</v>
      </c>
    </row>
    <row r="649" spans="1:28" x14ac:dyDescent="0.25">
      <c r="A649" s="903"/>
      <c r="B649" t="s">
        <v>1348</v>
      </c>
      <c r="C649" s="906" t="s">
        <v>1359</v>
      </c>
      <c r="D649" s="25">
        <v>2.92</v>
      </c>
      <c r="E649" s="903">
        <v>320</v>
      </c>
      <c r="F649" s="903">
        <v>115</v>
      </c>
      <c r="G649" s="903" t="s">
        <v>1360</v>
      </c>
      <c r="H649" s="904">
        <f t="shared" si="113"/>
        <v>6</v>
      </c>
      <c r="I649" s="904">
        <f t="shared" si="114"/>
        <v>11</v>
      </c>
      <c r="J649" s="21">
        <f t="shared" si="115"/>
        <v>12400</v>
      </c>
      <c r="K649" s="21">
        <f t="shared" si="116"/>
        <v>12400</v>
      </c>
      <c r="L649" s="21">
        <f t="shared" si="117"/>
        <v>19350</v>
      </c>
      <c r="M649" s="21">
        <f t="shared" si="118"/>
        <v>26300</v>
      </c>
      <c r="N649" s="904">
        <f t="shared" si="119"/>
        <v>265</v>
      </c>
      <c r="O649" s="21"/>
      <c r="P649" s="22" t="s">
        <v>2</v>
      </c>
      <c r="Q649" s="22">
        <v>0.63</v>
      </c>
      <c r="R649" s="904" t="s">
        <v>42</v>
      </c>
      <c r="S649" s="904" t="str">
        <f t="shared" si="120"/>
        <v>Insert</v>
      </c>
      <c r="T649" s="23">
        <f t="shared" si="121"/>
        <v>0.24476767189061233</v>
      </c>
      <c r="U649" s="23">
        <f t="shared" si="122"/>
        <v>0.51914433634863744</v>
      </c>
      <c r="V649" s="23">
        <f t="shared" si="122"/>
        <v>0.33268164189783483</v>
      </c>
      <c r="W649" s="23">
        <f t="shared" si="123"/>
        <v>0.51914433634863744</v>
      </c>
      <c r="X649" s="904">
        <f t="shared" si="124"/>
        <v>545</v>
      </c>
      <c r="Y649" s="904">
        <f t="shared" si="124"/>
        <v>320</v>
      </c>
      <c r="Z649" s="904">
        <f t="shared" si="124"/>
        <v>446</v>
      </c>
      <c r="AA649" s="904">
        <f t="shared" si="112"/>
        <v>215</v>
      </c>
      <c r="AB649" s="24">
        <v>121</v>
      </c>
    </row>
    <row r="650" spans="1:28" x14ac:dyDescent="0.25">
      <c r="A650" s="903"/>
      <c r="B650" t="s">
        <v>1361</v>
      </c>
      <c r="C650" s="906" t="s">
        <v>1362</v>
      </c>
      <c r="D650" s="25">
        <v>5</v>
      </c>
      <c r="E650" s="903">
        <v>756</v>
      </c>
      <c r="F650" s="903">
        <v>257</v>
      </c>
      <c r="G650" s="903" t="s">
        <v>1363</v>
      </c>
      <c r="H650" s="904">
        <f t="shared" si="113"/>
        <v>5</v>
      </c>
      <c r="I650" s="904">
        <f t="shared" si="114"/>
        <v>10</v>
      </c>
      <c r="J650" s="21">
        <f t="shared" si="115"/>
        <v>7600</v>
      </c>
      <c r="K650" s="21">
        <f t="shared" si="116"/>
        <v>13022.000000000002</v>
      </c>
      <c r="L650" s="21">
        <f t="shared" si="117"/>
        <v>22950</v>
      </c>
      <c r="M650" s="21">
        <f t="shared" si="118"/>
        <v>38300</v>
      </c>
      <c r="N650" s="904">
        <f t="shared" si="119"/>
        <v>543</v>
      </c>
      <c r="O650" s="21"/>
      <c r="P650" s="22" t="s">
        <v>2</v>
      </c>
      <c r="Q650" s="22">
        <v>0.72</v>
      </c>
      <c r="R650" s="904" t="s">
        <v>38</v>
      </c>
      <c r="S650" s="904" t="str">
        <f t="shared" si="120"/>
        <v>Stove</v>
      </c>
      <c r="T650" s="23">
        <f t="shared" si="121"/>
        <v>0.28780490051160201</v>
      </c>
      <c r="U650" s="23">
        <f t="shared" si="122"/>
        <v>0.84648500150471162</v>
      </c>
      <c r="V650" s="23">
        <f t="shared" si="122"/>
        <v>0.48030186011304382</v>
      </c>
      <c r="W650" s="23">
        <f t="shared" si="123"/>
        <v>1.4503852223150469</v>
      </c>
      <c r="X650" s="904">
        <f t="shared" si="124"/>
        <v>645</v>
      </c>
      <c r="Y650" s="904">
        <f t="shared" si="124"/>
        <v>706</v>
      </c>
      <c r="Z650" s="904">
        <f t="shared" si="124"/>
        <v>713</v>
      </c>
      <c r="AA650" s="904">
        <f t="shared" si="124"/>
        <v>915</v>
      </c>
      <c r="AB650" s="24">
        <v>238</v>
      </c>
    </row>
    <row r="651" spans="1:28" x14ac:dyDescent="0.25">
      <c r="A651" s="903"/>
      <c r="B651" t="s">
        <v>1364</v>
      </c>
      <c r="C651" s="906" t="s">
        <v>1365</v>
      </c>
      <c r="D651" s="25">
        <v>0.5</v>
      </c>
      <c r="E651" s="903">
        <v>3</v>
      </c>
      <c r="F651" s="903">
        <v>2</v>
      </c>
      <c r="G651" s="903" t="s">
        <v>1366</v>
      </c>
      <c r="H651" s="904">
        <f t="shared" ref="H651:H714" si="125">FIND("-",$G651)</f>
        <v>5</v>
      </c>
      <c r="I651" s="904">
        <f t="shared" ref="I651:I714" si="126">LEN($G651)</f>
        <v>10</v>
      </c>
      <c r="J651" s="21">
        <f t="shared" ref="J651:J714" si="127">VALUE(LEFT($G651,H651-1))</f>
        <v>9000</v>
      </c>
      <c r="K651" s="21">
        <f t="shared" ref="K651:K714" si="128">IF(K$8*M651&gt;J651,K$8*M651,J651)</f>
        <v>10812</v>
      </c>
      <c r="L651" s="21">
        <f t="shared" ref="L651:L714" si="129">AVERAGE(J651,M651)</f>
        <v>20400</v>
      </c>
      <c r="M651" s="21">
        <f t="shared" ref="M651:M714" si="130">VALUE(RIGHT($G651,I651-H651))</f>
        <v>31800</v>
      </c>
      <c r="N651" s="904">
        <f t="shared" ref="N651:N714" si="131">RANK($L651,$L$11:$L$973,1)</f>
        <v>355</v>
      </c>
      <c r="O651" s="21"/>
      <c r="P651" s="22" t="s">
        <v>2</v>
      </c>
      <c r="Q651" s="22">
        <v>0.78</v>
      </c>
      <c r="R651" s="904" t="s">
        <v>15</v>
      </c>
      <c r="S651" s="904" t="str">
        <f t="shared" ref="S651:S714" si="132">IF(AND(ISERROR(FIND("Insert",B651&amp;C651)),ISERROR(FIND("insert",B651&amp;C651))),"Stove","Insert")</f>
        <v>Stove</v>
      </c>
      <c r="T651" s="23">
        <f t="shared" ref="T651:T714" si="133">$D651*10^6/(M651*453.6)</f>
        <v>3.46632946213659E-2</v>
      </c>
      <c r="U651" s="23">
        <f t="shared" ref="U651:V714" si="134">$D651*10^6/(K651*453.6)</f>
        <v>0.10195086653342911</v>
      </c>
      <c r="V651" s="23">
        <f t="shared" si="134"/>
        <v>5.4033959262717431E-2</v>
      </c>
      <c r="W651" s="23">
        <f t="shared" ref="W651:W714" si="135">$D651*10^6/(J651*453.6)</f>
        <v>0.12247697432882618</v>
      </c>
      <c r="X651" s="904">
        <f t="shared" ref="X651:AA714" si="136">RANK(T651,T$11:T$973,1)</f>
        <v>4</v>
      </c>
      <c r="Y651" s="904">
        <f t="shared" si="136"/>
        <v>4</v>
      </c>
      <c r="Z651" s="904">
        <f t="shared" si="136"/>
        <v>4</v>
      </c>
      <c r="AA651" s="904">
        <f t="shared" si="136"/>
        <v>3</v>
      </c>
      <c r="AB651" s="24">
        <v>3</v>
      </c>
    </row>
    <row r="652" spans="1:28" x14ac:dyDescent="0.25">
      <c r="A652" s="903" t="s">
        <v>77</v>
      </c>
      <c r="B652" t="s">
        <v>1367</v>
      </c>
      <c r="C652" s="906" t="s">
        <v>1368</v>
      </c>
      <c r="D652" s="25">
        <v>4.8</v>
      </c>
      <c r="E652" s="903">
        <v>740</v>
      </c>
      <c r="F652" s="903">
        <v>403</v>
      </c>
      <c r="G652" s="903" t="s">
        <v>1369</v>
      </c>
      <c r="H652" s="904">
        <f t="shared" si="125"/>
        <v>6</v>
      </c>
      <c r="I652" s="904">
        <f t="shared" si="126"/>
        <v>11</v>
      </c>
      <c r="J652" s="21">
        <f t="shared" si="127"/>
        <v>11600</v>
      </c>
      <c r="K652" s="21">
        <f t="shared" si="128"/>
        <v>14858.000000000002</v>
      </c>
      <c r="L652" s="21">
        <f t="shared" si="129"/>
        <v>27650</v>
      </c>
      <c r="M652" s="21">
        <f t="shared" si="130"/>
        <v>43700</v>
      </c>
      <c r="N652" s="904">
        <f t="shared" si="131"/>
        <v>818</v>
      </c>
      <c r="O652" s="21"/>
      <c r="P652" s="22" t="s">
        <v>2</v>
      </c>
      <c r="Q652" s="22">
        <v>0.63</v>
      </c>
      <c r="R652" s="904" t="s">
        <v>42</v>
      </c>
      <c r="S652" s="904" t="str">
        <f t="shared" si="132"/>
        <v>Stove</v>
      </c>
      <c r="T652" s="23">
        <f t="shared" si="133"/>
        <v>0.24215127189955565</v>
      </c>
      <c r="U652" s="23">
        <f t="shared" si="134"/>
        <v>0.71220962323398718</v>
      </c>
      <c r="V652" s="23">
        <f t="shared" si="134"/>
        <v>0.38271286010888184</v>
      </c>
      <c r="W652" s="23">
        <f t="shared" si="135"/>
        <v>0.91224229155263636</v>
      </c>
      <c r="X652" s="904">
        <f t="shared" si="136"/>
        <v>537</v>
      </c>
      <c r="Y652" s="904">
        <f t="shared" si="136"/>
        <v>583</v>
      </c>
      <c r="Z652" s="904">
        <f t="shared" si="136"/>
        <v>567</v>
      </c>
      <c r="AA652" s="904">
        <f t="shared" si="136"/>
        <v>653</v>
      </c>
      <c r="AB652" s="24">
        <v>291</v>
      </c>
    </row>
    <row r="653" spans="1:28" x14ac:dyDescent="0.25">
      <c r="A653" s="903" t="s">
        <v>77</v>
      </c>
      <c r="B653" t="s">
        <v>1367</v>
      </c>
      <c r="C653" s="906" t="s">
        <v>1370</v>
      </c>
      <c r="D653" s="25">
        <v>5.0999999999999996</v>
      </c>
      <c r="E653" s="903">
        <v>766</v>
      </c>
      <c r="F653" s="903">
        <v>425</v>
      </c>
      <c r="G653" s="903" t="s">
        <v>513</v>
      </c>
      <c r="H653" s="904">
        <f t="shared" si="125"/>
        <v>6</v>
      </c>
      <c r="I653" s="904">
        <f t="shared" si="126"/>
        <v>11</v>
      </c>
      <c r="J653" s="21">
        <f t="shared" si="127"/>
        <v>11500</v>
      </c>
      <c r="K653" s="21">
        <f t="shared" si="128"/>
        <v>20060</v>
      </c>
      <c r="L653" s="21">
        <f t="shared" si="129"/>
        <v>35250</v>
      </c>
      <c r="M653" s="21">
        <f t="shared" si="130"/>
        <v>59000</v>
      </c>
      <c r="N653" s="904">
        <f t="shared" si="131"/>
        <v>941</v>
      </c>
      <c r="O653" s="21"/>
      <c r="P653" s="22" t="s">
        <v>2</v>
      </c>
      <c r="Q653" s="22">
        <v>0.63</v>
      </c>
      <c r="R653" s="904" t="s">
        <v>42</v>
      </c>
      <c r="S653" s="904" t="str">
        <f t="shared" si="132"/>
        <v>Stove</v>
      </c>
      <c r="T653" s="23">
        <f t="shared" si="133"/>
        <v>0.19056586853197022</v>
      </c>
      <c r="U653" s="23">
        <f t="shared" si="134"/>
        <v>0.56048784862344181</v>
      </c>
      <c r="V653" s="23">
        <f t="shared" si="134"/>
        <v>0.31896131186911331</v>
      </c>
      <c r="W653" s="23">
        <f t="shared" si="135"/>
        <v>0.97768576029445597</v>
      </c>
      <c r="X653" s="904">
        <f t="shared" si="136"/>
        <v>349</v>
      </c>
      <c r="Y653" s="904">
        <f t="shared" si="136"/>
        <v>378</v>
      </c>
      <c r="Z653" s="904">
        <f t="shared" si="136"/>
        <v>409</v>
      </c>
      <c r="AA653" s="904">
        <f t="shared" si="136"/>
        <v>705</v>
      </c>
      <c r="AB653" s="24">
        <v>158</v>
      </c>
    </row>
    <row r="654" spans="1:28" x14ac:dyDescent="0.25">
      <c r="A654" s="903" t="s">
        <v>77</v>
      </c>
      <c r="B654" t="s">
        <v>1371</v>
      </c>
      <c r="C654" s="906" t="s">
        <v>1372</v>
      </c>
      <c r="D654" s="25">
        <v>4</v>
      </c>
      <c r="E654" s="903">
        <v>571</v>
      </c>
      <c r="F654" s="903">
        <v>270</v>
      </c>
      <c r="G654" s="903" t="s">
        <v>695</v>
      </c>
      <c r="H654" s="904">
        <f t="shared" si="125"/>
        <v>6</v>
      </c>
      <c r="I654" s="904">
        <f t="shared" si="126"/>
        <v>11</v>
      </c>
      <c r="J654" s="21">
        <f t="shared" si="127"/>
        <v>11700</v>
      </c>
      <c r="K654" s="21">
        <f t="shared" si="128"/>
        <v>17170</v>
      </c>
      <c r="L654" s="21">
        <f t="shared" si="129"/>
        <v>31100</v>
      </c>
      <c r="M654" s="21">
        <f t="shared" si="130"/>
        <v>50500</v>
      </c>
      <c r="N654" s="904">
        <f t="shared" si="131"/>
        <v>891</v>
      </c>
      <c r="O654" s="21"/>
      <c r="P654" s="22" t="s">
        <v>2</v>
      </c>
      <c r="Q654" s="22">
        <v>0.63</v>
      </c>
      <c r="R654" s="904" t="s">
        <v>42</v>
      </c>
      <c r="S654" s="904" t="str">
        <f t="shared" si="132"/>
        <v>Stove</v>
      </c>
      <c r="T654" s="23">
        <f t="shared" si="133"/>
        <v>0.1746206366668413</v>
      </c>
      <c r="U654" s="23">
        <f t="shared" si="134"/>
        <v>0.51359010784365089</v>
      </c>
      <c r="V654" s="23">
        <f t="shared" si="134"/>
        <v>0.28354797915355257</v>
      </c>
      <c r="W654" s="23">
        <f t="shared" si="135"/>
        <v>0.75370445740816117</v>
      </c>
      <c r="X654" s="904">
        <f t="shared" si="136"/>
        <v>287</v>
      </c>
      <c r="Y654" s="904">
        <f t="shared" si="136"/>
        <v>306</v>
      </c>
      <c r="Z654" s="904">
        <f t="shared" si="136"/>
        <v>312</v>
      </c>
      <c r="AA654" s="904">
        <f t="shared" si="136"/>
        <v>472</v>
      </c>
      <c r="AB654" s="24">
        <v>110</v>
      </c>
    </row>
    <row r="655" spans="1:28" x14ac:dyDescent="0.25">
      <c r="A655" s="903"/>
      <c r="B655" t="s">
        <v>1373</v>
      </c>
      <c r="C655" s="906" t="s">
        <v>1374</v>
      </c>
      <c r="D655" s="25">
        <v>6.6</v>
      </c>
      <c r="E655" s="903">
        <v>884</v>
      </c>
      <c r="F655" s="903">
        <v>529</v>
      </c>
      <c r="G655" s="903" t="s">
        <v>1375</v>
      </c>
      <c r="H655" s="904">
        <f t="shared" si="125"/>
        <v>6</v>
      </c>
      <c r="I655" s="904">
        <f t="shared" si="126"/>
        <v>11</v>
      </c>
      <c r="J655" s="21">
        <f t="shared" si="127"/>
        <v>12000</v>
      </c>
      <c r="K655" s="21">
        <f t="shared" si="128"/>
        <v>17986</v>
      </c>
      <c r="L655" s="21">
        <f t="shared" si="129"/>
        <v>32450</v>
      </c>
      <c r="M655" s="21">
        <f t="shared" si="130"/>
        <v>52900</v>
      </c>
      <c r="N655" s="904">
        <f t="shared" si="131"/>
        <v>909</v>
      </c>
      <c r="O655" s="21"/>
      <c r="P655" s="22" t="s">
        <v>2</v>
      </c>
      <c r="Q655" s="22">
        <v>0.63</v>
      </c>
      <c r="R655" s="904" t="s">
        <v>42</v>
      </c>
      <c r="S655" s="904" t="str">
        <f t="shared" si="132"/>
        <v>Stove</v>
      </c>
      <c r="T655" s="23">
        <f t="shared" si="133"/>
        <v>0.27505225992938659</v>
      </c>
      <c r="U655" s="23">
        <f t="shared" si="134"/>
        <v>0.80897723508643105</v>
      </c>
      <c r="V655" s="23">
        <f t="shared" si="134"/>
        <v>0.44839027889875349</v>
      </c>
      <c r="W655" s="23">
        <f t="shared" si="135"/>
        <v>1.2125220458553791</v>
      </c>
      <c r="X655" s="904">
        <f t="shared" si="136"/>
        <v>616</v>
      </c>
      <c r="Y655" s="904">
        <f t="shared" si="136"/>
        <v>668</v>
      </c>
      <c r="Z655" s="904">
        <f t="shared" si="136"/>
        <v>672</v>
      </c>
      <c r="AA655" s="904">
        <f t="shared" si="136"/>
        <v>824</v>
      </c>
      <c r="AB655" s="24">
        <v>359</v>
      </c>
    </row>
    <row r="656" spans="1:28" x14ac:dyDescent="0.25">
      <c r="A656" s="903"/>
      <c r="B656" t="s">
        <v>1376</v>
      </c>
      <c r="C656" s="906" t="s">
        <v>1377</v>
      </c>
      <c r="D656" s="25">
        <v>2.37</v>
      </c>
      <c r="E656" s="903">
        <v>195</v>
      </c>
      <c r="F656" s="903">
        <v>66</v>
      </c>
      <c r="G656" s="903" t="s">
        <v>1378</v>
      </c>
      <c r="H656" s="904">
        <f t="shared" si="125"/>
        <v>6</v>
      </c>
      <c r="I656" s="904">
        <f t="shared" si="126"/>
        <v>11</v>
      </c>
      <c r="J656" s="21">
        <f t="shared" si="127"/>
        <v>13119</v>
      </c>
      <c r="K656" s="21">
        <f t="shared" si="128"/>
        <v>13119</v>
      </c>
      <c r="L656" s="21">
        <f t="shared" si="129"/>
        <v>13939</v>
      </c>
      <c r="M656" s="21">
        <f t="shared" si="130"/>
        <v>14759</v>
      </c>
      <c r="N656" s="904">
        <f t="shared" si="131"/>
        <v>23</v>
      </c>
      <c r="O656" s="21"/>
      <c r="P656" s="22" t="s">
        <v>2</v>
      </c>
      <c r="Q656" s="22">
        <v>0.78</v>
      </c>
      <c r="R656" s="904" t="s">
        <v>15</v>
      </c>
      <c r="S656" s="904" t="str">
        <f t="shared" si="132"/>
        <v>Stove</v>
      </c>
      <c r="T656" s="23">
        <f t="shared" si="133"/>
        <v>0.35401231281710988</v>
      </c>
      <c r="U656" s="23">
        <f t="shared" si="134"/>
        <v>0.39826722500706796</v>
      </c>
      <c r="V656" s="23">
        <f t="shared" si="134"/>
        <v>0.37483806046830653</v>
      </c>
      <c r="W656" s="23">
        <f t="shared" si="135"/>
        <v>0.39826722500706796</v>
      </c>
      <c r="X656" s="904">
        <f t="shared" si="136"/>
        <v>769</v>
      </c>
      <c r="Y656" s="904">
        <f t="shared" si="136"/>
        <v>190</v>
      </c>
      <c r="Z656" s="904">
        <f t="shared" si="136"/>
        <v>558</v>
      </c>
      <c r="AA656" s="904">
        <f t="shared" si="136"/>
        <v>112</v>
      </c>
      <c r="AB656" s="24">
        <v>62</v>
      </c>
    </row>
    <row r="657" spans="1:28" x14ac:dyDescent="0.25">
      <c r="A657" s="903"/>
      <c r="B657" t="s">
        <v>1379</v>
      </c>
      <c r="C657" s="906" t="s">
        <v>1380</v>
      </c>
      <c r="D657" s="25">
        <v>2.1</v>
      </c>
      <c r="E657" s="903">
        <v>145</v>
      </c>
      <c r="F657" s="903">
        <v>37</v>
      </c>
      <c r="G657" s="903" t="s">
        <v>1381</v>
      </c>
      <c r="H657" s="904">
        <f t="shared" si="125"/>
        <v>6</v>
      </c>
      <c r="I657" s="904">
        <f t="shared" si="126"/>
        <v>11</v>
      </c>
      <c r="J657" s="21">
        <f t="shared" si="127"/>
        <v>12000</v>
      </c>
      <c r="K657" s="21">
        <f t="shared" si="128"/>
        <v>12000</v>
      </c>
      <c r="L657" s="21">
        <f t="shared" si="129"/>
        <v>19350</v>
      </c>
      <c r="M657" s="21">
        <f t="shared" si="130"/>
        <v>26700</v>
      </c>
      <c r="N657" s="904">
        <f t="shared" si="131"/>
        <v>265</v>
      </c>
      <c r="O657" s="21"/>
      <c r="P657" s="22" t="s">
        <v>2</v>
      </c>
      <c r="Q657" s="22">
        <v>0.63</v>
      </c>
      <c r="R657" s="904" t="s">
        <v>42</v>
      </c>
      <c r="S657" s="904" t="str">
        <f t="shared" si="132"/>
        <v>Stove</v>
      </c>
      <c r="T657" s="23">
        <f t="shared" si="133"/>
        <v>0.17339436815092246</v>
      </c>
      <c r="U657" s="23">
        <f t="shared" si="134"/>
        <v>0.38580246913580246</v>
      </c>
      <c r="V657" s="23">
        <f t="shared" si="134"/>
        <v>0.23925734520049766</v>
      </c>
      <c r="W657" s="23">
        <f t="shared" si="135"/>
        <v>0.38580246913580246</v>
      </c>
      <c r="X657" s="904">
        <f t="shared" si="136"/>
        <v>283</v>
      </c>
      <c r="Y657" s="904">
        <f t="shared" si="136"/>
        <v>180</v>
      </c>
      <c r="Z657" s="904">
        <f t="shared" si="136"/>
        <v>224</v>
      </c>
      <c r="AA657" s="904">
        <f t="shared" si="136"/>
        <v>95</v>
      </c>
      <c r="AB657" s="24">
        <v>52</v>
      </c>
    </row>
    <row r="658" spans="1:28" x14ac:dyDescent="0.25">
      <c r="A658" s="903"/>
      <c r="B658" t="s">
        <v>1379</v>
      </c>
      <c r="C658" s="906" t="s">
        <v>1382</v>
      </c>
      <c r="D658" s="25">
        <v>4.3</v>
      </c>
      <c r="E658" s="903">
        <v>635</v>
      </c>
      <c r="F658" s="903">
        <v>318</v>
      </c>
      <c r="G658" s="903" t="s">
        <v>1383</v>
      </c>
      <c r="H658" s="904">
        <f t="shared" si="125"/>
        <v>6</v>
      </c>
      <c r="I658" s="904">
        <f t="shared" si="126"/>
        <v>11</v>
      </c>
      <c r="J658" s="21">
        <f t="shared" si="127"/>
        <v>11400</v>
      </c>
      <c r="K658" s="21">
        <f t="shared" si="128"/>
        <v>11400</v>
      </c>
      <c r="L658" s="21">
        <f t="shared" si="129"/>
        <v>22150</v>
      </c>
      <c r="M658" s="21">
        <f t="shared" si="130"/>
        <v>32900</v>
      </c>
      <c r="N658" s="904">
        <f t="shared" si="131"/>
        <v>489</v>
      </c>
      <c r="O658" s="21"/>
      <c r="P658" s="22" t="s">
        <v>2</v>
      </c>
      <c r="Q658" s="22">
        <v>0.63</v>
      </c>
      <c r="R658" s="904" t="s">
        <v>42</v>
      </c>
      <c r="S658" s="904" t="str">
        <f t="shared" si="132"/>
        <v>Stove</v>
      </c>
      <c r="T658" s="23">
        <f t="shared" si="133"/>
        <v>0.28813731954562755</v>
      </c>
      <c r="U658" s="23">
        <f t="shared" si="134"/>
        <v>0.83155419412729359</v>
      </c>
      <c r="V658" s="23">
        <f t="shared" si="134"/>
        <v>0.42797823083752357</v>
      </c>
      <c r="W658" s="23">
        <f t="shared" si="135"/>
        <v>0.83155419412729359</v>
      </c>
      <c r="X658" s="904">
        <f t="shared" si="136"/>
        <v>647</v>
      </c>
      <c r="Y658" s="904">
        <f t="shared" si="136"/>
        <v>696</v>
      </c>
      <c r="Z658" s="904">
        <f t="shared" si="136"/>
        <v>641</v>
      </c>
      <c r="AA658" s="904">
        <f t="shared" si="136"/>
        <v>577</v>
      </c>
      <c r="AB658" s="24">
        <v>383</v>
      </c>
    </row>
    <row r="659" spans="1:28" x14ac:dyDescent="0.25">
      <c r="A659" s="903"/>
      <c r="B659" t="s">
        <v>1384</v>
      </c>
      <c r="C659" s="906" t="s">
        <v>1385</v>
      </c>
      <c r="D659" s="25">
        <v>5.7</v>
      </c>
      <c r="E659" s="903">
        <v>824</v>
      </c>
      <c r="F659" s="903">
        <v>472</v>
      </c>
      <c r="G659" s="903" t="s">
        <v>1386</v>
      </c>
      <c r="H659" s="904">
        <f t="shared" si="125"/>
        <v>6</v>
      </c>
      <c r="I659" s="904">
        <f t="shared" si="126"/>
        <v>11</v>
      </c>
      <c r="J659" s="21">
        <f t="shared" si="127"/>
        <v>11479</v>
      </c>
      <c r="K659" s="21">
        <f t="shared" si="128"/>
        <v>11479</v>
      </c>
      <c r="L659" s="21">
        <f t="shared" si="129"/>
        <v>16554.5</v>
      </c>
      <c r="M659" s="21">
        <f t="shared" si="130"/>
        <v>21630</v>
      </c>
      <c r="N659" s="904">
        <f t="shared" si="131"/>
        <v>81</v>
      </c>
      <c r="O659" s="21"/>
      <c r="P659" s="22" t="s">
        <v>2</v>
      </c>
      <c r="Q659" s="22">
        <v>0.63</v>
      </c>
      <c r="R659" s="904" t="s">
        <v>42</v>
      </c>
      <c r="S659" s="904" t="str">
        <f t="shared" si="132"/>
        <v>Stove</v>
      </c>
      <c r="T659" s="23">
        <f t="shared" si="133"/>
        <v>0.58095874092175526</v>
      </c>
      <c r="U659" s="23">
        <f t="shared" si="134"/>
        <v>1.0947066439705171</v>
      </c>
      <c r="V659" s="23">
        <f t="shared" si="134"/>
        <v>0.75907684110891693</v>
      </c>
      <c r="W659" s="23">
        <f t="shared" si="135"/>
        <v>1.0947066439705171</v>
      </c>
      <c r="X659" s="904">
        <f t="shared" si="136"/>
        <v>929</v>
      </c>
      <c r="Y659" s="904">
        <f t="shared" si="136"/>
        <v>855</v>
      </c>
      <c r="Z659" s="904">
        <f t="shared" si="136"/>
        <v>916</v>
      </c>
      <c r="AA659" s="904">
        <f t="shared" si="136"/>
        <v>780</v>
      </c>
      <c r="AB659" s="24">
        <v>503</v>
      </c>
    </row>
    <row r="660" spans="1:28" x14ac:dyDescent="0.25">
      <c r="A660" s="903"/>
      <c r="B660" t="s">
        <v>1379</v>
      </c>
      <c r="C660" s="906" t="s">
        <v>1387</v>
      </c>
      <c r="D660" s="25">
        <v>7.2</v>
      </c>
      <c r="E660" s="903">
        <v>932</v>
      </c>
      <c r="F660" s="903">
        <v>575</v>
      </c>
      <c r="G660" s="903" t="s">
        <v>1388</v>
      </c>
      <c r="H660" s="904">
        <f t="shared" si="125"/>
        <v>6</v>
      </c>
      <c r="I660" s="904">
        <f t="shared" si="126"/>
        <v>11</v>
      </c>
      <c r="J660" s="21">
        <f t="shared" si="127"/>
        <v>11600</v>
      </c>
      <c r="K660" s="21">
        <f t="shared" si="128"/>
        <v>17442</v>
      </c>
      <c r="L660" s="21">
        <f t="shared" si="129"/>
        <v>31450</v>
      </c>
      <c r="M660" s="21">
        <f t="shared" si="130"/>
        <v>51300</v>
      </c>
      <c r="N660" s="904">
        <f t="shared" si="131"/>
        <v>898</v>
      </c>
      <c r="O660" s="21"/>
      <c r="P660" s="22" t="s">
        <v>2</v>
      </c>
      <c r="Q660" s="22">
        <v>0.63</v>
      </c>
      <c r="R660" s="904" t="s">
        <v>42</v>
      </c>
      <c r="S660" s="904" t="str">
        <f t="shared" si="132"/>
        <v>Insert</v>
      </c>
      <c r="T660" s="23">
        <f t="shared" si="133"/>
        <v>0.30941551409387669</v>
      </c>
      <c r="U660" s="23">
        <f t="shared" si="134"/>
        <v>0.9100456296878725</v>
      </c>
      <c r="V660" s="23">
        <f t="shared" si="134"/>
        <v>0.50470638705932824</v>
      </c>
      <c r="W660" s="23">
        <f t="shared" si="135"/>
        <v>1.3683634373289546</v>
      </c>
      <c r="X660" s="904">
        <f t="shared" si="136"/>
        <v>694</v>
      </c>
      <c r="Y660" s="904">
        <f t="shared" si="136"/>
        <v>752</v>
      </c>
      <c r="Z660" s="904">
        <f t="shared" si="136"/>
        <v>754</v>
      </c>
      <c r="AA660" s="904">
        <f t="shared" si="136"/>
        <v>881</v>
      </c>
      <c r="AB660" s="24">
        <v>423</v>
      </c>
    </row>
    <row r="661" spans="1:28" x14ac:dyDescent="0.25">
      <c r="A661" s="903"/>
      <c r="B661" t="s">
        <v>1384</v>
      </c>
      <c r="C661" s="906" t="s">
        <v>1389</v>
      </c>
      <c r="D661" s="25">
        <v>4.3</v>
      </c>
      <c r="E661" s="903">
        <v>635</v>
      </c>
      <c r="F661" s="903">
        <v>318</v>
      </c>
      <c r="G661" s="903" t="s">
        <v>1390</v>
      </c>
      <c r="H661" s="904">
        <f t="shared" si="125"/>
        <v>6</v>
      </c>
      <c r="I661" s="904">
        <f t="shared" si="126"/>
        <v>11</v>
      </c>
      <c r="J661" s="21">
        <f t="shared" si="127"/>
        <v>11431</v>
      </c>
      <c r="K661" s="21">
        <f t="shared" si="128"/>
        <v>11431</v>
      </c>
      <c r="L661" s="21">
        <f t="shared" si="129"/>
        <v>16996</v>
      </c>
      <c r="M661" s="21">
        <f t="shared" si="130"/>
        <v>22561</v>
      </c>
      <c r="N661" s="904">
        <f t="shared" si="131"/>
        <v>91</v>
      </c>
      <c r="O661" s="21"/>
      <c r="P661" s="22" t="s">
        <v>2</v>
      </c>
      <c r="Q661" s="22">
        <v>0.63</v>
      </c>
      <c r="R661" s="904" t="s">
        <v>42</v>
      </c>
      <c r="S661" s="904" t="str">
        <f t="shared" si="132"/>
        <v>Stove</v>
      </c>
      <c r="T661" s="23">
        <f t="shared" si="133"/>
        <v>0.4201816325983399</v>
      </c>
      <c r="U661" s="23">
        <f t="shared" si="134"/>
        <v>0.82929908258692553</v>
      </c>
      <c r="V661" s="23">
        <f t="shared" si="134"/>
        <v>0.55776169763774686</v>
      </c>
      <c r="W661" s="23">
        <f t="shared" si="135"/>
        <v>0.82929908258692553</v>
      </c>
      <c r="X661" s="904">
        <f t="shared" si="136"/>
        <v>846</v>
      </c>
      <c r="Y661" s="904">
        <f t="shared" si="136"/>
        <v>695</v>
      </c>
      <c r="Z661" s="904">
        <f t="shared" si="136"/>
        <v>809</v>
      </c>
      <c r="AA661" s="904">
        <f t="shared" si="136"/>
        <v>574</v>
      </c>
      <c r="AB661" s="24">
        <v>382</v>
      </c>
    </row>
    <row r="662" spans="1:28" x14ac:dyDescent="0.25">
      <c r="A662" s="903"/>
      <c r="B662" t="s">
        <v>1391</v>
      </c>
      <c r="C662" s="906" t="s">
        <v>1392</v>
      </c>
      <c r="D662" s="25">
        <v>4.4000000000000004</v>
      </c>
      <c r="E662" s="903">
        <v>660</v>
      </c>
      <c r="F662" s="903">
        <v>81</v>
      </c>
      <c r="G662" s="903" t="s">
        <v>1393</v>
      </c>
      <c r="H662" s="904">
        <f t="shared" si="125"/>
        <v>5</v>
      </c>
      <c r="I662" s="904">
        <f t="shared" si="126"/>
        <v>10</v>
      </c>
      <c r="J662" s="21">
        <f t="shared" si="127"/>
        <v>8500</v>
      </c>
      <c r="K662" s="21">
        <f t="shared" si="128"/>
        <v>14960.000000000002</v>
      </c>
      <c r="L662" s="21">
        <f t="shared" si="129"/>
        <v>26250</v>
      </c>
      <c r="M662" s="21">
        <f t="shared" si="130"/>
        <v>44000</v>
      </c>
      <c r="N662" s="904">
        <f t="shared" si="131"/>
        <v>757</v>
      </c>
      <c r="O662" s="21"/>
      <c r="P662" s="22">
        <v>0.85</v>
      </c>
      <c r="Q662" s="22">
        <v>0.78</v>
      </c>
      <c r="R662" s="904" t="s">
        <v>15</v>
      </c>
      <c r="S662" s="904" t="str">
        <f t="shared" si="132"/>
        <v>Stove</v>
      </c>
      <c r="T662" s="23">
        <f t="shared" si="133"/>
        <v>0.22045855379188711</v>
      </c>
      <c r="U662" s="23">
        <f t="shared" si="134"/>
        <v>0.64840751115260908</v>
      </c>
      <c r="V662" s="23">
        <f t="shared" si="134"/>
        <v>0.369530528260687</v>
      </c>
      <c r="W662" s="23">
        <f t="shared" si="135"/>
        <v>1.1411972196285922</v>
      </c>
      <c r="X662" s="904">
        <f t="shared" si="136"/>
        <v>461</v>
      </c>
      <c r="Y662" s="904">
        <f t="shared" si="136"/>
        <v>497</v>
      </c>
      <c r="Z662" s="904">
        <f t="shared" si="136"/>
        <v>534</v>
      </c>
      <c r="AA662" s="904">
        <f t="shared" si="136"/>
        <v>804</v>
      </c>
      <c r="AB662" s="24">
        <v>75</v>
      </c>
    </row>
    <row r="663" spans="1:28" x14ac:dyDescent="0.25">
      <c r="A663" s="903"/>
      <c r="B663" t="s">
        <v>1391</v>
      </c>
      <c r="C663" s="906" t="s">
        <v>1394</v>
      </c>
      <c r="D663" s="25">
        <v>3.87</v>
      </c>
      <c r="E663" s="903">
        <v>545</v>
      </c>
      <c r="F663" s="903">
        <v>77</v>
      </c>
      <c r="G663" s="903" t="s">
        <v>1393</v>
      </c>
      <c r="H663" s="904">
        <f t="shared" si="125"/>
        <v>5</v>
      </c>
      <c r="I663" s="904">
        <f t="shared" si="126"/>
        <v>10</v>
      </c>
      <c r="J663" s="21">
        <f t="shared" si="127"/>
        <v>8500</v>
      </c>
      <c r="K663" s="21">
        <f t="shared" si="128"/>
        <v>14960.000000000002</v>
      </c>
      <c r="L663" s="21">
        <f t="shared" si="129"/>
        <v>26250</v>
      </c>
      <c r="M663" s="21">
        <f t="shared" si="130"/>
        <v>44000</v>
      </c>
      <c r="N663" s="904">
        <f t="shared" si="131"/>
        <v>757</v>
      </c>
      <c r="O663" s="21"/>
      <c r="P663" s="22">
        <v>0.91</v>
      </c>
      <c r="Q663" s="22">
        <v>0.78</v>
      </c>
      <c r="R663" s="904" t="s">
        <v>15</v>
      </c>
      <c r="S663" s="904" t="str">
        <f t="shared" si="132"/>
        <v>Stove</v>
      </c>
      <c r="T663" s="23">
        <f t="shared" si="133"/>
        <v>0.19390331890331891</v>
      </c>
      <c r="U663" s="23">
        <f t="shared" si="134"/>
        <v>0.57030387912740843</v>
      </c>
      <c r="V663" s="23">
        <f t="shared" si="134"/>
        <v>0.3250188964474679</v>
      </c>
      <c r="W663" s="23">
        <f t="shared" si="135"/>
        <v>1.003734827264239</v>
      </c>
      <c r="X663" s="904">
        <f t="shared" si="136"/>
        <v>362</v>
      </c>
      <c r="Y663" s="904">
        <f t="shared" si="136"/>
        <v>390</v>
      </c>
      <c r="Z663" s="904">
        <f t="shared" si="136"/>
        <v>421</v>
      </c>
      <c r="AA663" s="904">
        <f t="shared" si="136"/>
        <v>718</v>
      </c>
      <c r="AB663" s="24">
        <v>72</v>
      </c>
    </row>
    <row r="664" spans="1:28" x14ac:dyDescent="0.25">
      <c r="A664" s="903"/>
      <c r="B664" t="s">
        <v>1391</v>
      </c>
      <c r="C664" s="906" t="s">
        <v>1395</v>
      </c>
      <c r="D664" s="25">
        <v>1.45</v>
      </c>
      <c r="E664" s="903">
        <v>77</v>
      </c>
      <c r="F664" s="903">
        <v>33</v>
      </c>
      <c r="G664" s="903" t="s">
        <v>1396</v>
      </c>
      <c r="H664" s="904">
        <f t="shared" si="125"/>
        <v>5</v>
      </c>
      <c r="I664" s="904">
        <f t="shared" si="126"/>
        <v>10</v>
      </c>
      <c r="J664" s="21">
        <f t="shared" si="127"/>
        <v>8500</v>
      </c>
      <c r="K664" s="21">
        <f t="shared" si="128"/>
        <v>11900</v>
      </c>
      <c r="L664" s="21">
        <f t="shared" si="129"/>
        <v>21750</v>
      </c>
      <c r="M664" s="21">
        <f t="shared" si="130"/>
        <v>35000</v>
      </c>
      <c r="N664" s="904">
        <f t="shared" si="131"/>
        <v>449</v>
      </c>
      <c r="O664" s="21"/>
      <c r="P664" s="22">
        <v>0.85</v>
      </c>
      <c r="Q664" s="22">
        <v>0.78</v>
      </c>
      <c r="R664" s="904" t="s">
        <v>15</v>
      </c>
      <c r="S664" s="904" t="str">
        <f t="shared" si="132"/>
        <v>Stove</v>
      </c>
      <c r="T664" s="23">
        <f t="shared" si="133"/>
        <v>9.133282942806753E-2</v>
      </c>
      <c r="U664" s="23">
        <f t="shared" si="134"/>
        <v>0.26862596890608093</v>
      </c>
      <c r="V664" s="23">
        <f t="shared" si="134"/>
        <v>0.14697236919459142</v>
      </c>
      <c r="W664" s="23">
        <f t="shared" si="135"/>
        <v>0.37607635646851334</v>
      </c>
      <c r="X664" s="904">
        <f t="shared" si="136"/>
        <v>68</v>
      </c>
      <c r="Y664" s="904">
        <f t="shared" si="136"/>
        <v>77</v>
      </c>
      <c r="Z664" s="904">
        <f t="shared" si="136"/>
        <v>71</v>
      </c>
      <c r="AA664" s="904">
        <f t="shared" si="136"/>
        <v>93</v>
      </c>
      <c r="AB664" s="24">
        <v>31</v>
      </c>
    </row>
    <row r="665" spans="1:28" x14ac:dyDescent="0.25">
      <c r="A665" s="903"/>
      <c r="B665" t="s">
        <v>1391</v>
      </c>
      <c r="C665" s="906" t="s">
        <v>1397</v>
      </c>
      <c r="D665" s="25">
        <v>1.65</v>
      </c>
      <c r="E665" s="903">
        <v>101</v>
      </c>
      <c r="F665" s="903">
        <v>41</v>
      </c>
      <c r="G665" s="903" t="s">
        <v>1398</v>
      </c>
      <c r="H665" s="904">
        <f t="shared" si="125"/>
        <v>5</v>
      </c>
      <c r="I665" s="904">
        <f t="shared" si="126"/>
        <v>10</v>
      </c>
      <c r="J665" s="21">
        <f t="shared" si="127"/>
        <v>8500</v>
      </c>
      <c r="K665" s="21">
        <f t="shared" si="128"/>
        <v>17000</v>
      </c>
      <c r="L665" s="21">
        <f t="shared" si="129"/>
        <v>29250</v>
      </c>
      <c r="M665" s="21">
        <f t="shared" si="130"/>
        <v>50000</v>
      </c>
      <c r="N665" s="904">
        <f t="shared" si="131"/>
        <v>860</v>
      </c>
      <c r="O665" s="21"/>
      <c r="P665" s="22">
        <v>0.84</v>
      </c>
      <c r="Q665" s="22">
        <v>0.78</v>
      </c>
      <c r="R665" s="904" t="s">
        <v>15</v>
      </c>
      <c r="S665" s="904" t="str">
        <f t="shared" si="132"/>
        <v>Stove</v>
      </c>
      <c r="T665" s="23">
        <f t="shared" si="133"/>
        <v>7.2751322751322747E-2</v>
      </c>
      <c r="U665" s="23">
        <f t="shared" si="134"/>
        <v>0.21397447868036104</v>
      </c>
      <c r="V665" s="23">
        <f t="shared" si="134"/>
        <v>0.12436123547234658</v>
      </c>
      <c r="W665" s="23">
        <f t="shared" si="135"/>
        <v>0.42794895736072208</v>
      </c>
      <c r="X665" s="904">
        <f t="shared" si="136"/>
        <v>47</v>
      </c>
      <c r="Y665" s="904">
        <f t="shared" si="136"/>
        <v>56</v>
      </c>
      <c r="Z665" s="904">
        <f t="shared" si="136"/>
        <v>53</v>
      </c>
      <c r="AA665" s="904">
        <f t="shared" si="136"/>
        <v>135</v>
      </c>
      <c r="AB665" s="24">
        <v>27</v>
      </c>
    </row>
    <row r="666" spans="1:28" x14ac:dyDescent="0.25">
      <c r="A666" s="903" t="s">
        <v>77</v>
      </c>
      <c r="B666" t="s">
        <v>1399</v>
      </c>
      <c r="C666" s="906" t="s">
        <v>1400</v>
      </c>
      <c r="D666" s="25">
        <v>7</v>
      </c>
      <c r="E666" s="903">
        <v>907</v>
      </c>
      <c r="F666" s="903">
        <v>550</v>
      </c>
      <c r="G666" s="903" t="s">
        <v>1401</v>
      </c>
      <c r="H666" s="904">
        <f t="shared" si="125"/>
        <v>6</v>
      </c>
      <c r="I666" s="904">
        <f t="shared" si="126"/>
        <v>11</v>
      </c>
      <c r="J666" s="21">
        <f t="shared" si="127"/>
        <v>11700</v>
      </c>
      <c r="K666" s="21">
        <f t="shared" si="128"/>
        <v>11700</v>
      </c>
      <c r="L666" s="21">
        <f t="shared" si="129"/>
        <v>19600</v>
      </c>
      <c r="M666" s="21">
        <f t="shared" si="130"/>
        <v>27500</v>
      </c>
      <c r="N666" s="904">
        <f t="shared" si="131"/>
        <v>285</v>
      </c>
      <c r="O666" s="21"/>
      <c r="P666" s="22" t="s">
        <v>2</v>
      </c>
      <c r="Q666" s="22">
        <v>0.63</v>
      </c>
      <c r="R666" s="904" t="s">
        <v>42</v>
      </c>
      <c r="S666" s="904" t="str">
        <f t="shared" si="132"/>
        <v>Stove</v>
      </c>
      <c r="T666" s="23">
        <f t="shared" si="133"/>
        <v>0.5611672278338945</v>
      </c>
      <c r="U666" s="23">
        <f t="shared" si="134"/>
        <v>1.3189828004642818</v>
      </c>
      <c r="V666" s="23">
        <f t="shared" si="134"/>
        <v>0.78735197782816835</v>
      </c>
      <c r="W666" s="23">
        <f t="shared" si="135"/>
        <v>1.3189828004642818</v>
      </c>
      <c r="X666" s="904">
        <f t="shared" si="136"/>
        <v>925</v>
      </c>
      <c r="Y666" s="904">
        <f t="shared" si="136"/>
        <v>907</v>
      </c>
      <c r="Z666" s="904">
        <f t="shared" si="136"/>
        <v>924</v>
      </c>
      <c r="AA666" s="904">
        <f t="shared" si="136"/>
        <v>861</v>
      </c>
      <c r="AB666" s="24">
        <v>552</v>
      </c>
    </row>
    <row r="667" spans="1:28" x14ac:dyDescent="0.25">
      <c r="A667" s="903" t="s">
        <v>77</v>
      </c>
      <c r="B667" t="s">
        <v>1402</v>
      </c>
      <c r="C667" s="906" t="s">
        <v>1403</v>
      </c>
      <c r="D667" s="25">
        <v>5.5</v>
      </c>
      <c r="E667" s="903">
        <v>808</v>
      </c>
      <c r="F667" s="903">
        <v>458</v>
      </c>
      <c r="G667" s="903" t="s">
        <v>1404</v>
      </c>
      <c r="H667" s="904">
        <f t="shared" si="125"/>
        <v>6</v>
      </c>
      <c r="I667" s="904">
        <f t="shared" si="126"/>
        <v>11</v>
      </c>
      <c r="J667" s="21">
        <f t="shared" si="127"/>
        <v>13600</v>
      </c>
      <c r="K667" s="21">
        <f t="shared" si="128"/>
        <v>13600</v>
      </c>
      <c r="L667" s="21">
        <f t="shared" si="129"/>
        <v>17600</v>
      </c>
      <c r="M667" s="21">
        <f t="shared" si="130"/>
        <v>21600</v>
      </c>
      <c r="N667" s="904">
        <f t="shared" si="131"/>
        <v>140</v>
      </c>
      <c r="O667" s="21"/>
      <c r="P667" s="22" t="s">
        <v>2</v>
      </c>
      <c r="Q667" s="22">
        <v>0.63</v>
      </c>
      <c r="R667" s="904" t="s">
        <v>42</v>
      </c>
      <c r="S667" s="904" t="str">
        <f t="shared" si="132"/>
        <v>Stove</v>
      </c>
      <c r="T667" s="23">
        <f t="shared" si="133"/>
        <v>0.56135279900711998</v>
      </c>
      <c r="U667" s="23">
        <f t="shared" si="134"/>
        <v>0.89156032783483763</v>
      </c>
      <c r="V667" s="23">
        <f t="shared" si="134"/>
        <v>0.68893298059964725</v>
      </c>
      <c r="W667" s="23">
        <f t="shared" si="135"/>
        <v>0.89156032783483763</v>
      </c>
      <c r="X667" s="904">
        <f t="shared" si="136"/>
        <v>926</v>
      </c>
      <c r="Y667" s="904">
        <f t="shared" si="136"/>
        <v>737</v>
      </c>
      <c r="Z667" s="904">
        <f t="shared" si="136"/>
        <v>878</v>
      </c>
      <c r="AA667" s="904">
        <f t="shared" si="136"/>
        <v>642</v>
      </c>
      <c r="AB667" s="24">
        <v>415</v>
      </c>
    </row>
    <row r="668" spans="1:28" x14ac:dyDescent="0.25">
      <c r="A668" s="903" t="s">
        <v>77</v>
      </c>
      <c r="B668" t="s">
        <v>1405</v>
      </c>
      <c r="C668" s="906">
        <v>2800</v>
      </c>
      <c r="D668" s="25">
        <v>3.4</v>
      </c>
      <c r="E668" s="903">
        <v>415</v>
      </c>
      <c r="F668" s="903">
        <v>168</v>
      </c>
      <c r="G668" s="903" t="s">
        <v>1406</v>
      </c>
      <c r="H668" s="904">
        <f t="shared" si="125"/>
        <v>6</v>
      </c>
      <c r="I668" s="904">
        <f t="shared" si="126"/>
        <v>11</v>
      </c>
      <c r="J668" s="21">
        <f t="shared" si="127"/>
        <v>11900</v>
      </c>
      <c r="K668" s="21">
        <f t="shared" si="128"/>
        <v>11900</v>
      </c>
      <c r="L668" s="21">
        <f t="shared" si="129"/>
        <v>17800</v>
      </c>
      <c r="M668" s="21">
        <f t="shared" si="130"/>
        <v>23700</v>
      </c>
      <c r="N668" s="904">
        <f t="shared" si="131"/>
        <v>146</v>
      </c>
      <c r="O668" s="21"/>
      <c r="P668" s="22" t="s">
        <v>2</v>
      </c>
      <c r="Q668" s="22">
        <v>0.63</v>
      </c>
      <c r="R668" s="904" t="s">
        <v>42</v>
      </c>
      <c r="S668" s="904" t="str">
        <f t="shared" si="132"/>
        <v>Stove</v>
      </c>
      <c r="T668" s="23">
        <f t="shared" si="133"/>
        <v>0.31626965522886763</v>
      </c>
      <c r="U668" s="23">
        <f t="shared" si="134"/>
        <v>0.62988158226253466</v>
      </c>
      <c r="V668" s="23">
        <f t="shared" si="134"/>
        <v>0.42110060836652596</v>
      </c>
      <c r="W668" s="23">
        <f t="shared" si="135"/>
        <v>0.62988158226253466</v>
      </c>
      <c r="X668" s="904">
        <f t="shared" si="136"/>
        <v>704</v>
      </c>
      <c r="Y668" s="904">
        <f t="shared" si="136"/>
        <v>469</v>
      </c>
      <c r="Z668" s="904">
        <f t="shared" si="136"/>
        <v>632</v>
      </c>
      <c r="AA668" s="904">
        <f t="shared" si="136"/>
        <v>317</v>
      </c>
      <c r="AB668" s="24">
        <v>209</v>
      </c>
    </row>
    <row r="669" spans="1:28" x14ac:dyDescent="0.25">
      <c r="A669" s="903" t="s">
        <v>77</v>
      </c>
      <c r="B669" t="s">
        <v>1405</v>
      </c>
      <c r="C669" s="906" t="s">
        <v>1407</v>
      </c>
      <c r="D669" s="25">
        <v>3.8</v>
      </c>
      <c r="E669" s="903">
        <v>518</v>
      </c>
      <c r="F669" s="903">
        <v>238</v>
      </c>
      <c r="G669" s="903" t="s">
        <v>1408</v>
      </c>
      <c r="H669" s="904">
        <f t="shared" si="125"/>
        <v>5</v>
      </c>
      <c r="I669" s="904">
        <f t="shared" si="126"/>
        <v>10</v>
      </c>
      <c r="J669" s="21">
        <f t="shared" si="127"/>
        <v>9400</v>
      </c>
      <c r="K669" s="21">
        <f t="shared" si="128"/>
        <v>9400</v>
      </c>
      <c r="L669" s="21">
        <f t="shared" si="129"/>
        <v>18450</v>
      </c>
      <c r="M669" s="21">
        <f t="shared" si="130"/>
        <v>27500</v>
      </c>
      <c r="N669" s="904">
        <f t="shared" si="131"/>
        <v>191</v>
      </c>
      <c r="O669" s="21"/>
      <c r="P669" s="22" t="s">
        <v>2</v>
      </c>
      <c r="Q669" s="22">
        <v>0.63</v>
      </c>
      <c r="R669" s="904" t="s">
        <v>42</v>
      </c>
      <c r="S669" s="904" t="str">
        <f t="shared" si="132"/>
        <v>Insert</v>
      </c>
      <c r="T669" s="23">
        <f t="shared" si="133"/>
        <v>0.30463363796697129</v>
      </c>
      <c r="U669" s="23">
        <f t="shared" si="134"/>
        <v>0.89121543022252248</v>
      </c>
      <c r="V669" s="23">
        <f t="shared" si="134"/>
        <v>0.4540609779995507</v>
      </c>
      <c r="W669" s="23">
        <f t="shared" si="135"/>
        <v>0.89121543022252248</v>
      </c>
      <c r="X669" s="904">
        <f t="shared" si="136"/>
        <v>683</v>
      </c>
      <c r="Y669" s="904">
        <f t="shared" si="136"/>
        <v>736</v>
      </c>
      <c r="Z669" s="904">
        <f t="shared" si="136"/>
        <v>679</v>
      </c>
      <c r="AA669" s="904">
        <f t="shared" si="136"/>
        <v>639</v>
      </c>
      <c r="AB669" s="24">
        <v>414</v>
      </c>
    </row>
    <row r="670" spans="1:28" x14ac:dyDescent="0.25">
      <c r="A670" s="903" t="s">
        <v>77</v>
      </c>
      <c r="B670" t="s">
        <v>1409</v>
      </c>
      <c r="C670" s="906" t="s">
        <v>1410</v>
      </c>
      <c r="D670" s="25">
        <v>2.6</v>
      </c>
      <c r="E670" s="903">
        <v>235</v>
      </c>
      <c r="F670" s="903">
        <v>66</v>
      </c>
      <c r="G670" s="903" t="s">
        <v>1411</v>
      </c>
      <c r="H670" s="904">
        <f t="shared" si="125"/>
        <v>6</v>
      </c>
      <c r="I670" s="904">
        <f t="shared" si="126"/>
        <v>11</v>
      </c>
      <c r="J670" s="21">
        <f t="shared" si="127"/>
        <v>11200</v>
      </c>
      <c r="K670" s="21">
        <f t="shared" si="128"/>
        <v>11492</v>
      </c>
      <c r="L670" s="21">
        <f t="shared" si="129"/>
        <v>22500</v>
      </c>
      <c r="M670" s="21">
        <f t="shared" si="130"/>
        <v>33800</v>
      </c>
      <c r="N670" s="904">
        <f t="shared" si="131"/>
        <v>514</v>
      </c>
      <c r="O670" s="21"/>
      <c r="P670" s="22" t="s">
        <v>2</v>
      </c>
      <c r="Q670" s="22">
        <v>0.63</v>
      </c>
      <c r="R670" s="904" t="s">
        <v>42</v>
      </c>
      <c r="S670" s="904" t="str">
        <f t="shared" si="132"/>
        <v>Stove</v>
      </c>
      <c r="T670" s="23">
        <f t="shared" si="133"/>
        <v>0.16958350291683624</v>
      </c>
      <c r="U670" s="23">
        <f t="shared" si="134"/>
        <v>0.49877500857893015</v>
      </c>
      <c r="V670" s="23">
        <f t="shared" si="134"/>
        <v>0.25475210660395847</v>
      </c>
      <c r="W670" s="23">
        <f t="shared" si="135"/>
        <v>0.51177878558830936</v>
      </c>
      <c r="X670" s="904">
        <f t="shared" si="136"/>
        <v>278</v>
      </c>
      <c r="Y670" s="904">
        <f t="shared" si="136"/>
        <v>294</v>
      </c>
      <c r="Z670" s="904">
        <f t="shared" si="136"/>
        <v>255</v>
      </c>
      <c r="AA670" s="904">
        <f t="shared" si="136"/>
        <v>207</v>
      </c>
      <c r="AB670" s="24">
        <v>101</v>
      </c>
    </row>
    <row r="671" spans="1:28" x14ac:dyDescent="0.25">
      <c r="A671" s="903" t="s">
        <v>77</v>
      </c>
      <c r="B671" t="s">
        <v>1412</v>
      </c>
      <c r="C671" s="906" t="s">
        <v>1413</v>
      </c>
      <c r="D671" s="25">
        <v>4.5</v>
      </c>
      <c r="E671" s="903">
        <v>700</v>
      </c>
      <c r="F671" s="903">
        <v>244</v>
      </c>
      <c r="G671" s="903" t="s">
        <v>1414</v>
      </c>
      <c r="H671" s="904">
        <f t="shared" si="125"/>
        <v>5</v>
      </c>
      <c r="I671" s="904">
        <f t="shared" si="126"/>
        <v>10</v>
      </c>
      <c r="J671" s="21">
        <f t="shared" si="127"/>
        <v>7000</v>
      </c>
      <c r="K671" s="21">
        <f t="shared" si="128"/>
        <v>9894</v>
      </c>
      <c r="L671" s="21">
        <f t="shared" si="129"/>
        <v>18050</v>
      </c>
      <c r="M671" s="21">
        <f t="shared" si="130"/>
        <v>29100</v>
      </c>
      <c r="N671" s="904">
        <f t="shared" si="131"/>
        <v>161</v>
      </c>
      <c r="O671" s="21"/>
      <c r="P671" s="22" t="s">
        <v>2</v>
      </c>
      <c r="Q671" s="22">
        <v>0.72</v>
      </c>
      <c r="R671" s="904" t="s">
        <v>38</v>
      </c>
      <c r="S671" s="904" t="str">
        <f t="shared" si="132"/>
        <v>Stove</v>
      </c>
      <c r="T671" s="23">
        <f t="shared" si="133"/>
        <v>0.34091528936889759</v>
      </c>
      <c r="U671" s="23">
        <f t="shared" si="134"/>
        <v>1.0026920275555811</v>
      </c>
      <c r="V671" s="23">
        <f t="shared" si="134"/>
        <v>0.54961966319307043</v>
      </c>
      <c r="W671" s="23">
        <f t="shared" si="135"/>
        <v>1.4172335600907029</v>
      </c>
      <c r="X671" s="904">
        <f t="shared" si="136"/>
        <v>755</v>
      </c>
      <c r="Y671" s="904">
        <f t="shared" si="136"/>
        <v>809</v>
      </c>
      <c r="Z671" s="904">
        <f t="shared" si="136"/>
        <v>797</v>
      </c>
      <c r="AA671" s="904">
        <f t="shared" si="136"/>
        <v>906</v>
      </c>
      <c r="AB671" s="24">
        <v>255</v>
      </c>
    </row>
    <row r="672" spans="1:28" x14ac:dyDescent="0.25">
      <c r="A672" s="903" t="s">
        <v>77</v>
      </c>
      <c r="B672" t="s">
        <v>1415</v>
      </c>
      <c r="C672" s="906" t="s">
        <v>1416</v>
      </c>
      <c r="D672" s="25">
        <v>2</v>
      </c>
      <c r="E672" s="903">
        <v>131</v>
      </c>
      <c r="F672" s="903">
        <v>46</v>
      </c>
      <c r="G672" s="903" t="s">
        <v>1417</v>
      </c>
      <c r="H672" s="904">
        <f t="shared" si="125"/>
        <v>5</v>
      </c>
      <c r="I672" s="904">
        <f t="shared" si="126"/>
        <v>10</v>
      </c>
      <c r="J672" s="21">
        <f t="shared" si="127"/>
        <v>7900</v>
      </c>
      <c r="K672" s="21">
        <f t="shared" si="128"/>
        <v>9078</v>
      </c>
      <c r="L672" s="21">
        <f t="shared" si="129"/>
        <v>17300</v>
      </c>
      <c r="M672" s="21">
        <f t="shared" si="130"/>
        <v>26700</v>
      </c>
      <c r="N672" s="904">
        <f t="shared" si="131"/>
        <v>110</v>
      </c>
      <c r="O672" s="21"/>
      <c r="P672" s="22" t="s">
        <v>2</v>
      </c>
      <c r="Q672" s="22">
        <v>0.72</v>
      </c>
      <c r="R672" s="904" t="s">
        <v>38</v>
      </c>
      <c r="S672" s="904" t="str">
        <f t="shared" si="132"/>
        <v>Stove</v>
      </c>
      <c r="T672" s="23">
        <f t="shared" si="133"/>
        <v>0.16513749347706902</v>
      </c>
      <c r="U672" s="23">
        <f t="shared" si="134"/>
        <v>0.48569851022667354</v>
      </c>
      <c r="V672" s="23">
        <f t="shared" si="134"/>
        <v>0.25486538010622789</v>
      </c>
      <c r="W672" s="23">
        <f t="shared" si="135"/>
        <v>0.55812292099211935</v>
      </c>
      <c r="X672" s="904">
        <f t="shared" si="136"/>
        <v>260</v>
      </c>
      <c r="Y672" s="904">
        <f t="shared" si="136"/>
        <v>277</v>
      </c>
      <c r="Z672" s="904">
        <f t="shared" si="136"/>
        <v>256</v>
      </c>
      <c r="AA672" s="904">
        <f t="shared" si="136"/>
        <v>254</v>
      </c>
      <c r="AB672" s="24">
        <v>114</v>
      </c>
    </row>
    <row r="673" spans="1:28" x14ac:dyDescent="0.25">
      <c r="A673" s="903" t="s">
        <v>77</v>
      </c>
      <c r="B673" t="s">
        <v>1418</v>
      </c>
      <c r="C673" s="906" t="s">
        <v>1419</v>
      </c>
      <c r="D673" s="25">
        <v>3</v>
      </c>
      <c r="E673" s="903">
        <v>322</v>
      </c>
      <c r="F673" s="903">
        <v>134</v>
      </c>
      <c r="G673" s="903" t="s">
        <v>1420</v>
      </c>
      <c r="H673" s="904">
        <f t="shared" si="125"/>
        <v>6</v>
      </c>
      <c r="I673" s="904">
        <f t="shared" si="126"/>
        <v>11</v>
      </c>
      <c r="J673" s="21">
        <f t="shared" si="127"/>
        <v>16100</v>
      </c>
      <c r="K673" s="21">
        <f t="shared" si="128"/>
        <v>16100</v>
      </c>
      <c r="L673" s="21">
        <f t="shared" si="129"/>
        <v>27950</v>
      </c>
      <c r="M673" s="21">
        <f t="shared" si="130"/>
        <v>39800</v>
      </c>
      <c r="N673" s="904">
        <f t="shared" si="131"/>
        <v>827</v>
      </c>
      <c r="O673" s="21"/>
      <c r="P673" s="22" t="s">
        <v>2</v>
      </c>
      <c r="Q673" s="22">
        <v>0.72</v>
      </c>
      <c r="R673" s="904" t="s">
        <v>38</v>
      </c>
      <c r="S673" s="904" t="str">
        <f t="shared" si="132"/>
        <v>Stove</v>
      </c>
      <c r="T673" s="23">
        <f t="shared" si="133"/>
        <v>0.16617478929036719</v>
      </c>
      <c r="U673" s="23">
        <f t="shared" si="134"/>
        <v>0.4107923362581748</v>
      </c>
      <c r="V673" s="23">
        <f t="shared" si="134"/>
        <v>0.23662814360488779</v>
      </c>
      <c r="W673" s="23">
        <f t="shared" si="135"/>
        <v>0.4107923362581748</v>
      </c>
      <c r="X673" s="904">
        <f t="shared" si="136"/>
        <v>266</v>
      </c>
      <c r="Y673" s="904">
        <f t="shared" si="136"/>
        <v>196</v>
      </c>
      <c r="Z673" s="904">
        <f t="shared" si="136"/>
        <v>216</v>
      </c>
      <c r="AA673" s="904">
        <f t="shared" si="136"/>
        <v>121</v>
      </c>
      <c r="AB673" s="24">
        <v>75</v>
      </c>
    </row>
    <row r="674" spans="1:28" x14ac:dyDescent="0.25">
      <c r="A674" s="903" t="s">
        <v>77</v>
      </c>
      <c r="B674" t="s">
        <v>1418</v>
      </c>
      <c r="C674" s="906" t="s">
        <v>1421</v>
      </c>
      <c r="D674" s="25">
        <v>2.5</v>
      </c>
      <c r="E674" s="903">
        <v>218</v>
      </c>
      <c r="F674" s="903">
        <v>89</v>
      </c>
      <c r="G674" s="903" t="s">
        <v>1422</v>
      </c>
      <c r="H674" s="904">
        <f t="shared" si="125"/>
        <v>6</v>
      </c>
      <c r="I674" s="904">
        <f t="shared" si="126"/>
        <v>11</v>
      </c>
      <c r="J674" s="21">
        <f t="shared" si="127"/>
        <v>11400</v>
      </c>
      <c r="K674" s="21">
        <f t="shared" si="128"/>
        <v>11764</v>
      </c>
      <c r="L674" s="21">
        <f t="shared" si="129"/>
        <v>23000</v>
      </c>
      <c r="M674" s="21">
        <f t="shared" si="130"/>
        <v>34600</v>
      </c>
      <c r="N674" s="904">
        <f t="shared" si="131"/>
        <v>548</v>
      </c>
      <c r="O674" s="21"/>
      <c r="P674" s="22" t="s">
        <v>2</v>
      </c>
      <c r="Q674" s="22">
        <v>0.72</v>
      </c>
      <c r="R674" s="904" t="s">
        <v>38</v>
      </c>
      <c r="S674" s="904" t="str">
        <f t="shared" si="132"/>
        <v>Stove</v>
      </c>
      <c r="T674" s="23">
        <f t="shared" si="133"/>
        <v>0.15929086256639244</v>
      </c>
      <c r="U674" s="23">
        <f t="shared" si="134"/>
        <v>0.46850253695997773</v>
      </c>
      <c r="V674" s="23">
        <f t="shared" si="134"/>
        <v>0.23962886281726861</v>
      </c>
      <c r="W674" s="23">
        <f t="shared" si="135"/>
        <v>0.4834617407716823</v>
      </c>
      <c r="X674" s="904">
        <f t="shared" si="136"/>
        <v>239</v>
      </c>
      <c r="Y674" s="904">
        <f t="shared" si="136"/>
        <v>254</v>
      </c>
      <c r="Z674" s="904">
        <f t="shared" si="136"/>
        <v>226</v>
      </c>
      <c r="AA674" s="904">
        <f t="shared" si="136"/>
        <v>176</v>
      </c>
      <c r="AB674" s="24">
        <v>100</v>
      </c>
    </row>
    <row r="675" spans="1:28" x14ac:dyDescent="0.25">
      <c r="A675" s="903" t="s">
        <v>77</v>
      </c>
      <c r="B675" t="s">
        <v>1418</v>
      </c>
      <c r="C675" s="906" t="s">
        <v>1423</v>
      </c>
      <c r="D675" s="25">
        <v>1.6</v>
      </c>
      <c r="E675" s="903">
        <v>86</v>
      </c>
      <c r="F675" s="903">
        <v>29</v>
      </c>
      <c r="G675" s="903" t="s">
        <v>1424</v>
      </c>
      <c r="H675" s="904">
        <f t="shared" si="125"/>
        <v>6</v>
      </c>
      <c r="I675" s="904">
        <f t="shared" si="126"/>
        <v>11</v>
      </c>
      <c r="J675" s="21">
        <f t="shared" si="127"/>
        <v>10300</v>
      </c>
      <c r="K675" s="21">
        <f t="shared" si="128"/>
        <v>12410</v>
      </c>
      <c r="L675" s="21">
        <f t="shared" si="129"/>
        <v>23400</v>
      </c>
      <c r="M675" s="21">
        <f t="shared" si="130"/>
        <v>36500</v>
      </c>
      <c r="N675" s="904">
        <f t="shared" si="131"/>
        <v>582</v>
      </c>
      <c r="O675" s="21"/>
      <c r="P675" s="22" t="s">
        <v>2</v>
      </c>
      <c r="Q675" s="22">
        <v>0.72</v>
      </c>
      <c r="R675" s="904" t="s">
        <v>38</v>
      </c>
      <c r="S675" s="904" t="str">
        <f t="shared" si="132"/>
        <v>Stove</v>
      </c>
      <c r="T675" s="23">
        <f t="shared" si="133"/>
        <v>9.6639366045758734E-2</v>
      </c>
      <c r="U675" s="23">
        <f t="shared" si="134"/>
        <v>0.28423342954634923</v>
      </c>
      <c r="V675" s="23">
        <f t="shared" si="134"/>
        <v>0.15074089148163222</v>
      </c>
      <c r="W675" s="23">
        <f t="shared" si="135"/>
        <v>0.34245988938545574</v>
      </c>
      <c r="X675" s="904">
        <f t="shared" si="136"/>
        <v>76</v>
      </c>
      <c r="Y675" s="904">
        <f t="shared" si="136"/>
        <v>86</v>
      </c>
      <c r="Z675" s="904">
        <f t="shared" si="136"/>
        <v>76</v>
      </c>
      <c r="AA675" s="904">
        <f t="shared" si="136"/>
        <v>80</v>
      </c>
      <c r="AB675" s="24">
        <v>37</v>
      </c>
    </row>
    <row r="676" spans="1:28" x14ac:dyDescent="0.25">
      <c r="A676" s="903" t="s">
        <v>77</v>
      </c>
      <c r="B676" t="s">
        <v>1418</v>
      </c>
      <c r="C676" s="906" t="s">
        <v>1425</v>
      </c>
      <c r="D676" s="25">
        <v>3.2</v>
      </c>
      <c r="E676" s="903">
        <v>376</v>
      </c>
      <c r="F676" s="903">
        <v>162</v>
      </c>
      <c r="G676" s="903" t="s">
        <v>1426</v>
      </c>
      <c r="H676" s="904">
        <f t="shared" si="125"/>
        <v>5</v>
      </c>
      <c r="I676" s="904">
        <f t="shared" si="126"/>
        <v>10</v>
      </c>
      <c r="J676" s="21">
        <f t="shared" si="127"/>
        <v>8100</v>
      </c>
      <c r="K676" s="21">
        <f t="shared" si="128"/>
        <v>11798</v>
      </c>
      <c r="L676" s="21">
        <f t="shared" si="129"/>
        <v>21400</v>
      </c>
      <c r="M676" s="21">
        <f t="shared" si="130"/>
        <v>34700</v>
      </c>
      <c r="N676" s="904">
        <f t="shared" si="131"/>
        <v>435</v>
      </c>
      <c r="O676" s="21"/>
      <c r="P676" s="22" t="s">
        <v>2</v>
      </c>
      <c r="Q676" s="22">
        <v>0.72</v>
      </c>
      <c r="R676" s="904" t="s">
        <v>38</v>
      </c>
      <c r="S676" s="904" t="str">
        <f t="shared" si="132"/>
        <v>Stove</v>
      </c>
      <c r="T676" s="23">
        <f t="shared" si="133"/>
        <v>0.2033047181942475</v>
      </c>
      <c r="U676" s="23">
        <f t="shared" si="134"/>
        <v>0.59795505351249267</v>
      </c>
      <c r="V676" s="23">
        <f t="shared" si="134"/>
        <v>0.32965765052992468</v>
      </c>
      <c r="W676" s="23">
        <f t="shared" si="135"/>
        <v>0.87094737300498615</v>
      </c>
      <c r="X676" s="904">
        <f t="shared" si="136"/>
        <v>399</v>
      </c>
      <c r="Y676" s="904">
        <f t="shared" si="136"/>
        <v>433</v>
      </c>
      <c r="Z676" s="904">
        <f t="shared" si="136"/>
        <v>437</v>
      </c>
      <c r="AA676" s="904">
        <f t="shared" si="136"/>
        <v>613</v>
      </c>
      <c r="AB676" s="24">
        <v>174</v>
      </c>
    </row>
    <row r="677" spans="1:28" x14ac:dyDescent="0.25">
      <c r="A677" s="903"/>
      <c r="B677" t="s">
        <v>1427</v>
      </c>
      <c r="C677" s="906" t="s">
        <v>1428</v>
      </c>
      <c r="D677" s="25">
        <v>9.9</v>
      </c>
      <c r="E677" s="903">
        <v>963</v>
      </c>
      <c r="F677" s="903">
        <v>606</v>
      </c>
      <c r="G677" s="903" t="s">
        <v>1429</v>
      </c>
      <c r="H677" s="904">
        <f t="shared" si="125"/>
        <v>5</v>
      </c>
      <c r="I677" s="904">
        <f t="shared" si="126"/>
        <v>10</v>
      </c>
      <c r="J677" s="21">
        <f t="shared" si="127"/>
        <v>6400</v>
      </c>
      <c r="K677" s="21">
        <f t="shared" si="128"/>
        <v>10404</v>
      </c>
      <c r="L677" s="21">
        <f t="shared" si="129"/>
        <v>18500</v>
      </c>
      <c r="M677" s="21">
        <f t="shared" si="130"/>
        <v>30600</v>
      </c>
      <c r="N677" s="904">
        <f t="shared" si="131"/>
        <v>194</v>
      </c>
      <c r="O677" s="21"/>
      <c r="P677" s="22" t="s">
        <v>2</v>
      </c>
      <c r="Q677" s="22">
        <v>0.63</v>
      </c>
      <c r="R677" s="904" t="s">
        <v>42</v>
      </c>
      <c r="S677" s="904" t="str">
        <f t="shared" si="132"/>
        <v>Stove</v>
      </c>
      <c r="T677" s="23">
        <f t="shared" si="133"/>
        <v>0.71324826226787008</v>
      </c>
      <c r="U677" s="23">
        <f t="shared" si="134"/>
        <v>2.0977890066702058</v>
      </c>
      <c r="V677" s="23">
        <f t="shared" si="134"/>
        <v>1.1797511797511797</v>
      </c>
      <c r="W677" s="23">
        <f t="shared" si="135"/>
        <v>3.410218253968254</v>
      </c>
      <c r="X677" s="904">
        <f t="shared" si="136"/>
        <v>958</v>
      </c>
      <c r="Y677" s="904">
        <f t="shared" si="136"/>
        <v>962</v>
      </c>
      <c r="Z677" s="904">
        <f t="shared" si="136"/>
        <v>961</v>
      </c>
      <c r="AA677" s="904">
        <f t="shared" si="136"/>
        <v>963</v>
      </c>
      <c r="AB677" s="24">
        <v>606</v>
      </c>
    </row>
    <row r="678" spans="1:28" x14ac:dyDescent="0.25">
      <c r="A678" s="903"/>
      <c r="B678" t="s">
        <v>1427</v>
      </c>
      <c r="C678" s="906" t="s">
        <v>1430</v>
      </c>
      <c r="D678" s="25">
        <v>4.5</v>
      </c>
      <c r="E678" s="903">
        <v>700</v>
      </c>
      <c r="F678" s="903">
        <v>376</v>
      </c>
      <c r="G678" s="903" t="s">
        <v>1431</v>
      </c>
      <c r="H678" s="904">
        <f t="shared" si="125"/>
        <v>6</v>
      </c>
      <c r="I678" s="904">
        <f t="shared" si="126"/>
        <v>11</v>
      </c>
      <c r="J678" s="21">
        <f t="shared" si="127"/>
        <v>11800</v>
      </c>
      <c r="K678" s="21">
        <f t="shared" si="128"/>
        <v>12104</v>
      </c>
      <c r="L678" s="21">
        <f t="shared" si="129"/>
        <v>23700</v>
      </c>
      <c r="M678" s="21">
        <f t="shared" si="130"/>
        <v>35600</v>
      </c>
      <c r="N678" s="904">
        <f t="shared" si="131"/>
        <v>605</v>
      </c>
      <c r="O678" s="21"/>
      <c r="P678" s="22" t="s">
        <v>2</v>
      </c>
      <c r="Q678" s="22">
        <v>0.63</v>
      </c>
      <c r="R678" s="904" t="s">
        <v>42</v>
      </c>
      <c r="S678" s="904" t="str">
        <f t="shared" si="132"/>
        <v>Stove</v>
      </c>
      <c r="T678" s="23">
        <f t="shared" si="133"/>
        <v>0.27866952024255393</v>
      </c>
      <c r="U678" s="23">
        <f t="shared" si="134"/>
        <v>0.81961623600751154</v>
      </c>
      <c r="V678" s="23">
        <f t="shared" si="134"/>
        <v>0.41859219074408949</v>
      </c>
      <c r="W678" s="23">
        <f t="shared" si="135"/>
        <v>0.84073177293516277</v>
      </c>
      <c r="X678" s="904">
        <f t="shared" si="136"/>
        <v>628</v>
      </c>
      <c r="Y678" s="904">
        <f t="shared" si="136"/>
        <v>682</v>
      </c>
      <c r="Z678" s="904">
        <f t="shared" si="136"/>
        <v>630</v>
      </c>
      <c r="AA678" s="904">
        <f t="shared" si="136"/>
        <v>587</v>
      </c>
      <c r="AB678" s="24">
        <v>371</v>
      </c>
    </row>
    <row r="679" spans="1:28" x14ac:dyDescent="0.25">
      <c r="A679" s="903"/>
      <c r="B679" t="s">
        <v>1427</v>
      </c>
      <c r="C679" s="906" t="s">
        <v>1432</v>
      </c>
      <c r="D679" s="25">
        <v>3.7</v>
      </c>
      <c r="E679" s="903">
        <v>501</v>
      </c>
      <c r="F679" s="903">
        <v>196</v>
      </c>
      <c r="G679" s="903" t="s">
        <v>528</v>
      </c>
      <c r="H679" s="904">
        <f t="shared" si="125"/>
        <v>6</v>
      </c>
      <c r="I679" s="904">
        <f t="shared" si="126"/>
        <v>11</v>
      </c>
      <c r="J679" s="21">
        <f t="shared" si="127"/>
        <v>10600</v>
      </c>
      <c r="K679" s="21">
        <f t="shared" si="128"/>
        <v>16898</v>
      </c>
      <c r="L679" s="21">
        <f t="shared" si="129"/>
        <v>30150</v>
      </c>
      <c r="M679" s="21">
        <f t="shared" si="130"/>
        <v>49700</v>
      </c>
      <c r="N679" s="904">
        <f t="shared" si="131"/>
        <v>882</v>
      </c>
      <c r="O679" s="21"/>
      <c r="P679" s="22" t="s">
        <v>2</v>
      </c>
      <c r="Q679" s="22">
        <v>0.72</v>
      </c>
      <c r="R679" s="904" t="s">
        <v>38</v>
      </c>
      <c r="S679" s="904" t="str">
        <f t="shared" si="132"/>
        <v>Stove</v>
      </c>
      <c r="T679" s="23">
        <f t="shared" si="133"/>
        <v>0.16412407425150552</v>
      </c>
      <c r="U679" s="23">
        <f t="shared" si="134"/>
        <v>0.48271786544560435</v>
      </c>
      <c r="V679" s="23">
        <f t="shared" si="134"/>
        <v>0.27054615224875039</v>
      </c>
      <c r="W679" s="23">
        <f t="shared" si="135"/>
        <v>0.76952514059432298</v>
      </c>
      <c r="X679" s="904">
        <f t="shared" si="136"/>
        <v>252</v>
      </c>
      <c r="Y679" s="904">
        <f t="shared" si="136"/>
        <v>268</v>
      </c>
      <c r="Z679" s="904">
        <f t="shared" si="136"/>
        <v>286</v>
      </c>
      <c r="AA679" s="904">
        <f t="shared" si="136"/>
        <v>490</v>
      </c>
      <c r="AB679" s="24">
        <v>109</v>
      </c>
    </row>
    <row r="680" spans="1:28" x14ac:dyDescent="0.25">
      <c r="A680" s="903"/>
      <c r="B680" t="s">
        <v>1427</v>
      </c>
      <c r="C680" s="906" t="s">
        <v>1433</v>
      </c>
      <c r="D680" s="25">
        <v>5.5</v>
      </c>
      <c r="E680" s="903">
        <v>808</v>
      </c>
      <c r="F680" s="903">
        <v>458</v>
      </c>
      <c r="G680" s="903" t="s">
        <v>1434</v>
      </c>
      <c r="H680" s="904">
        <f t="shared" si="125"/>
        <v>5</v>
      </c>
      <c r="I680" s="904">
        <f t="shared" si="126"/>
        <v>10</v>
      </c>
      <c r="J680" s="21">
        <f t="shared" si="127"/>
        <v>9500</v>
      </c>
      <c r="K680" s="21">
        <f t="shared" si="128"/>
        <v>9500</v>
      </c>
      <c r="L680" s="21">
        <f t="shared" si="129"/>
        <v>17650</v>
      </c>
      <c r="M680" s="21">
        <f t="shared" si="130"/>
        <v>25800</v>
      </c>
      <c r="N680" s="904">
        <f t="shared" si="131"/>
        <v>142</v>
      </c>
      <c r="O680" s="21"/>
      <c r="P680" s="22" t="s">
        <v>2</v>
      </c>
      <c r="Q680" s="22">
        <v>0.63</v>
      </c>
      <c r="R680" s="904" t="s">
        <v>42</v>
      </c>
      <c r="S680" s="904" t="str">
        <f t="shared" si="132"/>
        <v>Stove</v>
      </c>
      <c r="T680" s="23">
        <f t="shared" si="133"/>
        <v>0.46996978521526322</v>
      </c>
      <c r="U680" s="23">
        <f t="shared" si="134"/>
        <v>1.2763389956372413</v>
      </c>
      <c r="V680" s="23">
        <f t="shared" si="134"/>
        <v>0.68698132909653209</v>
      </c>
      <c r="W680" s="23">
        <f t="shared" si="135"/>
        <v>1.2763389956372413</v>
      </c>
      <c r="X680" s="904">
        <f t="shared" si="136"/>
        <v>880</v>
      </c>
      <c r="Y680" s="904">
        <f t="shared" si="136"/>
        <v>895</v>
      </c>
      <c r="Z680" s="904">
        <f t="shared" si="136"/>
        <v>877</v>
      </c>
      <c r="AA680" s="904">
        <f t="shared" si="136"/>
        <v>842</v>
      </c>
      <c r="AB680" s="24">
        <v>540</v>
      </c>
    </row>
    <row r="681" spans="1:28" x14ac:dyDescent="0.25">
      <c r="A681" s="903"/>
      <c r="B681" t="s">
        <v>1427</v>
      </c>
      <c r="C681" s="906" t="s">
        <v>1435</v>
      </c>
      <c r="D681" s="25">
        <v>4</v>
      </c>
      <c r="E681" s="903">
        <v>571</v>
      </c>
      <c r="F681" s="903">
        <v>270</v>
      </c>
      <c r="G681" s="903" t="s">
        <v>1436</v>
      </c>
      <c r="H681" s="904">
        <f t="shared" si="125"/>
        <v>6</v>
      </c>
      <c r="I681" s="904">
        <f t="shared" si="126"/>
        <v>11</v>
      </c>
      <c r="J681" s="21">
        <f t="shared" si="127"/>
        <v>11100</v>
      </c>
      <c r="K681" s="21">
        <f t="shared" si="128"/>
        <v>11100</v>
      </c>
      <c r="L681" s="21">
        <f t="shared" si="129"/>
        <v>18400</v>
      </c>
      <c r="M681" s="21">
        <f t="shared" si="130"/>
        <v>25700</v>
      </c>
      <c r="N681" s="904">
        <f t="shared" si="131"/>
        <v>189</v>
      </c>
      <c r="O681" s="21"/>
      <c r="P681" s="22" t="s">
        <v>2</v>
      </c>
      <c r="Q681" s="22">
        <v>0.63</v>
      </c>
      <c r="R681" s="904" t="s">
        <v>42</v>
      </c>
      <c r="S681" s="904" t="str">
        <f t="shared" si="132"/>
        <v>Stove</v>
      </c>
      <c r="T681" s="23">
        <f t="shared" si="133"/>
        <v>0.34312615376169203</v>
      </c>
      <c r="U681" s="23">
        <f t="shared" si="134"/>
        <v>0.79444523888968333</v>
      </c>
      <c r="V681" s="23">
        <f t="shared" si="134"/>
        <v>0.47925772563453722</v>
      </c>
      <c r="W681" s="23">
        <f t="shared" si="135"/>
        <v>0.79444523888968333</v>
      </c>
      <c r="X681" s="904">
        <f t="shared" si="136"/>
        <v>756</v>
      </c>
      <c r="Y681" s="904">
        <f t="shared" si="136"/>
        <v>654</v>
      </c>
      <c r="Z681" s="904">
        <f t="shared" si="136"/>
        <v>712</v>
      </c>
      <c r="AA681" s="904">
        <f t="shared" si="136"/>
        <v>523</v>
      </c>
      <c r="AB681" s="24">
        <v>347</v>
      </c>
    </row>
    <row r="682" spans="1:28" x14ac:dyDescent="0.25">
      <c r="A682" s="903"/>
      <c r="B682" t="s">
        <v>1437</v>
      </c>
      <c r="C682" s="906" t="s">
        <v>1438</v>
      </c>
      <c r="D682" s="25">
        <v>3.1</v>
      </c>
      <c r="E682" s="903">
        <v>347</v>
      </c>
      <c r="F682" s="903">
        <v>146</v>
      </c>
      <c r="G682" s="903" t="s">
        <v>1439</v>
      </c>
      <c r="H682" s="904">
        <f t="shared" si="125"/>
        <v>6</v>
      </c>
      <c r="I682" s="904">
        <f t="shared" si="126"/>
        <v>11</v>
      </c>
      <c r="J682" s="21">
        <f t="shared" si="127"/>
        <v>10300</v>
      </c>
      <c r="K682" s="21">
        <f t="shared" si="128"/>
        <v>13396.000000000002</v>
      </c>
      <c r="L682" s="21">
        <f t="shared" si="129"/>
        <v>24850</v>
      </c>
      <c r="M682" s="21">
        <f t="shared" si="130"/>
        <v>39400</v>
      </c>
      <c r="N682" s="904">
        <f t="shared" si="131"/>
        <v>680</v>
      </c>
      <c r="O682" s="21"/>
      <c r="P682" s="22" t="s">
        <v>2</v>
      </c>
      <c r="Q682" s="22">
        <v>0.72</v>
      </c>
      <c r="R682" s="904" t="s">
        <v>38</v>
      </c>
      <c r="S682" s="904" t="str">
        <f t="shared" si="132"/>
        <v>Stove</v>
      </c>
      <c r="T682" s="23">
        <f t="shared" si="133"/>
        <v>0.1734572377550381</v>
      </c>
      <c r="U682" s="23">
        <f t="shared" si="134"/>
        <v>0.51016834633834718</v>
      </c>
      <c r="V682" s="23">
        <f t="shared" si="134"/>
        <v>0.27501871901603625</v>
      </c>
      <c r="W682" s="23">
        <f t="shared" si="135"/>
        <v>0.66351603568432049</v>
      </c>
      <c r="X682" s="904">
        <f t="shared" si="136"/>
        <v>286</v>
      </c>
      <c r="Y682" s="904">
        <f t="shared" si="136"/>
        <v>305</v>
      </c>
      <c r="Z682" s="904">
        <f t="shared" si="136"/>
        <v>293</v>
      </c>
      <c r="AA682" s="904">
        <f t="shared" si="136"/>
        <v>365</v>
      </c>
      <c r="AB682" s="24">
        <v>129</v>
      </c>
    </row>
    <row r="683" spans="1:28" x14ac:dyDescent="0.25">
      <c r="A683" s="903"/>
      <c r="B683" t="s">
        <v>1437</v>
      </c>
      <c r="C683" s="906" t="s">
        <v>1440</v>
      </c>
      <c r="D683" s="25">
        <v>2.5</v>
      </c>
      <c r="E683" s="903">
        <v>218</v>
      </c>
      <c r="F683" s="903">
        <v>89</v>
      </c>
      <c r="G683" s="903" t="s">
        <v>1441</v>
      </c>
      <c r="H683" s="904">
        <f t="shared" si="125"/>
        <v>5</v>
      </c>
      <c r="I683" s="904">
        <f t="shared" si="126"/>
        <v>10</v>
      </c>
      <c r="J683" s="21">
        <f t="shared" si="127"/>
        <v>9500</v>
      </c>
      <c r="K683" s="21">
        <f t="shared" si="128"/>
        <v>13158.000000000002</v>
      </c>
      <c r="L683" s="21">
        <f t="shared" si="129"/>
        <v>24100</v>
      </c>
      <c r="M683" s="21">
        <f t="shared" si="130"/>
        <v>38700</v>
      </c>
      <c r="N683" s="904">
        <f t="shared" si="131"/>
        <v>645</v>
      </c>
      <c r="O683" s="21"/>
      <c r="P683" s="22" t="s">
        <v>2</v>
      </c>
      <c r="Q683" s="22">
        <v>0.72</v>
      </c>
      <c r="R683" s="904" t="s">
        <v>38</v>
      </c>
      <c r="S683" s="904" t="str">
        <f t="shared" si="132"/>
        <v>Stove</v>
      </c>
      <c r="T683" s="23">
        <f t="shared" si="133"/>
        <v>0.14241508642886766</v>
      </c>
      <c r="U683" s="23">
        <f t="shared" si="134"/>
        <v>0.41886790126137541</v>
      </c>
      <c r="V683" s="23">
        <f t="shared" si="134"/>
        <v>0.22869144584220655</v>
      </c>
      <c r="W683" s="23">
        <f t="shared" si="135"/>
        <v>0.58015408892601872</v>
      </c>
      <c r="X683" s="904">
        <f t="shared" si="136"/>
        <v>191</v>
      </c>
      <c r="Y683" s="904">
        <f t="shared" si="136"/>
        <v>201</v>
      </c>
      <c r="Z683" s="904">
        <f t="shared" si="136"/>
        <v>197</v>
      </c>
      <c r="AA683" s="904">
        <f t="shared" si="136"/>
        <v>272</v>
      </c>
      <c r="AB683" s="24">
        <v>77</v>
      </c>
    </row>
    <row r="684" spans="1:28" x14ac:dyDescent="0.25">
      <c r="A684" s="903"/>
      <c r="B684" t="s">
        <v>1437</v>
      </c>
      <c r="C684" s="906" t="s">
        <v>1442</v>
      </c>
      <c r="D684" s="25">
        <v>2.9</v>
      </c>
      <c r="E684" s="903">
        <v>295</v>
      </c>
      <c r="F684" s="903">
        <v>128</v>
      </c>
      <c r="G684" s="903" t="s">
        <v>1443</v>
      </c>
      <c r="H684" s="904">
        <f t="shared" si="125"/>
        <v>6</v>
      </c>
      <c r="I684" s="904">
        <f t="shared" si="126"/>
        <v>11</v>
      </c>
      <c r="J684" s="21">
        <f t="shared" si="127"/>
        <v>10200</v>
      </c>
      <c r="K684" s="21">
        <f t="shared" si="128"/>
        <v>10200</v>
      </c>
      <c r="L684" s="21">
        <f t="shared" si="129"/>
        <v>19900</v>
      </c>
      <c r="M684" s="21">
        <f t="shared" si="130"/>
        <v>29600</v>
      </c>
      <c r="N684" s="904">
        <f t="shared" si="131"/>
        <v>311</v>
      </c>
      <c r="O684" s="21"/>
      <c r="P684" s="22" t="s">
        <v>2</v>
      </c>
      <c r="Q684" s="22">
        <v>0.72</v>
      </c>
      <c r="R684" s="904" t="s">
        <v>38</v>
      </c>
      <c r="S684" s="904" t="str">
        <f t="shared" si="132"/>
        <v>Stove</v>
      </c>
      <c r="T684" s="23">
        <f t="shared" si="133"/>
        <v>0.21598979932313267</v>
      </c>
      <c r="U684" s="23">
        <f t="shared" si="134"/>
        <v>0.62679392744752227</v>
      </c>
      <c r="V684" s="23">
        <f t="shared" si="134"/>
        <v>0.3212712592947099</v>
      </c>
      <c r="W684" s="23">
        <f t="shared" si="135"/>
        <v>0.62679392744752227</v>
      </c>
      <c r="X684" s="904">
        <f t="shared" si="136"/>
        <v>443</v>
      </c>
      <c r="Y684" s="904">
        <f t="shared" si="136"/>
        <v>466</v>
      </c>
      <c r="Z684" s="904">
        <f t="shared" si="136"/>
        <v>418</v>
      </c>
      <c r="AA684" s="904">
        <f t="shared" si="136"/>
        <v>316</v>
      </c>
      <c r="AB684" s="24">
        <v>186</v>
      </c>
    </row>
    <row r="685" spans="1:28" x14ac:dyDescent="0.25">
      <c r="A685" s="903"/>
      <c r="B685" t="s">
        <v>1437</v>
      </c>
      <c r="C685" s="906" t="s">
        <v>1444</v>
      </c>
      <c r="D685" s="25">
        <v>6.2</v>
      </c>
      <c r="E685" s="903">
        <v>857</v>
      </c>
      <c r="F685" s="903">
        <v>270</v>
      </c>
      <c r="G685" s="903" t="s">
        <v>1445</v>
      </c>
      <c r="H685" s="904">
        <f t="shared" si="125"/>
        <v>5</v>
      </c>
      <c r="I685" s="904">
        <f t="shared" si="126"/>
        <v>10</v>
      </c>
      <c r="J685" s="21">
        <f t="shared" si="127"/>
        <v>7900</v>
      </c>
      <c r="K685" s="21">
        <f t="shared" si="128"/>
        <v>13906.000000000002</v>
      </c>
      <c r="L685" s="21">
        <f t="shared" si="129"/>
        <v>24400</v>
      </c>
      <c r="M685" s="21">
        <f t="shared" si="130"/>
        <v>40900</v>
      </c>
      <c r="N685" s="904">
        <f t="shared" si="131"/>
        <v>665</v>
      </c>
      <c r="O685" s="21"/>
      <c r="P685" s="22" t="s">
        <v>2</v>
      </c>
      <c r="Q685" s="22">
        <v>0.72</v>
      </c>
      <c r="R685" s="904" t="s">
        <v>38</v>
      </c>
      <c r="S685" s="904" t="str">
        <f t="shared" si="132"/>
        <v>Stove</v>
      </c>
      <c r="T685" s="23">
        <f t="shared" si="133"/>
        <v>0.33419145073586803</v>
      </c>
      <c r="U685" s="23">
        <f t="shared" si="134"/>
        <v>0.98291603157608221</v>
      </c>
      <c r="V685" s="23">
        <f t="shared" si="134"/>
        <v>0.56018157111053291</v>
      </c>
      <c r="W685" s="23">
        <f t="shared" si="135"/>
        <v>1.7301810550755699</v>
      </c>
      <c r="X685" s="904">
        <f t="shared" si="136"/>
        <v>748</v>
      </c>
      <c r="Y685" s="904">
        <f t="shared" si="136"/>
        <v>803</v>
      </c>
      <c r="Z685" s="904">
        <f t="shared" si="136"/>
        <v>810</v>
      </c>
      <c r="AA685" s="904">
        <f t="shared" si="136"/>
        <v>943</v>
      </c>
      <c r="AB685" s="24">
        <v>252</v>
      </c>
    </row>
    <row r="686" spans="1:28" x14ac:dyDescent="0.25">
      <c r="A686" s="903"/>
      <c r="B686" t="s">
        <v>1437</v>
      </c>
      <c r="C686" s="906" t="s">
        <v>1446</v>
      </c>
      <c r="D686" s="25">
        <v>2.4</v>
      </c>
      <c r="E686" s="903">
        <v>196</v>
      </c>
      <c r="F686" s="903">
        <v>75</v>
      </c>
      <c r="G686" s="903" t="s">
        <v>1447</v>
      </c>
      <c r="H686" s="904">
        <f t="shared" si="125"/>
        <v>5</v>
      </c>
      <c r="I686" s="904">
        <f t="shared" si="126"/>
        <v>10</v>
      </c>
      <c r="J686" s="21">
        <f t="shared" si="127"/>
        <v>8400</v>
      </c>
      <c r="K686" s="21">
        <f t="shared" si="128"/>
        <v>10642</v>
      </c>
      <c r="L686" s="21">
        <f t="shared" si="129"/>
        <v>19850</v>
      </c>
      <c r="M686" s="21">
        <f t="shared" si="130"/>
        <v>31300</v>
      </c>
      <c r="N686" s="904">
        <f t="shared" si="131"/>
        <v>306</v>
      </c>
      <c r="O686" s="21"/>
      <c r="P686" s="22" t="s">
        <v>2</v>
      </c>
      <c r="Q686" s="22">
        <v>0.72</v>
      </c>
      <c r="R686" s="904" t="s">
        <v>38</v>
      </c>
      <c r="S686" s="904" t="str">
        <f t="shared" si="132"/>
        <v>Stove</v>
      </c>
      <c r="T686" s="23">
        <f t="shared" si="133"/>
        <v>0.16904170258802848</v>
      </c>
      <c r="U686" s="23">
        <f t="shared" si="134"/>
        <v>0.49718147820008368</v>
      </c>
      <c r="V686" s="23">
        <f t="shared" si="134"/>
        <v>0.26654938493729424</v>
      </c>
      <c r="W686" s="23">
        <f t="shared" si="135"/>
        <v>0.62988158226253466</v>
      </c>
      <c r="X686" s="904">
        <f t="shared" si="136"/>
        <v>275</v>
      </c>
      <c r="Y686" s="904">
        <f t="shared" si="136"/>
        <v>291</v>
      </c>
      <c r="Z686" s="904">
        <f t="shared" si="136"/>
        <v>274</v>
      </c>
      <c r="AA686" s="904">
        <f t="shared" si="136"/>
        <v>317</v>
      </c>
      <c r="AB686" s="24">
        <v>126</v>
      </c>
    </row>
    <row r="687" spans="1:28" x14ac:dyDescent="0.25">
      <c r="A687" s="903"/>
      <c r="B687" t="s">
        <v>1448</v>
      </c>
      <c r="C687" s="906" t="s">
        <v>1449</v>
      </c>
      <c r="D687" s="25">
        <v>7.1</v>
      </c>
      <c r="E687" s="903">
        <v>925</v>
      </c>
      <c r="F687" s="903">
        <v>568</v>
      </c>
      <c r="G687" s="903" t="s">
        <v>1301</v>
      </c>
      <c r="H687" s="904">
        <f t="shared" si="125"/>
        <v>6</v>
      </c>
      <c r="I687" s="904">
        <f t="shared" si="126"/>
        <v>11</v>
      </c>
      <c r="J687" s="21">
        <f t="shared" si="127"/>
        <v>11800</v>
      </c>
      <c r="K687" s="21">
        <f t="shared" si="128"/>
        <v>11800</v>
      </c>
      <c r="L687" s="21">
        <f t="shared" si="129"/>
        <v>22000</v>
      </c>
      <c r="M687" s="21">
        <f t="shared" si="130"/>
        <v>32200</v>
      </c>
      <c r="N687" s="904">
        <f t="shared" si="131"/>
        <v>473</v>
      </c>
      <c r="O687" s="21"/>
      <c r="P687" s="22" t="s">
        <v>2</v>
      </c>
      <c r="Q687" s="22">
        <v>0.63</v>
      </c>
      <c r="R687" s="904" t="s">
        <v>42</v>
      </c>
      <c r="S687" s="904" t="str">
        <f t="shared" si="132"/>
        <v>Stove</v>
      </c>
      <c r="T687" s="23">
        <f t="shared" si="133"/>
        <v>0.48610426457217348</v>
      </c>
      <c r="U687" s="23">
        <f t="shared" si="134"/>
        <v>1.3264879084088124</v>
      </c>
      <c r="V687" s="23">
        <f t="shared" si="134"/>
        <v>0.71147987814654479</v>
      </c>
      <c r="W687" s="23">
        <f t="shared" si="135"/>
        <v>1.3264879084088124</v>
      </c>
      <c r="X687" s="904">
        <f t="shared" si="136"/>
        <v>888</v>
      </c>
      <c r="Y687" s="904">
        <f t="shared" si="136"/>
        <v>913</v>
      </c>
      <c r="Z687" s="904">
        <f t="shared" si="136"/>
        <v>894</v>
      </c>
      <c r="AA687" s="904">
        <f t="shared" si="136"/>
        <v>868</v>
      </c>
      <c r="AB687" s="24">
        <v>558</v>
      </c>
    </row>
    <row r="688" spans="1:28" x14ac:dyDescent="0.25">
      <c r="A688" s="903" t="s">
        <v>77</v>
      </c>
      <c r="B688" t="s">
        <v>1448</v>
      </c>
      <c r="C688" s="906" t="s">
        <v>1450</v>
      </c>
      <c r="D688" s="25">
        <v>2.4</v>
      </c>
      <c r="E688" s="903">
        <v>196</v>
      </c>
      <c r="F688" s="903">
        <v>75</v>
      </c>
      <c r="G688" s="903" t="s">
        <v>1451</v>
      </c>
      <c r="H688" s="904">
        <f t="shared" si="125"/>
        <v>5</v>
      </c>
      <c r="I688" s="904">
        <f t="shared" si="126"/>
        <v>10</v>
      </c>
      <c r="J688" s="21">
        <f t="shared" si="127"/>
        <v>9600</v>
      </c>
      <c r="K688" s="21">
        <f t="shared" si="128"/>
        <v>11390</v>
      </c>
      <c r="L688" s="21">
        <f t="shared" si="129"/>
        <v>21550</v>
      </c>
      <c r="M688" s="21">
        <f t="shared" si="130"/>
        <v>33500</v>
      </c>
      <c r="N688" s="904">
        <f t="shared" si="131"/>
        <v>439</v>
      </c>
      <c r="O688" s="21"/>
      <c r="P688" s="22" t="s">
        <v>2</v>
      </c>
      <c r="Q688" s="22">
        <v>0.72</v>
      </c>
      <c r="R688" s="904" t="s">
        <v>38</v>
      </c>
      <c r="S688" s="904" t="str">
        <f t="shared" si="132"/>
        <v>Stove</v>
      </c>
      <c r="T688" s="23">
        <f t="shared" si="133"/>
        <v>0.15794045644791913</v>
      </c>
      <c r="U688" s="23">
        <f t="shared" si="134"/>
        <v>0.4645307542585857</v>
      </c>
      <c r="V688" s="23">
        <f t="shared" si="134"/>
        <v>0.24552228728562836</v>
      </c>
      <c r="W688" s="23">
        <f t="shared" si="135"/>
        <v>0.55114638447971787</v>
      </c>
      <c r="X688" s="904">
        <f t="shared" si="136"/>
        <v>238</v>
      </c>
      <c r="Y688" s="904">
        <f t="shared" si="136"/>
        <v>252</v>
      </c>
      <c r="Z688" s="904">
        <f t="shared" si="136"/>
        <v>239</v>
      </c>
      <c r="AA688" s="904">
        <f t="shared" si="136"/>
        <v>248</v>
      </c>
      <c r="AB688" s="24">
        <v>99</v>
      </c>
    </row>
    <row r="689" spans="1:29" x14ac:dyDescent="0.25">
      <c r="A689" s="903" t="s">
        <v>77</v>
      </c>
      <c r="B689" t="s">
        <v>1452</v>
      </c>
      <c r="C689" s="906" t="s">
        <v>1453</v>
      </c>
      <c r="D689" s="25">
        <v>6.1</v>
      </c>
      <c r="E689" s="903">
        <v>853</v>
      </c>
      <c r="F689" s="903">
        <v>500</v>
      </c>
      <c r="G689" s="903" t="s">
        <v>1454</v>
      </c>
      <c r="H689" s="904">
        <f t="shared" si="125"/>
        <v>5</v>
      </c>
      <c r="I689" s="904">
        <f t="shared" si="126"/>
        <v>10</v>
      </c>
      <c r="J689" s="21">
        <f t="shared" si="127"/>
        <v>9800</v>
      </c>
      <c r="K689" s="21">
        <f t="shared" si="128"/>
        <v>9800</v>
      </c>
      <c r="L689" s="21">
        <f t="shared" si="129"/>
        <v>15450</v>
      </c>
      <c r="M689" s="21">
        <f t="shared" si="130"/>
        <v>21100</v>
      </c>
      <c r="N689" s="904">
        <f t="shared" si="131"/>
        <v>51</v>
      </c>
      <c r="O689" s="21"/>
      <c r="P689" s="22" t="s">
        <v>2</v>
      </c>
      <c r="Q689" s="22">
        <v>0.63</v>
      </c>
      <c r="R689" s="904" t="s">
        <v>42</v>
      </c>
      <c r="S689" s="904" t="str">
        <f t="shared" si="132"/>
        <v>Stove</v>
      </c>
      <c r="T689" s="23">
        <f t="shared" si="133"/>
        <v>0.63734463418507648</v>
      </c>
      <c r="U689" s="23">
        <f t="shared" si="134"/>
        <v>1.372242018500522</v>
      </c>
      <c r="V689" s="23">
        <f t="shared" si="134"/>
        <v>0.87041888552136659</v>
      </c>
      <c r="W689" s="23">
        <f t="shared" si="135"/>
        <v>1.372242018500522</v>
      </c>
      <c r="X689" s="904">
        <f t="shared" si="136"/>
        <v>945</v>
      </c>
      <c r="Y689" s="904">
        <f t="shared" si="136"/>
        <v>926</v>
      </c>
      <c r="Z689" s="904">
        <f t="shared" si="136"/>
        <v>937</v>
      </c>
      <c r="AA689" s="904">
        <f t="shared" si="136"/>
        <v>884</v>
      </c>
      <c r="AB689" s="24">
        <v>571</v>
      </c>
    </row>
    <row r="690" spans="1:29" x14ac:dyDescent="0.25">
      <c r="A690" s="903" t="s">
        <v>77</v>
      </c>
      <c r="B690" t="s">
        <v>1455</v>
      </c>
      <c r="C690" s="906" t="s">
        <v>145</v>
      </c>
      <c r="D690" s="25">
        <v>2.7</v>
      </c>
      <c r="E690" s="903">
        <v>257</v>
      </c>
      <c r="F690" s="903">
        <v>79</v>
      </c>
      <c r="G690" s="903" t="s">
        <v>146</v>
      </c>
      <c r="H690" s="904">
        <f t="shared" si="125"/>
        <v>6</v>
      </c>
      <c r="I690" s="904">
        <f t="shared" si="126"/>
        <v>11</v>
      </c>
      <c r="J690" s="21">
        <f t="shared" si="127"/>
        <v>11600</v>
      </c>
      <c r="K690" s="21">
        <f t="shared" si="128"/>
        <v>12308</v>
      </c>
      <c r="L690" s="21">
        <f t="shared" si="129"/>
        <v>23900</v>
      </c>
      <c r="M690" s="21">
        <f t="shared" si="130"/>
        <v>36200</v>
      </c>
      <c r="N690" s="904">
        <f t="shared" si="131"/>
        <v>623</v>
      </c>
      <c r="O690" s="21"/>
      <c r="P690" s="22" t="s">
        <v>2</v>
      </c>
      <c r="Q690" s="22">
        <v>0.63</v>
      </c>
      <c r="R690" s="904" t="s">
        <v>42</v>
      </c>
      <c r="S690" s="904" t="str">
        <f t="shared" si="132"/>
        <v>Stove</v>
      </c>
      <c r="T690" s="23">
        <f t="shared" si="133"/>
        <v>0.16443041304919759</v>
      </c>
      <c r="U690" s="23">
        <f t="shared" si="134"/>
        <v>0.48361886190940456</v>
      </c>
      <c r="V690" s="23">
        <f t="shared" si="134"/>
        <v>0.24905359633393107</v>
      </c>
      <c r="W690" s="23">
        <f t="shared" si="135"/>
        <v>0.51313628899835795</v>
      </c>
      <c r="X690" s="904">
        <f t="shared" si="136"/>
        <v>255</v>
      </c>
      <c r="Y690" s="904">
        <f t="shared" si="136"/>
        <v>271</v>
      </c>
      <c r="Z690" s="904">
        <f t="shared" si="136"/>
        <v>244</v>
      </c>
      <c r="AA690" s="904">
        <f t="shared" si="136"/>
        <v>209</v>
      </c>
      <c r="AB690" s="24">
        <v>94</v>
      </c>
    </row>
    <row r="691" spans="1:29" x14ac:dyDescent="0.25">
      <c r="A691" s="903"/>
      <c r="B691" t="s">
        <v>1456</v>
      </c>
      <c r="C691" s="906" t="s">
        <v>1457</v>
      </c>
      <c r="D691" s="25">
        <v>5.5</v>
      </c>
      <c r="E691" s="903">
        <v>808</v>
      </c>
      <c r="F691" s="903">
        <v>458</v>
      </c>
      <c r="G691" s="903" t="s">
        <v>1458</v>
      </c>
      <c r="H691" s="904">
        <f t="shared" si="125"/>
        <v>6</v>
      </c>
      <c r="I691" s="904">
        <f t="shared" si="126"/>
        <v>11</v>
      </c>
      <c r="J691" s="21">
        <f t="shared" si="127"/>
        <v>14200</v>
      </c>
      <c r="K691" s="21">
        <f t="shared" si="128"/>
        <v>18972</v>
      </c>
      <c r="L691" s="21">
        <f t="shared" si="129"/>
        <v>35000</v>
      </c>
      <c r="M691" s="21">
        <f t="shared" si="130"/>
        <v>55800</v>
      </c>
      <c r="N691" s="904">
        <f t="shared" si="131"/>
        <v>938</v>
      </c>
      <c r="O691" s="21"/>
      <c r="P691" s="22" t="s">
        <v>2</v>
      </c>
      <c r="Q691" s="22">
        <v>0.63</v>
      </c>
      <c r="R691" s="904" t="s">
        <v>42</v>
      </c>
      <c r="S691" s="904" t="str">
        <f t="shared" si="132"/>
        <v>Stove</v>
      </c>
      <c r="T691" s="23">
        <f t="shared" si="133"/>
        <v>0.21729785768017548</v>
      </c>
      <c r="U691" s="23">
        <f t="shared" si="134"/>
        <v>0.63911134611816312</v>
      </c>
      <c r="V691" s="23">
        <f t="shared" si="134"/>
        <v>0.34643487024439407</v>
      </c>
      <c r="W691" s="23">
        <f t="shared" si="135"/>
        <v>0.85388876468688679</v>
      </c>
      <c r="X691" s="904">
        <f t="shared" si="136"/>
        <v>450</v>
      </c>
      <c r="Y691" s="904">
        <f t="shared" si="136"/>
        <v>481</v>
      </c>
      <c r="Z691" s="904">
        <f t="shared" si="136"/>
        <v>482</v>
      </c>
      <c r="AA691" s="904">
        <f t="shared" si="136"/>
        <v>601</v>
      </c>
      <c r="AB691" s="24">
        <v>221</v>
      </c>
    </row>
    <row r="692" spans="1:29" x14ac:dyDescent="0.25">
      <c r="A692" s="903"/>
      <c r="B692" t="s">
        <v>1456</v>
      </c>
      <c r="C692" s="906" t="s">
        <v>1459</v>
      </c>
      <c r="D692" s="25">
        <v>5.3</v>
      </c>
      <c r="E692" s="903">
        <v>792</v>
      </c>
      <c r="F692" s="903">
        <v>444</v>
      </c>
      <c r="G692" s="903" t="s">
        <v>1460</v>
      </c>
      <c r="H692" s="904">
        <f t="shared" si="125"/>
        <v>6</v>
      </c>
      <c r="I692" s="904">
        <f t="shared" si="126"/>
        <v>11</v>
      </c>
      <c r="J692" s="21">
        <f t="shared" si="127"/>
        <v>11300</v>
      </c>
      <c r="K692" s="21">
        <f t="shared" si="128"/>
        <v>14110.000000000002</v>
      </c>
      <c r="L692" s="21">
        <f t="shared" si="129"/>
        <v>26400</v>
      </c>
      <c r="M692" s="21">
        <f t="shared" si="130"/>
        <v>41500</v>
      </c>
      <c r="N692" s="904">
        <f t="shared" si="131"/>
        <v>766</v>
      </c>
      <c r="O692" s="21"/>
      <c r="P692" s="22" t="s">
        <v>2</v>
      </c>
      <c r="Q692" s="22">
        <v>0.63</v>
      </c>
      <c r="R692" s="904" t="s">
        <v>42</v>
      </c>
      <c r="S692" s="904" t="str">
        <f t="shared" si="132"/>
        <v>Stove</v>
      </c>
      <c r="T692" s="23">
        <f t="shared" si="133"/>
        <v>0.28154947833662691</v>
      </c>
      <c r="U692" s="23">
        <f t="shared" si="134"/>
        <v>0.82808670099007908</v>
      </c>
      <c r="V692" s="23">
        <f t="shared" si="134"/>
        <v>0.4425872481428037</v>
      </c>
      <c r="W692" s="23">
        <f t="shared" si="135"/>
        <v>1.0340091461035414</v>
      </c>
      <c r="X692" s="904">
        <f t="shared" si="136"/>
        <v>637</v>
      </c>
      <c r="Y692" s="904">
        <f t="shared" si="136"/>
        <v>694</v>
      </c>
      <c r="Z692" s="904">
        <f t="shared" si="136"/>
        <v>661</v>
      </c>
      <c r="AA692" s="904">
        <f t="shared" si="136"/>
        <v>733</v>
      </c>
      <c r="AB692" s="24">
        <v>381</v>
      </c>
    </row>
    <row r="693" spans="1:29" x14ac:dyDescent="0.25">
      <c r="A693" s="903"/>
      <c r="B693" t="s">
        <v>1456</v>
      </c>
      <c r="C693" s="906" t="s">
        <v>1461</v>
      </c>
      <c r="D693" s="25">
        <v>4.8</v>
      </c>
      <c r="E693" s="903">
        <v>740</v>
      </c>
      <c r="F693" s="903">
        <v>403</v>
      </c>
      <c r="G693" s="903" t="s">
        <v>1462</v>
      </c>
      <c r="H693" s="904">
        <f t="shared" si="125"/>
        <v>5</v>
      </c>
      <c r="I693" s="904">
        <f t="shared" si="126"/>
        <v>10</v>
      </c>
      <c r="J693" s="21">
        <f t="shared" si="127"/>
        <v>8700</v>
      </c>
      <c r="K693" s="21">
        <f t="shared" si="128"/>
        <v>8738</v>
      </c>
      <c r="L693" s="21">
        <f t="shared" si="129"/>
        <v>17200</v>
      </c>
      <c r="M693" s="21">
        <f t="shared" si="130"/>
        <v>25700</v>
      </c>
      <c r="N693" s="904">
        <f t="shared" si="131"/>
        <v>102</v>
      </c>
      <c r="O693" s="21"/>
      <c r="P693" s="22" t="s">
        <v>2</v>
      </c>
      <c r="Q693" s="22">
        <v>0.63</v>
      </c>
      <c r="R693" s="904" t="s">
        <v>42</v>
      </c>
      <c r="S693" s="904" t="str">
        <f t="shared" si="132"/>
        <v>Stove</v>
      </c>
      <c r="T693" s="23">
        <f t="shared" si="133"/>
        <v>0.41175138451403043</v>
      </c>
      <c r="U693" s="23">
        <f t="shared" si="134"/>
        <v>1.2110334838647954</v>
      </c>
      <c r="V693" s="23">
        <f t="shared" si="134"/>
        <v>0.61523317337270822</v>
      </c>
      <c r="W693" s="23">
        <f t="shared" si="135"/>
        <v>1.2163230554035152</v>
      </c>
      <c r="X693" s="904">
        <f t="shared" si="136"/>
        <v>841</v>
      </c>
      <c r="Y693" s="904">
        <f t="shared" si="136"/>
        <v>888</v>
      </c>
      <c r="Z693" s="904">
        <f t="shared" si="136"/>
        <v>850</v>
      </c>
      <c r="AA693" s="904">
        <f t="shared" si="136"/>
        <v>827</v>
      </c>
      <c r="AB693" s="24">
        <v>534</v>
      </c>
    </row>
    <row r="694" spans="1:29" x14ac:dyDescent="0.25">
      <c r="A694" s="903"/>
      <c r="B694" t="s">
        <v>1456</v>
      </c>
      <c r="C694" s="906" t="s">
        <v>1463</v>
      </c>
      <c r="D694" s="25">
        <v>4.0999999999999996</v>
      </c>
      <c r="E694" s="903">
        <v>594</v>
      </c>
      <c r="F694" s="903">
        <v>233</v>
      </c>
      <c r="G694" s="903" t="s">
        <v>1464</v>
      </c>
      <c r="H694" s="904">
        <f t="shared" si="125"/>
        <v>6</v>
      </c>
      <c r="I694" s="904">
        <f t="shared" si="126"/>
        <v>11</v>
      </c>
      <c r="J694" s="21">
        <f t="shared" si="127"/>
        <v>10900</v>
      </c>
      <c r="K694" s="21">
        <f t="shared" si="128"/>
        <v>12104</v>
      </c>
      <c r="L694" s="21">
        <f t="shared" si="129"/>
        <v>23250</v>
      </c>
      <c r="M694" s="21">
        <f t="shared" si="130"/>
        <v>35600</v>
      </c>
      <c r="N694" s="904">
        <f t="shared" si="131"/>
        <v>566</v>
      </c>
      <c r="O694" s="21"/>
      <c r="P694" s="22" t="s">
        <v>2</v>
      </c>
      <c r="Q694" s="22">
        <v>0.72</v>
      </c>
      <c r="R694" s="904" t="s">
        <v>38</v>
      </c>
      <c r="S694" s="904" t="str">
        <f t="shared" si="132"/>
        <v>Stove</v>
      </c>
      <c r="T694" s="23">
        <f t="shared" si="133"/>
        <v>0.2538988962209936</v>
      </c>
      <c r="U694" s="23">
        <f t="shared" si="134"/>
        <v>0.74676145947351047</v>
      </c>
      <c r="V694" s="23">
        <f t="shared" si="134"/>
        <v>0.38876562174053209</v>
      </c>
      <c r="W694" s="23">
        <f t="shared" si="135"/>
        <v>0.82924777114379555</v>
      </c>
      <c r="X694" s="904">
        <f t="shared" si="136"/>
        <v>571</v>
      </c>
      <c r="Y694" s="904">
        <f t="shared" si="136"/>
        <v>611</v>
      </c>
      <c r="Z694" s="904">
        <f t="shared" si="136"/>
        <v>581</v>
      </c>
      <c r="AA694" s="904">
        <f t="shared" si="136"/>
        <v>572</v>
      </c>
      <c r="AB694" s="24">
        <v>222</v>
      </c>
    </row>
    <row r="695" spans="1:29" x14ac:dyDescent="0.25">
      <c r="A695" s="903"/>
      <c r="B695" t="s">
        <v>1456</v>
      </c>
      <c r="C695" s="906" t="s">
        <v>1465</v>
      </c>
      <c r="D695" s="25">
        <v>7.3</v>
      </c>
      <c r="E695" s="903">
        <v>937</v>
      </c>
      <c r="F695" s="903">
        <v>580</v>
      </c>
      <c r="G695" s="903" t="s">
        <v>1466</v>
      </c>
      <c r="H695" s="904">
        <f t="shared" si="125"/>
        <v>6</v>
      </c>
      <c r="I695" s="904">
        <f t="shared" si="126"/>
        <v>11</v>
      </c>
      <c r="J695" s="21">
        <f t="shared" si="127"/>
        <v>11500</v>
      </c>
      <c r="K695" s="21">
        <f t="shared" si="128"/>
        <v>13362.000000000002</v>
      </c>
      <c r="L695" s="21">
        <f t="shared" si="129"/>
        <v>25400</v>
      </c>
      <c r="M695" s="21">
        <f t="shared" si="130"/>
        <v>39300</v>
      </c>
      <c r="N695" s="904">
        <f t="shared" si="131"/>
        <v>722</v>
      </c>
      <c r="O695" s="21"/>
      <c r="P695" s="22" t="s">
        <v>2</v>
      </c>
      <c r="Q695" s="22">
        <v>0.63</v>
      </c>
      <c r="R695" s="904" t="s">
        <v>42</v>
      </c>
      <c r="S695" s="904" t="str">
        <f t="shared" si="132"/>
        <v>Stove</v>
      </c>
      <c r="T695" s="23">
        <f t="shared" si="133"/>
        <v>0.40950316607653331</v>
      </c>
      <c r="U695" s="23">
        <f t="shared" si="134"/>
        <v>1.204421076695686</v>
      </c>
      <c r="V695" s="23">
        <f t="shared" si="134"/>
        <v>0.63360135538613227</v>
      </c>
      <c r="W695" s="23">
        <f t="shared" si="135"/>
        <v>1.3994325588528487</v>
      </c>
      <c r="X695" s="904">
        <f t="shared" si="136"/>
        <v>837</v>
      </c>
      <c r="Y695" s="904">
        <f t="shared" si="136"/>
        <v>887</v>
      </c>
      <c r="Z695" s="904">
        <f t="shared" si="136"/>
        <v>854</v>
      </c>
      <c r="AA695" s="904">
        <f t="shared" si="136"/>
        <v>893</v>
      </c>
      <c r="AB695" s="24">
        <v>533</v>
      </c>
    </row>
    <row r="696" spans="1:29" x14ac:dyDescent="0.25">
      <c r="A696" s="903"/>
      <c r="B696" t="s">
        <v>1456</v>
      </c>
      <c r="C696" s="906" t="s">
        <v>1467</v>
      </c>
      <c r="D696" s="25">
        <v>3.6920000000000002</v>
      </c>
      <c r="E696" s="903">
        <v>500</v>
      </c>
      <c r="F696" s="903">
        <v>229</v>
      </c>
      <c r="G696" s="903" t="s">
        <v>1468</v>
      </c>
      <c r="H696" s="904">
        <f t="shared" si="125"/>
        <v>6</v>
      </c>
      <c r="I696" s="904">
        <f t="shared" si="126"/>
        <v>11</v>
      </c>
      <c r="J696" s="21">
        <f t="shared" si="127"/>
        <v>10442</v>
      </c>
      <c r="K696" s="21">
        <f t="shared" si="128"/>
        <v>10442</v>
      </c>
      <c r="L696" s="21">
        <f t="shared" si="129"/>
        <v>19094</v>
      </c>
      <c r="M696" s="21">
        <f t="shared" si="130"/>
        <v>27746</v>
      </c>
      <c r="N696" s="904">
        <f t="shared" si="131"/>
        <v>249</v>
      </c>
      <c r="O696" s="21"/>
      <c r="P696" s="22" t="s">
        <v>2</v>
      </c>
      <c r="Q696" s="22">
        <v>0.63</v>
      </c>
      <c r="R696" s="904" t="s">
        <v>42</v>
      </c>
      <c r="S696" s="904" t="str">
        <f t="shared" si="132"/>
        <v>Stove</v>
      </c>
      <c r="T696" s="23">
        <f t="shared" si="133"/>
        <v>0.29335146709422877</v>
      </c>
      <c r="U696" s="23">
        <f t="shared" si="134"/>
        <v>0.77947996609811077</v>
      </c>
      <c r="V696" s="23">
        <f t="shared" si="134"/>
        <v>0.42627683073198241</v>
      </c>
      <c r="W696" s="23">
        <f t="shared" si="135"/>
        <v>0.77947996609811077</v>
      </c>
      <c r="X696" s="904">
        <f t="shared" si="136"/>
        <v>655</v>
      </c>
      <c r="Y696" s="904">
        <f t="shared" si="136"/>
        <v>638</v>
      </c>
      <c r="Z696" s="904">
        <f t="shared" si="136"/>
        <v>638</v>
      </c>
      <c r="AA696" s="904">
        <f t="shared" si="136"/>
        <v>503</v>
      </c>
      <c r="AB696" s="24">
        <v>333</v>
      </c>
    </row>
    <row r="697" spans="1:29" x14ac:dyDescent="0.25">
      <c r="A697" s="903"/>
      <c r="B697" t="s">
        <v>1456</v>
      </c>
      <c r="C697" s="906" t="s">
        <v>1469</v>
      </c>
      <c r="D697" s="25">
        <v>5.0999999999999996</v>
      </c>
      <c r="E697" s="903">
        <v>766</v>
      </c>
      <c r="F697" s="903">
        <v>425</v>
      </c>
      <c r="G697" s="903" t="s">
        <v>1470</v>
      </c>
      <c r="H697" s="904">
        <f t="shared" si="125"/>
        <v>6</v>
      </c>
      <c r="I697" s="904">
        <f t="shared" si="126"/>
        <v>11</v>
      </c>
      <c r="J697" s="21">
        <f t="shared" si="127"/>
        <v>11033</v>
      </c>
      <c r="K697" s="21">
        <f t="shared" si="128"/>
        <v>15878.000000000002</v>
      </c>
      <c r="L697" s="21">
        <f t="shared" si="129"/>
        <v>28866.5</v>
      </c>
      <c r="M697" s="21">
        <f t="shared" si="130"/>
        <v>46700</v>
      </c>
      <c r="N697" s="904">
        <f t="shared" si="131"/>
        <v>851</v>
      </c>
      <c r="O697" s="21"/>
      <c r="P697" s="22" t="s">
        <v>2</v>
      </c>
      <c r="Q697" s="22">
        <v>0.63</v>
      </c>
      <c r="R697" s="904" t="s">
        <v>42</v>
      </c>
      <c r="S697" s="904" t="str">
        <f t="shared" si="132"/>
        <v>Stove</v>
      </c>
      <c r="T697" s="23">
        <f t="shared" si="133"/>
        <v>0.24075773540441633</v>
      </c>
      <c r="U697" s="23">
        <f t="shared" si="134"/>
        <v>0.7081109864835774</v>
      </c>
      <c r="V697" s="23">
        <f t="shared" si="134"/>
        <v>0.38949599859304879</v>
      </c>
      <c r="W697" s="23">
        <f t="shared" si="135"/>
        <v>1.0190688156789851</v>
      </c>
      <c r="X697" s="904">
        <f t="shared" si="136"/>
        <v>532</v>
      </c>
      <c r="Y697" s="904">
        <f t="shared" si="136"/>
        <v>579</v>
      </c>
      <c r="Z697" s="904">
        <f t="shared" si="136"/>
        <v>582</v>
      </c>
      <c r="AA697" s="904">
        <f t="shared" si="136"/>
        <v>725</v>
      </c>
      <c r="AB697" s="24">
        <v>289</v>
      </c>
    </row>
    <row r="698" spans="1:29" x14ac:dyDescent="0.25">
      <c r="A698" s="903" t="s">
        <v>77</v>
      </c>
      <c r="B698" t="s">
        <v>1471</v>
      </c>
      <c r="C698" s="906" t="s">
        <v>1472</v>
      </c>
      <c r="D698" s="25">
        <v>5.7</v>
      </c>
      <c r="E698" s="903">
        <v>824</v>
      </c>
      <c r="F698" s="903">
        <v>472</v>
      </c>
      <c r="G698" s="903" t="s">
        <v>1473</v>
      </c>
      <c r="H698" s="904">
        <f t="shared" si="125"/>
        <v>6</v>
      </c>
      <c r="I698" s="904">
        <f t="shared" si="126"/>
        <v>11</v>
      </c>
      <c r="J698" s="21">
        <f t="shared" si="127"/>
        <v>11383</v>
      </c>
      <c r="K698" s="21">
        <f t="shared" si="128"/>
        <v>15456.060000000001</v>
      </c>
      <c r="L698" s="21">
        <f t="shared" si="129"/>
        <v>28421</v>
      </c>
      <c r="M698" s="21">
        <f t="shared" si="130"/>
        <v>45459</v>
      </c>
      <c r="N698" s="904">
        <f t="shared" si="131"/>
        <v>839</v>
      </c>
      <c r="O698" s="21"/>
      <c r="P698" s="22" t="s">
        <v>2</v>
      </c>
      <c r="Q698" s="22">
        <v>0.63</v>
      </c>
      <c r="R698" s="904" t="s">
        <v>42</v>
      </c>
      <c r="S698" s="904" t="str">
        <f t="shared" si="132"/>
        <v>Stove</v>
      </c>
      <c r="T698" s="23">
        <f t="shared" si="133"/>
        <v>0.27642793651724773</v>
      </c>
      <c r="U698" s="23">
        <f t="shared" si="134"/>
        <v>0.81302334269778753</v>
      </c>
      <c r="V698" s="23">
        <f t="shared" si="134"/>
        <v>0.44214269610983303</v>
      </c>
      <c r="W698" s="23">
        <f t="shared" si="135"/>
        <v>1.1039389937747137</v>
      </c>
      <c r="X698" s="904">
        <f t="shared" si="136"/>
        <v>624</v>
      </c>
      <c r="Y698" s="904">
        <f t="shared" si="136"/>
        <v>675</v>
      </c>
      <c r="Z698" s="904">
        <f t="shared" si="136"/>
        <v>660</v>
      </c>
      <c r="AA698" s="904">
        <f t="shared" si="136"/>
        <v>793</v>
      </c>
      <c r="AB698" s="24">
        <v>366</v>
      </c>
    </row>
    <row r="699" spans="1:29" x14ac:dyDescent="0.25">
      <c r="A699" s="903" t="s">
        <v>77</v>
      </c>
      <c r="B699" t="s">
        <v>1471</v>
      </c>
      <c r="C699" s="906" t="s">
        <v>1474</v>
      </c>
      <c r="D699" s="25">
        <v>0.97</v>
      </c>
      <c r="E699" s="903">
        <v>21</v>
      </c>
      <c r="F699" s="903">
        <v>4</v>
      </c>
      <c r="G699" s="903" t="s">
        <v>1475</v>
      </c>
      <c r="H699" s="904">
        <f t="shared" si="125"/>
        <v>5</v>
      </c>
      <c r="I699" s="904">
        <f t="shared" si="126"/>
        <v>10</v>
      </c>
      <c r="J699" s="21">
        <f t="shared" si="127"/>
        <v>6668</v>
      </c>
      <c r="K699" s="21">
        <f t="shared" si="128"/>
        <v>6668</v>
      </c>
      <c r="L699" s="21">
        <f t="shared" si="129"/>
        <v>10979</v>
      </c>
      <c r="M699" s="21">
        <f t="shared" si="130"/>
        <v>15290</v>
      </c>
      <c r="N699" s="904">
        <f t="shared" si="131"/>
        <v>4</v>
      </c>
      <c r="O699" s="21"/>
      <c r="P699" s="22" t="s">
        <v>2</v>
      </c>
      <c r="Q699" s="22">
        <v>0.63</v>
      </c>
      <c r="R699" s="904" t="s">
        <v>42</v>
      </c>
      <c r="S699" s="904" t="str">
        <f t="shared" si="132"/>
        <v>Stove</v>
      </c>
      <c r="T699" s="23">
        <f t="shared" si="133"/>
        <v>0.13985925256908471</v>
      </c>
      <c r="U699" s="23">
        <f t="shared" si="134"/>
        <v>0.32070305515616448</v>
      </c>
      <c r="V699" s="23">
        <f t="shared" si="134"/>
        <v>0.19477620655627151</v>
      </c>
      <c r="W699" s="23">
        <f t="shared" si="135"/>
        <v>0.32070305515616448</v>
      </c>
      <c r="X699" s="904">
        <f t="shared" si="136"/>
        <v>187</v>
      </c>
      <c r="Y699" s="904">
        <f t="shared" si="136"/>
        <v>127</v>
      </c>
      <c r="Z699" s="904">
        <f t="shared" si="136"/>
        <v>156</v>
      </c>
      <c r="AA699" s="904">
        <f t="shared" si="136"/>
        <v>72</v>
      </c>
      <c r="AB699" s="24">
        <v>31</v>
      </c>
    </row>
    <row r="700" spans="1:29" x14ac:dyDescent="0.25">
      <c r="A700" s="903"/>
      <c r="B700" t="s">
        <v>1476</v>
      </c>
      <c r="C700" s="906" t="s">
        <v>1477</v>
      </c>
      <c r="D700" s="25">
        <v>2.1</v>
      </c>
      <c r="E700" s="903">
        <v>145</v>
      </c>
      <c r="F700" s="903">
        <v>57</v>
      </c>
      <c r="G700" s="903" t="s">
        <v>1478</v>
      </c>
      <c r="H700" s="904">
        <f t="shared" si="125"/>
        <v>6</v>
      </c>
      <c r="I700" s="904">
        <f t="shared" si="126"/>
        <v>11</v>
      </c>
      <c r="J700" s="21">
        <f t="shared" si="127"/>
        <v>11100</v>
      </c>
      <c r="K700" s="21">
        <f t="shared" si="128"/>
        <v>15334.000000000002</v>
      </c>
      <c r="L700" s="21">
        <f t="shared" si="129"/>
        <v>28100</v>
      </c>
      <c r="M700" s="21">
        <f t="shared" si="130"/>
        <v>45100</v>
      </c>
      <c r="N700" s="904">
        <f t="shared" si="131"/>
        <v>831</v>
      </c>
      <c r="O700" s="21"/>
      <c r="P700" s="22" t="s">
        <v>2</v>
      </c>
      <c r="Q700" s="22">
        <v>0.83200000000000007</v>
      </c>
      <c r="R700" s="904" t="s">
        <v>15</v>
      </c>
      <c r="S700" s="904" t="str">
        <f t="shared" si="132"/>
        <v>Stove</v>
      </c>
      <c r="T700" s="23">
        <f t="shared" si="133"/>
        <v>0.10265254167693193</v>
      </c>
      <c r="U700" s="23">
        <f t="shared" si="134"/>
        <v>0.30191924022627031</v>
      </c>
      <c r="V700" s="23">
        <f t="shared" si="134"/>
        <v>0.16475550283379464</v>
      </c>
      <c r="W700" s="23">
        <f t="shared" si="135"/>
        <v>0.41708375041708373</v>
      </c>
      <c r="X700" s="904">
        <f t="shared" si="136"/>
        <v>91</v>
      </c>
      <c r="Y700" s="904">
        <f t="shared" si="136"/>
        <v>106</v>
      </c>
      <c r="Z700" s="904">
        <f t="shared" si="136"/>
        <v>95</v>
      </c>
      <c r="AA700" s="904">
        <f t="shared" si="136"/>
        <v>125</v>
      </c>
      <c r="AB700" s="24">
        <v>35</v>
      </c>
    </row>
    <row r="701" spans="1:29" x14ac:dyDescent="0.25">
      <c r="A701" s="903"/>
      <c r="B701" t="s">
        <v>1476</v>
      </c>
      <c r="C701" s="906" t="s">
        <v>1479</v>
      </c>
      <c r="D701" s="25">
        <v>2.1</v>
      </c>
      <c r="E701" s="903">
        <v>145</v>
      </c>
      <c r="F701" s="903">
        <v>57</v>
      </c>
      <c r="G701" s="903" t="s">
        <v>1478</v>
      </c>
      <c r="H701" s="904">
        <f t="shared" si="125"/>
        <v>6</v>
      </c>
      <c r="I701" s="904">
        <f t="shared" si="126"/>
        <v>11</v>
      </c>
      <c r="J701" s="21">
        <f t="shared" si="127"/>
        <v>11100</v>
      </c>
      <c r="K701" s="21">
        <f t="shared" si="128"/>
        <v>15334.000000000002</v>
      </c>
      <c r="L701" s="21">
        <f t="shared" si="129"/>
        <v>28100</v>
      </c>
      <c r="M701" s="21">
        <f t="shared" si="130"/>
        <v>45100</v>
      </c>
      <c r="N701" s="904">
        <f t="shared" si="131"/>
        <v>831</v>
      </c>
      <c r="O701" s="21"/>
      <c r="P701" s="22" t="s">
        <v>2</v>
      </c>
      <c r="Q701" s="22">
        <v>0.83200000000000007</v>
      </c>
      <c r="R701" s="904" t="s">
        <v>15</v>
      </c>
      <c r="S701" s="904" t="str">
        <f t="shared" si="132"/>
        <v>Stove</v>
      </c>
      <c r="T701" s="23">
        <f t="shared" si="133"/>
        <v>0.10265254167693193</v>
      </c>
      <c r="U701" s="23">
        <f t="shared" si="134"/>
        <v>0.30191924022627031</v>
      </c>
      <c r="V701" s="23">
        <f t="shared" si="134"/>
        <v>0.16475550283379464</v>
      </c>
      <c r="W701" s="23">
        <f t="shared" si="135"/>
        <v>0.41708375041708373</v>
      </c>
      <c r="X701" s="904">
        <f t="shared" si="136"/>
        <v>91</v>
      </c>
      <c r="Y701" s="904">
        <f t="shared" si="136"/>
        <v>106</v>
      </c>
      <c r="Z701" s="904">
        <f t="shared" si="136"/>
        <v>95</v>
      </c>
      <c r="AA701" s="904">
        <f t="shared" si="136"/>
        <v>125</v>
      </c>
      <c r="AB701" s="24">
        <v>35</v>
      </c>
    </row>
    <row r="702" spans="1:29" x14ac:dyDescent="0.25">
      <c r="A702" s="903"/>
      <c r="B702" t="s">
        <v>1480</v>
      </c>
      <c r="C702" s="906" t="s">
        <v>1481</v>
      </c>
      <c r="D702" s="25">
        <v>3.3</v>
      </c>
      <c r="E702" s="903">
        <v>393</v>
      </c>
      <c r="F702" s="903">
        <v>152</v>
      </c>
      <c r="G702" s="903" t="s">
        <v>1482</v>
      </c>
      <c r="H702" s="904">
        <f t="shared" si="125"/>
        <v>5</v>
      </c>
      <c r="I702" s="904">
        <f t="shared" si="126"/>
        <v>10</v>
      </c>
      <c r="J702" s="21">
        <f t="shared" si="127"/>
        <v>6500</v>
      </c>
      <c r="K702" s="21">
        <f t="shared" si="128"/>
        <v>25160</v>
      </c>
      <c r="L702" s="21">
        <f t="shared" si="129"/>
        <v>40250</v>
      </c>
      <c r="M702" s="21">
        <f t="shared" si="130"/>
        <v>74000</v>
      </c>
      <c r="N702" s="904">
        <f t="shared" si="131"/>
        <v>953</v>
      </c>
      <c r="O702" s="21"/>
      <c r="P702" s="22">
        <v>0.82599999999999996</v>
      </c>
      <c r="Q702" s="22">
        <v>0.63</v>
      </c>
      <c r="R702" s="904" t="s">
        <v>42</v>
      </c>
      <c r="S702" s="904" t="str">
        <f t="shared" si="132"/>
        <v>Stove</v>
      </c>
      <c r="T702" s="23">
        <f t="shared" si="133"/>
        <v>9.8312598312598309E-2</v>
      </c>
      <c r="U702" s="23">
        <f t="shared" si="134"/>
        <v>0.28915470091940682</v>
      </c>
      <c r="V702" s="23">
        <f t="shared" si="134"/>
        <v>0.18074862795359689</v>
      </c>
      <c r="W702" s="23">
        <f t="shared" si="135"/>
        <v>1.1192511192511192</v>
      </c>
      <c r="X702" s="904">
        <f t="shared" si="136"/>
        <v>81</v>
      </c>
      <c r="Y702" s="904">
        <f t="shared" si="136"/>
        <v>92</v>
      </c>
      <c r="Z702" s="904">
        <f t="shared" si="136"/>
        <v>132</v>
      </c>
      <c r="AA702" s="904">
        <f t="shared" si="136"/>
        <v>795</v>
      </c>
      <c r="AB702" s="24">
        <v>19</v>
      </c>
    </row>
    <row r="703" spans="1:29" x14ac:dyDescent="0.25">
      <c r="A703" s="903"/>
      <c r="B703" t="s">
        <v>1480</v>
      </c>
      <c r="C703" s="906" t="s">
        <v>1484</v>
      </c>
      <c r="D703" s="25">
        <v>4.5</v>
      </c>
      <c r="E703" s="903">
        <v>700</v>
      </c>
      <c r="F703" s="903">
        <v>376</v>
      </c>
      <c r="G703" s="903" t="s">
        <v>1485</v>
      </c>
      <c r="H703" s="904">
        <f t="shared" si="125"/>
        <v>5</v>
      </c>
      <c r="I703" s="904">
        <f t="shared" si="126"/>
        <v>10</v>
      </c>
      <c r="J703" s="21">
        <f t="shared" si="127"/>
        <v>8000</v>
      </c>
      <c r="K703" s="21">
        <f t="shared" si="128"/>
        <v>22100</v>
      </c>
      <c r="L703" s="21">
        <f t="shared" si="129"/>
        <v>36500</v>
      </c>
      <c r="M703" s="21">
        <f t="shared" si="130"/>
        <v>65000</v>
      </c>
      <c r="N703" s="904">
        <f t="shared" si="131"/>
        <v>946</v>
      </c>
      <c r="O703" s="21"/>
      <c r="P703" s="22">
        <v>0.84699999999999998</v>
      </c>
      <c r="Q703" s="22">
        <v>0.63</v>
      </c>
      <c r="R703" s="904" t="s">
        <v>42</v>
      </c>
      <c r="S703" s="904" t="str">
        <f t="shared" si="132"/>
        <v>Stove</v>
      </c>
      <c r="T703" s="23">
        <f t="shared" si="133"/>
        <v>0.15262515262515264</v>
      </c>
      <c r="U703" s="23">
        <f t="shared" si="134"/>
        <v>0.44889750772103715</v>
      </c>
      <c r="V703" s="23">
        <f t="shared" si="134"/>
        <v>0.27179821700369644</v>
      </c>
      <c r="W703" s="23">
        <f t="shared" si="135"/>
        <v>1.2400793650793651</v>
      </c>
      <c r="X703" s="904">
        <f t="shared" si="136"/>
        <v>222</v>
      </c>
      <c r="Y703" s="904">
        <f t="shared" si="136"/>
        <v>233</v>
      </c>
      <c r="Z703" s="904">
        <f t="shared" si="136"/>
        <v>289</v>
      </c>
      <c r="AA703" s="904">
        <f t="shared" si="136"/>
        <v>835</v>
      </c>
      <c r="AB703" s="24">
        <v>79</v>
      </c>
    </row>
    <row r="704" spans="1:29" x14ac:dyDescent="0.25">
      <c r="A704" s="903"/>
      <c r="B704" t="s">
        <v>1480</v>
      </c>
      <c r="C704" s="906" t="s">
        <v>1487</v>
      </c>
      <c r="D704" s="25">
        <v>3.1</v>
      </c>
      <c r="E704" s="903">
        <v>347</v>
      </c>
      <c r="F704" s="903">
        <v>146</v>
      </c>
      <c r="G704" s="903" t="s">
        <v>1488</v>
      </c>
      <c r="H704" s="904">
        <f t="shared" si="125"/>
        <v>5</v>
      </c>
      <c r="I704" s="904">
        <f t="shared" si="126"/>
        <v>10</v>
      </c>
      <c r="J704" s="21">
        <f t="shared" si="127"/>
        <v>8000</v>
      </c>
      <c r="K704" s="21">
        <f t="shared" si="128"/>
        <v>11492</v>
      </c>
      <c r="L704" s="21">
        <f t="shared" si="129"/>
        <v>20900</v>
      </c>
      <c r="M704" s="21">
        <f t="shared" si="130"/>
        <v>33800</v>
      </c>
      <c r="N704" s="904">
        <f t="shared" si="131"/>
        <v>394</v>
      </c>
      <c r="O704" s="21"/>
      <c r="P704" s="22" t="s">
        <v>2</v>
      </c>
      <c r="Q704" s="22">
        <v>0.72</v>
      </c>
      <c r="R704" s="904" t="s">
        <v>38</v>
      </c>
      <c r="S704" s="904" t="str">
        <f t="shared" si="132"/>
        <v>Stove</v>
      </c>
      <c r="T704" s="23">
        <f t="shared" si="133"/>
        <v>0.20219571501622785</v>
      </c>
      <c r="U704" s="23">
        <f t="shared" si="134"/>
        <v>0.59469327945949357</v>
      </c>
      <c r="V704" s="23">
        <f t="shared" si="134"/>
        <v>0.32699594103102875</v>
      </c>
      <c r="W704" s="23">
        <f t="shared" si="135"/>
        <v>0.8542768959435626</v>
      </c>
      <c r="X704" s="904">
        <f t="shared" si="136"/>
        <v>396</v>
      </c>
      <c r="Y704" s="904">
        <f t="shared" si="136"/>
        <v>432</v>
      </c>
      <c r="Z704" s="904">
        <f t="shared" si="136"/>
        <v>428</v>
      </c>
      <c r="AA704" s="904">
        <f t="shared" si="136"/>
        <v>602</v>
      </c>
      <c r="AB704" s="24">
        <v>173</v>
      </c>
      <c r="AC704" t="s">
        <v>1483</v>
      </c>
    </row>
    <row r="705" spans="1:29" x14ac:dyDescent="0.25">
      <c r="A705" s="903"/>
      <c r="B705" t="s">
        <v>1480</v>
      </c>
      <c r="C705" s="906" t="s">
        <v>1489</v>
      </c>
      <c r="D705" s="25">
        <v>2</v>
      </c>
      <c r="E705" s="903">
        <v>131</v>
      </c>
      <c r="F705" s="903">
        <v>54</v>
      </c>
      <c r="G705" s="903" t="s">
        <v>497</v>
      </c>
      <c r="H705" s="904">
        <f t="shared" si="125"/>
        <v>5</v>
      </c>
      <c r="I705" s="904">
        <f t="shared" si="126"/>
        <v>10</v>
      </c>
      <c r="J705" s="21">
        <f t="shared" si="127"/>
        <v>6500</v>
      </c>
      <c r="K705" s="21">
        <f t="shared" si="128"/>
        <v>13600.000000000002</v>
      </c>
      <c r="L705" s="21">
        <f t="shared" si="129"/>
        <v>23250</v>
      </c>
      <c r="M705" s="21">
        <f t="shared" si="130"/>
        <v>40000</v>
      </c>
      <c r="N705" s="904">
        <f t="shared" si="131"/>
        <v>566</v>
      </c>
      <c r="O705" s="21"/>
      <c r="P705" s="22" t="s">
        <v>2</v>
      </c>
      <c r="Q705" s="22">
        <v>0.78</v>
      </c>
      <c r="R705" s="904" t="s">
        <v>15</v>
      </c>
      <c r="S705" s="904" t="str">
        <f t="shared" si="132"/>
        <v>Stove</v>
      </c>
      <c r="T705" s="23">
        <f t="shared" si="133"/>
        <v>0.11022927689594356</v>
      </c>
      <c r="U705" s="23">
        <f t="shared" si="134"/>
        <v>0.32420375557630454</v>
      </c>
      <c r="V705" s="23">
        <f t="shared" si="134"/>
        <v>0.18964176670269861</v>
      </c>
      <c r="W705" s="23">
        <f t="shared" si="135"/>
        <v>0.67833401166734497</v>
      </c>
      <c r="X705" s="904">
        <f t="shared" si="136"/>
        <v>118</v>
      </c>
      <c r="Y705" s="904">
        <f t="shared" si="136"/>
        <v>131</v>
      </c>
      <c r="Z705" s="904">
        <f t="shared" si="136"/>
        <v>148</v>
      </c>
      <c r="AA705" s="904">
        <f t="shared" si="136"/>
        <v>391</v>
      </c>
      <c r="AB705" s="24">
        <v>47</v>
      </c>
      <c r="AC705" t="s">
        <v>1486</v>
      </c>
    </row>
    <row r="706" spans="1:29" x14ac:dyDescent="0.25">
      <c r="A706" s="903"/>
      <c r="B706" t="s">
        <v>1480</v>
      </c>
      <c r="C706" s="906" t="s">
        <v>1490</v>
      </c>
      <c r="D706" s="25">
        <v>1.88</v>
      </c>
      <c r="E706" s="903">
        <v>113</v>
      </c>
      <c r="F706" s="903">
        <v>47</v>
      </c>
      <c r="G706" s="903" t="s">
        <v>1491</v>
      </c>
      <c r="H706" s="904">
        <f t="shared" si="125"/>
        <v>6</v>
      </c>
      <c r="I706" s="904">
        <f t="shared" si="126"/>
        <v>11</v>
      </c>
      <c r="J706" s="21">
        <f t="shared" si="127"/>
        <v>25709</v>
      </c>
      <c r="K706" s="21">
        <f t="shared" si="128"/>
        <v>25709</v>
      </c>
      <c r="L706" s="21">
        <f t="shared" si="129"/>
        <v>27883.5</v>
      </c>
      <c r="M706" s="21">
        <f t="shared" si="130"/>
        <v>30058</v>
      </c>
      <c r="N706" s="904">
        <f t="shared" si="131"/>
        <v>824</v>
      </c>
      <c r="O706" s="21"/>
      <c r="P706" s="22" t="s">
        <v>2</v>
      </c>
      <c r="Q706" s="22">
        <v>0.78</v>
      </c>
      <c r="R706" s="904" t="s">
        <v>15</v>
      </c>
      <c r="S706" s="904" t="str">
        <f t="shared" si="132"/>
        <v>Stove</v>
      </c>
      <c r="T706" s="23">
        <f t="shared" si="133"/>
        <v>0.13788744464992606</v>
      </c>
      <c r="U706" s="23">
        <f t="shared" si="134"/>
        <v>0.16121283641088638</v>
      </c>
      <c r="V706" s="23">
        <f t="shared" si="134"/>
        <v>0.14864062299522934</v>
      </c>
      <c r="W706" s="23">
        <f t="shared" si="135"/>
        <v>0.16121283641088638</v>
      </c>
      <c r="X706" s="904">
        <f t="shared" si="136"/>
        <v>184</v>
      </c>
      <c r="Y706" s="904">
        <f t="shared" si="136"/>
        <v>24</v>
      </c>
      <c r="Z706" s="904">
        <f t="shared" si="136"/>
        <v>75</v>
      </c>
      <c r="AA706" s="904">
        <f t="shared" si="136"/>
        <v>16</v>
      </c>
      <c r="AB706" s="24">
        <v>12</v>
      </c>
    </row>
    <row r="707" spans="1:29" x14ac:dyDescent="0.25">
      <c r="A707" s="903"/>
      <c r="B707" t="s">
        <v>1480</v>
      </c>
      <c r="C707" s="906" t="s">
        <v>1492</v>
      </c>
      <c r="D707" s="25">
        <v>1.86</v>
      </c>
      <c r="E707" s="903">
        <v>112</v>
      </c>
      <c r="F707" s="903">
        <v>46</v>
      </c>
      <c r="G707" s="903" t="s">
        <v>1493</v>
      </c>
      <c r="H707" s="904">
        <f t="shared" si="125"/>
        <v>6</v>
      </c>
      <c r="I707" s="904">
        <f t="shared" si="126"/>
        <v>11</v>
      </c>
      <c r="J707" s="21">
        <f t="shared" si="127"/>
        <v>27827</v>
      </c>
      <c r="K707" s="21">
        <f t="shared" si="128"/>
        <v>27827</v>
      </c>
      <c r="L707" s="21">
        <f t="shared" si="129"/>
        <v>31751</v>
      </c>
      <c r="M707" s="21">
        <f t="shared" si="130"/>
        <v>35675</v>
      </c>
      <c r="N707" s="904">
        <f t="shared" si="131"/>
        <v>901</v>
      </c>
      <c r="O707" s="21"/>
      <c r="P707" s="22" t="s">
        <v>2</v>
      </c>
      <c r="Q707" s="22">
        <v>0.78</v>
      </c>
      <c r="R707" s="904" t="s">
        <v>15</v>
      </c>
      <c r="S707" s="904" t="str">
        <f t="shared" si="132"/>
        <v>Stove</v>
      </c>
      <c r="T707" s="23">
        <f t="shared" si="133"/>
        <v>0.11494125019002384</v>
      </c>
      <c r="U707" s="23">
        <f t="shared" si="134"/>
        <v>0.14735792936820713</v>
      </c>
      <c r="V707" s="23">
        <f t="shared" si="134"/>
        <v>0.1291464552464206</v>
      </c>
      <c r="W707" s="23">
        <f t="shared" si="135"/>
        <v>0.14735792936820713</v>
      </c>
      <c r="X707" s="904">
        <f t="shared" si="136"/>
        <v>126</v>
      </c>
      <c r="Y707" s="904">
        <f t="shared" si="136"/>
        <v>18</v>
      </c>
      <c r="Z707" s="904">
        <f t="shared" si="136"/>
        <v>57</v>
      </c>
      <c r="AA707" s="904">
        <f t="shared" si="136"/>
        <v>9</v>
      </c>
      <c r="AB707" s="24">
        <v>7</v>
      </c>
    </row>
    <row r="708" spans="1:29" x14ac:dyDescent="0.25">
      <c r="A708" s="903"/>
      <c r="B708" t="s">
        <v>1480</v>
      </c>
      <c r="C708" s="906" t="s">
        <v>1494</v>
      </c>
      <c r="D708" s="25">
        <v>3.3</v>
      </c>
      <c r="E708" s="903">
        <v>393</v>
      </c>
      <c r="F708" s="903">
        <v>152</v>
      </c>
      <c r="G708" s="903" t="s">
        <v>947</v>
      </c>
      <c r="H708" s="904">
        <f t="shared" si="125"/>
        <v>6</v>
      </c>
      <c r="I708" s="904">
        <f t="shared" si="126"/>
        <v>11</v>
      </c>
      <c r="J708" s="21">
        <f t="shared" si="127"/>
        <v>11500</v>
      </c>
      <c r="K708" s="21">
        <f t="shared" si="128"/>
        <v>11628</v>
      </c>
      <c r="L708" s="21">
        <f t="shared" si="129"/>
        <v>22850</v>
      </c>
      <c r="M708" s="21">
        <f t="shared" si="130"/>
        <v>34200</v>
      </c>
      <c r="N708" s="904">
        <f t="shared" si="131"/>
        <v>535</v>
      </c>
      <c r="O708" s="21"/>
      <c r="P708" s="22" t="s">
        <v>2</v>
      </c>
      <c r="Q708" s="22">
        <v>0.63</v>
      </c>
      <c r="R708" s="904" t="s">
        <v>42</v>
      </c>
      <c r="S708" s="904" t="str">
        <f t="shared" si="132"/>
        <v>Stove</v>
      </c>
      <c r="T708" s="23">
        <f t="shared" si="133"/>
        <v>0.21272316593954022</v>
      </c>
      <c r="U708" s="23">
        <f t="shared" si="134"/>
        <v>0.62565637041041244</v>
      </c>
      <c r="V708" s="23">
        <f t="shared" si="134"/>
        <v>0.31838653282854595</v>
      </c>
      <c r="W708" s="23">
        <f t="shared" si="135"/>
        <v>0.63262019783758916</v>
      </c>
      <c r="X708" s="904">
        <f t="shared" si="136"/>
        <v>436</v>
      </c>
      <c r="Y708" s="904">
        <f t="shared" si="136"/>
        <v>463</v>
      </c>
      <c r="Z708" s="904">
        <f t="shared" si="136"/>
        <v>408</v>
      </c>
      <c r="AA708" s="904">
        <f t="shared" si="136"/>
        <v>323</v>
      </c>
      <c r="AB708" s="24">
        <v>204</v>
      </c>
    </row>
    <row r="709" spans="1:29" x14ac:dyDescent="0.25">
      <c r="A709" s="903"/>
      <c r="B709" t="s">
        <v>1480</v>
      </c>
      <c r="C709" s="906" t="s">
        <v>1495</v>
      </c>
      <c r="D709" s="25">
        <v>4.0999999999999996</v>
      </c>
      <c r="E709" s="903">
        <v>594</v>
      </c>
      <c r="F709" s="903">
        <v>283</v>
      </c>
      <c r="G709" s="903" t="s">
        <v>337</v>
      </c>
      <c r="H709" s="904">
        <f t="shared" si="125"/>
        <v>6</v>
      </c>
      <c r="I709" s="904">
        <f t="shared" si="126"/>
        <v>11</v>
      </c>
      <c r="J709" s="21">
        <f t="shared" si="127"/>
        <v>11700</v>
      </c>
      <c r="K709" s="21">
        <f t="shared" si="128"/>
        <v>11700</v>
      </c>
      <c r="L709" s="21">
        <f t="shared" si="129"/>
        <v>22200</v>
      </c>
      <c r="M709" s="21">
        <f t="shared" si="130"/>
        <v>32700</v>
      </c>
      <c r="N709" s="904">
        <f t="shared" si="131"/>
        <v>493</v>
      </c>
      <c r="O709" s="21"/>
      <c r="P709" s="22" t="s">
        <v>2</v>
      </c>
      <c r="Q709" s="22">
        <v>0.63</v>
      </c>
      <c r="R709" s="904" t="s">
        <v>42</v>
      </c>
      <c r="S709" s="904" t="str">
        <f t="shared" si="132"/>
        <v>Stove</v>
      </c>
      <c r="T709" s="23">
        <f t="shared" si="133"/>
        <v>0.2764159237145985</v>
      </c>
      <c r="U709" s="23">
        <f t="shared" si="134"/>
        <v>0.7725470688433651</v>
      </c>
      <c r="V709" s="23">
        <f t="shared" si="134"/>
        <v>0.40715318493096264</v>
      </c>
      <c r="W709" s="23">
        <f t="shared" si="135"/>
        <v>0.7725470688433651</v>
      </c>
      <c r="X709" s="904">
        <f t="shared" si="136"/>
        <v>621</v>
      </c>
      <c r="Y709" s="904">
        <f t="shared" si="136"/>
        <v>632</v>
      </c>
      <c r="Z709" s="904">
        <f t="shared" si="136"/>
        <v>609</v>
      </c>
      <c r="AA709" s="904">
        <f t="shared" si="136"/>
        <v>494</v>
      </c>
      <c r="AB709" s="24">
        <v>328</v>
      </c>
    </row>
    <row r="710" spans="1:29" x14ac:dyDescent="0.25">
      <c r="A710" s="903"/>
      <c r="B710" t="s">
        <v>1480</v>
      </c>
      <c r="C710" s="906" t="s">
        <v>1496</v>
      </c>
      <c r="D710" s="25">
        <v>4.5</v>
      </c>
      <c r="E710" s="903">
        <v>700</v>
      </c>
      <c r="F710" s="903">
        <v>376</v>
      </c>
      <c r="G710" s="903" t="s">
        <v>1497</v>
      </c>
      <c r="H710" s="904">
        <f t="shared" si="125"/>
        <v>5</v>
      </c>
      <c r="I710" s="904">
        <f t="shared" si="126"/>
        <v>10</v>
      </c>
      <c r="J710" s="21">
        <f t="shared" si="127"/>
        <v>9400</v>
      </c>
      <c r="K710" s="21">
        <f t="shared" si="128"/>
        <v>10812</v>
      </c>
      <c r="L710" s="21">
        <f t="shared" si="129"/>
        <v>20600</v>
      </c>
      <c r="M710" s="21">
        <f t="shared" si="130"/>
        <v>31800</v>
      </c>
      <c r="N710" s="904">
        <f t="shared" si="131"/>
        <v>370</v>
      </c>
      <c r="O710" s="21"/>
      <c r="P710" s="22" t="s">
        <v>2</v>
      </c>
      <c r="Q710" s="22">
        <v>0.63</v>
      </c>
      <c r="R710" s="904" t="s">
        <v>42</v>
      </c>
      <c r="S710" s="904" t="str">
        <f t="shared" si="132"/>
        <v>Stove</v>
      </c>
      <c r="T710" s="23">
        <f t="shared" si="133"/>
        <v>0.31196965159229312</v>
      </c>
      <c r="U710" s="23">
        <f t="shared" si="134"/>
        <v>0.91755779880086208</v>
      </c>
      <c r="V710" s="23">
        <f t="shared" si="134"/>
        <v>0.4815842194482971</v>
      </c>
      <c r="W710" s="23">
        <f t="shared" si="135"/>
        <v>1.0553866936845659</v>
      </c>
      <c r="X710" s="904">
        <f t="shared" si="136"/>
        <v>699</v>
      </c>
      <c r="Y710" s="904">
        <f t="shared" si="136"/>
        <v>758</v>
      </c>
      <c r="Z710" s="904">
        <f t="shared" si="136"/>
        <v>716</v>
      </c>
      <c r="AA710" s="904">
        <f t="shared" si="136"/>
        <v>748</v>
      </c>
      <c r="AB710" s="24">
        <v>428</v>
      </c>
    </row>
    <row r="711" spans="1:29" x14ac:dyDescent="0.25">
      <c r="A711" s="903"/>
      <c r="B711" t="s">
        <v>1480</v>
      </c>
      <c r="C711" s="906" t="s">
        <v>1498</v>
      </c>
      <c r="D711" s="25">
        <v>1.96</v>
      </c>
      <c r="E711" s="903">
        <v>126</v>
      </c>
      <c r="F711" s="903">
        <v>49</v>
      </c>
      <c r="G711" s="903" t="s">
        <v>497</v>
      </c>
      <c r="H711" s="904">
        <f t="shared" si="125"/>
        <v>5</v>
      </c>
      <c r="I711" s="904">
        <f t="shared" si="126"/>
        <v>10</v>
      </c>
      <c r="J711" s="21">
        <f t="shared" si="127"/>
        <v>6500</v>
      </c>
      <c r="K711" s="21">
        <f t="shared" si="128"/>
        <v>13600.000000000002</v>
      </c>
      <c r="L711" s="21">
        <f t="shared" si="129"/>
        <v>23250</v>
      </c>
      <c r="M711" s="21">
        <f t="shared" si="130"/>
        <v>40000</v>
      </c>
      <c r="N711" s="904">
        <f t="shared" si="131"/>
        <v>566</v>
      </c>
      <c r="O711" s="21"/>
      <c r="P711" s="22" t="s">
        <v>2</v>
      </c>
      <c r="Q711" s="22">
        <v>0.78</v>
      </c>
      <c r="R711" s="904" t="s">
        <v>15</v>
      </c>
      <c r="S711" s="904" t="str">
        <f t="shared" si="132"/>
        <v>Stove</v>
      </c>
      <c r="T711" s="23">
        <f t="shared" si="133"/>
        <v>0.10802469135802469</v>
      </c>
      <c r="U711" s="23">
        <f t="shared" si="134"/>
        <v>0.31771968046477844</v>
      </c>
      <c r="V711" s="23">
        <f t="shared" si="134"/>
        <v>0.18584893136864464</v>
      </c>
      <c r="W711" s="23">
        <f t="shared" si="135"/>
        <v>0.66476733143399813</v>
      </c>
      <c r="X711" s="904">
        <f t="shared" si="136"/>
        <v>107</v>
      </c>
      <c r="Y711" s="904">
        <f t="shared" si="136"/>
        <v>123</v>
      </c>
      <c r="Z711" s="904">
        <f t="shared" si="136"/>
        <v>140</v>
      </c>
      <c r="AA711" s="904">
        <f t="shared" si="136"/>
        <v>367</v>
      </c>
      <c r="AB711" s="24">
        <v>43</v>
      </c>
    </row>
    <row r="712" spans="1:29" x14ac:dyDescent="0.25">
      <c r="A712" s="903"/>
      <c r="B712" t="s">
        <v>1480</v>
      </c>
      <c r="C712" s="906" t="s">
        <v>1499</v>
      </c>
      <c r="D712" s="25">
        <v>1.96</v>
      </c>
      <c r="E712" s="903">
        <v>126</v>
      </c>
      <c r="F712" s="903">
        <v>49</v>
      </c>
      <c r="G712" s="903" t="s">
        <v>497</v>
      </c>
      <c r="H712" s="904">
        <f t="shared" si="125"/>
        <v>5</v>
      </c>
      <c r="I712" s="904">
        <f t="shared" si="126"/>
        <v>10</v>
      </c>
      <c r="J712" s="21">
        <f t="shared" si="127"/>
        <v>6500</v>
      </c>
      <c r="K712" s="21">
        <f t="shared" si="128"/>
        <v>13600.000000000002</v>
      </c>
      <c r="L712" s="21">
        <f t="shared" si="129"/>
        <v>23250</v>
      </c>
      <c r="M712" s="21">
        <f t="shared" si="130"/>
        <v>40000</v>
      </c>
      <c r="N712" s="904">
        <f t="shared" si="131"/>
        <v>566</v>
      </c>
      <c r="O712" s="21"/>
      <c r="P712" s="22" t="s">
        <v>2</v>
      </c>
      <c r="Q712" s="22">
        <v>0.78</v>
      </c>
      <c r="R712" s="904" t="s">
        <v>15</v>
      </c>
      <c r="S712" s="904" t="str">
        <f t="shared" si="132"/>
        <v>Stove</v>
      </c>
      <c r="T712" s="23">
        <f t="shared" si="133"/>
        <v>0.10802469135802469</v>
      </c>
      <c r="U712" s="23">
        <f t="shared" si="134"/>
        <v>0.31771968046477844</v>
      </c>
      <c r="V712" s="23">
        <f t="shared" si="134"/>
        <v>0.18584893136864464</v>
      </c>
      <c r="W712" s="23">
        <f t="shared" si="135"/>
        <v>0.66476733143399813</v>
      </c>
      <c r="X712" s="904">
        <f t="shared" si="136"/>
        <v>107</v>
      </c>
      <c r="Y712" s="904">
        <f t="shared" si="136"/>
        <v>123</v>
      </c>
      <c r="Z712" s="904">
        <f t="shared" si="136"/>
        <v>140</v>
      </c>
      <c r="AA712" s="904">
        <f t="shared" si="136"/>
        <v>367</v>
      </c>
      <c r="AB712" s="24">
        <v>43</v>
      </c>
    </row>
    <row r="713" spans="1:29" x14ac:dyDescent="0.25">
      <c r="A713" s="903"/>
      <c r="B713" t="s">
        <v>1480</v>
      </c>
      <c r="C713" s="906" t="s">
        <v>1500</v>
      </c>
      <c r="D713" s="25">
        <v>1.25</v>
      </c>
      <c r="E713" s="903">
        <v>52</v>
      </c>
      <c r="F713" s="903">
        <v>24</v>
      </c>
      <c r="G713" s="903" t="s">
        <v>1501</v>
      </c>
      <c r="H713" s="904">
        <f t="shared" si="125"/>
        <v>5</v>
      </c>
      <c r="I713" s="904">
        <f t="shared" si="126"/>
        <v>10</v>
      </c>
      <c r="J713" s="21">
        <f t="shared" si="127"/>
        <v>6500</v>
      </c>
      <c r="K713" s="21">
        <f t="shared" si="128"/>
        <v>11560</v>
      </c>
      <c r="L713" s="21">
        <f t="shared" si="129"/>
        <v>20250</v>
      </c>
      <c r="M713" s="21">
        <f t="shared" si="130"/>
        <v>34000</v>
      </c>
      <c r="N713" s="904">
        <f t="shared" si="131"/>
        <v>344</v>
      </c>
      <c r="O713" s="21"/>
      <c r="P713" s="22" t="s">
        <v>2</v>
      </c>
      <c r="Q713" s="22">
        <v>0.78</v>
      </c>
      <c r="R713" s="904" t="s">
        <v>15</v>
      </c>
      <c r="S713" s="904" t="str">
        <f t="shared" si="132"/>
        <v>Stove</v>
      </c>
      <c r="T713" s="23">
        <f t="shared" si="133"/>
        <v>8.1050938894076149E-2</v>
      </c>
      <c r="U713" s="23">
        <f t="shared" si="134"/>
        <v>0.23838511439434162</v>
      </c>
      <c r="V713" s="23">
        <f t="shared" si="134"/>
        <v>0.13608552703202909</v>
      </c>
      <c r="W713" s="23">
        <f t="shared" si="135"/>
        <v>0.42395875729209065</v>
      </c>
      <c r="X713" s="904">
        <f t="shared" si="136"/>
        <v>53</v>
      </c>
      <c r="Y713" s="904">
        <f t="shared" si="136"/>
        <v>61</v>
      </c>
      <c r="Z713" s="904">
        <f t="shared" si="136"/>
        <v>63</v>
      </c>
      <c r="AA713" s="904">
        <f t="shared" si="136"/>
        <v>130</v>
      </c>
      <c r="AB713" s="24">
        <v>28</v>
      </c>
    </row>
    <row r="714" spans="1:29" x14ac:dyDescent="0.25">
      <c r="A714" s="903"/>
      <c r="B714" t="s">
        <v>1480</v>
      </c>
      <c r="C714" s="906" t="s">
        <v>1502</v>
      </c>
      <c r="D714" s="25">
        <v>1.96</v>
      </c>
      <c r="E714" s="903">
        <v>126</v>
      </c>
      <c r="F714" s="903">
        <v>49</v>
      </c>
      <c r="G714" s="903" t="s">
        <v>497</v>
      </c>
      <c r="H714" s="904">
        <f t="shared" si="125"/>
        <v>5</v>
      </c>
      <c r="I714" s="904">
        <f t="shared" si="126"/>
        <v>10</v>
      </c>
      <c r="J714" s="21">
        <f t="shared" si="127"/>
        <v>6500</v>
      </c>
      <c r="K714" s="21">
        <f t="shared" si="128"/>
        <v>13600.000000000002</v>
      </c>
      <c r="L714" s="21">
        <f t="shared" si="129"/>
        <v>23250</v>
      </c>
      <c r="M714" s="21">
        <f t="shared" si="130"/>
        <v>40000</v>
      </c>
      <c r="N714" s="904">
        <f t="shared" si="131"/>
        <v>566</v>
      </c>
      <c r="O714" s="21"/>
      <c r="P714" s="22" t="s">
        <v>2</v>
      </c>
      <c r="Q714" s="22">
        <v>0.78</v>
      </c>
      <c r="R714" s="904" t="s">
        <v>15</v>
      </c>
      <c r="S714" s="904" t="str">
        <f t="shared" si="132"/>
        <v>Stove</v>
      </c>
      <c r="T714" s="23">
        <f t="shared" si="133"/>
        <v>0.10802469135802469</v>
      </c>
      <c r="U714" s="23">
        <f t="shared" si="134"/>
        <v>0.31771968046477844</v>
      </c>
      <c r="V714" s="23">
        <f t="shared" si="134"/>
        <v>0.18584893136864464</v>
      </c>
      <c r="W714" s="23">
        <f t="shared" si="135"/>
        <v>0.66476733143399813</v>
      </c>
      <c r="X714" s="904">
        <f t="shared" si="136"/>
        <v>107</v>
      </c>
      <c r="Y714" s="904">
        <f t="shared" si="136"/>
        <v>123</v>
      </c>
      <c r="Z714" s="904">
        <f t="shared" si="136"/>
        <v>140</v>
      </c>
      <c r="AA714" s="904">
        <f t="shared" ref="AA714:AA777" si="137">RANK(W714,W$11:W$973,1)</f>
        <v>367</v>
      </c>
      <c r="AB714" s="24">
        <v>43</v>
      </c>
    </row>
    <row r="715" spans="1:29" x14ac:dyDescent="0.25">
      <c r="A715" s="903"/>
      <c r="B715" t="s">
        <v>1480</v>
      </c>
      <c r="C715" s="906" t="s">
        <v>1503</v>
      </c>
      <c r="D715" s="25">
        <v>2</v>
      </c>
      <c r="E715" s="903">
        <v>131</v>
      </c>
      <c r="F715" s="903">
        <v>54</v>
      </c>
      <c r="G715" s="903" t="s">
        <v>1504</v>
      </c>
      <c r="H715" s="904">
        <f t="shared" ref="H715:H778" si="138">FIND("-",$G715)</f>
        <v>5</v>
      </c>
      <c r="I715" s="904">
        <f t="shared" ref="I715:I778" si="139">LEN($G715)</f>
        <v>10</v>
      </c>
      <c r="J715" s="21">
        <f t="shared" ref="J715:J778" si="140">VALUE(LEFT($G715,H715-1))</f>
        <v>9263</v>
      </c>
      <c r="K715" s="21">
        <f t="shared" ref="K715:K778" si="141">IF(K$8*M715&gt;J715,K$8*M715,J715)</f>
        <v>15462.52</v>
      </c>
      <c r="L715" s="21">
        <f t="shared" ref="L715:L778" si="142">AVERAGE(J715,M715)</f>
        <v>27370.5</v>
      </c>
      <c r="M715" s="21">
        <f t="shared" ref="M715:M778" si="143">VALUE(RIGHT($G715,I715-H715))</f>
        <v>45478</v>
      </c>
      <c r="N715" s="904">
        <f t="shared" ref="N715:N778" si="144">RANK($L715,$L$11:$L$973,1)</f>
        <v>806</v>
      </c>
      <c r="O715" s="21"/>
      <c r="P715" s="22" t="s">
        <v>2</v>
      </c>
      <c r="Q715" s="22">
        <v>0.78</v>
      </c>
      <c r="R715" s="904" t="s">
        <v>15</v>
      </c>
      <c r="S715" s="904" t="str">
        <f t="shared" ref="S715:S778" si="145">IF(AND(ISERROR(FIND("Insert",B715&amp;C715)),ISERROR(FIND("insert",B715&amp;C715))),"Stove","Insert")</f>
        <v>Stove</v>
      </c>
      <c r="T715" s="23">
        <f t="shared" ref="T715:T778" si="146">$D715*10^6/(M715*453.6)</f>
        <v>9.695173657235899E-2</v>
      </c>
      <c r="U715" s="23">
        <f t="shared" ref="U715:V778" si="147">$D715*10^6/(K715*453.6)</f>
        <v>0.28515216638929114</v>
      </c>
      <c r="V715" s="23">
        <f t="shared" si="147"/>
        <v>0.16109209096793051</v>
      </c>
      <c r="W715" s="23">
        <f t="shared" ref="W715:W778" si="148">$D715*10^6/(J715*453.6)</f>
        <v>0.47599817292861307</v>
      </c>
      <c r="X715" s="904">
        <f t="shared" ref="X715:AA778" si="149">RANK(T715,T$11:T$973,1)</f>
        <v>77</v>
      </c>
      <c r="Y715" s="904">
        <f t="shared" si="149"/>
        <v>87</v>
      </c>
      <c r="Z715" s="904">
        <f t="shared" si="149"/>
        <v>94</v>
      </c>
      <c r="AA715" s="904">
        <f t="shared" si="137"/>
        <v>168</v>
      </c>
      <c r="AB715" s="24">
        <v>32</v>
      </c>
    </row>
    <row r="716" spans="1:29" x14ac:dyDescent="0.25">
      <c r="A716" s="903"/>
      <c r="B716" t="s">
        <v>1480</v>
      </c>
      <c r="C716" s="906" t="s">
        <v>1505</v>
      </c>
      <c r="D716" s="25">
        <v>3.18</v>
      </c>
      <c r="E716" s="903">
        <v>375</v>
      </c>
      <c r="F716" s="903">
        <v>74</v>
      </c>
      <c r="G716" s="903" t="s">
        <v>1506</v>
      </c>
      <c r="H716" s="904">
        <f t="shared" si="138"/>
        <v>6</v>
      </c>
      <c r="I716" s="904">
        <f t="shared" si="139"/>
        <v>11</v>
      </c>
      <c r="J716" s="21">
        <f t="shared" si="140"/>
        <v>52453</v>
      </c>
      <c r="K716" s="21">
        <f t="shared" si="141"/>
        <v>52453</v>
      </c>
      <c r="L716" s="21">
        <f t="shared" si="142"/>
        <v>56722.5</v>
      </c>
      <c r="M716" s="21">
        <f t="shared" si="143"/>
        <v>60992</v>
      </c>
      <c r="N716" s="904">
        <f t="shared" si="144"/>
        <v>963</v>
      </c>
      <c r="O716" s="21"/>
      <c r="P716" s="22" t="s">
        <v>2</v>
      </c>
      <c r="Q716" s="22">
        <v>0.78</v>
      </c>
      <c r="R716" s="904" t="s">
        <v>15</v>
      </c>
      <c r="S716" s="904" t="str">
        <f t="shared" si="145"/>
        <v>Stove</v>
      </c>
      <c r="T716" s="23">
        <f t="shared" si="146"/>
        <v>0.11494264838965781</v>
      </c>
      <c r="U716" s="23">
        <f t="shared" si="147"/>
        <v>0.1336545480827028</v>
      </c>
      <c r="V716" s="23">
        <f t="shared" si="147"/>
        <v>0.12359437631595946</v>
      </c>
      <c r="W716" s="23">
        <f t="shared" si="148"/>
        <v>0.1336545480827028</v>
      </c>
      <c r="X716" s="904">
        <f t="shared" si="149"/>
        <v>128</v>
      </c>
      <c r="Y716" s="904">
        <f t="shared" si="149"/>
        <v>15</v>
      </c>
      <c r="Z716" s="904">
        <f t="shared" si="149"/>
        <v>52</v>
      </c>
      <c r="AA716" s="904">
        <f t="shared" si="137"/>
        <v>6</v>
      </c>
      <c r="AB716" s="24">
        <v>6</v>
      </c>
    </row>
    <row r="717" spans="1:29" x14ac:dyDescent="0.25">
      <c r="A717" s="903"/>
      <c r="B717" t="s">
        <v>1480</v>
      </c>
      <c r="C717" s="906" t="s">
        <v>1507</v>
      </c>
      <c r="D717" s="25">
        <v>2.2400000000000002</v>
      </c>
      <c r="E717" s="903">
        <v>180</v>
      </c>
      <c r="F717" s="903">
        <v>63</v>
      </c>
      <c r="G717" s="903" t="s">
        <v>1508</v>
      </c>
      <c r="H717" s="904">
        <f t="shared" si="138"/>
        <v>6</v>
      </c>
      <c r="I717" s="904">
        <f t="shared" si="139"/>
        <v>11</v>
      </c>
      <c r="J717" s="21">
        <f t="shared" si="140"/>
        <v>32566</v>
      </c>
      <c r="K717" s="21">
        <f t="shared" si="141"/>
        <v>32566</v>
      </c>
      <c r="L717" s="21">
        <f t="shared" si="142"/>
        <v>37764.5</v>
      </c>
      <c r="M717" s="21">
        <f t="shared" si="143"/>
        <v>42963</v>
      </c>
      <c r="N717" s="904">
        <f t="shared" si="144"/>
        <v>948</v>
      </c>
      <c r="O717" s="21"/>
      <c r="P717" s="22" t="s">
        <v>2</v>
      </c>
      <c r="Q717" s="22">
        <v>0.78</v>
      </c>
      <c r="R717" s="904" t="s">
        <v>15</v>
      </c>
      <c r="S717" s="904" t="str">
        <f t="shared" si="145"/>
        <v>Stove</v>
      </c>
      <c r="T717" s="23">
        <f t="shared" si="146"/>
        <v>0.11494242964733076</v>
      </c>
      <c r="U717" s="23">
        <f t="shared" si="147"/>
        <v>0.15163887505184154</v>
      </c>
      <c r="V717" s="23">
        <f t="shared" si="147"/>
        <v>0.13076491426970493</v>
      </c>
      <c r="W717" s="23">
        <f t="shared" si="148"/>
        <v>0.15163887505184154</v>
      </c>
      <c r="X717" s="904">
        <f t="shared" si="149"/>
        <v>127</v>
      </c>
      <c r="Y717" s="904">
        <f t="shared" si="149"/>
        <v>20</v>
      </c>
      <c r="Z717" s="904">
        <f t="shared" si="149"/>
        <v>58</v>
      </c>
      <c r="AA717" s="904">
        <f t="shared" si="137"/>
        <v>11</v>
      </c>
      <c r="AB717" s="24">
        <v>9</v>
      </c>
    </row>
    <row r="718" spans="1:29" x14ac:dyDescent="0.25">
      <c r="A718" s="903"/>
      <c r="B718" t="s">
        <v>1480</v>
      </c>
      <c r="C718" s="906" t="s">
        <v>1509</v>
      </c>
      <c r="D718" s="25">
        <v>1.6</v>
      </c>
      <c r="E718" s="903">
        <v>86</v>
      </c>
      <c r="F718" s="903">
        <v>22</v>
      </c>
      <c r="G718" s="903" t="s">
        <v>1510</v>
      </c>
      <c r="H718" s="904">
        <f t="shared" si="138"/>
        <v>5</v>
      </c>
      <c r="I718" s="904">
        <f t="shared" si="139"/>
        <v>10</v>
      </c>
      <c r="J718" s="21">
        <f t="shared" si="140"/>
        <v>8378</v>
      </c>
      <c r="K718" s="21">
        <f t="shared" si="141"/>
        <v>8378</v>
      </c>
      <c r="L718" s="21">
        <f t="shared" si="142"/>
        <v>15933</v>
      </c>
      <c r="M718" s="21">
        <f t="shared" si="143"/>
        <v>23488</v>
      </c>
      <c r="N718" s="904">
        <f t="shared" si="144"/>
        <v>63</v>
      </c>
      <c r="O718" s="21"/>
      <c r="P718" s="22" t="s">
        <v>2</v>
      </c>
      <c r="Q718" s="22">
        <v>0.63</v>
      </c>
      <c r="R718" s="904" t="s">
        <v>42</v>
      </c>
      <c r="S718" s="904" t="str">
        <f t="shared" si="145"/>
        <v>Stove</v>
      </c>
      <c r="T718" s="23">
        <f t="shared" si="146"/>
        <v>0.150176126561231</v>
      </c>
      <c r="U718" s="23">
        <f t="shared" si="147"/>
        <v>0.42102373605516757</v>
      </c>
      <c r="V718" s="23">
        <f t="shared" si="147"/>
        <v>0.22138560601708365</v>
      </c>
      <c r="W718" s="23">
        <f t="shared" si="148"/>
        <v>0.42102373605516757</v>
      </c>
      <c r="X718" s="904">
        <f t="shared" si="149"/>
        <v>215</v>
      </c>
      <c r="Y718" s="904">
        <f t="shared" si="149"/>
        <v>203</v>
      </c>
      <c r="Z718" s="904">
        <f t="shared" si="149"/>
        <v>185</v>
      </c>
      <c r="AA718" s="904">
        <f t="shared" si="137"/>
        <v>127</v>
      </c>
      <c r="AB718" s="24">
        <v>63</v>
      </c>
    </row>
    <row r="719" spans="1:29" x14ac:dyDescent="0.25">
      <c r="A719" s="903"/>
      <c r="B719" t="s">
        <v>1480</v>
      </c>
      <c r="C719" s="906" t="s">
        <v>1509</v>
      </c>
      <c r="D719" s="25">
        <v>1.6</v>
      </c>
      <c r="E719" s="903">
        <v>86</v>
      </c>
      <c r="F719" s="903">
        <v>37</v>
      </c>
      <c r="G719" s="903" t="s">
        <v>1511</v>
      </c>
      <c r="H719" s="904">
        <f t="shared" si="138"/>
        <v>6</v>
      </c>
      <c r="I719" s="904">
        <f t="shared" si="139"/>
        <v>11</v>
      </c>
      <c r="J719" s="21">
        <f t="shared" si="140"/>
        <v>22585</v>
      </c>
      <c r="K719" s="21">
        <f t="shared" si="141"/>
        <v>22585</v>
      </c>
      <c r="L719" s="21">
        <f t="shared" si="142"/>
        <v>26349</v>
      </c>
      <c r="M719" s="21">
        <f t="shared" si="143"/>
        <v>30113</v>
      </c>
      <c r="N719" s="904">
        <f t="shared" si="144"/>
        <v>760</v>
      </c>
      <c r="O719" s="21"/>
      <c r="P719" s="22" t="s">
        <v>2</v>
      </c>
      <c r="Q719" s="22">
        <v>0.78</v>
      </c>
      <c r="R719" s="904" t="s">
        <v>15</v>
      </c>
      <c r="S719" s="904" t="str">
        <f t="shared" si="145"/>
        <v>Stove</v>
      </c>
      <c r="T719" s="23">
        <f t="shared" si="146"/>
        <v>0.11713668052569301</v>
      </c>
      <c r="U719" s="23">
        <f t="shared" si="147"/>
        <v>0.15618051187381865</v>
      </c>
      <c r="V719" s="23">
        <f t="shared" si="147"/>
        <v>0.13386985694600151</v>
      </c>
      <c r="W719" s="23">
        <f t="shared" si="148"/>
        <v>0.15618051187381865</v>
      </c>
      <c r="X719" s="904">
        <f t="shared" si="149"/>
        <v>131</v>
      </c>
      <c r="Y719" s="904">
        <f t="shared" si="149"/>
        <v>22</v>
      </c>
      <c r="Z719" s="904">
        <f t="shared" si="149"/>
        <v>62</v>
      </c>
      <c r="AA719" s="904">
        <f t="shared" si="137"/>
        <v>13</v>
      </c>
      <c r="AB719" s="24">
        <v>10</v>
      </c>
    </row>
    <row r="720" spans="1:29" x14ac:dyDescent="0.25">
      <c r="A720" s="903"/>
      <c r="B720" t="s">
        <v>1480</v>
      </c>
      <c r="C720" s="906" t="s">
        <v>1512</v>
      </c>
      <c r="D720" s="25">
        <v>3.5</v>
      </c>
      <c r="E720" s="903">
        <v>432</v>
      </c>
      <c r="F720" s="903">
        <v>181</v>
      </c>
      <c r="G720" s="903" t="s">
        <v>339</v>
      </c>
      <c r="H720" s="904">
        <f t="shared" si="138"/>
        <v>6</v>
      </c>
      <c r="I720" s="904">
        <f t="shared" si="139"/>
        <v>11</v>
      </c>
      <c r="J720" s="21">
        <f t="shared" si="140"/>
        <v>11500</v>
      </c>
      <c r="K720" s="21">
        <f t="shared" si="141"/>
        <v>11500</v>
      </c>
      <c r="L720" s="21">
        <f t="shared" si="142"/>
        <v>22550</v>
      </c>
      <c r="M720" s="21">
        <f t="shared" si="143"/>
        <v>33600</v>
      </c>
      <c r="N720" s="904">
        <f t="shared" si="144"/>
        <v>516</v>
      </c>
      <c r="O720" s="21"/>
      <c r="P720" s="22" t="s">
        <v>2</v>
      </c>
      <c r="Q720" s="22">
        <v>0.63</v>
      </c>
      <c r="R720" s="904" t="s">
        <v>42</v>
      </c>
      <c r="S720" s="904" t="str">
        <f t="shared" si="145"/>
        <v>Stove</v>
      </c>
      <c r="T720" s="23">
        <f t="shared" si="146"/>
        <v>0.22964432686654909</v>
      </c>
      <c r="U720" s="23">
        <f t="shared" si="147"/>
        <v>0.6709608158883521</v>
      </c>
      <c r="V720" s="23">
        <f t="shared" si="147"/>
        <v>0.34217513892310641</v>
      </c>
      <c r="W720" s="23">
        <f t="shared" si="148"/>
        <v>0.6709608158883521</v>
      </c>
      <c r="X720" s="904">
        <f t="shared" si="149"/>
        <v>493</v>
      </c>
      <c r="Y720" s="904">
        <f t="shared" si="149"/>
        <v>529</v>
      </c>
      <c r="Z720" s="904">
        <f t="shared" si="149"/>
        <v>470</v>
      </c>
      <c r="AA720" s="904">
        <f t="shared" si="137"/>
        <v>383</v>
      </c>
      <c r="AB720" s="24">
        <v>254</v>
      </c>
    </row>
    <row r="721" spans="1:28" x14ac:dyDescent="0.25">
      <c r="A721" s="903"/>
      <c r="B721" t="s">
        <v>1480</v>
      </c>
      <c r="C721" s="906" t="s">
        <v>1513</v>
      </c>
      <c r="D721" s="25">
        <v>2.9</v>
      </c>
      <c r="E721" s="903">
        <v>295</v>
      </c>
      <c r="F721" s="903">
        <v>96</v>
      </c>
      <c r="G721" s="903" t="s">
        <v>343</v>
      </c>
      <c r="H721" s="904">
        <f t="shared" si="138"/>
        <v>6</v>
      </c>
      <c r="I721" s="904">
        <f t="shared" si="139"/>
        <v>11</v>
      </c>
      <c r="J721" s="21">
        <f t="shared" si="140"/>
        <v>11800</v>
      </c>
      <c r="K721" s="21">
        <f t="shared" si="141"/>
        <v>11800</v>
      </c>
      <c r="L721" s="21">
        <f t="shared" si="142"/>
        <v>22900</v>
      </c>
      <c r="M721" s="21">
        <f t="shared" si="143"/>
        <v>34000</v>
      </c>
      <c r="N721" s="904">
        <f t="shared" si="144"/>
        <v>539</v>
      </c>
      <c r="O721" s="21"/>
      <c r="P721" s="22" t="s">
        <v>2</v>
      </c>
      <c r="Q721" s="22">
        <v>0.63</v>
      </c>
      <c r="R721" s="904" t="s">
        <v>42</v>
      </c>
      <c r="S721" s="904" t="str">
        <f t="shared" si="145"/>
        <v>Stove</v>
      </c>
      <c r="T721" s="23">
        <f t="shared" si="146"/>
        <v>0.18803817823425667</v>
      </c>
      <c r="U721" s="23">
        <f t="shared" si="147"/>
        <v>0.54180492033599381</v>
      </c>
      <c r="V721" s="23">
        <f t="shared" si="147"/>
        <v>0.27918332139583957</v>
      </c>
      <c r="W721" s="23">
        <f t="shared" si="148"/>
        <v>0.54180492033599381</v>
      </c>
      <c r="X721" s="904">
        <f t="shared" si="149"/>
        <v>330</v>
      </c>
      <c r="Y721" s="904">
        <f t="shared" si="149"/>
        <v>355</v>
      </c>
      <c r="Z721" s="904">
        <f t="shared" si="149"/>
        <v>303</v>
      </c>
      <c r="AA721" s="904">
        <f t="shared" si="137"/>
        <v>239</v>
      </c>
      <c r="AB721" s="24">
        <v>143</v>
      </c>
    </row>
    <row r="722" spans="1:28" x14ac:dyDescent="0.25">
      <c r="A722" s="903"/>
      <c r="B722" t="s">
        <v>1480</v>
      </c>
      <c r="C722" s="906" t="s">
        <v>1514</v>
      </c>
      <c r="D722" s="25">
        <v>6.5</v>
      </c>
      <c r="E722" s="903">
        <v>875</v>
      </c>
      <c r="F722" s="903">
        <v>521</v>
      </c>
      <c r="G722" s="903" t="s">
        <v>391</v>
      </c>
      <c r="H722" s="904">
        <f t="shared" si="138"/>
        <v>6</v>
      </c>
      <c r="I722" s="904">
        <f t="shared" si="139"/>
        <v>11</v>
      </c>
      <c r="J722" s="21">
        <f t="shared" si="140"/>
        <v>10200</v>
      </c>
      <c r="K722" s="21">
        <f t="shared" si="141"/>
        <v>10472</v>
      </c>
      <c r="L722" s="21">
        <f t="shared" si="142"/>
        <v>20500</v>
      </c>
      <c r="M722" s="21">
        <f t="shared" si="143"/>
        <v>30800</v>
      </c>
      <c r="N722" s="904">
        <f t="shared" si="144"/>
        <v>362</v>
      </c>
      <c r="O722" s="21"/>
      <c r="P722" s="22" t="s">
        <v>2</v>
      </c>
      <c r="Q722" s="22">
        <v>0.63</v>
      </c>
      <c r="R722" s="904" t="s">
        <v>42</v>
      </c>
      <c r="S722" s="904" t="str">
        <f t="shared" si="145"/>
        <v>Stove</v>
      </c>
      <c r="T722" s="23">
        <f t="shared" si="146"/>
        <v>0.46525344144391761</v>
      </c>
      <c r="U722" s="23">
        <f t="shared" si="147"/>
        <v>1.3683924748350518</v>
      </c>
      <c r="V722" s="23">
        <f t="shared" si="147"/>
        <v>0.69901492665720311</v>
      </c>
      <c r="W722" s="23">
        <f t="shared" si="148"/>
        <v>1.4048829408306533</v>
      </c>
      <c r="X722" s="904">
        <f t="shared" si="149"/>
        <v>876</v>
      </c>
      <c r="Y722" s="904">
        <f t="shared" si="149"/>
        <v>921</v>
      </c>
      <c r="Z722" s="904">
        <f t="shared" si="149"/>
        <v>880</v>
      </c>
      <c r="AA722" s="904">
        <f t="shared" si="137"/>
        <v>896</v>
      </c>
      <c r="AB722" s="24">
        <v>566</v>
      </c>
    </row>
    <row r="723" spans="1:28" x14ac:dyDescent="0.25">
      <c r="A723" s="903"/>
      <c r="B723" t="s">
        <v>1480</v>
      </c>
      <c r="C723" s="906" t="s">
        <v>1515</v>
      </c>
      <c r="D723" s="25">
        <v>7</v>
      </c>
      <c r="E723" s="903">
        <v>907</v>
      </c>
      <c r="F723" s="903">
        <v>550</v>
      </c>
      <c r="G723" s="903" t="s">
        <v>385</v>
      </c>
      <c r="H723" s="904">
        <f t="shared" si="138"/>
        <v>6</v>
      </c>
      <c r="I723" s="904">
        <f t="shared" si="139"/>
        <v>11</v>
      </c>
      <c r="J723" s="21">
        <f t="shared" si="140"/>
        <v>11700</v>
      </c>
      <c r="K723" s="21">
        <f t="shared" si="141"/>
        <v>11700</v>
      </c>
      <c r="L723" s="21">
        <f t="shared" si="142"/>
        <v>17400</v>
      </c>
      <c r="M723" s="21">
        <f t="shared" si="143"/>
        <v>23100</v>
      </c>
      <c r="N723" s="904">
        <f t="shared" si="144"/>
        <v>124</v>
      </c>
      <c r="O723" s="21"/>
      <c r="P723" s="22" t="s">
        <v>2</v>
      </c>
      <c r="Q723" s="22">
        <v>0.63</v>
      </c>
      <c r="R723" s="904" t="s">
        <v>42</v>
      </c>
      <c r="S723" s="904" t="str">
        <f t="shared" si="145"/>
        <v>Stove</v>
      </c>
      <c r="T723" s="23">
        <f t="shared" si="146"/>
        <v>0.66805622361177919</v>
      </c>
      <c r="U723" s="23">
        <f t="shared" si="147"/>
        <v>1.3189828004642818</v>
      </c>
      <c r="V723" s="23">
        <f t="shared" si="147"/>
        <v>0.88690222789839646</v>
      </c>
      <c r="W723" s="23">
        <f t="shared" si="148"/>
        <v>1.3189828004642818</v>
      </c>
      <c r="X723" s="904">
        <f t="shared" si="149"/>
        <v>950</v>
      </c>
      <c r="Y723" s="904">
        <f t="shared" si="149"/>
        <v>907</v>
      </c>
      <c r="Z723" s="904">
        <f t="shared" si="149"/>
        <v>942</v>
      </c>
      <c r="AA723" s="904">
        <f t="shared" si="137"/>
        <v>861</v>
      </c>
      <c r="AB723" s="24">
        <v>552</v>
      </c>
    </row>
    <row r="724" spans="1:28" x14ac:dyDescent="0.25">
      <c r="A724" s="903"/>
      <c r="B724" t="s">
        <v>1480</v>
      </c>
      <c r="C724" s="906" t="s">
        <v>1516</v>
      </c>
      <c r="D724" s="25">
        <v>3.2</v>
      </c>
      <c r="E724" s="903">
        <v>376</v>
      </c>
      <c r="F724" s="903">
        <v>141</v>
      </c>
      <c r="G724" s="903" t="s">
        <v>388</v>
      </c>
      <c r="H724" s="904">
        <f t="shared" si="138"/>
        <v>6</v>
      </c>
      <c r="I724" s="904">
        <f t="shared" si="139"/>
        <v>11</v>
      </c>
      <c r="J724" s="21">
        <f t="shared" si="140"/>
        <v>11000</v>
      </c>
      <c r="K724" s="21">
        <f t="shared" si="141"/>
        <v>11000</v>
      </c>
      <c r="L724" s="21">
        <f t="shared" si="142"/>
        <v>21050</v>
      </c>
      <c r="M724" s="21">
        <f t="shared" si="143"/>
        <v>31100</v>
      </c>
      <c r="N724" s="904">
        <f t="shared" si="144"/>
        <v>410</v>
      </c>
      <c r="O724" s="21"/>
      <c r="P724" s="22" t="s">
        <v>2</v>
      </c>
      <c r="Q724" s="22">
        <v>0.63</v>
      </c>
      <c r="R724" s="904" t="s">
        <v>42</v>
      </c>
      <c r="S724" s="904" t="str">
        <f t="shared" si="145"/>
        <v>Stove</v>
      </c>
      <c r="T724" s="23">
        <f t="shared" si="146"/>
        <v>0.22683838332284206</v>
      </c>
      <c r="U724" s="23">
        <f t="shared" si="147"/>
        <v>0.64133397466730802</v>
      </c>
      <c r="V724" s="23">
        <f t="shared" si="147"/>
        <v>0.33513889412543413</v>
      </c>
      <c r="W724" s="23">
        <f t="shared" si="148"/>
        <v>0.64133397466730802</v>
      </c>
      <c r="X724" s="904">
        <f t="shared" si="149"/>
        <v>482</v>
      </c>
      <c r="Y724" s="904">
        <f t="shared" si="149"/>
        <v>484</v>
      </c>
      <c r="Z724" s="904">
        <f t="shared" si="149"/>
        <v>452</v>
      </c>
      <c r="AA724" s="904">
        <f t="shared" si="137"/>
        <v>335</v>
      </c>
      <c r="AB724" s="24">
        <v>224</v>
      </c>
    </row>
    <row r="725" spans="1:28" x14ac:dyDescent="0.25">
      <c r="A725" s="903" t="s">
        <v>77</v>
      </c>
      <c r="B725" t="s">
        <v>1517</v>
      </c>
      <c r="C725" s="906" t="s">
        <v>1518</v>
      </c>
      <c r="D725" s="25">
        <v>6.6</v>
      </c>
      <c r="E725" s="903">
        <v>884</v>
      </c>
      <c r="F725" s="903">
        <v>529</v>
      </c>
      <c r="G725" s="903" t="s">
        <v>1519</v>
      </c>
      <c r="H725" s="904">
        <f t="shared" si="138"/>
        <v>6</v>
      </c>
      <c r="I725" s="904">
        <f t="shared" si="139"/>
        <v>11</v>
      </c>
      <c r="J725" s="21">
        <f t="shared" si="140"/>
        <v>11000</v>
      </c>
      <c r="K725" s="21">
        <f t="shared" si="141"/>
        <v>12376</v>
      </c>
      <c r="L725" s="21">
        <f t="shared" si="142"/>
        <v>23700</v>
      </c>
      <c r="M725" s="21">
        <f t="shared" si="143"/>
        <v>36400</v>
      </c>
      <c r="N725" s="904">
        <f t="shared" si="144"/>
        <v>605</v>
      </c>
      <c r="O725" s="21"/>
      <c r="P725" s="22" t="s">
        <v>2</v>
      </c>
      <c r="Q725" s="22">
        <v>0.63</v>
      </c>
      <c r="R725" s="904" t="s">
        <v>42</v>
      </c>
      <c r="S725" s="904" t="str">
        <f t="shared" si="145"/>
        <v>Stove</v>
      </c>
      <c r="T725" s="23">
        <f t="shared" si="146"/>
        <v>0.39973254258968544</v>
      </c>
      <c r="U725" s="23">
        <f t="shared" si="147"/>
        <v>1.1756839487931923</v>
      </c>
      <c r="V725" s="23">
        <f t="shared" si="147"/>
        <v>0.61393521309133126</v>
      </c>
      <c r="W725" s="23">
        <f t="shared" si="148"/>
        <v>1.3227513227513228</v>
      </c>
      <c r="X725" s="904">
        <f t="shared" si="149"/>
        <v>829</v>
      </c>
      <c r="Y725" s="904">
        <f t="shared" si="149"/>
        <v>880</v>
      </c>
      <c r="Z725" s="904">
        <f t="shared" si="149"/>
        <v>847</v>
      </c>
      <c r="AA725" s="904">
        <f t="shared" si="137"/>
        <v>866</v>
      </c>
      <c r="AB725" s="24">
        <v>527</v>
      </c>
    </row>
    <row r="726" spans="1:28" x14ac:dyDescent="0.25">
      <c r="A726" s="903" t="s">
        <v>77</v>
      </c>
      <c r="B726" t="s">
        <v>1517</v>
      </c>
      <c r="C726" s="906" t="s">
        <v>1520</v>
      </c>
      <c r="D726" s="25">
        <v>5.7</v>
      </c>
      <c r="E726" s="903">
        <v>824</v>
      </c>
      <c r="F726" s="903">
        <v>472</v>
      </c>
      <c r="G726" s="903" t="s">
        <v>1521</v>
      </c>
      <c r="H726" s="904">
        <f t="shared" si="138"/>
        <v>6</v>
      </c>
      <c r="I726" s="904">
        <f t="shared" si="139"/>
        <v>11</v>
      </c>
      <c r="J726" s="21">
        <f t="shared" si="140"/>
        <v>11000</v>
      </c>
      <c r="K726" s="21">
        <f t="shared" si="141"/>
        <v>14586.000000000002</v>
      </c>
      <c r="L726" s="21">
        <f t="shared" si="142"/>
        <v>26950</v>
      </c>
      <c r="M726" s="21">
        <f t="shared" si="143"/>
        <v>42900</v>
      </c>
      <c r="N726" s="904">
        <f t="shared" si="144"/>
        <v>789</v>
      </c>
      <c r="O726" s="21"/>
      <c r="P726" s="22" t="s">
        <v>2</v>
      </c>
      <c r="Q726" s="22">
        <v>0.63</v>
      </c>
      <c r="R726" s="904" t="s">
        <v>42</v>
      </c>
      <c r="S726" s="904" t="str">
        <f t="shared" si="145"/>
        <v>Stove</v>
      </c>
      <c r="T726" s="23">
        <f t="shared" si="146"/>
        <v>0.29291695958362624</v>
      </c>
      <c r="U726" s="23">
        <f t="shared" si="147"/>
        <v>0.86152046936360638</v>
      </c>
      <c r="V726" s="23">
        <f t="shared" si="147"/>
        <v>0.46627597648005809</v>
      </c>
      <c r="W726" s="23">
        <f t="shared" si="148"/>
        <v>1.1423761423761423</v>
      </c>
      <c r="X726" s="904">
        <f t="shared" si="149"/>
        <v>653</v>
      </c>
      <c r="Y726" s="904">
        <f t="shared" si="149"/>
        <v>712</v>
      </c>
      <c r="Z726" s="904">
        <f t="shared" si="149"/>
        <v>695</v>
      </c>
      <c r="AA726" s="904">
        <f t="shared" si="137"/>
        <v>805</v>
      </c>
      <c r="AB726" s="24">
        <v>394</v>
      </c>
    </row>
    <row r="727" spans="1:28" x14ac:dyDescent="0.25">
      <c r="A727" s="903" t="s">
        <v>77</v>
      </c>
      <c r="B727" t="s">
        <v>1517</v>
      </c>
      <c r="C727" s="906" t="s">
        <v>1522</v>
      </c>
      <c r="D727" s="25">
        <v>2.8</v>
      </c>
      <c r="E727" s="903">
        <v>283</v>
      </c>
      <c r="F727" s="903">
        <v>119</v>
      </c>
      <c r="G727" s="903" t="s">
        <v>1523</v>
      </c>
      <c r="H727" s="904">
        <f t="shared" si="138"/>
        <v>5</v>
      </c>
      <c r="I727" s="904">
        <f t="shared" si="139"/>
        <v>10</v>
      </c>
      <c r="J727" s="21">
        <f t="shared" si="140"/>
        <v>7700</v>
      </c>
      <c r="K727" s="21">
        <f t="shared" si="141"/>
        <v>9996</v>
      </c>
      <c r="L727" s="21">
        <f t="shared" si="142"/>
        <v>18550</v>
      </c>
      <c r="M727" s="21">
        <f t="shared" si="143"/>
        <v>29400</v>
      </c>
      <c r="N727" s="904">
        <f t="shared" si="144"/>
        <v>196</v>
      </c>
      <c r="O727" s="21"/>
      <c r="P727" s="22" t="s">
        <v>2</v>
      </c>
      <c r="Q727" s="22">
        <v>0.72</v>
      </c>
      <c r="R727" s="904" t="s">
        <v>38</v>
      </c>
      <c r="S727" s="904" t="str">
        <f t="shared" si="145"/>
        <v>Stove</v>
      </c>
      <c r="T727" s="23">
        <f t="shared" si="146"/>
        <v>0.20996052742084489</v>
      </c>
      <c r="U727" s="23">
        <f t="shared" si="147"/>
        <v>0.61753096300248489</v>
      </c>
      <c r="V727" s="23">
        <f t="shared" si="147"/>
        <v>0.33276762836511264</v>
      </c>
      <c r="W727" s="23">
        <f t="shared" si="148"/>
        <v>0.80166746833413505</v>
      </c>
      <c r="X727" s="904">
        <f t="shared" si="149"/>
        <v>418</v>
      </c>
      <c r="Y727" s="904">
        <f t="shared" si="149"/>
        <v>448</v>
      </c>
      <c r="Z727" s="904">
        <f t="shared" si="149"/>
        <v>447</v>
      </c>
      <c r="AA727" s="904">
        <f t="shared" si="137"/>
        <v>533</v>
      </c>
      <c r="AB727" s="24">
        <v>180</v>
      </c>
    </row>
    <row r="728" spans="1:28" x14ac:dyDescent="0.25">
      <c r="A728" s="903" t="s">
        <v>77</v>
      </c>
      <c r="B728" t="s">
        <v>1517</v>
      </c>
      <c r="C728" s="906" t="s">
        <v>1524</v>
      </c>
      <c r="D728" s="25">
        <v>3.2</v>
      </c>
      <c r="E728" s="903">
        <v>376</v>
      </c>
      <c r="F728" s="903">
        <v>162</v>
      </c>
      <c r="G728" s="903" t="s">
        <v>1525</v>
      </c>
      <c r="H728" s="904">
        <f t="shared" si="138"/>
        <v>6</v>
      </c>
      <c r="I728" s="904">
        <f t="shared" si="139"/>
        <v>11</v>
      </c>
      <c r="J728" s="21">
        <f t="shared" si="140"/>
        <v>10800</v>
      </c>
      <c r="K728" s="21">
        <f t="shared" si="141"/>
        <v>14484.000000000002</v>
      </c>
      <c r="L728" s="21">
        <f t="shared" si="142"/>
        <v>26700</v>
      </c>
      <c r="M728" s="21">
        <f t="shared" si="143"/>
        <v>42600</v>
      </c>
      <c r="N728" s="904">
        <f t="shared" si="144"/>
        <v>779</v>
      </c>
      <c r="O728" s="21"/>
      <c r="P728" s="22" t="s">
        <v>2</v>
      </c>
      <c r="Q728" s="22">
        <v>0.72</v>
      </c>
      <c r="R728" s="904" t="s">
        <v>38</v>
      </c>
      <c r="S728" s="904" t="str">
        <f t="shared" si="145"/>
        <v>Stove</v>
      </c>
      <c r="T728" s="23">
        <f t="shared" si="146"/>
        <v>0.16560266951503258</v>
      </c>
      <c r="U728" s="23">
        <f t="shared" si="147"/>
        <v>0.48706667504421336</v>
      </c>
      <c r="V728" s="23">
        <f t="shared" si="147"/>
        <v>0.26421998956331039</v>
      </c>
      <c r="W728" s="23">
        <f t="shared" si="148"/>
        <v>0.65321052975373961</v>
      </c>
      <c r="X728" s="904">
        <f t="shared" si="149"/>
        <v>263</v>
      </c>
      <c r="Y728" s="904">
        <f t="shared" si="149"/>
        <v>279</v>
      </c>
      <c r="Z728" s="904">
        <f t="shared" si="149"/>
        <v>268</v>
      </c>
      <c r="AA728" s="904">
        <f t="shared" si="137"/>
        <v>353</v>
      </c>
      <c r="AB728" s="24">
        <v>116</v>
      </c>
    </row>
    <row r="729" spans="1:28" x14ac:dyDescent="0.25">
      <c r="A729" s="903" t="s">
        <v>77</v>
      </c>
      <c r="B729" t="s">
        <v>1517</v>
      </c>
      <c r="C729" s="906" t="s">
        <v>1526</v>
      </c>
      <c r="D729" s="25">
        <v>7.5</v>
      </c>
      <c r="E729" s="903">
        <v>944</v>
      </c>
      <c r="F729" s="903">
        <v>587</v>
      </c>
      <c r="G729" s="903" t="s">
        <v>1527</v>
      </c>
      <c r="H729" s="904">
        <f t="shared" si="138"/>
        <v>5</v>
      </c>
      <c r="I729" s="904">
        <f t="shared" si="139"/>
        <v>10</v>
      </c>
      <c r="J729" s="21">
        <f t="shared" si="140"/>
        <v>6900</v>
      </c>
      <c r="K729" s="21">
        <f t="shared" si="141"/>
        <v>11764</v>
      </c>
      <c r="L729" s="21">
        <f t="shared" si="142"/>
        <v>20750</v>
      </c>
      <c r="M729" s="21">
        <f t="shared" si="143"/>
        <v>34600</v>
      </c>
      <c r="N729" s="904">
        <f t="shared" si="144"/>
        <v>383</v>
      </c>
      <c r="O729" s="21"/>
      <c r="P729" s="22" t="s">
        <v>2</v>
      </c>
      <c r="Q729" s="22">
        <v>0.63</v>
      </c>
      <c r="R729" s="904" t="s">
        <v>42</v>
      </c>
      <c r="S729" s="904" t="str">
        <f t="shared" si="145"/>
        <v>Stove</v>
      </c>
      <c r="T729" s="23">
        <f t="shared" si="146"/>
        <v>0.47787258769917729</v>
      </c>
      <c r="U729" s="23">
        <f t="shared" si="147"/>
        <v>1.4055076108799331</v>
      </c>
      <c r="V729" s="23">
        <f t="shared" si="147"/>
        <v>0.79683814623573657</v>
      </c>
      <c r="W729" s="23">
        <f t="shared" si="148"/>
        <v>2.3962886281726861</v>
      </c>
      <c r="X729" s="904">
        <f t="shared" si="149"/>
        <v>886</v>
      </c>
      <c r="Y729" s="904">
        <f t="shared" si="149"/>
        <v>935</v>
      </c>
      <c r="Z729" s="904">
        <f t="shared" si="149"/>
        <v>926</v>
      </c>
      <c r="AA729" s="904">
        <f t="shared" si="137"/>
        <v>956</v>
      </c>
      <c r="AB729" s="24">
        <v>580</v>
      </c>
    </row>
    <row r="730" spans="1:28" x14ac:dyDescent="0.25">
      <c r="A730" s="903" t="s">
        <v>77</v>
      </c>
      <c r="B730" t="s">
        <v>1517</v>
      </c>
      <c r="C730" s="906" t="s">
        <v>1528</v>
      </c>
      <c r="D730" s="25">
        <v>2.5</v>
      </c>
      <c r="E730" s="903">
        <v>218</v>
      </c>
      <c r="F730" s="903">
        <v>89</v>
      </c>
      <c r="G730" s="903" t="s">
        <v>1529</v>
      </c>
      <c r="H730" s="904">
        <f t="shared" si="138"/>
        <v>5</v>
      </c>
      <c r="I730" s="904">
        <f t="shared" si="139"/>
        <v>10</v>
      </c>
      <c r="J730" s="21">
        <f t="shared" si="140"/>
        <v>9700</v>
      </c>
      <c r="K730" s="21">
        <f t="shared" si="141"/>
        <v>12206</v>
      </c>
      <c r="L730" s="21">
        <f t="shared" si="142"/>
        <v>22800</v>
      </c>
      <c r="M730" s="21">
        <f t="shared" si="143"/>
        <v>35900</v>
      </c>
      <c r="N730" s="904">
        <f t="shared" si="144"/>
        <v>527</v>
      </c>
      <c r="O730" s="21"/>
      <c r="P730" s="22" t="s">
        <v>2</v>
      </c>
      <c r="Q730" s="22">
        <v>0.72</v>
      </c>
      <c r="R730" s="904" t="s">
        <v>38</v>
      </c>
      <c r="S730" s="904" t="str">
        <f t="shared" si="145"/>
        <v>Stove</v>
      </c>
      <c r="T730" s="23">
        <f t="shared" si="146"/>
        <v>0.15352266977150913</v>
      </c>
      <c r="U730" s="23">
        <f t="shared" si="147"/>
        <v>0.45153726403385036</v>
      </c>
      <c r="V730" s="23">
        <f t="shared" si="147"/>
        <v>0.24173087038584115</v>
      </c>
      <c r="W730" s="23">
        <f t="shared" si="148"/>
        <v>0.56819214894816272</v>
      </c>
      <c r="X730" s="904">
        <f t="shared" si="149"/>
        <v>229</v>
      </c>
      <c r="Y730" s="904">
        <f t="shared" si="149"/>
        <v>242</v>
      </c>
      <c r="Z730" s="904">
        <f t="shared" si="149"/>
        <v>232</v>
      </c>
      <c r="AA730" s="904">
        <f t="shared" si="137"/>
        <v>263</v>
      </c>
      <c r="AB730" s="24">
        <v>97</v>
      </c>
    </row>
    <row r="731" spans="1:28" x14ac:dyDescent="0.25">
      <c r="A731" s="903" t="s">
        <v>77</v>
      </c>
      <c r="B731" t="s">
        <v>1517</v>
      </c>
      <c r="C731" s="906" t="s">
        <v>1530</v>
      </c>
      <c r="D731" s="25">
        <v>6.4</v>
      </c>
      <c r="E731" s="903">
        <v>868</v>
      </c>
      <c r="F731" s="903">
        <v>514</v>
      </c>
      <c r="G731" s="903" t="s">
        <v>1531</v>
      </c>
      <c r="H731" s="904">
        <f t="shared" si="138"/>
        <v>6</v>
      </c>
      <c r="I731" s="904">
        <f t="shared" si="139"/>
        <v>11</v>
      </c>
      <c r="J731" s="21">
        <f t="shared" si="140"/>
        <v>11300</v>
      </c>
      <c r="K731" s="21">
        <f t="shared" si="141"/>
        <v>11300</v>
      </c>
      <c r="L731" s="21">
        <f t="shared" si="142"/>
        <v>19750</v>
      </c>
      <c r="M731" s="21">
        <f t="shared" si="143"/>
        <v>28200</v>
      </c>
      <c r="N731" s="904">
        <f t="shared" si="144"/>
        <v>294</v>
      </c>
      <c r="O731" s="21"/>
      <c r="P731" s="22" t="s">
        <v>2</v>
      </c>
      <c r="Q731" s="22">
        <v>0.63</v>
      </c>
      <c r="R731" s="904" t="s">
        <v>42</v>
      </c>
      <c r="S731" s="904" t="str">
        <f t="shared" si="145"/>
        <v>Stove</v>
      </c>
      <c r="T731" s="23">
        <f t="shared" si="146"/>
        <v>0.50033146959860908</v>
      </c>
      <c r="U731" s="23">
        <f t="shared" si="147"/>
        <v>1.2486148179363519</v>
      </c>
      <c r="V731" s="23">
        <f t="shared" si="147"/>
        <v>0.71439733886991275</v>
      </c>
      <c r="W731" s="23">
        <f t="shared" si="148"/>
        <v>1.2486148179363519</v>
      </c>
      <c r="X731" s="904">
        <f t="shared" si="149"/>
        <v>897</v>
      </c>
      <c r="Y731" s="904">
        <f t="shared" si="149"/>
        <v>890</v>
      </c>
      <c r="Z731" s="904">
        <f t="shared" si="149"/>
        <v>896</v>
      </c>
      <c r="AA731" s="904">
        <f t="shared" si="137"/>
        <v>837</v>
      </c>
      <c r="AB731" s="24">
        <v>536</v>
      </c>
    </row>
    <row r="732" spans="1:28" x14ac:dyDescent="0.25">
      <c r="A732" s="903"/>
      <c r="B732" t="s">
        <v>1532</v>
      </c>
      <c r="C732" s="906">
        <v>1600</v>
      </c>
      <c r="D732" s="25">
        <v>4.4000000000000004</v>
      </c>
      <c r="E732" s="903">
        <v>660</v>
      </c>
      <c r="F732" s="903">
        <v>338</v>
      </c>
      <c r="G732" s="903" t="s">
        <v>1533</v>
      </c>
      <c r="H732" s="904">
        <f t="shared" si="138"/>
        <v>6</v>
      </c>
      <c r="I732" s="904">
        <f t="shared" si="139"/>
        <v>11</v>
      </c>
      <c r="J732" s="21">
        <f t="shared" si="140"/>
        <v>11800</v>
      </c>
      <c r="K732" s="21">
        <f t="shared" si="141"/>
        <v>14416.000000000002</v>
      </c>
      <c r="L732" s="21">
        <f t="shared" si="142"/>
        <v>27100</v>
      </c>
      <c r="M732" s="21">
        <f t="shared" si="143"/>
        <v>42400</v>
      </c>
      <c r="N732" s="904">
        <f t="shared" si="144"/>
        <v>800</v>
      </c>
      <c r="O732" s="21"/>
      <c r="P732" s="22" t="s">
        <v>2</v>
      </c>
      <c r="Q732" s="22">
        <v>0.63</v>
      </c>
      <c r="R732" s="904" t="s">
        <v>42</v>
      </c>
      <c r="S732" s="904" t="str">
        <f t="shared" si="145"/>
        <v>Stove</v>
      </c>
      <c r="T732" s="23">
        <f t="shared" si="146"/>
        <v>0.22877774450101493</v>
      </c>
      <c r="U732" s="23">
        <f t="shared" si="147"/>
        <v>0.67287571912063204</v>
      </c>
      <c r="V732" s="23">
        <f t="shared" si="147"/>
        <v>0.35794008733738131</v>
      </c>
      <c r="W732" s="23">
        <f t="shared" si="148"/>
        <v>0.82204884464771466</v>
      </c>
      <c r="X732" s="904">
        <f t="shared" si="149"/>
        <v>489</v>
      </c>
      <c r="Y732" s="904">
        <f t="shared" si="149"/>
        <v>532</v>
      </c>
      <c r="Z732" s="904">
        <f t="shared" si="149"/>
        <v>506</v>
      </c>
      <c r="AA732" s="904">
        <f t="shared" si="137"/>
        <v>562</v>
      </c>
      <c r="AB732" s="24">
        <v>257</v>
      </c>
    </row>
    <row r="733" spans="1:28" x14ac:dyDescent="0.25">
      <c r="A733" s="903"/>
      <c r="B733" t="s">
        <v>1532</v>
      </c>
      <c r="C733" s="906" t="s">
        <v>1534</v>
      </c>
      <c r="D733" s="25">
        <v>3.99</v>
      </c>
      <c r="E733" s="903">
        <v>570</v>
      </c>
      <c r="F733" s="903">
        <v>269</v>
      </c>
      <c r="G733" s="903" t="s">
        <v>1535</v>
      </c>
      <c r="H733" s="904">
        <f t="shared" si="138"/>
        <v>5</v>
      </c>
      <c r="I733" s="904">
        <f t="shared" si="139"/>
        <v>10</v>
      </c>
      <c r="J733" s="21">
        <f t="shared" si="140"/>
        <v>9887</v>
      </c>
      <c r="K733" s="21">
        <f t="shared" si="141"/>
        <v>9887</v>
      </c>
      <c r="L733" s="21">
        <f t="shared" si="142"/>
        <v>15856</v>
      </c>
      <c r="M733" s="21">
        <f t="shared" si="143"/>
        <v>21825</v>
      </c>
      <c r="N733" s="904">
        <f t="shared" si="144"/>
        <v>62</v>
      </c>
      <c r="O733" s="21"/>
      <c r="P733" s="22" t="s">
        <v>2</v>
      </c>
      <c r="Q733" s="22">
        <v>0.63</v>
      </c>
      <c r="R733" s="904" t="s">
        <v>42</v>
      </c>
      <c r="S733" s="904" t="str">
        <f t="shared" si="145"/>
        <v>Stove</v>
      </c>
      <c r="T733" s="23">
        <f t="shared" si="146"/>
        <v>0.40303763098723006</v>
      </c>
      <c r="U733" s="23">
        <f t="shared" si="147"/>
        <v>0.88968304807285281</v>
      </c>
      <c r="V733" s="23">
        <f t="shared" si="147"/>
        <v>0.55476137085622446</v>
      </c>
      <c r="W733" s="23">
        <f t="shared" si="148"/>
        <v>0.88968304807285281</v>
      </c>
      <c r="X733" s="904">
        <f t="shared" si="149"/>
        <v>832</v>
      </c>
      <c r="Y733" s="904">
        <f t="shared" si="149"/>
        <v>734</v>
      </c>
      <c r="Z733" s="904">
        <f t="shared" si="149"/>
        <v>805</v>
      </c>
      <c r="AA733" s="904">
        <f t="shared" si="137"/>
        <v>637</v>
      </c>
      <c r="AB733" s="24">
        <v>412</v>
      </c>
    </row>
    <row r="734" spans="1:28" x14ac:dyDescent="0.25">
      <c r="A734" s="903"/>
      <c r="B734" t="s">
        <v>1532</v>
      </c>
      <c r="C734" s="906" t="s">
        <v>1536</v>
      </c>
      <c r="D734" s="25">
        <v>4.0199999999999996</v>
      </c>
      <c r="E734" s="903">
        <v>590</v>
      </c>
      <c r="F734" s="903">
        <v>280</v>
      </c>
      <c r="G734" s="903" t="s">
        <v>1537</v>
      </c>
      <c r="H734" s="904">
        <f t="shared" si="138"/>
        <v>6</v>
      </c>
      <c r="I734" s="904">
        <f t="shared" si="139"/>
        <v>11</v>
      </c>
      <c r="J734" s="21">
        <f t="shared" si="140"/>
        <v>10852</v>
      </c>
      <c r="K734" s="21">
        <f t="shared" si="141"/>
        <v>10852</v>
      </c>
      <c r="L734" s="21">
        <f t="shared" si="142"/>
        <v>17062</v>
      </c>
      <c r="M734" s="21">
        <f t="shared" si="143"/>
        <v>23272</v>
      </c>
      <c r="N734" s="904">
        <f t="shared" si="144"/>
        <v>96</v>
      </c>
      <c r="O734" s="21"/>
      <c r="P734" s="22" t="s">
        <v>2</v>
      </c>
      <c r="Q734" s="22">
        <v>0.63</v>
      </c>
      <c r="R734" s="904" t="s">
        <v>42</v>
      </c>
      <c r="S734" s="904" t="str">
        <f t="shared" si="145"/>
        <v>Stove</v>
      </c>
      <c r="T734" s="23">
        <f t="shared" si="146"/>
        <v>0.38081960563913114</v>
      </c>
      <c r="U734" s="23">
        <f t="shared" si="147"/>
        <v>0.81666364379228351</v>
      </c>
      <c r="V734" s="23">
        <f t="shared" si="147"/>
        <v>0.51942526447273829</v>
      </c>
      <c r="W734" s="23">
        <f t="shared" si="148"/>
        <v>0.81666364379228351</v>
      </c>
      <c r="X734" s="904">
        <f t="shared" si="149"/>
        <v>810</v>
      </c>
      <c r="Y734" s="904">
        <f t="shared" si="149"/>
        <v>679</v>
      </c>
      <c r="Z734" s="904">
        <f t="shared" si="149"/>
        <v>763</v>
      </c>
      <c r="AA734" s="904">
        <f t="shared" si="137"/>
        <v>555</v>
      </c>
      <c r="AB734" s="24">
        <v>370</v>
      </c>
    </row>
    <row r="735" spans="1:28" x14ac:dyDescent="0.25">
      <c r="A735" s="903"/>
      <c r="B735" t="s">
        <v>1532</v>
      </c>
      <c r="C735" s="906" t="s">
        <v>1538</v>
      </c>
      <c r="D735" s="25">
        <v>4.8</v>
      </c>
      <c r="E735" s="903">
        <v>740</v>
      </c>
      <c r="F735" s="903">
        <v>403</v>
      </c>
      <c r="G735" s="903" t="s">
        <v>1539</v>
      </c>
      <c r="H735" s="904">
        <f t="shared" si="138"/>
        <v>6</v>
      </c>
      <c r="I735" s="904">
        <f t="shared" si="139"/>
        <v>11</v>
      </c>
      <c r="J735" s="21">
        <f t="shared" si="140"/>
        <v>11900</v>
      </c>
      <c r="K735" s="21">
        <f t="shared" si="141"/>
        <v>12070</v>
      </c>
      <c r="L735" s="21">
        <f t="shared" si="142"/>
        <v>23700</v>
      </c>
      <c r="M735" s="21">
        <f t="shared" si="143"/>
        <v>35500</v>
      </c>
      <c r="N735" s="904">
        <f t="shared" si="144"/>
        <v>605</v>
      </c>
      <c r="O735" s="21"/>
      <c r="P735" s="22" t="s">
        <v>2</v>
      </c>
      <c r="Q735" s="22">
        <v>0.63</v>
      </c>
      <c r="R735" s="904" t="s">
        <v>42</v>
      </c>
      <c r="S735" s="904" t="str">
        <f t="shared" si="145"/>
        <v>Stove</v>
      </c>
      <c r="T735" s="23">
        <f t="shared" si="146"/>
        <v>0.29808480512705865</v>
      </c>
      <c r="U735" s="23">
        <f t="shared" si="147"/>
        <v>0.8767200150795843</v>
      </c>
      <c r="V735" s="23">
        <f t="shared" si="147"/>
        <v>0.44649833679369544</v>
      </c>
      <c r="W735" s="23">
        <f t="shared" si="148"/>
        <v>0.88924458672357831</v>
      </c>
      <c r="X735" s="904">
        <f t="shared" si="149"/>
        <v>666</v>
      </c>
      <c r="Y735" s="904">
        <f t="shared" si="149"/>
        <v>724</v>
      </c>
      <c r="Z735" s="904">
        <f t="shared" si="149"/>
        <v>669</v>
      </c>
      <c r="AA735" s="904">
        <f t="shared" si="137"/>
        <v>636</v>
      </c>
      <c r="AB735" s="24">
        <v>404</v>
      </c>
    </row>
    <row r="736" spans="1:28" x14ac:dyDescent="0.25">
      <c r="A736" s="19"/>
      <c r="B736" s="16" t="s">
        <v>1532</v>
      </c>
      <c r="C736" s="17" t="s">
        <v>1540</v>
      </c>
      <c r="D736" s="18">
        <v>3.89</v>
      </c>
      <c r="E736" s="19">
        <v>546</v>
      </c>
      <c r="F736" s="903">
        <v>251</v>
      </c>
      <c r="G736" s="19" t="s">
        <v>1541</v>
      </c>
      <c r="H736" s="904">
        <f t="shared" si="138"/>
        <v>6</v>
      </c>
      <c r="I736" s="904">
        <f t="shared" si="139"/>
        <v>11</v>
      </c>
      <c r="J736" s="21">
        <f t="shared" si="140"/>
        <v>11600</v>
      </c>
      <c r="K736" s="21">
        <f t="shared" si="141"/>
        <v>11600</v>
      </c>
      <c r="L736" s="21">
        <f t="shared" si="142"/>
        <v>21900</v>
      </c>
      <c r="M736" s="21">
        <f t="shared" si="143"/>
        <v>32200</v>
      </c>
      <c r="N736" s="904">
        <f t="shared" si="144"/>
        <v>463</v>
      </c>
      <c r="O736" s="21"/>
      <c r="P736" s="22" t="s">
        <v>2</v>
      </c>
      <c r="Q736" s="22">
        <v>0.63</v>
      </c>
      <c r="R736" s="904" t="s">
        <v>42</v>
      </c>
      <c r="S736" s="904" t="str">
        <f t="shared" si="145"/>
        <v>Stove</v>
      </c>
      <c r="T736" s="23">
        <f t="shared" si="146"/>
        <v>0.26633036467404997</v>
      </c>
      <c r="U736" s="23">
        <f t="shared" si="147"/>
        <v>0.73929635711244912</v>
      </c>
      <c r="V736" s="23">
        <f t="shared" si="147"/>
        <v>0.39159076449791824</v>
      </c>
      <c r="W736" s="23">
        <f t="shared" si="148"/>
        <v>0.73929635711244912</v>
      </c>
      <c r="X736" s="904">
        <f t="shared" si="149"/>
        <v>598</v>
      </c>
      <c r="Y736" s="904">
        <f t="shared" si="149"/>
        <v>598</v>
      </c>
      <c r="Z736" s="904">
        <f t="shared" si="149"/>
        <v>584</v>
      </c>
      <c r="AA736" s="904">
        <f t="shared" si="137"/>
        <v>448</v>
      </c>
      <c r="AB736" s="24">
        <v>303</v>
      </c>
    </row>
    <row r="737" spans="1:28" x14ac:dyDescent="0.25">
      <c r="A737" s="903"/>
      <c r="B737" t="s">
        <v>1532</v>
      </c>
      <c r="C737" s="906" t="s">
        <v>1542</v>
      </c>
      <c r="D737" s="25">
        <v>1.77</v>
      </c>
      <c r="E737" s="903">
        <v>105</v>
      </c>
      <c r="F737" s="903">
        <v>43</v>
      </c>
      <c r="G737" s="903" t="s">
        <v>1475</v>
      </c>
      <c r="H737" s="904">
        <f t="shared" si="138"/>
        <v>5</v>
      </c>
      <c r="I737" s="904">
        <f t="shared" si="139"/>
        <v>10</v>
      </c>
      <c r="J737" s="21">
        <f t="shared" si="140"/>
        <v>6668</v>
      </c>
      <c r="K737" s="21">
        <f t="shared" si="141"/>
        <v>6668</v>
      </c>
      <c r="L737" s="21">
        <f t="shared" si="142"/>
        <v>10979</v>
      </c>
      <c r="M737" s="21">
        <f t="shared" si="143"/>
        <v>15290</v>
      </c>
      <c r="N737" s="904">
        <f t="shared" si="144"/>
        <v>4</v>
      </c>
      <c r="O737" s="21"/>
      <c r="P737" s="22" t="s">
        <v>2</v>
      </c>
      <c r="Q737" s="22">
        <v>0.78</v>
      </c>
      <c r="R737" s="904" t="s">
        <v>15</v>
      </c>
      <c r="S737" s="904" t="str">
        <f t="shared" si="145"/>
        <v>Stove</v>
      </c>
      <c r="T737" s="23">
        <f t="shared" si="146"/>
        <v>0.25520708973946382</v>
      </c>
      <c r="U737" s="23">
        <f t="shared" si="147"/>
        <v>0.58520042023341357</v>
      </c>
      <c r="V737" s="23">
        <f t="shared" si="147"/>
        <v>0.35541637691195938</v>
      </c>
      <c r="W737" s="23">
        <f t="shared" si="148"/>
        <v>0.58520042023341357</v>
      </c>
      <c r="X737" s="904">
        <f t="shared" si="149"/>
        <v>574</v>
      </c>
      <c r="Y737" s="904">
        <f t="shared" si="149"/>
        <v>417</v>
      </c>
      <c r="Z737" s="904">
        <f t="shared" si="149"/>
        <v>499</v>
      </c>
      <c r="AA737" s="904">
        <f t="shared" si="137"/>
        <v>280</v>
      </c>
      <c r="AB737" s="24">
        <v>73</v>
      </c>
    </row>
    <row r="738" spans="1:28" x14ac:dyDescent="0.25">
      <c r="A738" s="903"/>
      <c r="B738" t="s">
        <v>1532</v>
      </c>
      <c r="C738" s="906" t="s">
        <v>1543</v>
      </c>
      <c r="D738" s="25">
        <v>1.2</v>
      </c>
      <c r="E738" s="903">
        <v>45</v>
      </c>
      <c r="F738" s="903">
        <v>21</v>
      </c>
      <c r="G738" s="903" t="s">
        <v>1544</v>
      </c>
      <c r="H738" s="904">
        <f t="shared" si="138"/>
        <v>5</v>
      </c>
      <c r="I738" s="904">
        <f t="shared" si="139"/>
        <v>10</v>
      </c>
      <c r="J738" s="21">
        <f t="shared" si="140"/>
        <v>8569</v>
      </c>
      <c r="K738" s="21">
        <f t="shared" si="141"/>
        <v>10126.560000000001</v>
      </c>
      <c r="L738" s="21">
        <f t="shared" si="142"/>
        <v>19176.5</v>
      </c>
      <c r="M738" s="21">
        <f t="shared" si="143"/>
        <v>29784</v>
      </c>
      <c r="N738" s="904">
        <f t="shared" si="144"/>
        <v>254</v>
      </c>
      <c r="O738" s="21"/>
      <c r="P738" s="22" t="s">
        <v>2</v>
      </c>
      <c r="Q738" s="22">
        <v>0.78</v>
      </c>
      <c r="R738" s="904" t="s">
        <v>15</v>
      </c>
      <c r="S738" s="904" t="str">
        <f t="shared" si="145"/>
        <v>Stove</v>
      </c>
      <c r="T738" s="23">
        <f t="shared" si="146"/>
        <v>8.882294673323414E-2</v>
      </c>
      <c r="U738" s="23">
        <f t="shared" si="147"/>
        <v>0.26124396098010039</v>
      </c>
      <c r="V738" s="23">
        <f t="shared" si="147"/>
        <v>0.13795544783994187</v>
      </c>
      <c r="W738" s="23">
        <f t="shared" si="148"/>
        <v>0.3087294486524268</v>
      </c>
      <c r="X738" s="904">
        <f t="shared" si="149"/>
        <v>64</v>
      </c>
      <c r="Y738" s="904">
        <f t="shared" si="149"/>
        <v>73</v>
      </c>
      <c r="Z738" s="904">
        <f t="shared" si="149"/>
        <v>65</v>
      </c>
      <c r="AA738" s="904">
        <f t="shared" si="137"/>
        <v>67</v>
      </c>
      <c r="AB738" s="24">
        <v>30</v>
      </c>
    </row>
    <row r="739" spans="1:28" x14ac:dyDescent="0.25">
      <c r="A739" s="903"/>
      <c r="B739" t="s">
        <v>1532</v>
      </c>
      <c r="C739" s="906" t="s">
        <v>1545</v>
      </c>
      <c r="D739" s="25">
        <v>4.2</v>
      </c>
      <c r="E739" s="903">
        <v>619</v>
      </c>
      <c r="F739" s="903">
        <v>303</v>
      </c>
      <c r="G739" s="903" t="s">
        <v>1546</v>
      </c>
      <c r="H739" s="904">
        <f t="shared" si="138"/>
        <v>6</v>
      </c>
      <c r="I739" s="904">
        <f t="shared" si="139"/>
        <v>11</v>
      </c>
      <c r="J739" s="21">
        <f t="shared" si="140"/>
        <v>10142</v>
      </c>
      <c r="K739" s="21">
        <f t="shared" si="141"/>
        <v>24144.760000000002</v>
      </c>
      <c r="L739" s="21">
        <f t="shared" si="142"/>
        <v>40578</v>
      </c>
      <c r="M739" s="21">
        <f t="shared" si="143"/>
        <v>71014</v>
      </c>
      <c r="N739" s="904">
        <f t="shared" si="144"/>
        <v>956</v>
      </c>
      <c r="O739" s="21"/>
      <c r="P739" s="22" t="s">
        <v>2</v>
      </c>
      <c r="Q739" s="22">
        <v>0.63</v>
      </c>
      <c r="R739" s="904" t="s">
        <v>42</v>
      </c>
      <c r="S739" s="904" t="str">
        <f t="shared" si="145"/>
        <v>Stove</v>
      </c>
      <c r="T739" s="23">
        <f t="shared" si="146"/>
        <v>0.13038639225025006</v>
      </c>
      <c r="U739" s="23">
        <f t="shared" si="147"/>
        <v>0.38348938897132373</v>
      </c>
      <c r="V739" s="23">
        <f t="shared" si="147"/>
        <v>0.22818421950956821</v>
      </c>
      <c r="W739" s="23">
        <f t="shared" si="148"/>
        <v>0.91296186740872198</v>
      </c>
      <c r="X739" s="904">
        <f t="shared" si="149"/>
        <v>171</v>
      </c>
      <c r="Y739" s="904">
        <f t="shared" si="149"/>
        <v>179</v>
      </c>
      <c r="Z739" s="904">
        <f t="shared" si="149"/>
        <v>196</v>
      </c>
      <c r="AA739" s="904">
        <f t="shared" si="137"/>
        <v>657</v>
      </c>
      <c r="AB739" s="24">
        <v>51</v>
      </c>
    </row>
    <row r="740" spans="1:28" x14ac:dyDescent="0.25">
      <c r="A740" s="903"/>
      <c r="B740" t="s">
        <v>1532</v>
      </c>
      <c r="C740" s="906" t="s">
        <v>1547</v>
      </c>
      <c r="D740" s="25">
        <v>1.7</v>
      </c>
      <c r="E740" s="903">
        <v>102</v>
      </c>
      <c r="F740" s="903">
        <v>42</v>
      </c>
      <c r="G740" s="903" t="s">
        <v>1548</v>
      </c>
      <c r="H740" s="904">
        <f t="shared" si="138"/>
        <v>5</v>
      </c>
      <c r="I740" s="904">
        <f t="shared" si="139"/>
        <v>10</v>
      </c>
      <c r="J740" s="21">
        <f t="shared" si="140"/>
        <v>7500</v>
      </c>
      <c r="K740" s="21">
        <f t="shared" si="141"/>
        <v>8330</v>
      </c>
      <c r="L740" s="21">
        <f t="shared" si="142"/>
        <v>16000</v>
      </c>
      <c r="M740" s="21">
        <f t="shared" si="143"/>
        <v>24500</v>
      </c>
      <c r="N740" s="904">
        <f t="shared" si="144"/>
        <v>64</v>
      </c>
      <c r="O740" s="21"/>
      <c r="P740" s="22" t="s">
        <v>2</v>
      </c>
      <c r="Q740" s="22">
        <v>0.78</v>
      </c>
      <c r="R740" s="904" t="s">
        <v>15</v>
      </c>
      <c r="S740" s="904" t="str">
        <f t="shared" si="145"/>
        <v>Stove</v>
      </c>
      <c r="T740" s="23">
        <f t="shared" si="146"/>
        <v>0.15297124140661555</v>
      </c>
      <c r="U740" s="23">
        <f t="shared" si="147"/>
        <v>0.44991541590181044</v>
      </c>
      <c r="V740" s="23">
        <f t="shared" si="147"/>
        <v>0.23423721340388007</v>
      </c>
      <c r="W740" s="23">
        <f t="shared" si="148"/>
        <v>0.49970605526161083</v>
      </c>
      <c r="X740" s="904">
        <f t="shared" si="149"/>
        <v>223</v>
      </c>
      <c r="Y740" s="904">
        <f t="shared" si="149"/>
        <v>236</v>
      </c>
      <c r="Z740" s="904">
        <f t="shared" si="149"/>
        <v>210</v>
      </c>
      <c r="AA740" s="904">
        <f t="shared" si="137"/>
        <v>189</v>
      </c>
      <c r="AB740" s="24">
        <v>64</v>
      </c>
    </row>
    <row r="741" spans="1:28" x14ac:dyDescent="0.25">
      <c r="A741" s="903"/>
      <c r="B741" t="s">
        <v>1532</v>
      </c>
      <c r="C741" s="906" t="s">
        <v>1549</v>
      </c>
      <c r="D741" s="25">
        <v>3.5</v>
      </c>
      <c r="E741" s="903">
        <v>432</v>
      </c>
      <c r="F741" s="903">
        <v>181</v>
      </c>
      <c r="G741" s="903" t="s">
        <v>745</v>
      </c>
      <c r="H741" s="904">
        <f t="shared" si="138"/>
        <v>6</v>
      </c>
      <c r="I741" s="904">
        <f t="shared" si="139"/>
        <v>11</v>
      </c>
      <c r="J741" s="21">
        <f t="shared" si="140"/>
        <v>11800</v>
      </c>
      <c r="K741" s="21">
        <f t="shared" si="141"/>
        <v>11800</v>
      </c>
      <c r="L741" s="21">
        <f t="shared" si="142"/>
        <v>22100</v>
      </c>
      <c r="M741" s="21">
        <f t="shared" si="143"/>
        <v>32400</v>
      </c>
      <c r="N741" s="904">
        <f t="shared" si="144"/>
        <v>485</v>
      </c>
      <c r="O741" s="21"/>
      <c r="P741" s="22" t="s">
        <v>2</v>
      </c>
      <c r="Q741" s="22">
        <v>0.63</v>
      </c>
      <c r="R741" s="904" t="s">
        <v>42</v>
      </c>
      <c r="S741" s="904" t="str">
        <f t="shared" si="145"/>
        <v>Stove</v>
      </c>
      <c r="T741" s="23">
        <f t="shared" si="146"/>
        <v>0.23814967230605091</v>
      </c>
      <c r="U741" s="23">
        <f t="shared" si="147"/>
        <v>0.65390249006068213</v>
      </c>
      <c r="V741" s="23">
        <f t="shared" si="147"/>
        <v>0.3491425060052511</v>
      </c>
      <c r="W741" s="23">
        <f t="shared" si="148"/>
        <v>0.65390249006068213</v>
      </c>
      <c r="X741" s="904">
        <f t="shared" si="149"/>
        <v>524</v>
      </c>
      <c r="Y741" s="904">
        <f t="shared" si="149"/>
        <v>506</v>
      </c>
      <c r="Z741" s="904">
        <f t="shared" si="149"/>
        <v>487</v>
      </c>
      <c r="AA741" s="904">
        <f t="shared" si="137"/>
        <v>355</v>
      </c>
      <c r="AB741" s="24">
        <v>242</v>
      </c>
    </row>
    <row r="742" spans="1:28" x14ac:dyDescent="0.25">
      <c r="A742" s="903"/>
      <c r="B742" t="s">
        <v>1532</v>
      </c>
      <c r="C742" s="906" t="s">
        <v>1550</v>
      </c>
      <c r="D742" s="25">
        <v>6.2</v>
      </c>
      <c r="E742" s="903">
        <v>857</v>
      </c>
      <c r="F742" s="903">
        <v>504</v>
      </c>
      <c r="G742" s="903" t="s">
        <v>1551</v>
      </c>
      <c r="H742" s="904">
        <f t="shared" si="138"/>
        <v>6</v>
      </c>
      <c r="I742" s="904">
        <f t="shared" si="139"/>
        <v>11</v>
      </c>
      <c r="J742" s="21">
        <f t="shared" si="140"/>
        <v>11500</v>
      </c>
      <c r="K742" s="21">
        <f t="shared" si="141"/>
        <v>14926.000000000002</v>
      </c>
      <c r="L742" s="21">
        <f t="shared" si="142"/>
        <v>27700</v>
      </c>
      <c r="M742" s="21">
        <f t="shared" si="143"/>
        <v>43900</v>
      </c>
      <c r="N742" s="904">
        <f t="shared" si="144"/>
        <v>820</v>
      </c>
      <c r="O742" s="21"/>
      <c r="P742" s="22" t="s">
        <v>2</v>
      </c>
      <c r="Q742" s="22">
        <v>0.63</v>
      </c>
      <c r="R742" s="904" t="s">
        <v>42</v>
      </c>
      <c r="S742" s="904" t="str">
        <f t="shared" si="145"/>
        <v>Stove</v>
      </c>
      <c r="T742" s="23">
        <f t="shared" si="146"/>
        <v>0.31135376617533034</v>
      </c>
      <c r="U742" s="23">
        <f t="shared" si="147"/>
        <v>0.91574637110391255</v>
      </c>
      <c r="V742" s="23">
        <f t="shared" si="147"/>
        <v>0.49344513845115529</v>
      </c>
      <c r="W742" s="23">
        <f t="shared" si="148"/>
        <v>1.1885591595736524</v>
      </c>
      <c r="X742" s="904">
        <f t="shared" si="149"/>
        <v>697</v>
      </c>
      <c r="Y742" s="904">
        <f t="shared" si="149"/>
        <v>757</v>
      </c>
      <c r="Z742" s="904">
        <f t="shared" si="149"/>
        <v>741</v>
      </c>
      <c r="AA742" s="904">
        <f t="shared" si="137"/>
        <v>816</v>
      </c>
      <c r="AB742" s="24">
        <v>427</v>
      </c>
    </row>
    <row r="743" spans="1:28" x14ac:dyDescent="0.25">
      <c r="A743" s="903"/>
      <c r="B743" t="s">
        <v>1532</v>
      </c>
      <c r="C743" s="906" t="s">
        <v>1552</v>
      </c>
      <c r="D743" s="25">
        <v>7.5</v>
      </c>
      <c r="E743" s="903">
        <v>944</v>
      </c>
      <c r="F743" s="903">
        <v>587</v>
      </c>
      <c r="G743" s="903" t="s">
        <v>1553</v>
      </c>
      <c r="H743" s="904">
        <f t="shared" si="138"/>
        <v>6</v>
      </c>
      <c r="I743" s="904">
        <f t="shared" si="139"/>
        <v>11</v>
      </c>
      <c r="J743" s="21">
        <f t="shared" si="140"/>
        <v>11100</v>
      </c>
      <c r="K743" s="21">
        <f t="shared" si="141"/>
        <v>12682.000000000002</v>
      </c>
      <c r="L743" s="21">
        <f t="shared" si="142"/>
        <v>24200</v>
      </c>
      <c r="M743" s="21">
        <f t="shared" si="143"/>
        <v>37300</v>
      </c>
      <c r="N743" s="904">
        <f t="shared" si="144"/>
        <v>650</v>
      </c>
      <c r="O743" s="21"/>
      <c r="P743" s="22" t="s">
        <v>2</v>
      </c>
      <c r="Q743" s="22">
        <v>0.63</v>
      </c>
      <c r="R743" s="904" t="s">
        <v>42</v>
      </c>
      <c r="S743" s="904" t="str">
        <f t="shared" si="145"/>
        <v>Stove</v>
      </c>
      <c r="T743" s="23">
        <f t="shared" si="146"/>
        <v>0.4432812743804701</v>
      </c>
      <c r="U743" s="23">
        <f t="shared" si="147"/>
        <v>1.3037684540602059</v>
      </c>
      <c r="V743" s="23">
        <f t="shared" si="147"/>
        <v>0.68323931960295592</v>
      </c>
      <c r="W743" s="23">
        <f t="shared" si="148"/>
        <v>1.4895848229181563</v>
      </c>
      <c r="X743" s="904">
        <f t="shared" si="149"/>
        <v>861</v>
      </c>
      <c r="Y743" s="904">
        <f t="shared" si="149"/>
        <v>903</v>
      </c>
      <c r="Z743" s="904">
        <f t="shared" si="149"/>
        <v>876</v>
      </c>
      <c r="AA743" s="904">
        <f t="shared" si="137"/>
        <v>918</v>
      </c>
      <c r="AB743" s="24">
        <v>548</v>
      </c>
    </row>
    <row r="744" spans="1:28" x14ac:dyDescent="0.25">
      <c r="A744" s="903"/>
      <c r="B744" t="s">
        <v>1532</v>
      </c>
      <c r="C744" s="906" t="s">
        <v>1554</v>
      </c>
      <c r="D744" s="25">
        <v>6.3</v>
      </c>
      <c r="E744" s="903">
        <v>861</v>
      </c>
      <c r="F744" s="903">
        <v>507</v>
      </c>
      <c r="G744" s="903" t="s">
        <v>1555</v>
      </c>
      <c r="H744" s="904">
        <f t="shared" si="138"/>
        <v>6</v>
      </c>
      <c r="I744" s="904">
        <f t="shared" si="139"/>
        <v>11</v>
      </c>
      <c r="J744" s="21">
        <f t="shared" si="140"/>
        <v>11600</v>
      </c>
      <c r="K744" s="21">
        <f t="shared" si="141"/>
        <v>13158.000000000002</v>
      </c>
      <c r="L744" s="21">
        <f t="shared" si="142"/>
        <v>25150</v>
      </c>
      <c r="M744" s="21">
        <f t="shared" si="143"/>
        <v>38700</v>
      </c>
      <c r="N744" s="904">
        <f t="shared" si="144"/>
        <v>702</v>
      </c>
      <c r="O744" s="21"/>
      <c r="P744" s="22" t="s">
        <v>2</v>
      </c>
      <c r="Q744" s="22">
        <v>0.63</v>
      </c>
      <c r="R744" s="904" t="s">
        <v>42</v>
      </c>
      <c r="S744" s="904" t="str">
        <f t="shared" si="145"/>
        <v>Stove</v>
      </c>
      <c r="T744" s="23">
        <f t="shared" si="146"/>
        <v>0.35888601780074647</v>
      </c>
      <c r="U744" s="23">
        <f t="shared" si="147"/>
        <v>1.0555471111786661</v>
      </c>
      <c r="V744" s="23">
        <f t="shared" si="147"/>
        <v>0.55224210293792797</v>
      </c>
      <c r="W744" s="23">
        <f t="shared" si="148"/>
        <v>1.1973180076628354</v>
      </c>
      <c r="X744" s="904">
        <f t="shared" si="149"/>
        <v>777</v>
      </c>
      <c r="Y744" s="904">
        <f t="shared" si="149"/>
        <v>837</v>
      </c>
      <c r="Z744" s="904">
        <f t="shared" si="149"/>
        <v>799</v>
      </c>
      <c r="AA744" s="904">
        <f t="shared" si="137"/>
        <v>819</v>
      </c>
      <c r="AB744" s="24">
        <v>490</v>
      </c>
    </row>
    <row r="745" spans="1:28" x14ac:dyDescent="0.25">
      <c r="A745" s="903"/>
      <c r="B745" t="s">
        <v>1532</v>
      </c>
      <c r="C745" s="906" t="s">
        <v>1556</v>
      </c>
      <c r="D745" s="25">
        <v>3.5</v>
      </c>
      <c r="E745" s="903">
        <v>432</v>
      </c>
      <c r="F745" s="903">
        <v>181</v>
      </c>
      <c r="G745" s="903" t="s">
        <v>1557</v>
      </c>
      <c r="H745" s="904">
        <f t="shared" si="138"/>
        <v>6</v>
      </c>
      <c r="I745" s="904">
        <f t="shared" si="139"/>
        <v>11</v>
      </c>
      <c r="J745" s="21">
        <f t="shared" si="140"/>
        <v>11200</v>
      </c>
      <c r="K745" s="21">
        <f t="shared" si="141"/>
        <v>11200</v>
      </c>
      <c r="L745" s="21">
        <f t="shared" si="142"/>
        <v>18800</v>
      </c>
      <c r="M745" s="21">
        <f t="shared" si="143"/>
        <v>26400</v>
      </c>
      <c r="N745" s="904">
        <f t="shared" si="144"/>
        <v>219</v>
      </c>
      <c r="O745" s="21"/>
      <c r="P745" s="22" t="s">
        <v>2</v>
      </c>
      <c r="Q745" s="22">
        <v>0.63</v>
      </c>
      <c r="R745" s="904" t="s">
        <v>42</v>
      </c>
      <c r="S745" s="904" t="str">
        <f t="shared" si="145"/>
        <v>Stove</v>
      </c>
      <c r="T745" s="23">
        <f t="shared" si="146"/>
        <v>0.29227459783015336</v>
      </c>
      <c r="U745" s="23">
        <f t="shared" si="147"/>
        <v>0.68893298059964725</v>
      </c>
      <c r="V745" s="23">
        <f t="shared" si="147"/>
        <v>0.41042815865510901</v>
      </c>
      <c r="W745" s="23">
        <f t="shared" si="148"/>
        <v>0.68893298059964725</v>
      </c>
      <c r="X745" s="904">
        <f t="shared" si="149"/>
        <v>652</v>
      </c>
      <c r="Y745" s="904">
        <f t="shared" si="149"/>
        <v>557</v>
      </c>
      <c r="Z745" s="904">
        <f t="shared" si="149"/>
        <v>618</v>
      </c>
      <c r="AA745" s="904">
        <f t="shared" si="137"/>
        <v>407</v>
      </c>
      <c r="AB745" s="24">
        <v>272</v>
      </c>
    </row>
    <row r="746" spans="1:28" x14ac:dyDescent="0.25">
      <c r="A746" s="903"/>
      <c r="B746" t="s">
        <v>1532</v>
      </c>
      <c r="C746" s="906" t="s">
        <v>1558</v>
      </c>
      <c r="D746" s="25">
        <v>6.5</v>
      </c>
      <c r="E746" s="903">
        <v>875</v>
      </c>
      <c r="F746" s="903">
        <v>521</v>
      </c>
      <c r="G746" s="903" t="s">
        <v>1559</v>
      </c>
      <c r="H746" s="904">
        <f t="shared" si="138"/>
        <v>5</v>
      </c>
      <c r="I746" s="904">
        <f t="shared" si="139"/>
        <v>10</v>
      </c>
      <c r="J746" s="21">
        <f t="shared" si="140"/>
        <v>8300</v>
      </c>
      <c r="K746" s="21">
        <f t="shared" si="141"/>
        <v>12240</v>
      </c>
      <c r="L746" s="21">
        <f t="shared" si="142"/>
        <v>22150</v>
      </c>
      <c r="M746" s="21">
        <f t="shared" si="143"/>
        <v>36000</v>
      </c>
      <c r="N746" s="904">
        <f t="shared" si="144"/>
        <v>489</v>
      </c>
      <c r="O746" s="21"/>
      <c r="P746" s="22" t="s">
        <v>2</v>
      </c>
      <c r="Q746" s="22">
        <v>0.63</v>
      </c>
      <c r="R746" s="904" t="s">
        <v>42</v>
      </c>
      <c r="S746" s="904" t="str">
        <f t="shared" si="145"/>
        <v>Stove</v>
      </c>
      <c r="T746" s="23">
        <f t="shared" si="146"/>
        <v>0.39805016656868508</v>
      </c>
      <c r="U746" s="23">
        <f t="shared" si="147"/>
        <v>1.1707357840255443</v>
      </c>
      <c r="V746" s="23">
        <f t="shared" si="147"/>
        <v>0.64694383731253557</v>
      </c>
      <c r="W746" s="23">
        <f t="shared" si="148"/>
        <v>1.7264826501774293</v>
      </c>
      <c r="X746" s="904">
        <f t="shared" si="149"/>
        <v>827</v>
      </c>
      <c r="Y746" s="904">
        <f t="shared" si="149"/>
        <v>878</v>
      </c>
      <c r="Z746" s="904">
        <f t="shared" si="149"/>
        <v>865</v>
      </c>
      <c r="AA746" s="904">
        <f t="shared" si="137"/>
        <v>941</v>
      </c>
      <c r="AB746" s="24">
        <v>525</v>
      </c>
    </row>
    <row r="747" spans="1:28" x14ac:dyDescent="0.25">
      <c r="A747" s="903"/>
      <c r="B747" t="s">
        <v>1532</v>
      </c>
      <c r="C747" s="906" t="s">
        <v>1560</v>
      </c>
      <c r="D747" s="25">
        <v>6.5</v>
      </c>
      <c r="E747" s="903">
        <v>875</v>
      </c>
      <c r="F747" s="903">
        <v>521</v>
      </c>
      <c r="G747" s="903" t="s">
        <v>1559</v>
      </c>
      <c r="H747" s="904">
        <f t="shared" si="138"/>
        <v>5</v>
      </c>
      <c r="I747" s="904">
        <f t="shared" si="139"/>
        <v>10</v>
      </c>
      <c r="J747" s="21">
        <f t="shared" si="140"/>
        <v>8300</v>
      </c>
      <c r="K747" s="21">
        <f t="shared" si="141"/>
        <v>12240</v>
      </c>
      <c r="L747" s="21">
        <f t="shared" si="142"/>
        <v>22150</v>
      </c>
      <c r="M747" s="21">
        <f t="shared" si="143"/>
        <v>36000</v>
      </c>
      <c r="N747" s="904">
        <f t="shared" si="144"/>
        <v>489</v>
      </c>
      <c r="O747" s="21"/>
      <c r="P747" s="22" t="s">
        <v>2</v>
      </c>
      <c r="Q747" s="22">
        <v>0.63</v>
      </c>
      <c r="R747" s="904" t="s">
        <v>42</v>
      </c>
      <c r="S747" s="904" t="str">
        <f t="shared" si="145"/>
        <v>Stove</v>
      </c>
      <c r="T747" s="23">
        <f t="shared" si="146"/>
        <v>0.39805016656868508</v>
      </c>
      <c r="U747" s="23">
        <f t="shared" si="147"/>
        <v>1.1707357840255443</v>
      </c>
      <c r="V747" s="23">
        <f t="shared" si="147"/>
        <v>0.64694383731253557</v>
      </c>
      <c r="W747" s="23">
        <f t="shared" si="148"/>
        <v>1.7264826501774293</v>
      </c>
      <c r="X747" s="904">
        <f t="shared" si="149"/>
        <v>827</v>
      </c>
      <c r="Y747" s="904">
        <f t="shared" si="149"/>
        <v>878</v>
      </c>
      <c r="Z747" s="904">
        <f t="shared" si="149"/>
        <v>865</v>
      </c>
      <c r="AA747" s="904">
        <f t="shared" si="137"/>
        <v>941</v>
      </c>
      <c r="AB747" s="24">
        <v>525</v>
      </c>
    </row>
    <row r="748" spans="1:28" x14ac:dyDescent="0.25">
      <c r="A748" s="903"/>
      <c r="B748" t="s">
        <v>1532</v>
      </c>
      <c r="C748" s="906" t="s">
        <v>1561</v>
      </c>
      <c r="D748" s="25">
        <v>3.9</v>
      </c>
      <c r="E748" s="903">
        <v>548</v>
      </c>
      <c r="F748" s="903">
        <v>253</v>
      </c>
      <c r="G748" s="903" t="s">
        <v>1562</v>
      </c>
      <c r="H748" s="904">
        <f t="shared" si="138"/>
        <v>6</v>
      </c>
      <c r="I748" s="904">
        <f t="shared" si="139"/>
        <v>11</v>
      </c>
      <c r="J748" s="21">
        <f t="shared" si="140"/>
        <v>11600</v>
      </c>
      <c r="K748" s="21">
        <f t="shared" si="141"/>
        <v>20502</v>
      </c>
      <c r="L748" s="21">
        <f t="shared" si="142"/>
        <v>35950</v>
      </c>
      <c r="M748" s="21">
        <f t="shared" si="143"/>
        <v>60300</v>
      </c>
      <c r="N748" s="904">
        <f t="shared" si="144"/>
        <v>944</v>
      </c>
      <c r="O748" s="21"/>
      <c r="P748" s="22" t="s">
        <v>2</v>
      </c>
      <c r="Q748" s="22">
        <v>0.63</v>
      </c>
      <c r="R748" s="904" t="s">
        <v>42</v>
      </c>
      <c r="S748" s="904" t="str">
        <f t="shared" si="145"/>
        <v>Stove</v>
      </c>
      <c r="T748" s="23">
        <f t="shared" si="146"/>
        <v>0.14258513429326033</v>
      </c>
      <c r="U748" s="23">
        <f t="shared" si="147"/>
        <v>0.41936804203900091</v>
      </c>
      <c r="V748" s="23">
        <f t="shared" si="147"/>
        <v>0.23916226976032262</v>
      </c>
      <c r="W748" s="23">
        <f t="shared" si="148"/>
        <v>0.74119686188651701</v>
      </c>
      <c r="X748" s="904">
        <f t="shared" si="149"/>
        <v>192</v>
      </c>
      <c r="Y748" s="904">
        <f t="shared" si="149"/>
        <v>202</v>
      </c>
      <c r="Z748" s="904">
        <f t="shared" si="149"/>
        <v>223</v>
      </c>
      <c r="AA748" s="904">
        <f t="shared" si="137"/>
        <v>451</v>
      </c>
      <c r="AB748" s="24">
        <v>62</v>
      </c>
    </row>
    <row r="749" spans="1:28" x14ac:dyDescent="0.25">
      <c r="A749" s="903"/>
      <c r="B749" t="s">
        <v>1532</v>
      </c>
      <c r="C749" s="906" t="s">
        <v>1563</v>
      </c>
      <c r="D749" s="25">
        <v>3.9</v>
      </c>
      <c r="E749" s="903">
        <v>548</v>
      </c>
      <c r="F749" s="903">
        <v>253</v>
      </c>
      <c r="G749" s="903" t="s">
        <v>1555</v>
      </c>
      <c r="H749" s="904">
        <f t="shared" si="138"/>
        <v>6</v>
      </c>
      <c r="I749" s="904">
        <f t="shared" si="139"/>
        <v>11</v>
      </c>
      <c r="J749" s="21">
        <f t="shared" si="140"/>
        <v>11600</v>
      </c>
      <c r="K749" s="21">
        <f t="shared" si="141"/>
        <v>13158.000000000002</v>
      </c>
      <c r="L749" s="21">
        <f t="shared" si="142"/>
        <v>25150</v>
      </c>
      <c r="M749" s="21">
        <f t="shared" si="143"/>
        <v>38700</v>
      </c>
      <c r="N749" s="904">
        <f t="shared" si="144"/>
        <v>702</v>
      </c>
      <c r="O749" s="21"/>
      <c r="P749" s="22" t="s">
        <v>2</v>
      </c>
      <c r="Q749" s="22">
        <v>0.63</v>
      </c>
      <c r="R749" s="904" t="s">
        <v>42</v>
      </c>
      <c r="S749" s="904" t="str">
        <f t="shared" si="145"/>
        <v>Stove</v>
      </c>
      <c r="T749" s="23">
        <f t="shared" si="146"/>
        <v>0.22216753482903354</v>
      </c>
      <c r="U749" s="23">
        <f t="shared" si="147"/>
        <v>0.65343392596774563</v>
      </c>
      <c r="V749" s="23">
        <f t="shared" si="147"/>
        <v>0.34186415896157446</v>
      </c>
      <c r="W749" s="23">
        <f t="shared" si="148"/>
        <v>0.74119686188651701</v>
      </c>
      <c r="X749" s="904">
        <f t="shared" si="149"/>
        <v>472</v>
      </c>
      <c r="Y749" s="904">
        <f t="shared" si="149"/>
        <v>505</v>
      </c>
      <c r="Z749" s="904">
        <f t="shared" si="149"/>
        <v>469</v>
      </c>
      <c r="AA749" s="904">
        <f t="shared" si="137"/>
        <v>451</v>
      </c>
      <c r="AB749" s="24">
        <v>241</v>
      </c>
    </row>
    <row r="750" spans="1:28" x14ac:dyDescent="0.25">
      <c r="A750" s="903"/>
      <c r="B750" t="s">
        <v>1532</v>
      </c>
      <c r="C750" s="906" t="s">
        <v>1564</v>
      </c>
      <c r="D750" s="25">
        <v>4.4000000000000004</v>
      </c>
      <c r="E750" s="903">
        <v>660</v>
      </c>
      <c r="F750" s="903">
        <v>338</v>
      </c>
      <c r="G750" s="903" t="s">
        <v>1565</v>
      </c>
      <c r="H750" s="904">
        <f t="shared" si="138"/>
        <v>6</v>
      </c>
      <c r="I750" s="904">
        <f t="shared" si="139"/>
        <v>11</v>
      </c>
      <c r="J750" s="21">
        <f t="shared" si="140"/>
        <v>11479</v>
      </c>
      <c r="K750" s="21">
        <f t="shared" si="141"/>
        <v>11479</v>
      </c>
      <c r="L750" s="21">
        <f t="shared" si="142"/>
        <v>20964.5</v>
      </c>
      <c r="M750" s="21">
        <f t="shared" si="143"/>
        <v>30450</v>
      </c>
      <c r="N750" s="904">
        <f t="shared" si="144"/>
        <v>401</v>
      </c>
      <c r="O750" s="21"/>
      <c r="P750" s="22" t="s">
        <v>2</v>
      </c>
      <c r="Q750" s="22">
        <v>0.63</v>
      </c>
      <c r="R750" s="904" t="s">
        <v>42</v>
      </c>
      <c r="S750" s="904" t="str">
        <f t="shared" si="145"/>
        <v>Stove</v>
      </c>
      <c r="T750" s="23">
        <f t="shared" si="146"/>
        <v>0.31856080022473016</v>
      </c>
      <c r="U750" s="23">
        <f t="shared" si="147"/>
        <v>0.84503670762636407</v>
      </c>
      <c r="V750" s="23">
        <f t="shared" si="147"/>
        <v>0.46269533577442973</v>
      </c>
      <c r="W750" s="23">
        <f t="shared" si="148"/>
        <v>0.84503670762636407</v>
      </c>
      <c r="X750" s="904">
        <f t="shared" si="149"/>
        <v>711</v>
      </c>
      <c r="Y750" s="904">
        <f t="shared" si="149"/>
        <v>703</v>
      </c>
      <c r="Z750" s="904">
        <f t="shared" si="149"/>
        <v>685</v>
      </c>
      <c r="AA750" s="904">
        <f t="shared" si="137"/>
        <v>590</v>
      </c>
      <c r="AB750" s="24">
        <v>388</v>
      </c>
    </row>
    <row r="751" spans="1:28" x14ac:dyDescent="0.25">
      <c r="A751" s="903"/>
      <c r="B751" t="s">
        <v>1532</v>
      </c>
      <c r="C751" s="906" t="s">
        <v>1566</v>
      </c>
      <c r="D751" s="25">
        <v>4.4000000000000004</v>
      </c>
      <c r="E751" s="903">
        <v>660</v>
      </c>
      <c r="F751" s="903">
        <v>338</v>
      </c>
      <c r="G751" s="903" t="s">
        <v>1565</v>
      </c>
      <c r="H751" s="904">
        <f t="shared" si="138"/>
        <v>6</v>
      </c>
      <c r="I751" s="904">
        <f t="shared" si="139"/>
        <v>11</v>
      </c>
      <c r="J751" s="21">
        <f t="shared" si="140"/>
        <v>11479</v>
      </c>
      <c r="K751" s="21">
        <f t="shared" si="141"/>
        <v>11479</v>
      </c>
      <c r="L751" s="21">
        <f t="shared" si="142"/>
        <v>20964.5</v>
      </c>
      <c r="M751" s="21">
        <f t="shared" si="143"/>
        <v>30450</v>
      </c>
      <c r="N751" s="904">
        <f t="shared" si="144"/>
        <v>401</v>
      </c>
      <c r="O751" s="21"/>
      <c r="P751" s="22" t="s">
        <v>2</v>
      </c>
      <c r="Q751" s="22">
        <v>0.63</v>
      </c>
      <c r="R751" s="904" t="s">
        <v>42</v>
      </c>
      <c r="S751" s="904" t="str">
        <f t="shared" si="145"/>
        <v>Stove</v>
      </c>
      <c r="T751" s="23">
        <f t="shared" si="146"/>
        <v>0.31856080022473016</v>
      </c>
      <c r="U751" s="23">
        <f t="shared" si="147"/>
        <v>0.84503670762636407</v>
      </c>
      <c r="V751" s="23">
        <f t="shared" si="147"/>
        <v>0.46269533577442973</v>
      </c>
      <c r="W751" s="23">
        <f t="shared" si="148"/>
        <v>0.84503670762636407</v>
      </c>
      <c r="X751" s="904">
        <f t="shared" si="149"/>
        <v>711</v>
      </c>
      <c r="Y751" s="904">
        <f t="shared" si="149"/>
        <v>703</v>
      </c>
      <c r="Z751" s="904">
        <f t="shared" si="149"/>
        <v>685</v>
      </c>
      <c r="AA751" s="904">
        <f t="shared" si="137"/>
        <v>590</v>
      </c>
      <c r="AB751" s="24">
        <v>388</v>
      </c>
    </row>
    <row r="752" spans="1:28" x14ac:dyDescent="0.25">
      <c r="A752" s="903"/>
      <c r="B752" t="s">
        <v>1532</v>
      </c>
      <c r="C752" s="906" t="s">
        <v>1567</v>
      </c>
      <c r="D752" s="25">
        <v>2.9</v>
      </c>
      <c r="E752" s="903">
        <v>295</v>
      </c>
      <c r="F752" s="903">
        <v>96</v>
      </c>
      <c r="G752" s="903" t="s">
        <v>1568</v>
      </c>
      <c r="H752" s="904">
        <f t="shared" si="138"/>
        <v>6</v>
      </c>
      <c r="I752" s="904">
        <f t="shared" si="139"/>
        <v>11</v>
      </c>
      <c r="J752" s="21">
        <f t="shared" si="140"/>
        <v>11000</v>
      </c>
      <c r="K752" s="21">
        <f t="shared" si="141"/>
        <v>11900</v>
      </c>
      <c r="L752" s="21">
        <f t="shared" si="142"/>
        <v>23000</v>
      </c>
      <c r="M752" s="21">
        <f t="shared" si="143"/>
        <v>35000</v>
      </c>
      <c r="N752" s="904">
        <f t="shared" si="144"/>
        <v>548</v>
      </c>
      <c r="O752" s="21"/>
      <c r="P752" s="22" t="s">
        <v>2</v>
      </c>
      <c r="Q752" s="22">
        <v>0.63</v>
      </c>
      <c r="R752" s="904" t="s">
        <v>42</v>
      </c>
      <c r="S752" s="904" t="str">
        <f t="shared" si="145"/>
        <v>Stove</v>
      </c>
      <c r="T752" s="23">
        <f t="shared" si="146"/>
        <v>0.18266565885613506</v>
      </c>
      <c r="U752" s="23">
        <f t="shared" si="147"/>
        <v>0.53725193781216185</v>
      </c>
      <c r="V752" s="23">
        <f t="shared" si="147"/>
        <v>0.27796948086803158</v>
      </c>
      <c r="W752" s="23">
        <f t="shared" si="148"/>
        <v>0.58120891454224788</v>
      </c>
      <c r="X752" s="904">
        <f t="shared" si="149"/>
        <v>322</v>
      </c>
      <c r="Y752" s="904">
        <f t="shared" si="149"/>
        <v>346</v>
      </c>
      <c r="Z752" s="904">
        <f t="shared" si="149"/>
        <v>299</v>
      </c>
      <c r="AA752" s="904">
        <f t="shared" si="137"/>
        <v>274</v>
      </c>
      <c r="AB752" s="24">
        <v>137</v>
      </c>
    </row>
    <row r="753" spans="1:28" x14ac:dyDescent="0.25">
      <c r="A753" s="903"/>
      <c r="B753" t="s">
        <v>1532</v>
      </c>
      <c r="C753" s="906" t="s">
        <v>1569</v>
      </c>
      <c r="D753" s="25">
        <v>4.4000000000000004</v>
      </c>
      <c r="E753" s="903">
        <v>660</v>
      </c>
      <c r="F753" s="903">
        <v>338</v>
      </c>
      <c r="G753" s="903" t="s">
        <v>1533</v>
      </c>
      <c r="H753" s="904">
        <f t="shared" si="138"/>
        <v>6</v>
      </c>
      <c r="I753" s="904">
        <f t="shared" si="139"/>
        <v>11</v>
      </c>
      <c r="J753" s="21">
        <f t="shared" si="140"/>
        <v>11800</v>
      </c>
      <c r="K753" s="21">
        <f t="shared" si="141"/>
        <v>14416.000000000002</v>
      </c>
      <c r="L753" s="21">
        <f t="shared" si="142"/>
        <v>27100</v>
      </c>
      <c r="M753" s="21">
        <f t="shared" si="143"/>
        <v>42400</v>
      </c>
      <c r="N753" s="904">
        <f t="shared" si="144"/>
        <v>800</v>
      </c>
      <c r="O753" s="21"/>
      <c r="P753" s="22" t="s">
        <v>2</v>
      </c>
      <c r="Q753" s="22">
        <v>0.63</v>
      </c>
      <c r="R753" s="904" t="s">
        <v>42</v>
      </c>
      <c r="S753" s="904" t="str">
        <f t="shared" si="145"/>
        <v>Stove</v>
      </c>
      <c r="T753" s="23">
        <f t="shared" si="146"/>
        <v>0.22877774450101493</v>
      </c>
      <c r="U753" s="23">
        <f t="shared" si="147"/>
        <v>0.67287571912063204</v>
      </c>
      <c r="V753" s="23">
        <f t="shared" si="147"/>
        <v>0.35794008733738131</v>
      </c>
      <c r="W753" s="23">
        <f t="shared" si="148"/>
        <v>0.82204884464771466</v>
      </c>
      <c r="X753" s="904">
        <f t="shared" si="149"/>
        <v>489</v>
      </c>
      <c r="Y753" s="904">
        <f t="shared" si="149"/>
        <v>532</v>
      </c>
      <c r="Z753" s="904">
        <f t="shared" si="149"/>
        <v>506</v>
      </c>
      <c r="AA753" s="904">
        <f t="shared" si="137"/>
        <v>562</v>
      </c>
      <c r="AB753" s="24">
        <v>257</v>
      </c>
    </row>
    <row r="754" spans="1:28" x14ac:dyDescent="0.25">
      <c r="A754" s="903"/>
      <c r="B754" t="s">
        <v>1532</v>
      </c>
      <c r="C754" s="906" t="s">
        <v>1570</v>
      </c>
      <c r="D754" s="25">
        <v>3.5</v>
      </c>
      <c r="E754" s="903">
        <v>432</v>
      </c>
      <c r="F754" s="903">
        <v>181</v>
      </c>
      <c r="G754" s="903" t="s">
        <v>1571</v>
      </c>
      <c r="H754" s="904">
        <f t="shared" si="138"/>
        <v>6</v>
      </c>
      <c r="I754" s="904">
        <f t="shared" si="139"/>
        <v>11</v>
      </c>
      <c r="J754" s="21">
        <f t="shared" si="140"/>
        <v>11900</v>
      </c>
      <c r="K754" s="21">
        <f t="shared" si="141"/>
        <v>13906.000000000002</v>
      </c>
      <c r="L754" s="21">
        <f t="shared" si="142"/>
        <v>26400</v>
      </c>
      <c r="M754" s="21">
        <f t="shared" si="143"/>
        <v>40900</v>
      </c>
      <c r="N754" s="904">
        <f t="shared" si="144"/>
        <v>766</v>
      </c>
      <c r="O754" s="21"/>
      <c r="P754" s="22" t="s">
        <v>2</v>
      </c>
      <c r="Q754" s="22">
        <v>0.63</v>
      </c>
      <c r="R754" s="904" t="s">
        <v>42</v>
      </c>
      <c r="S754" s="904" t="str">
        <f t="shared" si="145"/>
        <v>Stove</v>
      </c>
      <c r="T754" s="23">
        <f t="shared" si="146"/>
        <v>0.18865646412508677</v>
      </c>
      <c r="U754" s="23">
        <f t="shared" si="147"/>
        <v>0.55487195330907868</v>
      </c>
      <c r="V754" s="23">
        <f t="shared" si="147"/>
        <v>0.29227459783015336</v>
      </c>
      <c r="W754" s="23">
        <f t="shared" si="148"/>
        <v>0.6484075111526092</v>
      </c>
      <c r="X754" s="904">
        <f t="shared" si="149"/>
        <v>337</v>
      </c>
      <c r="Y754" s="904">
        <f t="shared" si="149"/>
        <v>364</v>
      </c>
      <c r="Z754" s="904">
        <f t="shared" si="149"/>
        <v>344</v>
      </c>
      <c r="AA754" s="904">
        <f t="shared" si="137"/>
        <v>351</v>
      </c>
      <c r="AB754" s="24">
        <v>149</v>
      </c>
    </row>
    <row r="755" spans="1:28" x14ac:dyDescent="0.25">
      <c r="A755" s="903"/>
      <c r="B755" t="s">
        <v>1532</v>
      </c>
      <c r="C755" s="906" t="s">
        <v>1572</v>
      </c>
      <c r="D755" s="25">
        <v>3.5</v>
      </c>
      <c r="E755" s="903">
        <v>432</v>
      </c>
      <c r="F755" s="903">
        <v>181</v>
      </c>
      <c r="G755" s="903" t="s">
        <v>1571</v>
      </c>
      <c r="H755" s="904">
        <f t="shared" si="138"/>
        <v>6</v>
      </c>
      <c r="I755" s="904">
        <f t="shared" si="139"/>
        <v>11</v>
      </c>
      <c r="J755" s="21">
        <f t="shared" si="140"/>
        <v>11900</v>
      </c>
      <c r="K755" s="21">
        <f t="shared" si="141"/>
        <v>13906.000000000002</v>
      </c>
      <c r="L755" s="21">
        <f t="shared" si="142"/>
        <v>26400</v>
      </c>
      <c r="M755" s="21">
        <f t="shared" si="143"/>
        <v>40900</v>
      </c>
      <c r="N755" s="904">
        <f t="shared" si="144"/>
        <v>766</v>
      </c>
      <c r="O755" s="21"/>
      <c r="P755" s="22" t="s">
        <v>2</v>
      </c>
      <c r="Q755" s="22">
        <v>0.63</v>
      </c>
      <c r="R755" s="904" t="s">
        <v>42</v>
      </c>
      <c r="S755" s="904" t="str">
        <f t="shared" si="145"/>
        <v>Stove</v>
      </c>
      <c r="T755" s="23">
        <f t="shared" si="146"/>
        <v>0.18865646412508677</v>
      </c>
      <c r="U755" s="23">
        <f t="shared" si="147"/>
        <v>0.55487195330907868</v>
      </c>
      <c r="V755" s="23">
        <f t="shared" si="147"/>
        <v>0.29227459783015336</v>
      </c>
      <c r="W755" s="23">
        <f t="shared" si="148"/>
        <v>0.6484075111526092</v>
      </c>
      <c r="X755" s="904">
        <f t="shared" si="149"/>
        <v>337</v>
      </c>
      <c r="Y755" s="904">
        <f t="shared" si="149"/>
        <v>364</v>
      </c>
      <c r="Z755" s="904">
        <f t="shared" si="149"/>
        <v>344</v>
      </c>
      <c r="AA755" s="904">
        <f t="shared" si="137"/>
        <v>351</v>
      </c>
      <c r="AB755" s="24">
        <v>149</v>
      </c>
    </row>
    <row r="756" spans="1:28" x14ac:dyDescent="0.25">
      <c r="A756" s="903"/>
      <c r="B756" t="s">
        <v>1532</v>
      </c>
      <c r="C756" s="906" t="s">
        <v>1573</v>
      </c>
      <c r="D756" s="25">
        <v>5.3</v>
      </c>
      <c r="E756" s="903">
        <v>792</v>
      </c>
      <c r="F756" s="903">
        <v>444</v>
      </c>
      <c r="G756" s="903" t="s">
        <v>891</v>
      </c>
      <c r="H756" s="904">
        <f t="shared" si="138"/>
        <v>6</v>
      </c>
      <c r="I756" s="904">
        <f t="shared" si="139"/>
        <v>11</v>
      </c>
      <c r="J756" s="21">
        <f t="shared" si="140"/>
        <v>10600</v>
      </c>
      <c r="K756" s="21">
        <f t="shared" si="141"/>
        <v>10600</v>
      </c>
      <c r="L756" s="21">
        <f t="shared" si="142"/>
        <v>18350</v>
      </c>
      <c r="M756" s="21">
        <f t="shared" si="143"/>
        <v>26100</v>
      </c>
      <c r="N756" s="904">
        <f t="shared" si="144"/>
        <v>180</v>
      </c>
      <c r="O756" s="21"/>
      <c r="P756" s="22" t="s">
        <v>2</v>
      </c>
      <c r="Q756" s="22">
        <v>0.63</v>
      </c>
      <c r="R756" s="904" t="s">
        <v>42</v>
      </c>
      <c r="S756" s="904" t="str">
        <f t="shared" si="145"/>
        <v>Stove</v>
      </c>
      <c r="T756" s="23">
        <f t="shared" si="146"/>
        <v>0.44767445789157156</v>
      </c>
      <c r="U756" s="23">
        <f t="shared" si="147"/>
        <v>1.1022927689594357</v>
      </c>
      <c r="V756" s="23">
        <f t="shared" si="147"/>
        <v>0.63674677661961954</v>
      </c>
      <c r="W756" s="23">
        <f t="shared" si="148"/>
        <v>1.1022927689594357</v>
      </c>
      <c r="X756" s="904">
        <f t="shared" si="149"/>
        <v>865</v>
      </c>
      <c r="Y756" s="904">
        <f t="shared" si="149"/>
        <v>858</v>
      </c>
      <c r="Z756" s="904">
        <f t="shared" si="149"/>
        <v>855</v>
      </c>
      <c r="AA756" s="904">
        <f t="shared" si="137"/>
        <v>781</v>
      </c>
      <c r="AB756" s="24">
        <v>505</v>
      </c>
    </row>
    <row r="757" spans="1:28" x14ac:dyDescent="0.25">
      <c r="A757" s="903"/>
      <c r="B757" t="s">
        <v>1532</v>
      </c>
      <c r="C757" s="906" t="s">
        <v>1574</v>
      </c>
      <c r="D757" s="25">
        <v>4.3</v>
      </c>
      <c r="E757" s="903">
        <v>635</v>
      </c>
      <c r="F757" s="903">
        <v>318</v>
      </c>
      <c r="G757" s="903" t="s">
        <v>1138</v>
      </c>
      <c r="H757" s="904">
        <f t="shared" si="138"/>
        <v>6</v>
      </c>
      <c r="I757" s="904">
        <f t="shared" si="139"/>
        <v>11</v>
      </c>
      <c r="J757" s="21">
        <f t="shared" si="140"/>
        <v>10800</v>
      </c>
      <c r="K757" s="21">
        <f t="shared" si="141"/>
        <v>11560</v>
      </c>
      <c r="L757" s="21">
        <f t="shared" si="142"/>
        <v>22400</v>
      </c>
      <c r="M757" s="21">
        <f t="shared" si="143"/>
        <v>34000</v>
      </c>
      <c r="N757" s="904">
        <f t="shared" si="144"/>
        <v>509</v>
      </c>
      <c r="O757" s="21"/>
      <c r="P757" s="22" t="s">
        <v>2</v>
      </c>
      <c r="Q757" s="22">
        <v>0.63</v>
      </c>
      <c r="R757" s="904" t="s">
        <v>42</v>
      </c>
      <c r="S757" s="904" t="str">
        <f t="shared" si="145"/>
        <v>Stove</v>
      </c>
      <c r="T757" s="23">
        <f t="shared" si="146"/>
        <v>0.27881522979562195</v>
      </c>
      <c r="U757" s="23">
        <f t="shared" si="147"/>
        <v>0.82004479351653514</v>
      </c>
      <c r="V757" s="23">
        <f t="shared" si="147"/>
        <v>0.42320168808264047</v>
      </c>
      <c r="W757" s="23">
        <f t="shared" si="148"/>
        <v>0.87775164935658767</v>
      </c>
      <c r="X757" s="904">
        <f t="shared" si="149"/>
        <v>629</v>
      </c>
      <c r="Y757" s="904">
        <f t="shared" si="149"/>
        <v>684</v>
      </c>
      <c r="Z757" s="904">
        <f t="shared" si="149"/>
        <v>634</v>
      </c>
      <c r="AA757" s="904">
        <f t="shared" si="137"/>
        <v>619</v>
      </c>
      <c r="AB757" s="24">
        <v>373</v>
      </c>
    </row>
    <row r="758" spans="1:28" x14ac:dyDescent="0.25">
      <c r="A758" s="903"/>
      <c r="B758" t="s">
        <v>1575</v>
      </c>
      <c r="C758" s="906" t="s">
        <v>1576</v>
      </c>
      <c r="D758" s="25">
        <v>3.6</v>
      </c>
      <c r="E758" s="903">
        <v>467</v>
      </c>
      <c r="F758" s="903">
        <v>207</v>
      </c>
      <c r="G758" s="903" t="s">
        <v>1577</v>
      </c>
      <c r="H758" s="904">
        <f t="shared" si="138"/>
        <v>6</v>
      </c>
      <c r="I758" s="904">
        <f t="shared" si="139"/>
        <v>11</v>
      </c>
      <c r="J758" s="21">
        <f t="shared" si="140"/>
        <v>10600</v>
      </c>
      <c r="K758" s="21">
        <f t="shared" si="141"/>
        <v>10600</v>
      </c>
      <c r="L758" s="21">
        <f t="shared" si="142"/>
        <v>17650</v>
      </c>
      <c r="M758" s="21">
        <f t="shared" si="143"/>
        <v>24700</v>
      </c>
      <c r="N758" s="904">
        <f t="shared" si="144"/>
        <v>142</v>
      </c>
      <c r="O758" s="21"/>
      <c r="P758" s="22" t="s">
        <v>2</v>
      </c>
      <c r="Q758" s="22">
        <v>0.63</v>
      </c>
      <c r="R758" s="904" t="s">
        <v>42</v>
      </c>
      <c r="S758" s="904" t="str">
        <f t="shared" si="145"/>
        <v>Stove</v>
      </c>
      <c r="T758" s="23">
        <f t="shared" si="146"/>
        <v>0.321316110789795</v>
      </c>
      <c r="U758" s="23">
        <f t="shared" si="147"/>
        <v>0.74872716382150339</v>
      </c>
      <c r="V758" s="23">
        <f t="shared" si="147"/>
        <v>0.44966050631773014</v>
      </c>
      <c r="W758" s="23">
        <f t="shared" si="148"/>
        <v>0.74872716382150339</v>
      </c>
      <c r="X758" s="904">
        <f t="shared" si="149"/>
        <v>717</v>
      </c>
      <c r="Y758" s="904">
        <f t="shared" si="149"/>
        <v>615</v>
      </c>
      <c r="Z758" s="904">
        <f t="shared" si="149"/>
        <v>674</v>
      </c>
      <c r="AA758" s="904">
        <f t="shared" si="137"/>
        <v>464</v>
      </c>
      <c r="AB758" s="24">
        <v>315</v>
      </c>
    </row>
    <row r="759" spans="1:28" x14ac:dyDescent="0.25">
      <c r="A759" s="903"/>
      <c r="B759" t="s">
        <v>1575</v>
      </c>
      <c r="C759" s="906" t="s">
        <v>1578</v>
      </c>
      <c r="D759" s="25">
        <v>6.6</v>
      </c>
      <c r="E759" s="903">
        <v>884</v>
      </c>
      <c r="F759" s="903">
        <v>529</v>
      </c>
      <c r="G759" s="903" t="s">
        <v>1579</v>
      </c>
      <c r="H759" s="904">
        <f t="shared" si="138"/>
        <v>6</v>
      </c>
      <c r="I759" s="904">
        <f t="shared" si="139"/>
        <v>11</v>
      </c>
      <c r="J759" s="21">
        <f t="shared" si="140"/>
        <v>12000</v>
      </c>
      <c r="K759" s="21">
        <f t="shared" si="141"/>
        <v>17714</v>
      </c>
      <c r="L759" s="21">
        <f t="shared" si="142"/>
        <v>32050</v>
      </c>
      <c r="M759" s="21">
        <f t="shared" si="143"/>
        <v>52100</v>
      </c>
      <c r="N759" s="904">
        <f t="shared" si="144"/>
        <v>905</v>
      </c>
      <c r="O759" s="21"/>
      <c r="P759" s="22" t="s">
        <v>2</v>
      </c>
      <c r="Q759" s="22">
        <v>0.63</v>
      </c>
      <c r="R759" s="904" t="s">
        <v>42</v>
      </c>
      <c r="S759" s="904" t="str">
        <f t="shared" si="145"/>
        <v>Stove</v>
      </c>
      <c r="T759" s="23">
        <f t="shared" si="146"/>
        <v>0.27927571113751537</v>
      </c>
      <c r="U759" s="23">
        <f t="shared" si="147"/>
        <v>0.82139915040445688</v>
      </c>
      <c r="V759" s="23">
        <f t="shared" si="147"/>
        <v>0.45398641342479096</v>
      </c>
      <c r="W759" s="23">
        <f t="shared" si="148"/>
        <v>1.2125220458553791</v>
      </c>
      <c r="X759" s="904">
        <f t="shared" si="149"/>
        <v>631</v>
      </c>
      <c r="Y759" s="904">
        <f t="shared" si="149"/>
        <v>687</v>
      </c>
      <c r="Z759" s="904">
        <f t="shared" si="149"/>
        <v>678</v>
      </c>
      <c r="AA759" s="904">
        <f t="shared" si="137"/>
        <v>824</v>
      </c>
      <c r="AB759" s="24">
        <v>376</v>
      </c>
    </row>
    <row r="760" spans="1:28" x14ac:dyDescent="0.25">
      <c r="A760" s="903"/>
      <c r="B760" t="s">
        <v>1575</v>
      </c>
      <c r="C760" s="906" t="s">
        <v>1580</v>
      </c>
      <c r="D760" s="25">
        <v>4.7</v>
      </c>
      <c r="E760" s="903">
        <v>728</v>
      </c>
      <c r="F760" s="903">
        <v>397</v>
      </c>
      <c r="G760" s="903" t="s">
        <v>1581</v>
      </c>
      <c r="H760" s="904">
        <f t="shared" si="138"/>
        <v>5</v>
      </c>
      <c r="I760" s="904">
        <f t="shared" si="139"/>
        <v>10</v>
      </c>
      <c r="J760" s="21">
        <f t="shared" si="140"/>
        <v>9600</v>
      </c>
      <c r="K760" s="21">
        <f t="shared" si="141"/>
        <v>19652</v>
      </c>
      <c r="L760" s="21">
        <f t="shared" si="142"/>
        <v>33700</v>
      </c>
      <c r="M760" s="21">
        <f t="shared" si="143"/>
        <v>57800</v>
      </c>
      <c r="N760" s="904">
        <f t="shared" si="144"/>
        <v>931</v>
      </c>
      <c r="O760" s="21"/>
      <c r="P760" s="22" t="s">
        <v>2</v>
      </c>
      <c r="Q760" s="22">
        <v>0.63</v>
      </c>
      <c r="R760" s="904" t="s">
        <v>42</v>
      </c>
      <c r="S760" s="904" t="str">
        <f t="shared" si="145"/>
        <v>Stove</v>
      </c>
      <c r="T760" s="23">
        <f t="shared" si="146"/>
        <v>0.17926560602454489</v>
      </c>
      <c r="U760" s="23">
        <f t="shared" si="147"/>
        <v>0.52725178242513193</v>
      </c>
      <c r="V760" s="23">
        <f t="shared" si="147"/>
        <v>0.30746445187592564</v>
      </c>
      <c r="W760" s="23">
        <f t="shared" si="148"/>
        <v>1.0793283362727808</v>
      </c>
      <c r="X760" s="904">
        <f t="shared" si="149"/>
        <v>305</v>
      </c>
      <c r="Y760" s="904">
        <f t="shared" si="149"/>
        <v>328</v>
      </c>
      <c r="Z760" s="904">
        <f t="shared" si="149"/>
        <v>379</v>
      </c>
      <c r="AA760" s="904">
        <f t="shared" si="137"/>
        <v>765</v>
      </c>
      <c r="AB760" s="24">
        <v>126</v>
      </c>
    </row>
    <row r="761" spans="1:28" x14ac:dyDescent="0.25">
      <c r="A761" s="903"/>
      <c r="B761" s="26" t="s">
        <v>1575</v>
      </c>
      <c r="C761" s="27" t="s">
        <v>1582</v>
      </c>
      <c r="D761" s="28">
        <v>2.1800000000000002</v>
      </c>
      <c r="E761" s="29">
        <v>168</v>
      </c>
      <c r="F761" s="903">
        <v>44</v>
      </c>
      <c r="G761" s="29" t="s">
        <v>1583</v>
      </c>
      <c r="H761" s="904">
        <f t="shared" si="138"/>
        <v>6</v>
      </c>
      <c r="I761" s="904">
        <f t="shared" si="139"/>
        <v>11</v>
      </c>
      <c r="J761" s="21">
        <f t="shared" si="140"/>
        <v>10301</v>
      </c>
      <c r="K761" s="21">
        <f t="shared" si="141"/>
        <v>10355.040000000001</v>
      </c>
      <c r="L761" s="21">
        <f t="shared" si="142"/>
        <v>20378.5</v>
      </c>
      <c r="M761" s="21">
        <f t="shared" si="143"/>
        <v>30456</v>
      </c>
      <c r="N761" s="904">
        <f t="shared" si="144"/>
        <v>354</v>
      </c>
      <c r="O761" s="21"/>
      <c r="P761" s="22"/>
      <c r="Q761" s="22">
        <v>0.63</v>
      </c>
      <c r="R761" s="904" t="s">
        <v>42</v>
      </c>
      <c r="S761" s="904" t="str">
        <f t="shared" si="145"/>
        <v>Stove</v>
      </c>
      <c r="T761" s="23">
        <f t="shared" si="146"/>
        <v>0.15780130262224648</v>
      </c>
      <c r="U761" s="23">
        <f t="shared" si="147"/>
        <v>0.46412147830072498</v>
      </c>
      <c r="V761" s="23">
        <f t="shared" si="147"/>
        <v>0.23583661568138672</v>
      </c>
      <c r="W761" s="23">
        <f t="shared" si="148"/>
        <v>0.46655630255927955</v>
      </c>
      <c r="X761" s="904">
        <f t="shared" si="149"/>
        <v>237</v>
      </c>
      <c r="Y761" s="904">
        <f t="shared" si="149"/>
        <v>251</v>
      </c>
      <c r="Z761" s="904">
        <f t="shared" si="149"/>
        <v>215</v>
      </c>
      <c r="AA761" s="904">
        <f t="shared" si="137"/>
        <v>160</v>
      </c>
      <c r="AB761" s="24">
        <v>88</v>
      </c>
    </row>
    <row r="762" spans="1:28" x14ac:dyDescent="0.25">
      <c r="A762" s="903"/>
      <c r="B762" t="s">
        <v>1575</v>
      </c>
      <c r="C762" s="906" t="s">
        <v>1584</v>
      </c>
      <c r="D762" s="25">
        <v>4</v>
      </c>
      <c r="E762" s="903">
        <v>571</v>
      </c>
      <c r="F762" s="903">
        <v>270</v>
      </c>
      <c r="G762" s="903" t="s">
        <v>1585</v>
      </c>
      <c r="H762" s="904">
        <f t="shared" si="138"/>
        <v>6</v>
      </c>
      <c r="I762" s="904">
        <f t="shared" si="139"/>
        <v>11</v>
      </c>
      <c r="J762" s="21">
        <f t="shared" si="140"/>
        <v>10900</v>
      </c>
      <c r="K762" s="21">
        <f t="shared" si="141"/>
        <v>12546</v>
      </c>
      <c r="L762" s="21">
        <f t="shared" si="142"/>
        <v>23900</v>
      </c>
      <c r="M762" s="21">
        <f t="shared" si="143"/>
        <v>36900</v>
      </c>
      <c r="N762" s="904">
        <f t="shared" si="144"/>
        <v>623</v>
      </c>
      <c r="O762" s="21"/>
      <c r="P762" s="22" t="s">
        <v>2</v>
      </c>
      <c r="Q762" s="22">
        <v>0.63</v>
      </c>
      <c r="R762" s="904" t="s">
        <v>42</v>
      </c>
      <c r="S762" s="904" t="str">
        <f t="shared" si="145"/>
        <v>Stove</v>
      </c>
      <c r="T762" s="23">
        <f t="shared" si="146"/>
        <v>0.23897946210502669</v>
      </c>
      <c r="U762" s="23">
        <f t="shared" si="147"/>
        <v>0.7028807708971373</v>
      </c>
      <c r="V762" s="23">
        <f t="shared" si="147"/>
        <v>0.36896829086508304</v>
      </c>
      <c r="W762" s="23">
        <f t="shared" si="148"/>
        <v>0.80902221575004452</v>
      </c>
      <c r="X762" s="904">
        <f t="shared" si="149"/>
        <v>526</v>
      </c>
      <c r="Y762" s="904">
        <f t="shared" si="149"/>
        <v>574</v>
      </c>
      <c r="Z762" s="904">
        <f t="shared" si="149"/>
        <v>533</v>
      </c>
      <c r="AA762" s="904">
        <f t="shared" si="137"/>
        <v>548</v>
      </c>
      <c r="AB762" s="24">
        <v>284</v>
      </c>
    </row>
    <row r="763" spans="1:28" x14ac:dyDescent="0.25">
      <c r="A763" s="903"/>
      <c r="B763" t="s">
        <v>1575</v>
      </c>
      <c r="C763" s="906" t="s">
        <v>1586</v>
      </c>
      <c r="D763" s="25">
        <v>4.2</v>
      </c>
      <c r="E763" s="903">
        <v>619</v>
      </c>
      <c r="F763" s="903">
        <v>303</v>
      </c>
      <c r="G763" s="903" t="s">
        <v>1555</v>
      </c>
      <c r="H763" s="904">
        <f t="shared" si="138"/>
        <v>6</v>
      </c>
      <c r="I763" s="904">
        <f t="shared" si="139"/>
        <v>11</v>
      </c>
      <c r="J763" s="21">
        <f t="shared" si="140"/>
        <v>11600</v>
      </c>
      <c r="K763" s="21">
        <f t="shared" si="141"/>
        <v>13158.000000000002</v>
      </c>
      <c r="L763" s="21">
        <f t="shared" si="142"/>
        <v>25150</v>
      </c>
      <c r="M763" s="21">
        <f t="shared" si="143"/>
        <v>38700</v>
      </c>
      <c r="N763" s="904">
        <f t="shared" si="144"/>
        <v>702</v>
      </c>
      <c r="O763" s="21"/>
      <c r="P763" s="22" t="s">
        <v>2</v>
      </c>
      <c r="Q763" s="22">
        <v>0.63</v>
      </c>
      <c r="R763" s="904" t="s">
        <v>42</v>
      </c>
      <c r="S763" s="904" t="str">
        <f t="shared" si="145"/>
        <v>Stove</v>
      </c>
      <c r="T763" s="23">
        <f t="shared" si="146"/>
        <v>0.23925734520049766</v>
      </c>
      <c r="U763" s="23">
        <f t="shared" si="147"/>
        <v>0.70369807411911067</v>
      </c>
      <c r="V763" s="23">
        <f t="shared" si="147"/>
        <v>0.36816140195861868</v>
      </c>
      <c r="W763" s="23">
        <f t="shared" si="148"/>
        <v>0.79821200510855683</v>
      </c>
      <c r="X763" s="904">
        <f t="shared" si="149"/>
        <v>528</v>
      </c>
      <c r="Y763" s="904">
        <f t="shared" si="149"/>
        <v>576</v>
      </c>
      <c r="Z763" s="904">
        <f t="shared" si="149"/>
        <v>528</v>
      </c>
      <c r="AA763" s="904">
        <f t="shared" si="137"/>
        <v>527</v>
      </c>
      <c r="AB763" s="24">
        <v>286</v>
      </c>
    </row>
    <row r="764" spans="1:28" x14ac:dyDescent="0.25">
      <c r="A764" s="903"/>
      <c r="B764" t="s">
        <v>1575</v>
      </c>
      <c r="C764" s="906" t="s">
        <v>1587</v>
      </c>
      <c r="D764" s="25">
        <v>5</v>
      </c>
      <c r="E764" s="903">
        <v>756</v>
      </c>
      <c r="F764" s="903">
        <v>417</v>
      </c>
      <c r="G764" s="903" t="s">
        <v>1588</v>
      </c>
      <c r="H764" s="904">
        <f t="shared" si="138"/>
        <v>6</v>
      </c>
      <c r="I764" s="904">
        <f t="shared" si="139"/>
        <v>11</v>
      </c>
      <c r="J764" s="21">
        <f t="shared" si="140"/>
        <v>12000</v>
      </c>
      <c r="K764" s="21">
        <f t="shared" si="141"/>
        <v>12000</v>
      </c>
      <c r="L764" s="21">
        <f t="shared" si="142"/>
        <v>20250</v>
      </c>
      <c r="M764" s="21">
        <f t="shared" si="143"/>
        <v>28500</v>
      </c>
      <c r="N764" s="904">
        <f t="shared" si="144"/>
        <v>344</v>
      </c>
      <c r="O764" s="21"/>
      <c r="P764" s="22" t="s">
        <v>2</v>
      </c>
      <c r="Q764" s="22">
        <v>0.63</v>
      </c>
      <c r="R764" s="904" t="s">
        <v>42</v>
      </c>
      <c r="S764" s="904" t="str">
        <f t="shared" si="145"/>
        <v>Stove</v>
      </c>
      <c r="T764" s="23">
        <f t="shared" si="146"/>
        <v>0.38676939261734583</v>
      </c>
      <c r="U764" s="23">
        <f t="shared" si="147"/>
        <v>0.91857730746619637</v>
      </c>
      <c r="V764" s="23">
        <f t="shared" si="147"/>
        <v>0.54434210812811634</v>
      </c>
      <c r="W764" s="23">
        <f t="shared" si="148"/>
        <v>0.91857730746619637</v>
      </c>
      <c r="X764" s="904">
        <f t="shared" si="149"/>
        <v>816</v>
      </c>
      <c r="Y764" s="904">
        <f t="shared" si="149"/>
        <v>759</v>
      </c>
      <c r="Z764" s="904">
        <f t="shared" si="149"/>
        <v>788</v>
      </c>
      <c r="AA764" s="904">
        <f t="shared" si="137"/>
        <v>661</v>
      </c>
      <c r="AB764" s="24">
        <v>429</v>
      </c>
    </row>
    <row r="765" spans="1:28" x14ac:dyDescent="0.25">
      <c r="A765" s="903"/>
      <c r="B765" t="s">
        <v>1575</v>
      </c>
      <c r="C765" s="906" t="s">
        <v>1589</v>
      </c>
      <c r="D765" s="25">
        <v>4.4000000000000004</v>
      </c>
      <c r="E765" s="903">
        <v>660</v>
      </c>
      <c r="F765" s="903">
        <v>338</v>
      </c>
      <c r="G765" s="903" t="s">
        <v>1590</v>
      </c>
      <c r="H765" s="904">
        <f t="shared" si="138"/>
        <v>6</v>
      </c>
      <c r="I765" s="904">
        <f t="shared" si="139"/>
        <v>11</v>
      </c>
      <c r="J765" s="21">
        <f t="shared" si="140"/>
        <v>11000</v>
      </c>
      <c r="K765" s="21">
        <f t="shared" si="141"/>
        <v>23630</v>
      </c>
      <c r="L765" s="21">
        <f t="shared" si="142"/>
        <v>40250</v>
      </c>
      <c r="M765" s="21">
        <f t="shared" si="143"/>
        <v>69500</v>
      </c>
      <c r="N765" s="904">
        <f t="shared" si="144"/>
        <v>953</v>
      </c>
      <c r="O765" s="21"/>
      <c r="P765" s="22" t="s">
        <v>2</v>
      </c>
      <c r="Q765" s="22">
        <v>0.63</v>
      </c>
      <c r="R765" s="904" t="s">
        <v>42</v>
      </c>
      <c r="S765" s="904" t="str">
        <f t="shared" si="145"/>
        <v>Stove</v>
      </c>
      <c r="T765" s="23">
        <f t="shared" si="146"/>
        <v>0.13957088297615874</v>
      </c>
      <c r="U765" s="23">
        <f t="shared" si="147"/>
        <v>0.41050259698870223</v>
      </c>
      <c r="V765" s="23">
        <f t="shared" si="147"/>
        <v>0.24099817060479586</v>
      </c>
      <c r="W765" s="23">
        <f t="shared" si="148"/>
        <v>0.88183421516754845</v>
      </c>
      <c r="X765" s="904">
        <f t="shared" si="149"/>
        <v>185</v>
      </c>
      <c r="Y765" s="904">
        <f t="shared" si="149"/>
        <v>195</v>
      </c>
      <c r="Z765" s="904">
        <f t="shared" si="149"/>
        <v>231</v>
      </c>
      <c r="AA765" s="904">
        <f t="shared" si="137"/>
        <v>623</v>
      </c>
      <c r="AB765" s="24">
        <v>58</v>
      </c>
    </row>
    <row r="766" spans="1:28" x14ac:dyDescent="0.25">
      <c r="A766" s="903"/>
      <c r="B766" t="s">
        <v>1575</v>
      </c>
      <c r="C766" s="906" t="s">
        <v>1591</v>
      </c>
      <c r="D766" s="25">
        <v>4.4000000000000004</v>
      </c>
      <c r="E766" s="903">
        <v>660</v>
      </c>
      <c r="F766" s="903">
        <v>338</v>
      </c>
      <c r="G766" s="903" t="s">
        <v>1592</v>
      </c>
      <c r="H766" s="904">
        <f t="shared" si="138"/>
        <v>6</v>
      </c>
      <c r="I766" s="904">
        <f t="shared" si="139"/>
        <v>11</v>
      </c>
      <c r="J766" s="21">
        <f t="shared" si="140"/>
        <v>11900</v>
      </c>
      <c r="K766" s="21">
        <f t="shared" si="141"/>
        <v>11900</v>
      </c>
      <c r="L766" s="21">
        <f t="shared" si="142"/>
        <v>20650</v>
      </c>
      <c r="M766" s="21">
        <f t="shared" si="143"/>
        <v>29400</v>
      </c>
      <c r="N766" s="904">
        <f t="shared" si="144"/>
        <v>375</v>
      </c>
      <c r="O766" s="21"/>
      <c r="P766" s="22" t="s">
        <v>2</v>
      </c>
      <c r="Q766" s="22">
        <v>0.63</v>
      </c>
      <c r="R766" s="904" t="s">
        <v>42</v>
      </c>
      <c r="S766" s="904" t="str">
        <f t="shared" si="145"/>
        <v>Stove</v>
      </c>
      <c r="T766" s="23">
        <f t="shared" si="146"/>
        <v>0.32993797166132766</v>
      </c>
      <c r="U766" s="23">
        <f t="shared" si="147"/>
        <v>0.81514087116328016</v>
      </c>
      <c r="V766" s="23">
        <f t="shared" si="147"/>
        <v>0.46974219694155128</v>
      </c>
      <c r="W766" s="23">
        <f t="shared" si="148"/>
        <v>0.81514087116328016</v>
      </c>
      <c r="X766" s="904">
        <f t="shared" si="149"/>
        <v>735</v>
      </c>
      <c r="Y766" s="904">
        <f t="shared" si="149"/>
        <v>678</v>
      </c>
      <c r="Z766" s="904">
        <f t="shared" si="149"/>
        <v>704</v>
      </c>
      <c r="AA766" s="904">
        <f t="shared" si="137"/>
        <v>554</v>
      </c>
      <c r="AB766" s="24">
        <v>369</v>
      </c>
    </row>
    <row r="767" spans="1:28" x14ac:dyDescent="0.25">
      <c r="A767" s="903"/>
      <c r="B767" t="s">
        <v>1575</v>
      </c>
      <c r="C767" s="906" t="s">
        <v>1593</v>
      </c>
      <c r="D767" s="25">
        <v>4.9000000000000004</v>
      </c>
      <c r="E767" s="903">
        <v>746</v>
      </c>
      <c r="F767" s="903">
        <v>407</v>
      </c>
      <c r="G767" s="903" t="s">
        <v>1594</v>
      </c>
      <c r="H767" s="904">
        <f t="shared" si="138"/>
        <v>6</v>
      </c>
      <c r="I767" s="904">
        <f t="shared" si="139"/>
        <v>11</v>
      </c>
      <c r="J767" s="21">
        <f t="shared" si="140"/>
        <v>11800</v>
      </c>
      <c r="K767" s="21">
        <f t="shared" si="141"/>
        <v>11800</v>
      </c>
      <c r="L767" s="21">
        <f t="shared" si="142"/>
        <v>18150</v>
      </c>
      <c r="M767" s="21">
        <f t="shared" si="143"/>
        <v>24500</v>
      </c>
      <c r="N767" s="904">
        <f t="shared" si="144"/>
        <v>168</v>
      </c>
      <c r="O767" s="21"/>
      <c r="P767" s="22" t="s">
        <v>2</v>
      </c>
      <c r="Q767" s="22">
        <v>0.63</v>
      </c>
      <c r="R767" s="904" t="s">
        <v>42</v>
      </c>
      <c r="S767" s="904" t="str">
        <f t="shared" si="145"/>
        <v>Stove</v>
      </c>
      <c r="T767" s="23">
        <f t="shared" si="146"/>
        <v>0.44091710758377423</v>
      </c>
      <c r="U767" s="23">
        <f t="shared" si="147"/>
        <v>0.91546348608495498</v>
      </c>
      <c r="V767" s="23">
        <f t="shared" si="147"/>
        <v>0.59517736285413048</v>
      </c>
      <c r="W767" s="23">
        <f t="shared" si="148"/>
        <v>0.91546348608495498</v>
      </c>
      <c r="X767" s="904">
        <f t="shared" si="149"/>
        <v>856</v>
      </c>
      <c r="Y767" s="904">
        <f t="shared" si="149"/>
        <v>756</v>
      </c>
      <c r="Z767" s="904">
        <f t="shared" si="149"/>
        <v>837</v>
      </c>
      <c r="AA767" s="904">
        <f t="shared" si="137"/>
        <v>659</v>
      </c>
      <c r="AB767" s="24">
        <v>426</v>
      </c>
    </row>
    <row r="768" spans="1:28" x14ac:dyDescent="0.25">
      <c r="A768" s="903"/>
      <c r="B768" t="s">
        <v>1575</v>
      </c>
      <c r="C768" s="906" t="s">
        <v>1595</v>
      </c>
      <c r="D768" s="25">
        <v>5.7</v>
      </c>
      <c r="E768" s="903">
        <v>824</v>
      </c>
      <c r="F768" s="903">
        <v>472</v>
      </c>
      <c r="G768" s="903" t="s">
        <v>1596</v>
      </c>
      <c r="H768" s="904">
        <f t="shared" si="138"/>
        <v>6</v>
      </c>
      <c r="I768" s="904">
        <f t="shared" si="139"/>
        <v>11</v>
      </c>
      <c r="J768" s="21">
        <f t="shared" si="140"/>
        <v>11500</v>
      </c>
      <c r="K768" s="21">
        <f t="shared" si="141"/>
        <v>11500</v>
      </c>
      <c r="L768" s="21">
        <f t="shared" si="142"/>
        <v>21150</v>
      </c>
      <c r="M768" s="21">
        <f t="shared" si="143"/>
        <v>30800</v>
      </c>
      <c r="N768" s="904">
        <f t="shared" si="144"/>
        <v>419</v>
      </c>
      <c r="O768" s="21"/>
      <c r="P768" s="22" t="s">
        <v>2</v>
      </c>
      <c r="Q768" s="22">
        <v>0.63</v>
      </c>
      <c r="R768" s="904" t="s">
        <v>42</v>
      </c>
      <c r="S768" s="904" t="str">
        <f t="shared" si="145"/>
        <v>Stove</v>
      </c>
      <c r="T768" s="23">
        <f t="shared" si="146"/>
        <v>0.40799147942005087</v>
      </c>
      <c r="U768" s="23">
        <f t="shared" si="147"/>
        <v>1.0927076144467449</v>
      </c>
      <c r="V768" s="23">
        <f t="shared" si="147"/>
        <v>0.59414362014834832</v>
      </c>
      <c r="W768" s="23">
        <f t="shared" si="148"/>
        <v>1.0927076144467449</v>
      </c>
      <c r="X768" s="904">
        <f t="shared" si="149"/>
        <v>834</v>
      </c>
      <c r="Y768" s="904">
        <f t="shared" si="149"/>
        <v>852</v>
      </c>
      <c r="Z768" s="904">
        <f t="shared" si="149"/>
        <v>832</v>
      </c>
      <c r="AA768" s="904">
        <f t="shared" si="137"/>
        <v>775</v>
      </c>
      <c r="AB768" s="24">
        <v>500</v>
      </c>
    </row>
    <row r="769" spans="1:28" x14ac:dyDescent="0.25">
      <c r="A769" s="903"/>
      <c r="B769" t="s">
        <v>1575</v>
      </c>
      <c r="C769" s="906" t="s">
        <v>1597</v>
      </c>
      <c r="D769" s="25">
        <v>6</v>
      </c>
      <c r="E769" s="903">
        <v>844</v>
      </c>
      <c r="F769" s="903">
        <v>491</v>
      </c>
      <c r="G769" s="903" t="s">
        <v>1585</v>
      </c>
      <c r="H769" s="904">
        <f t="shared" si="138"/>
        <v>6</v>
      </c>
      <c r="I769" s="904">
        <f t="shared" si="139"/>
        <v>11</v>
      </c>
      <c r="J769" s="21">
        <f t="shared" si="140"/>
        <v>10900</v>
      </c>
      <c r="K769" s="21">
        <f t="shared" si="141"/>
        <v>12546</v>
      </c>
      <c r="L769" s="21">
        <f t="shared" si="142"/>
        <v>23900</v>
      </c>
      <c r="M769" s="21">
        <f t="shared" si="143"/>
        <v>36900</v>
      </c>
      <c r="N769" s="904">
        <f t="shared" si="144"/>
        <v>623</v>
      </c>
      <c r="O769" s="21"/>
      <c r="P769" s="22" t="s">
        <v>2</v>
      </c>
      <c r="Q769" s="22">
        <v>0.63</v>
      </c>
      <c r="R769" s="904" t="s">
        <v>42</v>
      </c>
      <c r="S769" s="904" t="str">
        <f t="shared" si="145"/>
        <v>Stove</v>
      </c>
      <c r="T769" s="23">
        <f t="shared" si="146"/>
        <v>0.35846919315754006</v>
      </c>
      <c r="U769" s="23">
        <f t="shared" si="147"/>
        <v>1.054321156345706</v>
      </c>
      <c r="V769" s="23">
        <f t="shared" si="147"/>
        <v>0.55345243629762453</v>
      </c>
      <c r="W769" s="23">
        <f t="shared" si="148"/>
        <v>1.2135333236250667</v>
      </c>
      <c r="X769" s="904">
        <f t="shared" si="149"/>
        <v>775</v>
      </c>
      <c r="Y769" s="904">
        <f t="shared" si="149"/>
        <v>836</v>
      </c>
      <c r="Z769" s="904">
        <f t="shared" si="149"/>
        <v>801</v>
      </c>
      <c r="AA769" s="904">
        <f t="shared" si="137"/>
        <v>826</v>
      </c>
      <c r="AB769" s="24">
        <v>489</v>
      </c>
    </row>
    <row r="770" spans="1:28" x14ac:dyDescent="0.25">
      <c r="A770" s="903"/>
      <c r="B770" t="s">
        <v>1575</v>
      </c>
      <c r="C770" s="906" t="s">
        <v>1598</v>
      </c>
      <c r="D770" s="25">
        <v>5.9</v>
      </c>
      <c r="E770" s="903">
        <v>836</v>
      </c>
      <c r="F770" s="903">
        <v>483</v>
      </c>
      <c r="G770" s="903" t="s">
        <v>1555</v>
      </c>
      <c r="H770" s="904">
        <f t="shared" si="138"/>
        <v>6</v>
      </c>
      <c r="I770" s="904">
        <f t="shared" si="139"/>
        <v>11</v>
      </c>
      <c r="J770" s="21">
        <f t="shared" si="140"/>
        <v>11600</v>
      </c>
      <c r="K770" s="21">
        <f t="shared" si="141"/>
        <v>13158.000000000002</v>
      </c>
      <c r="L770" s="21">
        <f t="shared" si="142"/>
        <v>25150</v>
      </c>
      <c r="M770" s="21">
        <f t="shared" si="143"/>
        <v>38700</v>
      </c>
      <c r="N770" s="904">
        <f t="shared" si="144"/>
        <v>702</v>
      </c>
      <c r="O770" s="21"/>
      <c r="P770" s="22" t="s">
        <v>2</v>
      </c>
      <c r="Q770" s="22">
        <v>0.63</v>
      </c>
      <c r="R770" s="904" t="s">
        <v>42</v>
      </c>
      <c r="S770" s="904" t="str">
        <f t="shared" si="145"/>
        <v>Stove</v>
      </c>
      <c r="T770" s="23">
        <f t="shared" si="146"/>
        <v>0.33609960397212768</v>
      </c>
      <c r="U770" s="23">
        <f t="shared" si="147"/>
        <v>0.98852824697684594</v>
      </c>
      <c r="V770" s="23">
        <f t="shared" si="147"/>
        <v>0.51717911227520241</v>
      </c>
      <c r="W770" s="23">
        <f t="shared" si="148"/>
        <v>1.1212978167001155</v>
      </c>
      <c r="X770" s="904">
        <f t="shared" si="149"/>
        <v>750</v>
      </c>
      <c r="Y770" s="904">
        <f t="shared" si="149"/>
        <v>804</v>
      </c>
      <c r="Z770" s="904">
        <f t="shared" si="149"/>
        <v>760</v>
      </c>
      <c r="AA770" s="904">
        <f t="shared" si="137"/>
        <v>797</v>
      </c>
      <c r="AB770" s="24">
        <v>468</v>
      </c>
    </row>
    <row r="771" spans="1:28" x14ac:dyDescent="0.25">
      <c r="A771" s="903"/>
      <c r="B771" t="s">
        <v>1575</v>
      </c>
      <c r="C771" s="906" t="s">
        <v>1599</v>
      </c>
      <c r="D771" s="25">
        <v>5.7</v>
      </c>
      <c r="E771" s="903">
        <v>824</v>
      </c>
      <c r="F771" s="903">
        <v>472</v>
      </c>
      <c r="G771" s="903" t="s">
        <v>1596</v>
      </c>
      <c r="H771" s="904">
        <f t="shared" si="138"/>
        <v>6</v>
      </c>
      <c r="I771" s="904">
        <f t="shared" si="139"/>
        <v>11</v>
      </c>
      <c r="J771" s="21">
        <f t="shared" si="140"/>
        <v>11500</v>
      </c>
      <c r="K771" s="21">
        <f t="shared" si="141"/>
        <v>11500</v>
      </c>
      <c r="L771" s="21">
        <f t="shared" si="142"/>
        <v>21150</v>
      </c>
      <c r="M771" s="21">
        <f t="shared" si="143"/>
        <v>30800</v>
      </c>
      <c r="N771" s="904">
        <f t="shared" si="144"/>
        <v>419</v>
      </c>
      <c r="O771" s="21"/>
      <c r="P771" s="22" t="s">
        <v>2</v>
      </c>
      <c r="Q771" s="22">
        <v>0.63</v>
      </c>
      <c r="R771" s="904" t="s">
        <v>42</v>
      </c>
      <c r="S771" s="904" t="str">
        <f t="shared" si="145"/>
        <v>Stove</v>
      </c>
      <c r="T771" s="23">
        <f t="shared" si="146"/>
        <v>0.40799147942005087</v>
      </c>
      <c r="U771" s="23">
        <f t="shared" si="147"/>
        <v>1.0927076144467449</v>
      </c>
      <c r="V771" s="23">
        <f t="shared" si="147"/>
        <v>0.59414362014834832</v>
      </c>
      <c r="W771" s="23">
        <f t="shared" si="148"/>
        <v>1.0927076144467449</v>
      </c>
      <c r="X771" s="904">
        <f t="shared" si="149"/>
        <v>834</v>
      </c>
      <c r="Y771" s="904">
        <f t="shared" si="149"/>
        <v>852</v>
      </c>
      <c r="Z771" s="904">
        <f t="shared" si="149"/>
        <v>832</v>
      </c>
      <c r="AA771" s="904">
        <f t="shared" si="137"/>
        <v>775</v>
      </c>
      <c r="AB771" s="24">
        <v>500</v>
      </c>
    </row>
    <row r="772" spans="1:28" x14ac:dyDescent="0.25">
      <c r="A772" s="903"/>
      <c r="B772" t="s">
        <v>1575</v>
      </c>
      <c r="C772" s="906" t="s">
        <v>28</v>
      </c>
      <c r="D772" s="25">
        <v>5.7</v>
      </c>
      <c r="E772" s="903">
        <v>824</v>
      </c>
      <c r="F772" s="903">
        <v>472</v>
      </c>
      <c r="G772" s="903" t="s">
        <v>1568</v>
      </c>
      <c r="H772" s="904">
        <f t="shared" si="138"/>
        <v>6</v>
      </c>
      <c r="I772" s="904">
        <f t="shared" si="139"/>
        <v>11</v>
      </c>
      <c r="J772" s="21">
        <f t="shared" si="140"/>
        <v>11000</v>
      </c>
      <c r="K772" s="21">
        <f t="shared" si="141"/>
        <v>11900</v>
      </c>
      <c r="L772" s="21">
        <f t="shared" si="142"/>
        <v>23000</v>
      </c>
      <c r="M772" s="21">
        <f t="shared" si="143"/>
        <v>35000</v>
      </c>
      <c r="N772" s="904">
        <f t="shared" si="144"/>
        <v>548</v>
      </c>
      <c r="O772" s="21"/>
      <c r="P772" s="22" t="s">
        <v>2</v>
      </c>
      <c r="Q772" s="22">
        <v>0.63</v>
      </c>
      <c r="R772" s="904" t="s">
        <v>42</v>
      </c>
      <c r="S772" s="904" t="str">
        <f t="shared" si="145"/>
        <v>Stove</v>
      </c>
      <c r="T772" s="23">
        <f t="shared" si="146"/>
        <v>0.35903250188964475</v>
      </c>
      <c r="U772" s="23">
        <f t="shared" si="147"/>
        <v>1.0559779467342492</v>
      </c>
      <c r="V772" s="23">
        <f t="shared" si="147"/>
        <v>0.54635380722337246</v>
      </c>
      <c r="W772" s="23">
        <f t="shared" si="148"/>
        <v>1.1423761423761423</v>
      </c>
      <c r="X772" s="904">
        <f t="shared" si="149"/>
        <v>778</v>
      </c>
      <c r="Y772" s="904">
        <f t="shared" si="149"/>
        <v>838</v>
      </c>
      <c r="Z772" s="904">
        <f t="shared" si="149"/>
        <v>793</v>
      </c>
      <c r="AA772" s="904">
        <f t="shared" si="137"/>
        <v>805</v>
      </c>
      <c r="AB772" s="24">
        <v>491</v>
      </c>
    </row>
    <row r="773" spans="1:28" x14ac:dyDescent="0.25">
      <c r="A773" s="903"/>
      <c r="B773" t="s">
        <v>1575</v>
      </c>
      <c r="C773" s="906" t="s">
        <v>1600</v>
      </c>
      <c r="D773" s="25">
        <v>2.7</v>
      </c>
      <c r="E773" s="903">
        <v>257</v>
      </c>
      <c r="F773" s="903">
        <v>79</v>
      </c>
      <c r="G773" s="903" t="s">
        <v>1601</v>
      </c>
      <c r="H773" s="904">
        <f t="shared" si="138"/>
        <v>5</v>
      </c>
      <c r="I773" s="904">
        <f t="shared" si="139"/>
        <v>10</v>
      </c>
      <c r="J773" s="21">
        <f t="shared" si="140"/>
        <v>9700</v>
      </c>
      <c r="K773" s="21">
        <f t="shared" si="141"/>
        <v>12342</v>
      </c>
      <c r="L773" s="21">
        <f t="shared" si="142"/>
        <v>23000</v>
      </c>
      <c r="M773" s="21">
        <f t="shared" si="143"/>
        <v>36300</v>
      </c>
      <c r="N773" s="904">
        <f t="shared" si="144"/>
        <v>548</v>
      </c>
      <c r="O773" s="21"/>
      <c r="P773" s="22" t="s">
        <v>2</v>
      </c>
      <c r="Q773" s="22">
        <v>0.63</v>
      </c>
      <c r="R773" s="904" t="s">
        <v>42</v>
      </c>
      <c r="S773" s="904" t="str">
        <f t="shared" si="145"/>
        <v>Stove</v>
      </c>
      <c r="T773" s="23">
        <f t="shared" si="146"/>
        <v>0.16397743670470943</v>
      </c>
      <c r="U773" s="23">
        <f t="shared" si="147"/>
        <v>0.48228657854326301</v>
      </c>
      <c r="V773" s="23">
        <f t="shared" si="147"/>
        <v>0.25879917184265011</v>
      </c>
      <c r="W773" s="23">
        <f t="shared" si="148"/>
        <v>0.61364752086401575</v>
      </c>
      <c r="X773" s="904">
        <f t="shared" si="149"/>
        <v>251</v>
      </c>
      <c r="Y773" s="904">
        <f t="shared" si="149"/>
        <v>267</v>
      </c>
      <c r="Z773" s="904">
        <f t="shared" si="149"/>
        <v>259</v>
      </c>
      <c r="AA773" s="904">
        <f t="shared" si="137"/>
        <v>301</v>
      </c>
      <c r="AB773" s="24">
        <v>93</v>
      </c>
    </row>
    <row r="774" spans="1:28" x14ac:dyDescent="0.25">
      <c r="A774" s="903"/>
      <c r="B774" t="s">
        <v>1575</v>
      </c>
      <c r="C774" s="906" t="s">
        <v>1602</v>
      </c>
      <c r="D774" s="25">
        <v>2.7</v>
      </c>
      <c r="E774" s="903">
        <v>257</v>
      </c>
      <c r="F774" s="903">
        <v>79</v>
      </c>
      <c r="G774" s="903" t="s">
        <v>1603</v>
      </c>
      <c r="H774" s="904">
        <f t="shared" si="138"/>
        <v>6</v>
      </c>
      <c r="I774" s="904">
        <f t="shared" si="139"/>
        <v>11</v>
      </c>
      <c r="J774" s="21">
        <f t="shared" si="140"/>
        <v>11700</v>
      </c>
      <c r="K774" s="21">
        <f t="shared" si="141"/>
        <v>11700</v>
      </c>
      <c r="L774" s="21">
        <f t="shared" si="142"/>
        <v>21050</v>
      </c>
      <c r="M774" s="21">
        <f t="shared" si="143"/>
        <v>30400</v>
      </c>
      <c r="N774" s="904">
        <f t="shared" si="144"/>
        <v>410</v>
      </c>
      <c r="O774" s="21"/>
      <c r="P774" s="22" t="s">
        <v>2</v>
      </c>
      <c r="Q774" s="22">
        <v>0.63</v>
      </c>
      <c r="R774" s="904" t="s">
        <v>42</v>
      </c>
      <c r="S774" s="904" t="str">
        <f t="shared" si="145"/>
        <v>Stove</v>
      </c>
      <c r="T774" s="23">
        <f t="shared" si="146"/>
        <v>0.19580200501253134</v>
      </c>
      <c r="U774" s="23">
        <f t="shared" si="147"/>
        <v>0.50875050875050876</v>
      </c>
      <c r="V774" s="23">
        <f t="shared" si="147"/>
        <v>0.28277344191833503</v>
      </c>
      <c r="W774" s="23">
        <f t="shared" si="148"/>
        <v>0.50875050875050876</v>
      </c>
      <c r="X774" s="904">
        <f t="shared" si="149"/>
        <v>367</v>
      </c>
      <c r="Y774" s="904">
        <f t="shared" si="149"/>
        <v>301</v>
      </c>
      <c r="Z774" s="904">
        <f t="shared" si="149"/>
        <v>311</v>
      </c>
      <c r="AA774" s="904">
        <f t="shared" si="137"/>
        <v>202</v>
      </c>
      <c r="AB774" s="24">
        <v>108</v>
      </c>
    </row>
    <row r="775" spans="1:28" x14ac:dyDescent="0.25">
      <c r="A775" s="903"/>
      <c r="B775" t="s">
        <v>1575</v>
      </c>
      <c r="C775" s="906" t="s">
        <v>1604</v>
      </c>
      <c r="D775" s="25">
        <v>7.5</v>
      </c>
      <c r="E775" s="903">
        <v>944</v>
      </c>
      <c r="F775" s="903">
        <v>587</v>
      </c>
      <c r="G775" s="903" t="s">
        <v>1605</v>
      </c>
      <c r="H775" s="904">
        <f t="shared" si="138"/>
        <v>6</v>
      </c>
      <c r="I775" s="904">
        <f t="shared" si="139"/>
        <v>11</v>
      </c>
      <c r="J775" s="21">
        <f t="shared" si="140"/>
        <v>11000</v>
      </c>
      <c r="K775" s="21">
        <f t="shared" si="141"/>
        <v>11000</v>
      </c>
      <c r="L775" s="21">
        <f t="shared" si="142"/>
        <v>18350</v>
      </c>
      <c r="M775" s="21">
        <f t="shared" si="143"/>
        <v>25700</v>
      </c>
      <c r="N775" s="904">
        <f t="shared" si="144"/>
        <v>180</v>
      </c>
      <c r="O775" s="21"/>
      <c r="P775" s="22" t="s">
        <v>2</v>
      </c>
      <c r="Q775" s="22">
        <v>0.63</v>
      </c>
      <c r="R775" s="904" t="s">
        <v>42</v>
      </c>
      <c r="S775" s="904" t="str">
        <f t="shared" si="145"/>
        <v>Stove</v>
      </c>
      <c r="T775" s="23">
        <f t="shared" si="146"/>
        <v>0.64336153830317255</v>
      </c>
      <c r="U775" s="23">
        <f t="shared" si="147"/>
        <v>1.5031265031265031</v>
      </c>
      <c r="V775" s="23">
        <f t="shared" si="147"/>
        <v>0.90105675936738605</v>
      </c>
      <c r="W775" s="23">
        <f t="shared" si="148"/>
        <v>1.5031265031265031</v>
      </c>
      <c r="X775" s="904">
        <f t="shared" si="149"/>
        <v>948</v>
      </c>
      <c r="Y775" s="904">
        <f t="shared" si="149"/>
        <v>944</v>
      </c>
      <c r="Z775" s="904">
        <f t="shared" si="149"/>
        <v>949</v>
      </c>
      <c r="AA775" s="904">
        <f t="shared" si="137"/>
        <v>922</v>
      </c>
      <c r="AB775" s="24">
        <v>589</v>
      </c>
    </row>
    <row r="776" spans="1:28" x14ac:dyDescent="0.25">
      <c r="A776" s="903"/>
      <c r="B776" t="s">
        <v>1575</v>
      </c>
      <c r="C776" s="906" t="s">
        <v>1606</v>
      </c>
      <c r="D776" s="25">
        <v>6</v>
      </c>
      <c r="E776" s="903">
        <v>844</v>
      </c>
      <c r="F776" s="903">
        <v>491</v>
      </c>
      <c r="G776" s="903" t="s">
        <v>1607</v>
      </c>
      <c r="H776" s="904">
        <f t="shared" si="138"/>
        <v>5</v>
      </c>
      <c r="I776" s="904">
        <f t="shared" si="139"/>
        <v>10</v>
      </c>
      <c r="J776" s="21">
        <f t="shared" si="140"/>
        <v>9900</v>
      </c>
      <c r="K776" s="21">
        <f t="shared" si="141"/>
        <v>16082.000000000002</v>
      </c>
      <c r="L776" s="21">
        <f t="shared" si="142"/>
        <v>28600</v>
      </c>
      <c r="M776" s="21">
        <f t="shared" si="143"/>
        <v>47300</v>
      </c>
      <c r="N776" s="904">
        <f t="shared" si="144"/>
        <v>843</v>
      </c>
      <c r="O776" s="21"/>
      <c r="P776" s="22" t="s">
        <v>2</v>
      </c>
      <c r="Q776" s="22">
        <v>0.63</v>
      </c>
      <c r="R776" s="904" t="s">
        <v>42</v>
      </c>
      <c r="S776" s="904" t="str">
        <f t="shared" si="145"/>
        <v>Stove</v>
      </c>
      <c r="T776" s="23">
        <f t="shared" si="146"/>
        <v>0.27965144244214013</v>
      </c>
      <c r="U776" s="23">
        <f t="shared" si="147"/>
        <v>0.82250424247688259</v>
      </c>
      <c r="V776" s="23">
        <f t="shared" si="147"/>
        <v>0.46250046250046251</v>
      </c>
      <c r="W776" s="23">
        <f t="shared" si="148"/>
        <v>1.3361124472235584</v>
      </c>
      <c r="X776" s="904">
        <f t="shared" si="149"/>
        <v>634</v>
      </c>
      <c r="Y776" s="904">
        <f t="shared" si="149"/>
        <v>691</v>
      </c>
      <c r="Z776" s="904">
        <f t="shared" si="149"/>
        <v>684</v>
      </c>
      <c r="AA776" s="904">
        <f t="shared" si="137"/>
        <v>873</v>
      </c>
      <c r="AB776" s="24">
        <v>379</v>
      </c>
    </row>
    <row r="777" spans="1:28" x14ac:dyDescent="0.25">
      <c r="A777" s="903"/>
      <c r="B777" t="s">
        <v>1575</v>
      </c>
      <c r="C777" s="906" t="s">
        <v>1608</v>
      </c>
      <c r="D777" s="25">
        <v>6.9</v>
      </c>
      <c r="E777" s="903">
        <v>900</v>
      </c>
      <c r="F777" s="903">
        <v>543</v>
      </c>
      <c r="G777" s="903" t="s">
        <v>1609</v>
      </c>
      <c r="H777" s="904">
        <f t="shared" si="138"/>
        <v>6</v>
      </c>
      <c r="I777" s="904">
        <f t="shared" si="139"/>
        <v>11</v>
      </c>
      <c r="J777" s="21">
        <f t="shared" si="140"/>
        <v>11400</v>
      </c>
      <c r="K777" s="21">
        <f t="shared" si="141"/>
        <v>11400</v>
      </c>
      <c r="L777" s="21">
        <f t="shared" si="142"/>
        <v>19450</v>
      </c>
      <c r="M777" s="21">
        <f t="shared" si="143"/>
        <v>27500</v>
      </c>
      <c r="N777" s="904">
        <f t="shared" si="144"/>
        <v>271</v>
      </c>
      <c r="O777" s="21"/>
      <c r="P777" s="22" t="s">
        <v>2</v>
      </c>
      <c r="Q777" s="22">
        <v>0.63</v>
      </c>
      <c r="R777" s="904" t="s">
        <v>42</v>
      </c>
      <c r="S777" s="904" t="str">
        <f t="shared" si="145"/>
        <v>Stove</v>
      </c>
      <c r="T777" s="23">
        <f t="shared" si="146"/>
        <v>0.55315055315055317</v>
      </c>
      <c r="U777" s="23">
        <f t="shared" si="147"/>
        <v>1.3343544045298432</v>
      </c>
      <c r="V777" s="23">
        <f t="shared" si="147"/>
        <v>0.78208947103548643</v>
      </c>
      <c r="W777" s="23">
        <f t="shared" si="148"/>
        <v>1.3343544045298432</v>
      </c>
      <c r="X777" s="904">
        <f t="shared" si="149"/>
        <v>923</v>
      </c>
      <c r="Y777" s="904">
        <f t="shared" si="149"/>
        <v>915</v>
      </c>
      <c r="Z777" s="904">
        <f t="shared" si="149"/>
        <v>923</v>
      </c>
      <c r="AA777" s="904">
        <f t="shared" si="137"/>
        <v>872</v>
      </c>
      <c r="AB777" s="24">
        <v>560</v>
      </c>
    </row>
    <row r="778" spans="1:28" x14ac:dyDescent="0.25">
      <c r="A778" s="903"/>
      <c r="B778" t="s">
        <v>1575</v>
      </c>
      <c r="C778" s="906" t="s">
        <v>1610</v>
      </c>
      <c r="D778" s="25">
        <v>5.9</v>
      </c>
      <c r="E778" s="903">
        <v>836</v>
      </c>
      <c r="F778" s="903">
        <v>483</v>
      </c>
      <c r="G778" s="903" t="s">
        <v>1611</v>
      </c>
      <c r="H778" s="904">
        <f t="shared" si="138"/>
        <v>6</v>
      </c>
      <c r="I778" s="904">
        <f t="shared" si="139"/>
        <v>11</v>
      </c>
      <c r="J778" s="21">
        <f t="shared" si="140"/>
        <v>11800</v>
      </c>
      <c r="K778" s="21">
        <f t="shared" si="141"/>
        <v>11800</v>
      </c>
      <c r="L778" s="21">
        <f t="shared" si="142"/>
        <v>19550</v>
      </c>
      <c r="M778" s="21">
        <f t="shared" si="143"/>
        <v>27300</v>
      </c>
      <c r="N778" s="904">
        <f t="shared" si="144"/>
        <v>279</v>
      </c>
      <c r="O778" s="21"/>
      <c r="P778" s="22" t="s">
        <v>2</v>
      </c>
      <c r="Q778" s="22">
        <v>0.63</v>
      </c>
      <c r="R778" s="904" t="s">
        <v>42</v>
      </c>
      <c r="S778" s="904" t="str">
        <f t="shared" si="145"/>
        <v>Stove</v>
      </c>
      <c r="T778" s="23">
        <f t="shared" si="146"/>
        <v>0.47644888914730182</v>
      </c>
      <c r="U778" s="23">
        <f t="shared" si="147"/>
        <v>1.1022927689594357</v>
      </c>
      <c r="V778" s="23">
        <f t="shared" si="147"/>
        <v>0.66532248970441643</v>
      </c>
      <c r="W778" s="23">
        <f t="shared" si="148"/>
        <v>1.1022927689594357</v>
      </c>
      <c r="X778" s="904">
        <f t="shared" si="149"/>
        <v>885</v>
      </c>
      <c r="Y778" s="904">
        <f t="shared" si="149"/>
        <v>858</v>
      </c>
      <c r="Z778" s="904">
        <f t="shared" si="149"/>
        <v>872</v>
      </c>
      <c r="AA778" s="904">
        <f t="shared" si="149"/>
        <v>781</v>
      </c>
      <c r="AB778" s="24">
        <v>505</v>
      </c>
    </row>
    <row r="779" spans="1:28" x14ac:dyDescent="0.25">
      <c r="A779" s="903"/>
      <c r="B779" t="s">
        <v>1575</v>
      </c>
      <c r="C779" s="906" t="s">
        <v>1612</v>
      </c>
      <c r="D779" s="25">
        <v>7.4</v>
      </c>
      <c r="E779" s="903">
        <v>941</v>
      </c>
      <c r="F779" s="903">
        <v>584</v>
      </c>
      <c r="G779" s="903" t="s">
        <v>1613</v>
      </c>
      <c r="H779" s="904">
        <f t="shared" ref="H779:H842" si="150">FIND("-",$G779)</f>
        <v>6</v>
      </c>
      <c r="I779" s="904">
        <f t="shared" ref="I779:I842" si="151">LEN($G779)</f>
        <v>11</v>
      </c>
      <c r="J779" s="21">
        <f t="shared" ref="J779:J842" si="152">VALUE(LEFT($G779,H779-1))</f>
        <v>11900</v>
      </c>
      <c r="K779" s="21">
        <f t="shared" ref="K779:K842" si="153">IF(K$8*M779&gt;J779,K$8*M779,J779)</f>
        <v>11900</v>
      </c>
      <c r="L779" s="21">
        <f t="shared" ref="L779:L842" si="154">AVERAGE(J779,M779)</f>
        <v>23300</v>
      </c>
      <c r="M779" s="21">
        <f t="shared" ref="M779:M842" si="155">VALUE(RIGHT($G779,I779-H779))</f>
        <v>34700</v>
      </c>
      <c r="N779" s="904">
        <f t="shared" ref="N779:N842" si="156">RANK($L779,$L$11:$L$973,1)</f>
        <v>575</v>
      </c>
      <c r="O779" s="21"/>
      <c r="P779" s="22" t="s">
        <v>2</v>
      </c>
      <c r="Q779" s="22">
        <v>0.63</v>
      </c>
      <c r="R779" s="904" t="s">
        <v>42</v>
      </c>
      <c r="S779" s="904" t="str">
        <f t="shared" ref="S779:S842" si="157">IF(AND(ISERROR(FIND("Insert",B779&amp;C779)),ISERROR(FIND("insert",B779&amp;C779))),"Stove","Insert")</f>
        <v>Stove</v>
      </c>
      <c r="T779" s="23">
        <f t="shared" ref="T779:T842" si="158">$D779*10^6/(M779*453.6)</f>
        <v>0.47014216082419735</v>
      </c>
      <c r="U779" s="23">
        <f t="shared" ref="U779:V842" si="159">$D779*10^6/(K779*453.6)</f>
        <v>1.3709187378655165</v>
      </c>
      <c r="V779" s="23">
        <f t="shared" si="159"/>
        <v>0.70016879745062865</v>
      </c>
      <c r="W779" s="23">
        <f t="shared" ref="W779:W842" si="160">$D779*10^6/(J779*453.6)</f>
        <v>1.3709187378655165</v>
      </c>
      <c r="X779" s="904">
        <f t="shared" ref="X779:AA842" si="161">RANK(T779,T$11:T$973,1)</f>
        <v>882</v>
      </c>
      <c r="Y779" s="904">
        <f t="shared" si="161"/>
        <v>925</v>
      </c>
      <c r="Z779" s="904">
        <f t="shared" si="161"/>
        <v>886</v>
      </c>
      <c r="AA779" s="904">
        <f t="shared" si="161"/>
        <v>883</v>
      </c>
      <c r="AB779" s="24">
        <v>570</v>
      </c>
    </row>
    <row r="780" spans="1:28" x14ac:dyDescent="0.25">
      <c r="A780" s="19"/>
      <c r="B780" s="16" t="s">
        <v>1614</v>
      </c>
      <c r="C780" s="17" t="s">
        <v>1615</v>
      </c>
      <c r="D780" s="18">
        <v>2.79</v>
      </c>
      <c r="E780" s="19">
        <v>282</v>
      </c>
      <c r="F780" s="903">
        <v>93</v>
      </c>
      <c r="G780" s="19" t="s">
        <v>1616</v>
      </c>
      <c r="H780" s="904">
        <f t="shared" si="150"/>
        <v>6</v>
      </c>
      <c r="I780" s="904">
        <f t="shared" si="151"/>
        <v>11</v>
      </c>
      <c r="J780" s="21">
        <f t="shared" si="152"/>
        <v>12129</v>
      </c>
      <c r="K780" s="21">
        <f t="shared" si="153"/>
        <v>12129</v>
      </c>
      <c r="L780" s="21">
        <f t="shared" si="154"/>
        <v>14384.5</v>
      </c>
      <c r="M780" s="21">
        <f t="shared" si="155"/>
        <v>16640</v>
      </c>
      <c r="N780" s="904">
        <f t="shared" si="156"/>
        <v>28</v>
      </c>
      <c r="O780" s="21"/>
      <c r="P780" s="22" t="s">
        <v>2</v>
      </c>
      <c r="Q780" s="22">
        <v>0.63</v>
      </c>
      <c r="R780" s="904" t="s">
        <v>42</v>
      </c>
      <c r="S780" s="904" t="str">
        <f t="shared" si="157"/>
        <v>Stove</v>
      </c>
      <c r="T780" s="23">
        <f t="shared" si="158"/>
        <v>0.36963904151404153</v>
      </c>
      <c r="U780" s="23">
        <f t="shared" si="159"/>
        <v>0.50711465502462283</v>
      </c>
      <c r="V780" s="23">
        <f t="shared" si="159"/>
        <v>0.42759871047263726</v>
      </c>
      <c r="W780" s="23">
        <f t="shared" si="160"/>
        <v>0.50711465502462283</v>
      </c>
      <c r="X780" s="904">
        <f t="shared" si="161"/>
        <v>797</v>
      </c>
      <c r="Y780" s="904">
        <f t="shared" si="161"/>
        <v>298</v>
      </c>
      <c r="Z780" s="904">
        <f t="shared" si="161"/>
        <v>640</v>
      </c>
      <c r="AA780" s="904">
        <f t="shared" si="161"/>
        <v>199</v>
      </c>
      <c r="AB780" s="24">
        <v>105</v>
      </c>
    </row>
    <row r="781" spans="1:28" x14ac:dyDescent="0.25">
      <c r="A781" s="903" t="s">
        <v>77</v>
      </c>
      <c r="B781" t="s">
        <v>1617</v>
      </c>
      <c r="C781" s="906" t="s">
        <v>1618</v>
      </c>
      <c r="D781" s="25">
        <v>3.4</v>
      </c>
      <c r="E781" s="903">
        <v>415</v>
      </c>
      <c r="F781" s="903">
        <v>173</v>
      </c>
      <c r="G781" s="903" t="s">
        <v>1619</v>
      </c>
      <c r="H781" s="904">
        <f t="shared" si="150"/>
        <v>5</v>
      </c>
      <c r="I781" s="904">
        <f t="shared" si="151"/>
        <v>10</v>
      </c>
      <c r="J781" s="21">
        <f t="shared" si="152"/>
        <v>9500</v>
      </c>
      <c r="K781" s="21">
        <f t="shared" si="153"/>
        <v>14450.000000000002</v>
      </c>
      <c r="L781" s="21">
        <f t="shared" si="154"/>
        <v>26000</v>
      </c>
      <c r="M781" s="21">
        <f t="shared" si="155"/>
        <v>42500</v>
      </c>
      <c r="N781" s="904">
        <f t="shared" si="156"/>
        <v>752</v>
      </c>
      <c r="O781" s="21"/>
      <c r="P781" s="22" t="s">
        <v>2</v>
      </c>
      <c r="Q781" s="22">
        <v>0.72</v>
      </c>
      <c r="R781" s="904" t="s">
        <v>38</v>
      </c>
      <c r="S781" s="904" t="str">
        <f t="shared" si="157"/>
        <v>Stove</v>
      </c>
      <c r="T781" s="23">
        <f t="shared" si="158"/>
        <v>0.17636684303350969</v>
      </c>
      <c r="U781" s="23">
        <f t="shared" si="159"/>
        <v>0.51872600892208731</v>
      </c>
      <c r="V781" s="23">
        <f t="shared" si="159"/>
        <v>0.28829195495862164</v>
      </c>
      <c r="W781" s="23">
        <f t="shared" si="160"/>
        <v>0.78900956093938546</v>
      </c>
      <c r="X781" s="904">
        <f t="shared" si="161"/>
        <v>295</v>
      </c>
      <c r="Y781" s="904">
        <f t="shared" si="161"/>
        <v>316</v>
      </c>
      <c r="Z781" s="904">
        <f t="shared" si="161"/>
        <v>326</v>
      </c>
      <c r="AA781" s="904">
        <f t="shared" si="161"/>
        <v>513</v>
      </c>
      <c r="AB781" s="24">
        <v>131</v>
      </c>
    </row>
    <row r="782" spans="1:28" x14ac:dyDescent="0.25">
      <c r="A782" s="903"/>
      <c r="B782" t="s">
        <v>1620</v>
      </c>
      <c r="C782" s="906" t="s">
        <v>1621</v>
      </c>
      <c r="D782" s="25">
        <v>4.7</v>
      </c>
      <c r="E782" s="903">
        <v>728</v>
      </c>
      <c r="F782" s="903">
        <v>83</v>
      </c>
      <c r="G782" s="903" t="s">
        <v>1622</v>
      </c>
      <c r="H782" s="904">
        <f t="shared" si="150"/>
        <v>6</v>
      </c>
      <c r="I782" s="904">
        <f t="shared" si="151"/>
        <v>11</v>
      </c>
      <c r="J782" s="21">
        <f t="shared" si="152"/>
        <v>11600</v>
      </c>
      <c r="K782" s="21">
        <f t="shared" si="153"/>
        <v>11600</v>
      </c>
      <c r="L782" s="21">
        <f t="shared" si="154"/>
        <v>17050</v>
      </c>
      <c r="M782" s="21">
        <f t="shared" si="155"/>
        <v>22500</v>
      </c>
      <c r="N782" s="904">
        <f t="shared" si="156"/>
        <v>94</v>
      </c>
      <c r="O782" s="21"/>
      <c r="P782" s="22" t="s">
        <v>2</v>
      </c>
      <c r="Q782" s="22">
        <v>0.78</v>
      </c>
      <c r="R782" s="904" t="s">
        <v>15</v>
      </c>
      <c r="S782" s="904" t="str">
        <f t="shared" si="157"/>
        <v>Stove</v>
      </c>
      <c r="T782" s="23">
        <f t="shared" si="158"/>
        <v>0.46051342347638646</v>
      </c>
      <c r="U782" s="23">
        <f t="shared" si="159"/>
        <v>0.89323724381195646</v>
      </c>
      <c r="V782" s="23">
        <f t="shared" si="159"/>
        <v>0.60771566147910239</v>
      </c>
      <c r="W782" s="23">
        <f t="shared" si="160"/>
        <v>0.89323724381195646</v>
      </c>
      <c r="X782" s="904">
        <f t="shared" si="161"/>
        <v>873</v>
      </c>
      <c r="Y782" s="904">
        <f t="shared" si="161"/>
        <v>739</v>
      </c>
      <c r="Z782" s="904">
        <f t="shared" si="161"/>
        <v>843</v>
      </c>
      <c r="AA782" s="904">
        <f t="shared" si="161"/>
        <v>644</v>
      </c>
      <c r="AB782" s="24">
        <v>82</v>
      </c>
    </row>
    <row r="783" spans="1:28" x14ac:dyDescent="0.25">
      <c r="A783" s="903"/>
      <c r="B783" t="s">
        <v>1623</v>
      </c>
      <c r="C783" s="906" t="s">
        <v>1624</v>
      </c>
      <c r="D783" s="25">
        <v>3.28</v>
      </c>
      <c r="E783" s="903">
        <v>392</v>
      </c>
      <c r="F783" s="903">
        <v>75</v>
      </c>
      <c r="G783" s="903" t="s">
        <v>1625</v>
      </c>
      <c r="H783" s="904">
        <f t="shared" si="150"/>
        <v>5</v>
      </c>
      <c r="I783" s="904">
        <f t="shared" si="151"/>
        <v>9</v>
      </c>
      <c r="J783" s="21">
        <f t="shared" si="152"/>
        <v>3100</v>
      </c>
      <c r="K783" s="21">
        <f t="shared" si="153"/>
        <v>3100</v>
      </c>
      <c r="L783" s="21">
        <f t="shared" si="154"/>
        <v>5750</v>
      </c>
      <c r="M783" s="21">
        <f t="shared" si="155"/>
        <v>8400</v>
      </c>
      <c r="N783" s="904">
        <f t="shared" si="156"/>
        <v>1</v>
      </c>
      <c r="O783" s="21"/>
      <c r="P783" s="22" t="s">
        <v>2</v>
      </c>
      <c r="Q783" s="22">
        <v>0.78</v>
      </c>
      <c r="R783" s="904" t="s">
        <v>15</v>
      </c>
      <c r="S783" s="904" t="str">
        <f t="shared" si="157"/>
        <v>Stove</v>
      </c>
      <c r="T783" s="23">
        <f t="shared" si="158"/>
        <v>0.86083816242546396</v>
      </c>
      <c r="U783" s="23">
        <f t="shared" si="159"/>
        <v>2.3325937304431927</v>
      </c>
      <c r="V783" s="23">
        <f t="shared" si="159"/>
        <v>1.2575722720650258</v>
      </c>
      <c r="W783" s="23">
        <f t="shared" si="160"/>
        <v>2.3325937304431927</v>
      </c>
      <c r="X783" s="904">
        <f t="shared" si="161"/>
        <v>962</v>
      </c>
      <c r="Y783" s="904">
        <f t="shared" si="161"/>
        <v>963</v>
      </c>
      <c r="Z783" s="904">
        <f t="shared" si="161"/>
        <v>963</v>
      </c>
      <c r="AA783" s="904">
        <f t="shared" si="161"/>
        <v>955</v>
      </c>
      <c r="AB783" s="24">
        <v>85</v>
      </c>
    </row>
    <row r="784" spans="1:28" x14ac:dyDescent="0.25">
      <c r="A784" s="903"/>
      <c r="B784" t="s">
        <v>1623</v>
      </c>
      <c r="C784" s="906" t="s">
        <v>1626</v>
      </c>
      <c r="D784" s="25">
        <v>1.2</v>
      </c>
      <c r="E784" s="903">
        <v>45</v>
      </c>
      <c r="F784" s="903">
        <v>21</v>
      </c>
      <c r="G784" s="903" t="s">
        <v>1627</v>
      </c>
      <c r="H784" s="904">
        <f t="shared" si="150"/>
        <v>6</v>
      </c>
      <c r="I784" s="904">
        <f t="shared" si="151"/>
        <v>11</v>
      </c>
      <c r="J784" s="21">
        <f t="shared" si="152"/>
        <v>12839</v>
      </c>
      <c r="K784" s="21">
        <f t="shared" si="153"/>
        <v>12839</v>
      </c>
      <c r="L784" s="21">
        <f t="shared" si="154"/>
        <v>24259.5</v>
      </c>
      <c r="M784" s="21">
        <f t="shared" si="155"/>
        <v>35680</v>
      </c>
      <c r="N784" s="904">
        <f t="shared" si="156"/>
        <v>658</v>
      </c>
      <c r="O784" s="21"/>
      <c r="P784" s="22" t="s">
        <v>2</v>
      </c>
      <c r="Q784" s="22">
        <v>0.78</v>
      </c>
      <c r="R784" s="904" t="s">
        <v>15</v>
      </c>
      <c r="S784" s="904" t="str">
        <f t="shared" si="157"/>
        <v>Stove</v>
      </c>
      <c r="T784" s="23">
        <f t="shared" si="158"/>
        <v>7.4145253517450826E-2</v>
      </c>
      <c r="U784" s="23">
        <f t="shared" si="159"/>
        <v>0.2060520792509265</v>
      </c>
      <c r="V784" s="23">
        <f t="shared" si="159"/>
        <v>0.1090501719121435</v>
      </c>
      <c r="W784" s="23">
        <f t="shared" si="160"/>
        <v>0.2060520792509265</v>
      </c>
      <c r="X784" s="904">
        <f t="shared" si="161"/>
        <v>48</v>
      </c>
      <c r="Y784" s="904">
        <f t="shared" si="161"/>
        <v>52</v>
      </c>
      <c r="Z784" s="904">
        <f t="shared" si="161"/>
        <v>40</v>
      </c>
      <c r="AA784" s="904">
        <f t="shared" si="161"/>
        <v>34</v>
      </c>
      <c r="AB784" s="24">
        <v>26</v>
      </c>
    </row>
    <row r="785" spans="1:28" x14ac:dyDescent="0.25">
      <c r="A785" s="903"/>
      <c r="B785" t="s">
        <v>1623</v>
      </c>
      <c r="C785" s="906" t="s">
        <v>1628</v>
      </c>
      <c r="D785" s="25">
        <v>3.6</v>
      </c>
      <c r="E785" s="903">
        <v>467</v>
      </c>
      <c r="F785" s="903">
        <v>207</v>
      </c>
      <c r="G785" s="903" t="s">
        <v>1629</v>
      </c>
      <c r="H785" s="904">
        <f t="shared" si="150"/>
        <v>5</v>
      </c>
      <c r="I785" s="904">
        <f t="shared" si="151"/>
        <v>10</v>
      </c>
      <c r="J785" s="21">
        <f t="shared" si="152"/>
        <v>9900</v>
      </c>
      <c r="K785" s="21">
        <f t="shared" si="153"/>
        <v>13056.000000000002</v>
      </c>
      <c r="L785" s="21">
        <f t="shared" si="154"/>
        <v>24150</v>
      </c>
      <c r="M785" s="21">
        <f t="shared" si="155"/>
        <v>38400</v>
      </c>
      <c r="N785" s="904">
        <f t="shared" si="156"/>
        <v>647</v>
      </c>
      <c r="O785" s="21"/>
      <c r="P785" s="22" t="s">
        <v>2</v>
      </c>
      <c r="Q785" s="22">
        <v>0.63</v>
      </c>
      <c r="R785" s="904" t="s">
        <v>42</v>
      </c>
      <c r="S785" s="904" t="str">
        <f t="shared" si="157"/>
        <v>Stove</v>
      </c>
      <c r="T785" s="23">
        <f t="shared" si="158"/>
        <v>0.20667989417989419</v>
      </c>
      <c r="U785" s="23">
        <f t="shared" si="159"/>
        <v>0.60788204170557092</v>
      </c>
      <c r="V785" s="23">
        <f t="shared" si="159"/>
        <v>0.32863386900653979</v>
      </c>
      <c r="W785" s="23">
        <f t="shared" si="160"/>
        <v>0.80166746833413505</v>
      </c>
      <c r="X785" s="904">
        <f t="shared" si="161"/>
        <v>410</v>
      </c>
      <c r="Y785" s="904">
        <f t="shared" si="161"/>
        <v>443</v>
      </c>
      <c r="Z785" s="904">
        <f t="shared" si="161"/>
        <v>432</v>
      </c>
      <c r="AA785" s="904">
        <f t="shared" si="161"/>
        <v>533</v>
      </c>
      <c r="AB785" s="24">
        <v>192</v>
      </c>
    </row>
    <row r="786" spans="1:28" x14ac:dyDescent="0.25">
      <c r="A786" s="903" t="s">
        <v>77</v>
      </c>
      <c r="B786" t="s">
        <v>1630</v>
      </c>
      <c r="C786" s="906" t="s">
        <v>525</v>
      </c>
      <c r="D786" s="25">
        <v>3.8</v>
      </c>
      <c r="E786" s="903">
        <v>518</v>
      </c>
      <c r="F786" s="903">
        <v>205</v>
      </c>
      <c r="G786" s="903" t="s">
        <v>526</v>
      </c>
      <c r="H786" s="904">
        <f t="shared" si="150"/>
        <v>5</v>
      </c>
      <c r="I786" s="904">
        <f t="shared" si="151"/>
        <v>10</v>
      </c>
      <c r="J786" s="21">
        <f t="shared" si="152"/>
        <v>7100</v>
      </c>
      <c r="K786" s="21">
        <f t="shared" si="153"/>
        <v>17340</v>
      </c>
      <c r="L786" s="21">
        <f t="shared" si="154"/>
        <v>29050</v>
      </c>
      <c r="M786" s="21">
        <f t="shared" si="155"/>
        <v>51000</v>
      </c>
      <c r="N786" s="904">
        <f t="shared" si="156"/>
        <v>854</v>
      </c>
      <c r="O786" s="21"/>
      <c r="P786" s="22" t="s">
        <v>2</v>
      </c>
      <c r="Q786" s="22">
        <v>0.72</v>
      </c>
      <c r="R786" s="904" t="s">
        <v>38</v>
      </c>
      <c r="S786" s="904" t="str">
        <f t="shared" si="157"/>
        <v>Stove</v>
      </c>
      <c r="T786" s="23">
        <f t="shared" si="158"/>
        <v>0.16426323615866101</v>
      </c>
      <c r="U786" s="23">
        <f t="shared" si="159"/>
        <v>0.48312716517253235</v>
      </c>
      <c r="V786" s="23">
        <f t="shared" si="159"/>
        <v>0.28837951959007613</v>
      </c>
      <c r="W786" s="23">
        <f t="shared" si="160"/>
        <v>1.179919020294607</v>
      </c>
      <c r="X786" s="904">
        <f t="shared" si="161"/>
        <v>253</v>
      </c>
      <c r="Y786" s="904">
        <f t="shared" si="161"/>
        <v>269</v>
      </c>
      <c r="Z786" s="904">
        <f t="shared" si="161"/>
        <v>328</v>
      </c>
      <c r="AA786" s="904">
        <f t="shared" si="161"/>
        <v>812</v>
      </c>
      <c r="AB786" s="24">
        <v>110</v>
      </c>
    </row>
    <row r="787" spans="1:28" x14ac:dyDescent="0.25">
      <c r="A787" s="903" t="s">
        <v>77</v>
      </c>
      <c r="B787" t="s">
        <v>1630</v>
      </c>
      <c r="C787" s="906" t="s">
        <v>527</v>
      </c>
      <c r="D787" s="25">
        <v>5.0999999999999996</v>
      </c>
      <c r="E787" s="903">
        <v>766</v>
      </c>
      <c r="F787" s="903">
        <v>259</v>
      </c>
      <c r="G787" s="903" t="s">
        <v>528</v>
      </c>
      <c r="H787" s="904">
        <f t="shared" si="150"/>
        <v>6</v>
      </c>
      <c r="I787" s="904">
        <f t="shared" si="151"/>
        <v>11</v>
      </c>
      <c r="J787" s="21">
        <f t="shared" si="152"/>
        <v>10600</v>
      </c>
      <c r="K787" s="21">
        <f t="shared" si="153"/>
        <v>16898</v>
      </c>
      <c r="L787" s="21">
        <f t="shared" si="154"/>
        <v>30150</v>
      </c>
      <c r="M787" s="21">
        <f t="shared" si="155"/>
        <v>49700</v>
      </c>
      <c r="N787" s="904">
        <f t="shared" si="156"/>
        <v>882</v>
      </c>
      <c r="O787" s="21"/>
      <c r="P787" s="22" t="s">
        <v>2</v>
      </c>
      <c r="Q787" s="22">
        <v>0.72</v>
      </c>
      <c r="R787" s="904" t="s">
        <v>38</v>
      </c>
      <c r="S787" s="904" t="str">
        <f t="shared" si="157"/>
        <v>Stove</v>
      </c>
      <c r="T787" s="23">
        <f t="shared" si="158"/>
        <v>0.22622507531964273</v>
      </c>
      <c r="U787" s="23">
        <f t="shared" si="159"/>
        <v>0.66536786858718444</v>
      </c>
      <c r="V787" s="23">
        <f t="shared" si="159"/>
        <v>0.37291496661314238</v>
      </c>
      <c r="W787" s="23">
        <f t="shared" si="160"/>
        <v>1.0606968154137966</v>
      </c>
      <c r="X787" s="904">
        <f t="shared" si="161"/>
        <v>478</v>
      </c>
      <c r="Y787" s="904">
        <f t="shared" si="161"/>
        <v>516</v>
      </c>
      <c r="Z787" s="904">
        <f t="shared" si="161"/>
        <v>548</v>
      </c>
      <c r="AA787" s="904">
        <f t="shared" si="161"/>
        <v>752</v>
      </c>
      <c r="AB787" s="24">
        <v>195</v>
      </c>
    </row>
    <row r="788" spans="1:28" x14ac:dyDescent="0.25">
      <c r="A788" s="903" t="s">
        <v>77</v>
      </c>
      <c r="B788" t="s">
        <v>1630</v>
      </c>
      <c r="C788" s="906" t="s">
        <v>529</v>
      </c>
      <c r="D788" s="25">
        <v>1.8</v>
      </c>
      <c r="E788" s="903">
        <v>106</v>
      </c>
      <c r="F788" s="903">
        <v>38</v>
      </c>
      <c r="G788" s="903" t="s">
        <v>530</v>
      </c>
      <c r="H788" s="904">
        <f t="shared" si="150"/>
        <v>6</v>
      </c>
      <c r="I788" s="904">
        <f t="shared" si="151"/>
        <v>11</v>
      </c>
      <c r="J788" s="21">
        <f t="shared" si="152"/>
        <v>10700</v>
      </c>
      <c r="K788" s="21">
        <f t="shared" si="153"/>
        <v>11220</v>
      </c>
      <c r="L788" s="21">
        <f t="shared" si="154"/>
        <v>21850</v>
      </c>
      <c r="M788" s="21">
        <f t="shared" si="155"/>
        <v>33000</v>
      </c>
      <c r="N788" s="904">
        <f t="shared" si="156"/>
        <v>458</v>
      </c>
      <c r="O788" s="21"/>
      <c r="P788" s="22" t="s">
        <v>2</v>
      </c>
      <c r="Q788" s="22">
        <v>0.72</v>
      </c>
      <c r="R788" s="904" t="s">
        <v>38</v>
      </c>
      <c r="S788" s="904" t="str">
        <f t="shared" si="157"/>
        <v>Stove</v>
      </c>
      <c r="T788" s="23">
        <f t="shared" si="158"/>
        <v>0.12025012025012025</v>
      </c>
      <c r="U788" s="23">
        <f t="shared" si="159"/>
        <v>0.35367682426505959</v>
      </c>
      <c r="V788" s="23">
        <f t="shared" si="159"/>
        <v>0.18161345392466674</v>
      </c>
      <c r="W788" s="23">
        <f t="shared" si="160"/>
        <v>0.37086485684616527</v>
      </c>
      <c r="X788" s="904">
        <f t="shared" si="161"/>
        <v>140</v>
      </c>
      <c r="Y788" s="904">
        <f t="shared" si="161"/>
        <v>151</v>
      </c>
      <c r="Z788" s="904">
        <f t="shared" si="161"/>
        <v>133</v>
      </c>
      <c r="AA788" s="904">
        <f t="shared" si="161"/>
        <v>90</v>
      </c>
      <c r="AB788" s="24">
        <v>57</v>
      </c>
    </row>
    <row r="789" spans="1:28" x14ac:dyDescent="0.25">
      <c r="A789" s="903" t="s">
        <v>77</v>
      </c>
      <c r="B789" t="s">
        <v>1630</v>
      </c>
      <c r="C789" s="906" t="s">
        <v>531</v>
      </c>
      <c r="D789" s="25">
        <v>4.4000000000000004</v>
      </c>
      <c r="E789" s="903">
        <v>660</v>
      </c>
      <c r="F789" s="903">
        <v>338</v>
      </c>
      <c r="G789" s="903" t="s">
        <v>532</v>
      </c>
      <c r="H789" s="904">
        <f t="shared" si="150"/>
        <v>6</v>
      </c>
      <c r="I789" s="904">
        <f t="shared" si="151"/>
        <v>11</v>
      </c>
      <c r="J789" s="21">
        <f t="shared" si="152"/>
        <v>11800</v>
      </c>
      <c r="K789" s="21">
        <f t="shared" si="153"/>
        <v>18700</v>
      </c>
      <c r="L789" s="21">
        <f t="shared" si="154"/>
        <v>33400</v>
      </c>
      <c r="M789" s="21">
        <f t="shared" si="155"/>
        <v>55000</v>
      </c>
      <c r="N789" s="904">
        <f t="shared" si="156"/>
        <v>919</v>
      </c>
      <c r="O789" s="21"/>
      <c r="P789" s="22" t="s">
        <v>2</v>
      </c>
      <c r="Q789" s="22">
        <v>0.63</v>
      </c>
      <c r="R789" s="904" t="s">
        <v>42</v>
      </c>
      <c r="S789" s="904" t="str">
        <f t="shared" si="157"/>
        <v>Stove</v>
      </c>
      <c r="T789" s="23">
        <f t="shared" si="158"/>
        <v>0.17636684303350969</v>
      </c>
      <c r="U789" s="23">
        <f t="shared" si="159"/>
        <v>0.51872600892208731</v>
      </c>
      <c r="V789" s="23">
        <f t="shared" si="159"/>
        <v>0.2904244421210489</v>
      </c>
      <c r="W789" s="23">
        <f t="shared" si="160"/>
        <v>0.82204884464771466</v>
      </c>
      <c r="X789" s="904">
        <f t="shared" si="161"/>
        <v>295</v>
      </c>
      <c r="Y789" s="904">
        <f t="shared" si="161"/>
        <v>316</v>
      </c>
      <c r="Z789" s="904">
        <f t="shared" si="161"/>
        <v>339</v>
      </c>
      <c r="AA789" s="904">
        <f t="shared" si="161"/>
        <v>562</v>
      </c>
      <c r="AB789" s="24">
        <v>119</v>
      </c>
    </row>
    <row r="790" spans="1:28" x14ac:dyDescent="0.25">
      <c r="A790" s="903" t="s">
        <v>77</v>
      </c>
      <c r="B790" t="s">
        <v>1630</v>
      </c>
      <c r="C790" s="906" t="s">
        <v>533</v>
      </c>
      <c r="D790" s="25">
        <v>2.7</v>
      </c>
      <c r="E790" s="903">
        <v>257</v>
      </c>
      <c r="F790" s="903">
        <v>79</v>
      </c>
      <c r="G790" s="903" t="s">
        <v>534</v>
      </c>
      <c r="H790" s="904">
        <f t="shared" si="150"/>
        <v>6</v>
      </c>
      <c r="I790" s="904">
        <f t="shared" si="151"/>
        <v>11</v>
      </c>
      <c r="J790" s="21">
        <f t="shared" si="152"/>
        <v>11200</v>
      </c>
      <c r="K790" s="21">
        <f t="shared" si="153"/>
        <v>19482</v>
      </c>
      <c r="L790" s="21">
        <f t="shared" si="154"/>
        <v>34250</v>
      </c>
      <c r="M790" s="21">
        <f t="shared" si="155"/>
        <v>57300</v>
      </c>
      <c r="N790" s="904">
        <f t="shared" si="156"/>
        <v>934</v>
      </c>
      <c r="O790" s="21"/>
      <c r="P790" s="22" t="s">
        <v>2</v>
      </c>
      <c r="Q790" s="22">
        <v>0.63</v>
      </c>
      <c r="R790" s="904" t="s">
        <v>42</v>
      </c>
      <c r="S790" s="904" t="str">
        <f t="shared" si="157"/>
        <v>Stove</v>
      </c>
      <c r="T790" s="23">
        <f t="shared" si="158"/>
        <v>0.10388099393334996</v>
      </c>
      <c r="U790" s="23">
        <f t="shared" si="159"/>
        <v>0.30553233509808808</v>
      </c>
      <c r="V790" s="23">
        <f t="shared" si="159"/>
        <v>0.17379214459506431</v>
      </c>
      <c r="W790" s="23">
        <f t="shared" si="160"/>
        <v>0.53146258503401356</v>
      </c>
      <c r="X790" s="904">
        <f t="shared" si="161"/>
        <v>95</v>
      </c>
      <c r="Y790" s="904">
        <f t="shared" si="161"/>
        <v>111</v>
      </c>
      <c r="Z790" s="904">
        <f t="shared" si="161"/>
        <v>118</v>
      </c>
      <c r="AA790" s="904">
        <f t="shared" si="161"/>
        <v>223</v>
      </c>
      <c r="AB790" s="24">
        <v>26</v>
      </c>
    </row>
    <row r="791" spans="1:28" x14ac:dyDescent="0.25">
      <c r="A791" s="903" t="s">
        <v>77</v>
      </c>
      <c r="B791" t="s">
        <v>1630</v>
      </c>
      <c r="C791" s="906" t="s">
        <v>1631</v>
      </c>
      <c r="D791" s="25">
        <v>3.3</v>
      </c>
      <c r="E791" s="903">
        <v>393</v>
      </c>
      <c r="F791" s="903">
        <v>152</v>
      </c>
      <c r="G791" s="903" t="s">
        <v>536</v>
      </c>
      <c r="H791" s="904">
        <f t="shared" si="150"/>
        <v>5</v>
      </c>
      <c r="I791" s="904">
        <f t="shared" si="151"/>
        <v>10</v>
      </c>
      <c r="J791" s="21">
        <f t="shared" si="152"/>
        <v>8600</v>
      </c>
      <c r="K791" s="21">
        <f t="shared" si="153"/>
        <v>12682.000000000002</v>
      </c>
      <c r="L791" s="21">
        <f t="shared" si="154"/>
        <v>22950</v>
      </c>
      <c r="M791" s="21">
        <f t="shared" si="155"/>
        <v>37300</v>
      </c>
      <c r="N791" s="904">
        <f t="shared" si="156"/>
        <v>543</v>
      </c>
      <c r="O791" s="21"/>
      <c r="P791" s="22" t="s">
        <v>2</v>
      </c>
      <c r="Q791" s="22">
        <v>0.63</v>
      </c>
      <c r="R791" s="904" t="s">
        <v>42</v>
      </c>
      <c r="S791" s="904" t="str">
        <f t="shared" si="157"/>
        <v>Stove</v>
      </c>
      <c r="T791" s="23">
        <f t="shared" si="158"/>
        <v>0.19504376072740684</v>
      </c>
      <c r="U791" s="23">
        <f t="shared" si="159"/>
        <v>0.57365811978649062</v>
      </c>
      <c r="V791" s="23">
        <f t="shared" si="159"/>
        <v>0.31699922767460892</v>
      </c>
      <c r="W791" s="23">
        <f t="shared" si="160"/>
        <v>0.84594561338747387</v>
      </c>
      <c r="X791" s="904">
        <f t="shared" si="161"/>
        <v>365</v>
      </c>
      <c r="Y791" s="904">
        <f t="shared" si="161"/>
        <v>395</v>
      </c>
      <c r="Z791" s="904">
        <f t="shared" si="161"/>
        <v>404</v>
      </c>
      <c r="AA791" s="904">
        <f t="shared" si="161"/>
        <v>592</v>
      </c>
      <c r="AB791" s="24">
        <v>166</v>
      </c>
    </row>
    <row r="792" spans="1:28" x14ac:dyDescent="0.25">
      <c r="A792" s="903" t="s">
        <v>77</v>
      </c>
      <c r="B792" t="s">
        <v>1632</v>
      </c>
      <c r="C792" s="906" t="s">
        <v>1633</v>
      </c>
      <c r="D792" s="25">
        <v>0.5</v>
      </c>
      <c r="E792" s="903">
        <v>3</v>
      </c>
      <c r="F792" s="903">
        <v>2</v>
      </c>
      <c r="G792" s="903" t="s">
        <v>1634</v>
      </c>
      <c r="H792" s="904">
        <f t="shared" si="150"/>
        <v>5</v>
      </c>
      <c r="I792" s="904">
        <f t="shared" si="151"/>
        <v>10</v>
      </c>
      <c r="J792" s="21">
        <f t="shared" si="152"/>
        <v>6900</v>
      </c>
      <c r="K792" s="21">
        <f t="shared" si="153"/>
        <v>13566.000000000002</v>
      </c>
      <c r="L792" s="21">
        <f t="shared" si="154"/>
        <v>23400</v>
      </c>
      <c r="M792" s="21">
        <f t="shared" si="155"/>
        <v>39900</v>
      </c>
      <c r="N792" s="904">
        <f t="shared" si="156"/>
        <v>582</v>
      </c>
      <c r="O792" s="21"/>
      <c r="P792" s="22" t="s">
        <v>2</v>
      </c>
      <c r="Q792" s="22">
        <v>0.78</v>
      </c>
      <c r="R792" s="904" t="s">
        <v>15</v>
      </c>
      <c r="S792" s="904" t="str">
        <f t="shared" si="157"/>
        <v>Stove</v>
      </c>
      <c r="T792" s="23">
        <f t="shared" si="158"/>
        <v>2.7626385186953272E-2</v>
      </c>
      <c r="U792" s="23">
        <f t="shared" si="159"/>
        <v>8.1254074079274319E-2</v>
      </c>
      <c r="V792" s="23">
        <f t="shared" si="159"/>
        <v>4.7106528588010073E-2</v>
      </c>
      <c r="W792" s="23">
        <f t="shared" si="160"/>
        <v>0.1597525752115124</v>
      </c>
      <c r="X792" s="904">
        <f t="shared" si="161"/>
        <v>3</v>
      </c>
      <c r="Y792" s="904">
        <f t="shared" si="161"/>
        <v>3</v>
      </c>
      <c r="Z792" s="904">
        <f t="shared" si="161"/>
        <v>3</v>
      </c>
      <c r="AA792" s="904">
        <f t="shared" si="161"/>
        <v>14</v>
      </c>
      <c r="AB792" s="24">
        <v>2</v>
      </c>
    </row>
    <row r="793" spans="1:28" x14ac:dyDescent="0.25">
      <c r="A793" s="903" t="s">
        <v>77</v>
      </c>
      <c r="B793" t="s">
        <v>1635</v>
      </c>
      <c r="C793" s="906" t="s">
        <v>1636</v>
      </c>
      <c r="D793" s="25">
        <v>4.18</v>
      </c>
      <c r="E793" s="903">
        <v>616</v>
      </c>
      <c r="F793" s="903">
        <v>300</v>
      </c>
      <c r="G793" s="903" t="s">
        <v>1637</v>
      </c>
      <c r="H793" s="904">
        <f t="shared" si="150"/>
        <v>5</v>
      </c>
      <c r="I793" s="904">
        <f t="shared" si="151"/>
        <v>10</v>
      </c>
      <c r="J793" s="21">
        <f t="shared" si="152"/>
        <v>9200</v>
      </c>
      <c r="K793" s="21">
        <f t="shared" si="153"/>
        <v>9622</v>
      </c>
      <c r="L793" s="21">
        <f t="shared" si="154"/>
        <v>18750</v>
      </c>
      <c r="M793" s="21">
        <f t="shared" si="155"/>
        <v>28300</v>
      </c>
      <c r="N793" s="904">
        <f t="shared" si="156"/>
        <v>213</v>
      </c>
      <c r="O793" s="21"/>
      <c r="P793" s="22" t="s">
        <v>2</v>
      </c>
      <c r="Q793" s="22">
        <v>0.63</v>
      </c>
      <c r="R793" s="904" t="s">
        <v>42</v>
      </c>
      <c r="S793" s="904" t="str">
        <f t="shared" si="157"/>
        <v>Stove</v>
      </c>
      <c r="T793" s="23">
        <f t="shared" si="158"/>
        <v>0.32562429500003115</v>
      </c>
      <c r="U793" s="23">
        <f t="shared" si="159"/>
        <v>0.9577185147059738</v>
      </c>
      <c r="V793" s="23">
        <f t="shared" si="159"/>
        <v>0.49147560258671363</v>
      </c>
      <c r="W793" s="23">
        <f t="shared" si="160"/>
        <v>1.0016486465761827</v>
      </c>
      <c r="X793" s="904">
        <f t="shared" si="161"/>
        <v>725</v>
      </c>
      <c r="Y793" s="904">
        <f t="shared" si="161"/>
        <v>789</v>
      </c>
      <c r="Z793" s="904">
        <f t="shared" si="161"/>
        <v>737</v>
      </c>
      <c r="AA793" s="904">
        <f t="shared" si="161"/>
        <v>712</v>
      </c>
      <c r="AB793" s="24">
        <v>456</v>
      </c>
    </row>
    <row r="794" spans="1:28" x14ac:dyDescent="0.25">
      <c r="A794" s="903"/>
      <c r="B794" t="s">
        <v>1638</v>
      </c>
      <c r="C794" s="906" t="s">
        <v>1639</v>
      </c>
      <c r="D794" s="25">
        <v>2.9</v>
      </c>
      <c r="E794" s="903">
        <v>295</v>
      </c>
      <c r="F794" s="903">
        <v>96</v>
      </c>
      <c r="G794" s="903" t="s">
        <v>1336</v>
      </c>
      <c r="H794" s="904">
        <f t="shared" si="150"/>
        <v>6</v>
      </c>
      <c r="I794" s="904">
        <f t="shared" si="151"/>
        <v>11</v>
      </c>
      <c r="J794" s="21">
        <f t="shared" si="152"/>
        <v>11600</v>
      </c>
      <c r="K794" s="21">
        <f t="shared" si="153"/>
        <v>12410</v>
      </c>
      <c r="L794" s="21">
        <f t="shared" si="154"/>
        <v>24050</v>
      </c>
      <c r="M794" s="21">
        <f t="shared" si="155"/>
        <v>36500</v>
      </c>
      <c r="N794" s="904">
        <f t="shared" si="156"/>
        <v>637</v>
      </c>
      <c r="O794" s="21"/>
      <c r="P794" s="22" t="s">
        <v>2</v>
      </c>
      <c r="Q794" s="22">
        <v>0.63</v>
      </c>
      <c r="R794" s="904" t="s">
        <v>42</v>
      </c>
      <c r="S794" s="904" t="str">
        <f t="shared" si="157"/>
        <v>Stove</v>
      </c>
      <c r="T794" s="23">
        <f t="shared" si="158"/>
        <v>0.17515885095793771</v>
      </c>
      <c r="U794" s="23">
        <f t="shared" si="159"/>
        <v>0.51517309105275799</v>
      </c>
      <c r="V794" s="23">
        <f t="shared" si="159"/>
        <v>0.2658335991669325</v>
      </c>
      <c r="W794" s="23">
        <f t="shared" si="160"/>
        <v>0.55114638447971787</v>
      </c>
      <c r="X794" s="904">
        <f t="shared" si="161"/>
        <v>290</v>
      </c>
      <c r="Y794" s="904">
        <f t="shared" si="161"/>
        <v>310</v>
      </c>
      <c r="Z794" s="904">
        <f t="shared" si="161"/>
        <v>272</v>
      </c>
      <c r="AA794" s="904">
        <f t="shared" si="161"/>
        <v>248</v>
      </c>
      <c r="AB794" s="24">
        <v>113</v>
      </c>
    </row>
    <row r="795" spans="1:28" x14ac:dyDescent="0.25">
      <c r="A795" s="903"/>
      <c r="B795" t="s">
        <v>1638</v>
      </c>
      <c r="C795" s="906" t="s">
        <v>1640</v>
      </c>
      <c r="D795" s="25">
        <v>4.0999999999999996</v>
      </c>
      <c r="E795" s="903">
        <v>594</v>
      </c>
      <c r="F795" s="903">
        <v>283</v>
      </c>
      <c r="G795" s="903" t="s">
        <v>130</v>
      </c>
      <c r="H795" s="904">
        <f t="shared" si="150"/>
        <v>6</v>
      </c>
      <c r="I795" s="904">
        <f t="shared" si="151"/>
        <v>11</v>
      </c>
      <c r="J795" s="21">
        <f t="shared" si="152"/>
        <v>11300</v>
      </c>
      <c r="K795" s="21">
        <f t="shared" si="153"/>
        <v>11356</v>
      </c>
      <c r="L795" s="21">
        <f t="shared" si="154"/>
        <v>22350</v>
      </c>
      <c r="M795" s="21">
        <f t="shared" si="155"/>
        <v>33400</v>
      </c>
      <c r="N795" s="904">
        <f t="shared" si="156"/>
        <v>504</v>
      </c>
      <c r="O795" s="21"/>
      <c r="P795" s="22" t="s">
        <v>2</v>
      </c>
      <c r="Q795" s="22">
        <v>0.63</v>
      </c>
      <c r="R795" s="904" t="s">
        <v>42</v>
      </c>
      <c r="S795" s="904" t="str">
        <f t="shared" si="157"/>
        <v>Insert</v>
      </c>
      <c r="T795" s="23">
        <f t="shared" si="158"/>
        <v>0.27062277561279552</v>
      </c>
      <c r="U795" s="23">
        <f t="shared" si="159"/>
        <v>0.79594934003763385</v>
      </c>
      <c r="V795" s="23">
        <f t="shared" si="159"/>
        <v>0.4044206132200166</v>
      </c>
      <c r="W795" s="23">
        <f t="shared" si="160"/>
        <v>0.79989386774047533</v>
      </c>
      <c r="X795" s="904">
        <f t="shared" si="161"/>
        <v>605</v>
      </c>
      <c r="Y795" s="904">
        <f t="shared" si="161"/>
        <v>655</v>
      </c>
      <c r="Z795" s="904">
        <f t="shared" si="161"/>
        <v>598</v>
      </c>
      <c r="AA795" s="904">
        <f t="shared" si="161"/>
        <v>529</v>
      </c>
      <c r="AB795" s="24">
        <v>348</v>
      </c>
    </row>
    <row r="796" spans="1:28" x14ac:dyDescent="0.25">
      <c r="A796" s="903"/>
      <c r="B796" t="s">
        <v>1638</v>
      </c>
      <c r="C796" s="906" t="s">
        <v>1641</v>
      </c>
      <c r="D796" s="25">
        <v>7</v>
      </c>
      <c r="E796" s="903">
        <v>907</v>
      </c>
      <c r="F796" s="903">
        <v>550</v>
      </c>
      <c r="G796" s="903" t="s">
        <v>1642</v>
      </c>
      <c r="H796" s="904">
        <f t="shared" si="150"/>
        <v>5</v>
      </c>
      <c r="I796" s="904">
        <f t="shared" si="151"/>
        <v>10</v>
      </c>
      <c r="J796" s="21">
        <f t="shared" si="152"/>
        <v>6900</v>
      </c>
      <c r="K796" s="21">
        <f t="shared" si="153"/>
        <v>16558</v>
      </c>
      <c r="L796" s="21">
        <f t="shared" si="154"/>
        <v>27800</v>
      </c>
      <c r="M796" s="21">
        <f t="shared" si="155"/>
        <v>48700</v>
      </c>
      <c r="N796" s="904">
        <f t="shared" si="156"/>
        <v>822</v>
      </c>
      <c r="O796" s="21"/>
      <c r="P796" s="22" t="s">
        <v>2</v>
      </c>
      <c r="Q796" s="22">
        <v>0.63</v>
      </c>
      <c r="R796" s="904" t="s">
        <v>42</v>
      </c>
      <c r="S796" s="904" t="str">
        <f t="shared" si="157"/>
        <v>Stove</v>
      </c>
      <c r="T796" s="23">
        <f t="shared" si="158"/>
        <v>0.31688087814028948</v>
      </c>
      <c r="U796" s="23">
        <f t="shared" si="159"/>
        <v>0.93200258276555725</v>
      </c>
      <c r="V796" s="23">
        <f t="shared" si="159"/>
        <v>0.55511146638244957</v>
      </c>
      <c r="W796" s="23">
        <f t="shared" si="160"/>
        <v>2.2365360529611737</v>
      </c>
      <c r="X796" s="904">
        <f t="shared" si="161"/>
        <v>705</v>
      </c>
      <c r="Y796" s="904">
        <f t="shared" si="161"/>
        <v>766</v>
      </c>
      <c r="Z796" s="904">
        <f t="shared" si="161"/>
        <v>806</v>
      </c>
      <c r="AA796" s="904">
        <f t="shared" si="161"/>
        <v>951</v>
      </c>
      <c r="AB796" s="24">
        <v>435</v>
      </c>
    </row>
    <row r="797" spans="1:28" x14ac:dyDescent="0.25">
      <c r="A797" s="903"/>
      <c r="B797" t="s">
        <v>1638</v>
      </c>
      <c r="C797" s="906" t="s">
        <v>1643</v>
      </c>
      <c r="D797" s="25">
        <v>3.9</v>
      </c>
      <c r="E797" s="903">
        <v>548</v>
      </c>
      <c r="F797" s="903">
        <v>253</v>
      </c>
      <c r="G797" s="903" t="s">
        <v>1644</v>
      </c>
      <c r="H797" s="904">
        <f t="shared" si="150"/>
        <v>6</v>
      </c>
      <c r="I797" s="904">
        <f t="shared" si="151"/>
        <v>11</v>
      </c>
      <c r="J797" s="21">
        <f t="shared" si="152"/>
        <v>10300</v>
      </c>
      <c r="K797" s="21">
        <f t="shared" si="153"/>
        <v>11696</v>
      </c>
      <c r="L797" s="21">
        <f t="shared" si="154"/>
        <v>22350</v>
      </c>
      <c r="M797" s="21">
        <f t="shared" si="155"/>
        <v>34400</v>
      </c>
      <c r="N797" s="904">
        <f t="shared" si="156"/>
        <v>504</v>
      </c>
      <c r="O797" s="21"/>
      <c r="P797" s="22" t="s">
        <v>2</v>
      </c>
      <c r="Q797" s="22">
        <v>0.63</v>
      </c>
      <c r="R797" s="904" t="s">
        <v>42</v>
      </c>
      <c r="S797" s="904" t="str">
        <f t="shared" si="157"/>
        <v>Stove</v>
      </c>
      <c r="T797" s="23">
        <f t="shared" si="158"/>
        <v>0.24993847668266272</v>
      </c>
      <c r="U797" s="23">
        <f t="shared" si="159"/>
        <v>0.73511316671371385</v>
      </c>
      <c r="V797" s="23">
        <f t="shared" si="159"/>
        <v>0.38469277842879634</v>
      </c>
      <c r="W797" s="23">
        <f t="shared" si="160"/>
        <v>0.83474598037704839</v>
      </c>
      <c r="X797" s="904">
        <f t="shared" si="161"/>
        <v>555</v>
      </c>
      <c r="Y797" s="904">
        <f t="shared" si="161"/>
        <v>597</v>
      </c>
      <c r="Z797" s="904">
        <f t="shared" si="161"/>
        <v>571</v>
      </c>
      <c r="AA797" s="904">
        <f t="shared" si="161"/>
        <v>580</v>
      </c>
      <c r="AB797" s="24">
        <v>302</v>
      </c>
    </row>
    <row r="798" spans="1:28" x14ac:dyDescent="0.25">
      <c r="A798" s="903"/>
      <c r="B798" t="s">
        <v>1645</v>
      </c>
      <c r="C798" s="906" t="s">
        <v>1646</v>
      </c>
      <c r="D798" s="25">
        <v>4.4000000000000004</v>
      </c>
      <c r="E798" s="903">
        <v>660</v>
      </c>
      <c r="F798" s="903">
        <v>338</v>
      </c>
      <c r="G798" s="903" t="s">
        <v>143</v>
      </c>
      <c r="H798" s="904">
        <f t="shared" si="150"/>
        <v>6</v>
      </c>
      <c r="I798" s="904">
        <f t="shared" si="151"/>
        <v>11</v>
      </c>
      <c r="J798" s="21">
        <f t="shared" si="152"/>
        <v>11600</v>
      </c>
      <c r="K798" s="21">
        <f t="shared" si="153"/>
        <v>13090.000000000002</v>
      </c>
      <c r="L798" s="21">
        <f t="shared" si="154"/>
        <v>25050</v>
      </c>
      <c r="M798" s="21">
        <f t="shared" si="155"/>
        <v>38500</v>
      </c>
      <c r="N798" s="904">
        <f t="shared" si="156"/>
        <v>687</v>
      </c>
      <c r="O798" s="21"/>
      <c r="P798" s="22" t="s">
        <v>2</v>
      </c>
      <c r="Q798" s="22">
        <v>0.63</v>
      </c>
      <c r="R798" s="904" t="s">
        <v>42</v>
      </c>
      <c r="S798" s="904" t="str">
        <f t="shared" si="157"/>
        <v>Stove</v>
      </c>
      <c r="T798" s="23">
        <f t="shared" si="158"/>
        <v>0.25195263290501385</v>
      </c>
      <c r="U798" s="23">
        <f t="shared" si="159"/>
        <v>0.74103715560298178</v>
      </c>
      <c r="V798" s="23">
        <f t="shared" si="159"/>
        <v>0.38723258949473188</v>
      </c>
      <c r="W798" s="23">
        <f t="shared" si="160"/>
        <v>0.83622210058991664</v>
      </c>
      <c r="X798" s="904">
        <f t="shared" si="161"/>
        <v>557</v>
      </c>
      <c r="Y798" s="904">
        <f t="shared" si="161"/>
        <v>599</v>
      </c>
      <c r="Z798" s="904">
        <f t="shared" si="161"/>
        <v>575</v>
      </c>
      <c r="AA798" s="904">
        <f t="shared" si="161"/>
        <v>581</v>
      </c>
      <c r="AB798" s="24">
        <v>304</v>
      </c>
    </row>
    <row r="799" spans="1:28" x14ac:dyDescent="0.25">
      <c r="A799" s="903"/>
      <c r="B799" t="s">
        <v>1645</v>
      </c>
      <c r="C799" s="906" t="s">
        <v>1647</v>
      </c>
      <c r="D799" s="25">
        <v>3.5</v>
      </c>
      <c r="E799" s="903">
        <v>432</v>
      </c>
      <c r="F799" s="903">
        <v>177</v>
      </c>
      <c r="G799" s="903" t="s">
        <v>1648</v>
      </c>
      <c r="H799" s="904">
        <f t="shared" si="150"/>
        <v>5</v>
      </c>
      <c r="I799" s="904">
        <f t="shared" si="151"/>
        <v>10</v>
      </c>
      <c r="J799" s="21">
        <f t="shared" si="152"/>
        <v>7300</v>
      </c>
      <c r="K799" s="21">
        <f t="shared" si="153"/>
        <v>16014.000000000002</v>
      </c>
      <c r="L799" s="21">
        <f t="shared" si="154"/>
        <v>27200</v>
      </c>
      <c r="M799" s="21">
        <f t="shared" si="155"/>
        <v>47100</v>
      </c>
      <c r="N799" s="904">
        <f t="shared" si="156"/>
        <v>803</v>
      </c>
      <c r="O799" s="21"/>
      <c r="P799" s="22" t="s">
        <v>2</v>
      </c>
      <c r="Q799" s="22">
        <v>0.72</v>
      </c>
      <c r="R799" s="904" t="s">
        <v>38</v>
      </c>
      <c r="S799" s="904" t="str">
        <f t="shared" si="157"/>
        <v>Stove</v>
      </c>
      <c r="T799" s="23">
        <f t="shared" si="158"/>
        <v>0.16382270451626432</v>
      </c>
      <c r="U799" s="23">
        <f t="shared" si="159"/>
        <v>0.48183148387136554</v>
      </c>
      <c r="V799" s="23">
        <f t="shared" si="159"/>
        <v>0.28367828612926654</v>
      </c>
      <c r="W799" s="23">
        <f t="shared" si="160"/>
        <v>1.0569930661254863</v>
      </c>
      <c r="X799" s="904">
        <f t="shared" si="161"/>
        <v>249</v>
      </c>
      <c r="Y799" s="904">
        <f t="shared" si="161"/>
        <v>265</v>
      </c>
      <c r="Z799" s="904">
        <f t="shared" si="161"/>
        <v>314</v>
      </c>
      <c r="AA799" s="904">
        <f t="shared" si="161"/>
        <v>750</v>
      </c>
      <c r="AB799" s="24">
        <v>107</v>
      </c>
    </row>
    <row r="800" spans="1:28" x14ac:dyDescent="0.25">
      <c r="A800" s="903"/>
      <c r="B800" t="s">
        <v>1645</v>
      </c>
      <c r="C800" s="906" t="s">
        <v>1649</v>
      </c>
      <c r="D800" s="25">
        <v>7.4</v>
      </c>
      <c r="E800" s="903">
        <v>941</v>
      </c>
      <c r="F800" s="903">
        <v>584</v>
      </c>
      <c r="G800" s="903" t="s">
        <v>1650</v>
      </c>
      <c r="H800" s="904">
        <f t="shared" si="150"/>
        <v>6</v>
      </c>
      <c r="I800" s="904">
        <f t="shared" si="151"/>
        <v>11</v>
      </c>
      <c r="J800" s="21">
        <f t="shared" si="152"/>
        <v>11300</v>
      </c>
      <c r="K800" s="21">
        <f t="shared" si="153"/>
        <v>14824.000000000002</v>
      </c>
      <c r="L800" s="21">
        <f t="shared" si="154"/>
        <v>27450</v>
      </c>
      <c r="M800" s="21">
        <f t="shared" si="155"/>
        <v>43600</v>
      </c>
      <c r="N800" s="904">
        <f t="shared" si="156"/>
        <v>809</v>
      </c>
      <c r="O800" s="21"/>
      <c r="P800" s="22" t="s">
        <v>2</v>
      </c>
      <c r="Q800" s="22">
        <v>0.63</v>
      </c>
      <c r="R800" s="904" t="s">
        <v>42</v>
      </c>
      <c r="S800" s="904" t="str">
        <f t="shared" si="157"/>
        <v>Stove</v>
      </c>
      <c r="T800" s="23">
        <f t="shared" si="158"/>
        <v>0.37417277478439559</v>
      </c>
      <c r="U800" s="23">
        <f t="shared" si="159"/>
        <v>1.1005081611305749</v>
      </c>
      <c r="V800" s="23">
        <f t="shared" si="159"/>
        <v>0.59431449838250083</v>
      </c>
      <c r="W800" s="23">
        <f t="shared" si="160"/>
        <v>1.4437108832389067</v>
      </c>
      <c r="X800" s="904">
        <f t="shared" si="161"/>
        <v>805</v>
      </c>
      <c r="Y800" s="904">
        <f t="shared" si="161"/>
        <v>857</v>
      </c>
      <c r="Z800" s="904">
        <f t="shared" si="161"/>
        <v>835</v>
      </c>
      <c r="AA800" s="904">
        <f t="shared" si="161"/>
        <v>914</v>
      </c>
      <c r="AB800" s="24">
        <v>504</v>
      </c>
    </row>
    <row r="801" spans="1:28" x14ac:dyDescent="0.25">
      <c r="A801" s="903"/>
      <c r="B801" t="s">
        <v>1645</v>
      </c>
      <c r="C801" s="906" t="s">
        <v>1651</v>
      </c>
      <c r="D801" s="25">
        <v>5.9</v>
      </c>
      <c r="E801" s="903">
        <v>836</v>
      </c>
      <c r="F801" s="903">
        <v>483</v>
      </c>
      <c r="G801" s="903" t="s">
        <v>1652</v>
      </c>
      <c r="H801" s="904">
        <f t="shared" si="150"/>
        <v>5</v>
      </c>
      <c r="I801" s="904">
        <f t="shared" si="151"/>
        <v>10</v>
      </c>
      <c r="J801" s="21">
        <f t="shared" si="152"/>
        <v>9200</v>
      </c>
      <c r="K801" s="21">
        <f t="shared" si="153"/>
        <v>13294.000000000002</v>
      </c>
      <c r="L801" s="21">
        <f t="shared" si="154"/>
        <v>24150</v>
      </c>
      <c r="M801" s="21">
        <f t="shared" si="155"/>
        <v>39100</v>
      </c>
      <c r="N801" s="904">
        <f t="shared" si="156"/>
        <v>647</v>
      </c>
      <c r="O801" s="21"/>
      <c r="P801" s="22" t="s">
        <v>2</v>
      </c>
      <c r="Q801" s="22">
        <v>0.63</v>
      </c>
      <c r="R801" s="904" t="s">
        <v>42</v>
      </c>
      <c r="S801" s="904" t="str">
        <f t="shared" si="157"/>
        <v>Stove</v>
      </c>
      <c r="T801" s="23">
        <f t="shared" si="158"/>
        <v>0.33266124485220822</v>
      </c>
      <c r="U801" s="23">
        <f t="shared" si="159"/>
        <v>0.97841542603590625</v>
      </c>
      <c r="V801" s="23">
        <f t="shared" si="159"/>
        <v>0.53859439642738471</v>
      </c>
      <c r="W801" s="23">
        <f t="shared" si="160"/>
        <v>1.4138102906218848</v>
      </c>
      <c r="X801" s="904">
        <f t="shared" si="161"/>
        <v>745</v>
      </c>
      <c r="Y801" s="904">
        <f t="shared" si="161"/>
        <v>801</v>
      </c>
      <c r="Z801" s="904">
        <f t="shared" si="161"/>
        <v>786</v>
      </c>
      <c r="AA801" s="904">
        <f t="shared" si="161"/>
        <v>904</v>
      </c>
      <c r="AB801" s="24">
        <v>467</v>
      </c>
    </row>
    <row r="802" spans="1:28" x14ac:dyDescent="0.25">
      <c r="A802" s="903"/>
      <c r="B802" t="s">
        <v>1645</v>
      </c>
      <c r="C802" s="906" t="s">
        <v>1653</v>
      </c>
      <c r="D802" s="25">
        <v>5.2</v>
      </c>
      <c r="E802" s="903">
        <v>784</v>
      </c>
      <c r="F802" s="903">
        <v>437</v>
      </c>
      <c r="G802" s="903" t="s">
        <v>1654</v>
      </c>
      <c r="H802" s="904">
        <f t="shared" si="150"/>
        <v>5</v>
      </c>
      <c r="I802" s="904">
        <f t="shared" si="151"/>
        <v>10</v>
      </c>
      <c r="J802" s="21">
        <f t="shared" si="152"/>
        <v>7500</v>
      </c>
      <c r="K802" s="21">
        <f t="shared" si="153"/>
        <v>15470.000000000002</v>
      </c>
      <c r="L802" s="21">
        <f t="shared" si="154"/>
        <v>26500</v>
      </c>
      <c r="M802" s="21">
        <f t="shared" si="155"/>
        <v>45500</v>
      </c>
      <c r="N802" s="904">
        <f t="shared" si="156"/>
        <v>770</v>
      </c>
      <c r="O802" s="21"/>
      <c r="P802" s="22" t="s">
        <v>2</v>
      </c>
      <c r="Q802" s="22">
        <v>0.63</v>
      </c>
      <c r="R802" s="904" t="s">
        <v>42</v>
      </c>
      <c r="S802" s="904" t="str">
        <f t="shared" si="157"/>
        <v>Stove</v>
      </c>
      <c r="T802" s="23">
        <f t="shared" si="158"/>
        <v>0.25195263290501385</v>
      </c>
      <c r="U802" s="23">
        <f t="shared" si="159"/>
        <v>0.74103715560298189</v>
      </c>
      <c r="V802" s="23">
        <f t="shared" si="159"/>
        <v>0.43259791687464644</v>
      </c>
      <c r="W802" s="23">
        <f t="shared" si="160"/>
        <v>1.5285126396237507</v>
      </c>
      <c r="X802" s="904">
        <f t="shared" si="161"/>
        <v>557</v>
      </c>
      <c r="Y802" s="904">
        <f t="shared" si="161"/>
        <v>602</v>
      </c>
      <c r="Z802" s="904">
        <f t="shared" si="161"/>
        <v>647</v>
      </c>
      <c r="AA802" s="904">
        <f t="shared" si="161"/>
        <v>924</v>
      </c>
      <c r="AB802" s="24">
        <v>307</v>
      </c>
    </row>
    <row r="803" spans="1:28" x14ac:dyDescent="0.25">
      <c r="A803" s="903"/>
      <c r="B803" t="s">
        <v>1645</v>
      </c>
      <c r="C803" s="906" t="s">
        <v>1655</v>
      </c>
      <c r="D803" s="25">
        <v>5.5</v>
      </c>
      <c r="E803" s="903">
        <v>808</v>
      </c>
      <c r="F803" s="903">
        <v>458</v>
      </c>
      <c r="G803" s="903" t="s">
        <v>1656</v>
      </c>
      <c r="H803" s="904">
        <f t="shared" si="150"/>
        <v>5</v>
      </c>
      <c r="I803" s="904">
        <f t="shared" si="151"/>
        <v>10</v>
      </c>
      <c r="J803" s="21">
        <f t="shared" si="152"/>
        <v>9500</v>
      </c>
      <c r="K803" s="21">
        <f t="shared" si="153"/>
        <v>15504.000000000002</v>
      </c>
      <c r="L803" s="21">
        <f t="shared" si="154"/>
        <v>27550</v>
      </c>
      <c r="M803" s="21">
        <f t="shared" si="155"/>
        <v>45600</v>
      </c>
      <c r="N803" s="904">
        <f t="shared" si="156"/>
        <v>815</v>
      </c>
      <c r="O803" s="21"/>
      <c r="P803" s="22" t="s">
        <v>2</v>
      </c>
      <c r="Q803" s="22">
        <v>0.63</v>
      </c>
      <c r="R803" s="904" t="s">
        <v>42</v>
      </c>
      <c r="S803" s="904" t="str">
        <f t="shared" si="157"/>
        <v>Stove</v>
      </c>
      <c r="T803" s="23">
        <f t="shared" si="158"/>
        <v>0.26590395742442524</v>
      </c>
      <c r="U803" s="23">
        <f t="shared" si="159"/>
        <v>0.7820704630130153</v>
      </c>
      <c r="V803" s="23">
        <f t="shared" si="159"/>
        <v>0.4401168950473246</v>
      </c>
      <c r="W803" s="23">
        <f t="shared" si="160"/>
        <v>1.2763389956372413</v>
      </c>
      <c r="X803" s="904">
        <f t="shared" si="161"/>
        <v>597</v>
      </c>
      <c r="Y803" s="904">
        <f t="shared" si="161"/>
        <v>642</v>
      </c>
      <c r="Z803" s="904">
        <f t="shared" si="161"/>
        <v>657</v>
      </c>
      <c r="AA803" s="904">
        <f t="shared" si="161"/>
        <v>842</v>
      </c>
      <c r="AB803" s="24">
        <v>336</v>
      </c>
    </row>
    <row r="804" spans="1:28" x14ac:dyDescent="0.25">
      <c r="A804" s="903"/>
      <c r="B804" t="s">
        <v>1645</v>
      </c>
      <c r="C804" s="906" t="s">
        <v>1657</v>
      </c>
      <c r="D804" s="25">
        <v>2.6</v>
      </c>
      <c r="E804" s="903">
        <v>235</v>
      </c>
      <c r="F804" s="903">
        <v>66</v>
      </c>
      <c r="G804" s="903" t="s">
        <v>137</v>
      </c>
      <c r="H804" s="904">
        <f t="shared" si="150"/>
        <v>6</v>
      </c>
      <c r="I804" s="904">
        <f t="shared" si="151"/>
        <v>11</v>
      </c>
      <c r="J804" s="21">
        <f t="shared" si="152"/>
        <v>12000</v>
      </c>
      <c r="K804" s="21">
        <f t="shared" si="153"/>
        <v>15334.000000000002</v>
      </c>
      <c r="L804" s="21">
        <f t="shared" si="154"/>
        <v>28550</v>
      </c>
      <c r="M804" s="21">
        <f t="shared" si="155"/>
        <v>45100</v>
      </c>
      <c r="N804" s="904">
        <f t="shared" si="156"/>
        <v>840</v>
      </c>
      <c r="O804" s="21"/>
      <c r="P804" s="22" t="s">
        <v>2</v>
      </c>
      <c r="Q804" s="22">
        <v>0.63</v>
      </c>
      <c r="R804" s="904" t="s">
        <v>42</v>
      </c>
      <c r="S804" s="904" t="str">
        <f t="shared" si="157"/>
        <v>Stove</v>
      </c>
      <c r="T804" s="23">
        <f t="shared" si="158"/>
        <v>0.12709362302858238</v>
      </c>
      <c r="U804" s="23">
        <f t="shared" si="159"/>
        <v>0.37380477361347753</v>
      </c>
      <c r="V804" s="23">
        <f t="shared" si="159"/>
        <v>0.20076785984550141</v>
      </c>
      <c r="W804" s="23">
        <f t="shared" si="160"/>
        <v>0.47766019988242209</v>
      </c>
      <c r="X804" s="904">
        <f t="shared" si="161"/>
        <v>161</v>
      </c>
      <c r="Y804" s="904">
        <f t="shared" si="161"/>
        <v>168</v>
      </c>
      <c r="Z804" s="904">
        <f t="shared" si="161"/>
        <v>166</v>
      </c>
      <c r="AA804" s="904">
        <f t="shared" si="161"/>
        <v>170</v>
      </c>
      <c r="AB804" s="24">
        <v>47</v>
      </c>
    </row>
    <row r="805" spans="1:28" x14ac:dyDescent="0.25">
      <c r="A805" s="903"/>
      <c r="B805" t="s">
        <v>1645</v>
      </c>
      <c r="C805" s="906" t="s">
        <v>1658</v>
      </c>
      <c r="D805" s="25">
        <v>3</v>
      </c>
      <c r="E805" s="903">
        <v>322</v>
      </c>
      <c r="F805" s="903">
        <v>117</v>
      </c>
      <c r="G805" s="903" t="s">
        <v>139</v>
      </c>
      <c r="H805" s="904">
        <f t="shared" si="150"/>
        <v>5</v>
      </c>
      <c r="I805" s="904">
        <f t="shared" si="151"/>
        <v>10</v>
      </c>
      <c r="J805" s="21">
        <f t="shared" si="152"/>
        <v>8700</v>
      </c>
      <c r="K805" s="21">
        <f t="shared" si="153"/>
        <v>15096.000000000002</v>
      </c>
      <c r="L805" s="21">
        <f t="shared" si="154"/>
        <v>26550</v>
      </c>
      <c r="M805" s="21">
        <f t="shared" si="155"/>
        <v>44400</v>
      </c>
      <c r="N805" s="904">
        <f t="shared" si="156"/>
        <v>773</v>
      </c>
      <c r="O805" s="21"/>
      <c r="P805" s="22" t="s">
        <v>2</v>
      </c>
      <c r="Q805" s="22">
        <v>0.63</v>
      </c>
      <c r="R805" s="904" t="s">
        <v>42</v>
      </c>
      <c r="S805" s="904" t="str">
        <f t="shared" si="157"/>
        <v>Stove</v>
      </c>
      <c r="T805" s="23">
        <f t="shared" si="158"/>
        <v>0.14895848229181563</v>
      </c>
      <c r="U805" s="23">
        <f t="shared" si="159"/>
        <v>0.43811318321122233</v>
      </c>
      <c r="V805" s="23">
        <f t="shared" si="159"/>
        <v>0.24910571049930749</v>
      </c>
      <c r="W805" s="23">
        <f t="shared" si="160"/>
        <v>0.76020190962719703</v>
      </c>
      <c r="X805" s="904">
        <f t="shared" si="161"/>
        <v>211</v>
      </c>
      <c r="Y805" s="904">
        <f t="shared" si="161"/>
        <v>222</v>
      </c>
      <c r="Z805" s="904">
        <f t="shared" si="161"/>
        <v>246</v>
      </c>
      <c r="AA805" s="904">
        <f t="shared" si="161"/>
        <v>479</v>
      </c>
      <c r="AB805" s="24">
        <v>70</v>
      </c>
    </row>
    <row r="806" spans="1:28" x14ac:dyDescent="0.25">
      <c r="A806" s="903"/>
      <c r="B806" t="s">
        <v>1645</v>
      </c>
      <c r="C806" s="906" t="s">
        <v>1659</v>
      </c>
      <c r="D806" s="25">
        <v>2</v>
      </c>
      <c r="E806" s="903">
        <v>131</v>
      </c>
      <c r="F806" s="903">
        <v>33</v>
      </c>
      <c r="G806" s="903" t="s">
        <v>141</v>
      </c>
      <c r="H806" s="904">
        <f t="shared" si="150"/>
        <v>6</v>
      </c>
      <c r="I806" s="904">
        <f t="shared" si="151"/>
        <v>11</v>
      </c>
      <c r="J806" s="21">
        <f t="shared" si="152"/>
        <v>11200</v>
      </c>
      <c r="K806" s="21">
        <f t="shared" si="153"/>
        <v>13600.000000000002</v>
      </c>
      <c r="L806" s="21">
        <f t="shared" si="154"/>
        <v>25600</v>
      </c>
      <c r="M806" s="21">
        <f t="shared" si="155"/>
        <v>40000</v>
      </c>
      <c r="N806" s="904">
        <f t="shared" si="156"/>
        <v>729</v>
      </c>
      <c r="O806" s="21"/>
      <c r="P806" s="22" t="s">
        <v>2</v>
      </c>
      <c r="Q806" s="22">
        <v>0.63</v>
      </c>
      <c r="R806" s="904" t="s">
        <v>42</v>
      </c>
      <c r="S806" s="904" t="str">
        <f t="shared" si="157"/>
        <v>Stove</v>
      </c>
      <c r="T806" s="23">
        <f t="shared" si="158"/>
        <v>0.11022927689594356</v>
      </c>
      <c r="U806" s="23">
        <f t="shared" si="159"/>
        <v>0.32420375557630454</v>
      </c>
      <c r="V806" s="23">
        <f t="shared" si="159"/>
        <v>0.17223324514991181</v>
      </c>
      <c r="W806" s="23">
        <f t="shared" si="160"/>
        <v>0.39367598891408417</v>
      </c>
      <c r="X806" s="904">
        <f t="shared" si="161"/>
        <v>118</v>
      </c>
      <c r="Y806" s="904">
        <f t="shared" si="161"/>
        <v>131</v>
      </c>
      <c r="Z806" s="904">
        <f t="shared" si="161"/>
        <v>115</v>
      </c>
      <c r="AA806" s="904">
        <f t="shared" si="161"/>
        <v>109</v>
      </c>
      <c r="AB806" s="24">
        <v>34</v>
      </c>
    </row>
    <row r="807" spans="1:28" x14ac:dyDescent="0.25">
      <c r="A807" s="903"/>
      <c r="B807" t="s">
        <v>1645</v>
      </c>
      <c r="C807" s="906" t="s">
        <v>1660</v>
      </c>
      <c r="D807" s="25">
        <v>1.94</v>
      </c>
      <c r="E807" s="903">
        <v>122</v>
      </c>
      <c r="F807" s="903">
        <v>29</v>
      </c>
      <c r="G807" s="903" t="s">
        <v>135</v>
      </c>
      <c r="H807" s="904">
        <f t="shared" si="150"/>
        <v>5</v>
      </c>
      <c r="I807" s="904">
        <f t="shared" si="151"/>
        <v>10</v>
      </c>
      <c r="J807" s="21">
        <f t="shared" si="152"/>
        <v>9300</v>
      </c>
      <c r="K807" s="21">
        <f t="shared" si="153"/>
        <v>14348.000000000002</v>
      </c>
      <c r="L807" s="21">
        <f t="shared" si="154"/>
        <v>25750</v>
      </c>
      <c r="M807" s="21">
        <f t="shared" si="155"/>
        <v>42200</v>
      </c>
      <c r="N807" s="904">
        <f t="shared" si="156"/>
        <v>735</v>
      </c>
      <c r="O807" s="21"/>
      <c r="P807" s="22" t="s">
        <v>2</v>
      </c>
      <c r="Q807" s="22">
        <v>0.63</v>
      </c>
      <c r="R807" s="904" t="s">
        <v>42</v>
      </c>
      <c r="S807" s="904" t="str">
        <f t="shared" si="157"/>
        <v>Stove</v>
      </c>
      <c r="T807" s="23">
        <f t="shared" si="158"/>
        <v>0.10134824510811873</v>
      </c>
      <c r="U807" s="23">
        <f t="shared" si="159"/>
        <v>0.29808307384740801</v>
      </c>
      <c r="V807" s="23">
        <f t="shared" si="159"/>
        <v>0.16609304635194602</v>
      </c>
      <c r="W807" s="23">
        <f t="shared" si="160"/>
        <v>0.45988128425404412</v>
      </c>
      <c r="X807" s="904">
        <f t="shared" si="161"/>
        <v>83</v>
      </c>
      <c r="Y807" s="904">
        <f t="shared" si="161"/>
        <v>97</v>
      </c>
      <c r="Z807" s="904">
        <f t="shared" si="161"/>
        <v>98</v>
      </c>
      <c r="AA807" s="904">
        <f t="shared" si="161"/>
        <v>154</v>
      </c>
      <c r="AB807" s="24">
        <v>20</v>
      </c>
    </row>
    <row r="808" spans="1:28" x14ac:dyDescent="0.25">
      <c r="A808" s="903"/>
      <c r="B808" t="s">
        <v>1645</v>
      </c>
      <c r="C808" s="906" t="s">
        <v>1661</v>
      </c>
      <c r="D808" s="25">
        <v>0.45</v>
      </c>
      <c r="E808" s="903">
        <v>2</v>
      </c>
      <c r="F808" s="903">
        <v>1</v>
      </c>
      <c r="G808" s="903" t="s">
        <v>1662</v>
      </c>
      <c r="H808" s="904">
        <f t="shared" si="150"/>
        <v>6</v>
      </c>
      <c r="I808" s="904">
        <f t="shared" si="151"/>
        <v>11</v>
      </c>
      <c r="J808" s="21">
        <f t="shared" si="152"/>
        <v>10749</v>
      </c>
      <c r="K808" s="21">
        <f t="shared" si="153"/>
        <v>13400.42</v>
      </c>
      <c r="L808" s="21">
        <f t="shared" si="154"/>
        <v>25081</v>
      </c>
      <c r="M808" s="21">
        <f t="shared" si="155"/>
        <v>39413</v>
      </c>
      <c r="N808" s="904">
        <f t="shared" si="156"/>
        <v>698</v>
      </c>
      <c r="O808" s="21"/>
      <c r="P808" s="22">
        <v>0.80099999999999993</v>
      </c>
      <c r="Q808" s="22">
        <v>0.72</v>
      </c>
      <c r="R808" s="904" t="s">
        <v>38</v>
      </c>
      <c r="S808" s="904" t="str">
        <f t="shared" si="157"/>
        <v>Stove</v>
      </c>
      <c r="T808" s="23">
        <f t="shared" si="158"/>
        <v>2.5170971305495445E-2</v>
      </c>
      <c r="U808" s="23">
        <f t="shared" si="159"/>
        <v>7.4032268545574847E-2</v>
      </c>
      <c r="V808" s="23">
        <f t="shared" si="159"/>
        <v>3.9554383480064272E-2</v>
      </c>
      <c r="W808" s="23">
        <f t="shared" si="160"/>
        <v>9.2293561453483303E-2</v>
      </c>
      <c r="X808" s="904">
        <f t="shared" si="161"/>
        <v>2</v>
      </c>
      <c r="Y808" s="904">
        <f t="shared" si="161"/>
        <v>2</v>
      </c>
      <c r="Z808" s="904">
        <f t="shared" si="161"/>
        <v>2</v>
      </c>
      <c r="AA808" s="904">
        <f t="shared" si="161"/>
        <v>2</v>
      </c>
      <c r="AB808" s="24">
        <v>1</v>
      </c>
    </row>
    <row r="809" spans="1:28" x14ac:dyDescent="0.25">
      <c r="A809" s="903"/>
      <c r="B809" t="s">
        <v>1645</v>
      </c>
      <c r="C809" s="906" t="s">
        <v>1663</v>
      </c>
      <c r="D809" s="25">
        <v>2.5</v>
      </c>
      <c r="E809" s="903">
        <v>218</v>
      </c>
      <c r="F809" s="903">
        <v>89</v>
      </c>
      <c r="G809" s="903" t="s">
        <v>523</v>
      </c>
      <c r="H809" s="904">
        <f t="shared" si="150"/>
        <v>6</v>
      </c>
      <c r="I809" s="904">
        <f t="shared" si="151"/>
        <v>11</v>
      </c>
      <c r="J809" s="21">
        <f t="shared" si="152"/>
        <v>11000</v>
      </c>
      <c r="K809" s="21">
        <f t="shared" si="153"/>
        <v>15402.000000000002</v>
      </c>
      <c r="L809" s="21">
        <f t="shared" si="154"/>
        <v>28150</v>
      </c>
      <c r="M809" s="21">
        <f t="shared" si="155"/>
        <v>45300</v>
      </c>
      <c r="N809" s="904">
        <f t="shared" si="156"/>
        <v>833</v>
      </c>
      <c r="O809" s="21"/>
      <c r="P809" s="22" t="s">
        <v>2</v>
      </c>
      <c r="Q809" s="22">
        <v>0.72</v>
      </c>
      <c r="R809" s="904" t="s">
        <v>38</v>
      </c>
      <c r="S809" s="904" t="str">
        <f t="shared" si="157"/>
        <v>Stove</v>
      </c>
      <c r="T809" s="23">
        <f t="shared" si="158"/>
        <v>0.12166586853856905</v>
      </c>
      <c r="U809" s="23">
        <f t="shared" si="159"/>
        <v>0.35784078981932071</v>
      </c>
      <c r="V809" s="23">
        <f t="shared" si="159"/>
        <v>0.19578912414910046</v>
      </c>
      <c r="W809" s="23">
        <f t="shared" si="160"/>
        <v>0.50104216770883436</v>
      </c>
      <c r="X809" s="904">
        <f t="shared" si="161"/>
        <v>145</v>
      </c>
      <c r="Y809" s="904">
        <f t="shared" si="161"/>
        <v>157</v>
      </c>
      <c r="Z809" s="904">
        <f t="shared" si="161"/>
        <v>158</v>
      </c>
      <c r="AA809" s="904">
        <f t="shared" si="161"/>
        <v>190</v>
      </c>
      <c r="AB809" s="24">
        <v>62</v>
      </c>
    </row>
    <row r="810" spans="1:28" x14ac:dyDescent="0.25">
      <c r="A810" s="903"/>
      <c r="B810" t="s">
        <v>1645</v>
      </c>
      <c r="C810" s="906" t="s">
        <v>1664</v>
      </c>
      <c r="D810" s="25">
        <v>2.2999999999999998</v>
      </c>
      <c r="E810" s="903">
        <v>182</v>
      </c>
      <c r="F810" s="903">
        <v>71</v>
      </c>
      <c r="G810" s="903" t="s">
        <v>521</v>
      </c>
      <c r="H810" s="904">
        <f t="shared" si="150"/>
        <v>6</v>
      </c>
      <c r="I810" s="904">
        <f t="shared" si="151"/>
        <v>11</v>
      </c>
      <c r="J810" s="21">
        <f t="shared" si="152"/>
        <v>11900</v>
      </c>
      <c r="K810" s="21">
        <f t="shared" si="153"/>
        <v>16014.000000000002</v>
      </c>
      <c r="L810" s="21">
        <f t="shared" si="154"/>
        <v>29500</v>
      </c>
      <c r="M810" s="21">
        <f t="shared" si="155"/>
        <v>47100</v>
      </c>
      <c r="N810" s="904">
        <f t="shared" si="156"/>
        <v>864</v>
      </c>
      <c r="O810" s="21"/>
      <c r="P810" s="22" t="s">
        <v>2</v>
      </c>
      <c r="Q810" s="22">
        <v>0.72</v>
      </c>
      <c r="R810" s="904" t="s">
        <v>38</v>
      </c>
      <c r="S810" s="904" t="str">
        <f t="shared" si="157"/>
        <v>Stove</v>
      </c>
      <c r="T810" s="23">
        <f t="shared" si="158"/>
        <v>0.10765492011068797</v>
      </c>
      <c r="U810" s="23">
        <f t="shared" si="159"/>
        <v>0.31663211797261165</v>
      </c>
      <c r="V810" s="23">
        <f t="shared" si="159"/>
        <v>0.17188294024452216</v>
      </c>
      <c r="W810" s="23">
        <f t="shared" si="160"/>
        <v>0.42609636447171462</v>
      </c>
      <c r="X810" s="904">
        <f t="shared" si="161"/>
        <v>105</v>
      </c>
      <c r="Y810" s="904">
        <f t="shared" si="161"/>
        <v>121</v>
      </c>
      <c r="Z810" s="904">
        <f t="shared" si="161"/>
        <v>112</v>
      </c>
      <c r="AA810" s="904">
        <f t="shared" si="161"/>
        <v>132</v>
      </c>
      <c r="AB810" s="24">
        <v>49</v>
      </c>
    </row>
    <row r="811" spans="1:28" x14ac:dyDescent="0.25">
      <c r="A811" s="903"/>
      <c r="B811" t="s">
        <v>1645</v>
      </c>
      <c r="C811" s="906" t="s">
        <v>1665</v>
      </c>
      <c r="D811" s="25">
        <v>4.0999999999999996</v>
      </c>
      <c r="E811" s="903">
        <v>594</v>
      </c>
      <c r="F811" s="903">
        <v>233</v>
      </c>
      <c r="G811" s="903" t="s">
        <v>1666</v>
      </c>
      <c r="H811" s="904">
        <f t="shared" si="150"/>
        <v>6</v>
      </c>
      <c r="I811" s="904">
        <f t="shared" si="151"/>
        <v>11</v>
      </c>
      <c r="J811" s="21">
        <f t="shared" si="152"/>
        <v>10300</v>
      </c>
      <c r="K811" s="21">
        <f t="shared" si="153"/>
        <v>18598</v>
      </c>
      <c r="L811" s="21">
        <f t="shared" si="154"/>
        <v>32500</v>
      </c>
      <c r="M811" s="21">
        <f t="shared" si="155"/>
        <v>54700</v>
      </c>
      <c r="N811" s="904">
        <f t="shared" si="156"/>
        <v>910</v>
      </c>
      <c r="O811" s="21"/>
      <c r="P811" s="22" t="s">
        <v>2</v>
      </c>
      <c r="Q811" s="22">
        <v>0.72</v>
      </c>
      <c r="R811" s="904" t="s">
        <v>38</v>
      </c>
      <c r="S811" s="904" t="str">
        <f t="shared" si="157"/>
        <v>Stove</v>
      </c>
      <c r="T811" s="23">
        <f t="shared" si="158"/>
        <v>0.16524315732115852</v>
      </c>
      <c r="U811" s="23">
        <f t="shared" si="159"/>
        <v>0.48600928623870149</v>
      </c>
      <c r="V811" s="23">
        <f t="shared" si="159"/>
        <v>0.27811694478361143</v>
      </c>
      <c r="W811" s="23">
        <f t="shared" si="160"/>
        <v>0.87755346655023025</v>
      </c>
      <c r="X811" s="904">
        <f t="shared" si="161"/>
        <v>261</v>
      </c>
      <c r="Y811" s="904">
        <f t="shared" si="161"/>
        <v>278</v>
      </c>
      <c r="Z811" s="904">
        <f t="shared" si="161"/>
        <v>300</v>
      </c>
      <c r="AA811" s="904">
        <f t="shared" si="161"/>
        <v>618</v>
      </c>
      <c r="AB811" s="24">
        <v>115</v>
      </c>
    </row>
    <row r="812" spans="1:28" x14ac:dyDescent="0.25">
      <c r="A812" s="903"/>
      <c r="B812" t="s">
        <v>1645</v>
      </c>
      <c r="C812" s="906" t="s">
        <v>1667</v>
      </c>
      <c r="D812" s="25">
        <v>4.0999999999999996</v>
      </c>
      <c r="E812" s="903">
        <v>594</v>
      </c>
      <c r="F812" s="903">
        <v>233</v>
      </c>
      <c r="G812" s="903" t="s">
        <v>1668</v>
      </c>
      <c r="H812" s="904">
        <f t="shared" si="150"/>
        <v>6</v>
      </c>
      <c r="I812" s="904">
        <f t="shared" si="151"/>
        <v>11</v>
      </c>
      <c r="J812" s="21">
        <f t="shared" si="152"/>
        <v>10900</v>
      </c>
      <c r="K812" s="21">
        <f t="shared" si="153"/>
        <v>18802</v>
      </c>
      <c r="L812" s="21">
        <f t="shared" si="154"/>
        <v>33100</v>
      </c>
      <c r="M812" s="21">
        <f t="shared" si="155"/>
        <v>55300</v>
      </c>
      <c r="N812" s="904">
        <f t="shared" si="156"/>
        <v>914</v>
      </c>
      <c r="O812" s="21"/>
      <c r="P812" s="22" t="s">
        <v>2</v>
      </c>
      <c r="Q812" s="22">
        <v>0.72</v>
      </c>
      <c r="R812" s="904" t="s">
        <v>38</v>
      </c>
      <c r="S812" s="904" t="str">
        <f t="shared" si="157"/>
        <v>Stove</v>
      </c>
      <c r="T812" s="23">
        <f t="shared" si="158"/>
        <v>0.16345028400483491</v>
      </c>
      <c r="U812" s="23">
        <f t="shared" si="159"/>
        <v>0.48073612942598498</v>
      </c>
      <c r="V812" s="23">
        <f t="shared" si="159"/>
        <v>0.27307555001411998</v>
      </c>
      <c r="W812" s="23">
        <f t="shared" si="160"/>
        <v>0.82924777114379555</v>
      </c>
      <c r="X812" s="904">
        <f t="shared" si="161"/>
        <v>246</v>
      </c>
      <c r="Y812" s="904">
        <f t="shared" si="161"/>
        <v>263</v>
      </c>
      <c r="Z812" s="904">
        <f t="shared" si="161"/>
        <v>290</v>
      </c>
      <c r="AA812" s="904">
        <f t="shared" si="161"/>
        <v>572</v>
      </c>
      <c r="AB812" s="24">
        <v>106</v>
      </c>
    </row>
    <row r="813" spans="1:28" x14ac:dyDescent="0.25">
      <c r="A813" s="903"/>
      <c r="B813" t="s">
        <v>1645</v>
      </c>
      <c r="C813" s="906" t="s">
        <v>1669</v>
      </c>
      <c r="D813" s="25">
        <v>2.4500000000000002</v>
      </c>
      <c r="E813" s="903">
        <v>217</v>
      </c>
      <c r="F813" s="903">
        <v>62</v>
      </c>
      <c r="G813" s="903" t="s">
        <v>1670</v>
      </c>
      <c r="H813" s="904">
        <f t="shared" si="150"/>
        <v>6</v>
      </c>
      <c r="I813" s="904">
        <f t="shared" si="151"/>
        <v>11</v>
      </c>
      <c r="J813" s="21">
        <f t="shared" si="152"/>
        <v>12084</v>
      </c>
      <c r="K813" s="21">
        <f t="shared" si="153"/>
        <v>12084</v>
      </c>
      <c r="L813" s="21">
        <f t="shared" si="154"/>
        <v>20844.5</v>
      </c>
      <c r="M813" s="21">
        <f t="shared" si="155"/>
        <v>29605</v>
      </c>
      <c r="N813" s="904">
        <f t="shared" si="156"/>
        <v>392</v>
      </c>
      <c r="O813" s="21"/>
      <c r="P813" s="22" t="s">
        <v>2</v>
      </c>
      <c r="Q813" s="22">
        <v>0.63</v>
      </c>
      <c r="R813" s="904" t="s">
        <v>42</v>
      </c>
      <c r="S813" s="904" t="str">
        <f t="shared" si="157"/>
        <v>Stove</v>
      </c>
      <c r="T813" s="23">
        <f t="shared" si="158"/>
        <v>0.1824433226786433</v>
      </c>
      <c r="U813" s="23">
        <f t="shared" si="159"/>
        <v>0.44697406222287606</v>
      </c>
      <c r="V813" s="23">
        <f t="shared" si="159"/>
        <v>0.25912037074054228</v>
      </c>
      <c r="W813" s="23">
        <f t="shared" si="160"/>
        <v>0.44697406222287606</v>
      </c>
      <c r="X813" s="904">
        <f t="shared" si="161"/>
        <v>320</v>
      </c>
      <c r="Y813" s="904">
        <f t="shared" si="161"/>
        <v>231</v>
      </c>
      <c r="Z813" s="904">
        <f t="shared" si="161"/>
        <v>260</v>
      </c>
      <c r="AA813" s="904">
        <f t="shared" si="161"/>
        <v>146</v>
      </c>
      <c r="AB813" s="24">
        <v>77</v>
      </c>
    </row>
    <row r="814" spans="1:28" x14ac:dyDescent="0.25">
      <c r="A814" s="903"/>
      <c r="B814" t="s">
        <v>1645</v>
      </c>
      <c r="C814" s="906" t="s">
        <v>1671</v>
      </c>
      <c r="D814" s="25">
        <v>4.4000000000000004</v>
      </c>
      <c r="E814" s="903">
        <v>660</v>
      </c>
      <c r="F814" s="903">
        <v>338</v>
      </c>
      <c r="G814" s="903" t="s">
        <v>1672</v>
      </c>
      <c r="H814" s="904">
        <f t="shared" si="150"/>
        <v>6</v>
      </c>
      <c r="I814" s="904">
        <f t="shared" si="151"/>
        <v>11</v>
      </c>
      <c r="J814" s="21">
        <f t="shared" si="152"/>
        <v>12000</v>
      </c>
      <c r="K814" s="21">
        <f t="shared" si="153"/>
        <v>12000</v>
      </c>
      <c r="L814" s="21">
        <f t="shared" si="154"/>
        <v>20800</v>
      </c>
      <c r="M814" s="21">
        <f t="shared" si="155"/>
        <v>29600</v>
      </c>
      <c r="N814" s="904">
        <f t="shared" si="156"/>
        <v>387</v>
      </c>
      <c r="O814" s="21"/>
      <c r="P814" s="22" t="s">
        <v>2</v>
      </c>
      <c r="Q814" s="22">
        <v>0.72</v>
      </c>
      <c r="R814" s="904" t="s">
        <v>42</v>
      </c>
      <c r="S814" s="904" t="str">
        <f t="shared" si="157"/>
        <v>Stove</v>
      </c>
      <c r="T814" s="23">
        <f t="shared" si="158"/>
        <v>0.32770866104199436</v>
      </c>
      <c r="U814" s="23">
        <f t="shared" si="159"/>
        <v>0.80834803057025284</v>
      </c>
      <c r="V814" s="23">
        <f t="shared" si="159"/>
        <v>0.4663546330212997</v>
      </c>
      <c r="W814" s="23">
        <f t="shared" si="160"/>
        <v>0.80834803057025284</v>
      </c>
      <c r="X814" s="904">
        <f t="shared" si="161"/>
        <v>731</v>
      </c>
      <c r="Y814" s="904">
        <f t="shared" si="161"/>
        <v>667</v>
      </c>
      <c r="Z814" s="904">
        <f t="shared" si="161"/>
        <v>697</v>
      </c>
      <c r="AA814" s="904">
        <f t="shared" si="161"/>
        <v>541</v>
      </c>
      <c r="AB814" s="24">
        <v>358</v>
      </c>
    </row>
    <row r="815" spans="1:28" x14ac:dyDescent="0.25">
      <c r="A815" s="903"/>
      <c r="B815" t="s">
        <v>1645</v>
      </c>
      <c r="C815" s="906" t="s">
        <v>1673</v>
      </c>
      <c r="D815" s="25">
        <v>0.59</v>
      </c>
      <c r="E815" s="903">
        <v>6</v>
      </c>
      <c r="F815" s="903">
        <v>3</v>
      </c>
      <c r="G815" s="903" t="s">
        <v>1674</v>
      </c>
      <c r="H815" s="904">
        <f t="shared" si="150"/>
        <v>5</v>
      </c>
      <c r="I815" s="904">
        <f t="shared" si="151"/>
        <v>10</v>
      </c>
      <c r="J815" s="21">
        <f t="shared" si="152"/>
        <v>8544</v>
      </c>
      <c r="K815" s="21">
        <f t="shared" si="153"/>
        <v>11994.52</v>
      </c>
      <c r="L815" s="21">
        <f t="shared" si="154"/>
        <v>21911</v>
      </c>
      <c r="M815" s="21">
        <f t="shared" si="155"/>
        <v>35278</v>
      </c>
      <c r="N815" s="904">
        <f t="shared" si="156"/>
        <v>465</v>
      </c>
      <c r="O815" s="21"/>
      <c r="P815" s="22" t="s">
        <v>2</v>
      </c>
      <c r="Q815" s="22">
        <v>0.63</v>
      </c>
      <c r="R815" s="904" t="s">
        <v>38</v>
      </c>
      <c r="S815" s="904" t="str">
        <f t="shared" si="157"/>
        <v>Insert</v>
      </c>
      <c r="T815" s="23">
        <f t="shared" si="158"/>
        <v>3.6870158948130109E-2</v>
      </c>
      <c r="U815" s="23">
        <f t="shared" si="159"/>
        <v>0.10844164396508854</v>
      </c>
      <c r="V815" s="23">
        <f t="shared" si="159"/>
        <v>5.9363126620059971E-2</v>
      </c>
      <c r="W815" s="23">
        <f t="shared" si="160"/>
        <v>0.15223612679917298</v>
      </c>
      <c r="X815" s="904">
        <f t="shared" si="161"/>
        <v>6</v>
      </c>
      <c r="Y815" s="904">
        <f t="shared" si="161"/>
        <v>6</v>
      </c>
      <c r="Z815" s="904">
        <f t="shared" si="161"/>
        <v>6</v>
      </c>
      <c r="AA815" s="904">
        <f t="shared" si="161"/>
        <v>12</v>
      </c>
      <c r="AB815" s="24">
        <v>3</v>
      </c>
    </row>
    <row r="816" spans="1:28" x14ac:dyDescent="0.25">
      <c r="A816" s="903"/>
      <c r="B816" t="s">
        <v>1645</v>
      </c>
      <c r="C816" s="906" t="s">
        <v>1675</v>
      </c>
      <c r="D816" s="25">
        <v>2.4</v>
      </c>
      <c r="E816" s="903">
        <v>196</v>
      </c>
      <c r="F816" s="903">
        <v>56</v>
      </c>
      <c r="G816" s="903" t="s">
        <v>133</v>
      </c>
      <c r="H816" s="904">
        <f t="shared" si="150"/>
        <v>6</v>
      </c>
      <c r="I816" s="904">
        <f t="shared" si="151"/>
        <v>11</v>
      </c>
      <c r="J816" s="21">
        <f t="shared" si="152"/>
        <v>10700</v>
      </c>
      <c r="K816" s="21">
        <f t="shared" si="153"/>
        <v>11526</v>
      </c>
      <c r="L816" s="21">
        <f t="shared" si="154"/>
        <v>22300</v>
      </c>
      <c r="M816" s="21">
        <f t="shared" si="155"/>
        <v>33900</v>
      </c>
      <c r="N816" s="904">
        <f t="shared" si="156"/>
        <v>499</v>
      </c>
      <c r="O816" s="21"/>
      <c r="P816" s="22" t="s">
        <v>2</v>
      </c>
      <c r="Q816" s="22">
        <v>0.63</v>
      </c>
      <c r="R816" s="904" t="s">
        <v>42</v>
      </c>
      <c r="S816" s="904" t="str">
        <f t="shared" si="157"/>
        <v>Stove</v>
      </c>
      <c r="T816" s="23">
        <f t="shared" si="158"/>
        <v>0.15607685224204398</v>
      </c>
      <c r="U816" s="23">
        <f t="shared" si="159"/>
        <v>0.45904956541777636</v>
      </c>
      <c r="V816" s="23">
        <f t="shared" si="159"/>
        <v>0.23726481125584264</v>
      </c>
      <c r="W816" s="23">
        <f t="shared" si="160"/>
        <v>0.49448647579488703</v>
      </c>
      <c r="X816" s="904">
        <f t="shared" si="161"/>
        <v>233</v>
      </c>
      <c r="Y816" s="904">
        <f t="shared" si="161"/>
        <v>245</v>
      </c>
      <c r="Z816" s="904">
        <f t="shared" si="161"/>
        <v>217</v>
      </c>
      <c r="AA816" s="904">
        <f t="shared" si="161"/>
        <v>184</v>
      </c>
      <c r="AB816" s="24">
        <v>82</v>
      </c>
    </row>
    <row r="817" spans="1:28" x14ac:dyDescent="0.25">
      <c r="A817" s="903"/>
      <c r="B817" t="s">
        <v>1645</v>
      </c>
      <c r="C817" s="906" t="s">
        <v>1676</v>
      </c>
      <c r="D817" s="25">
        <v>0.57999999999999996</v>
      </c>
      <c r="E817" s="903">
        <v>5</v>
      </c>
      <c r="F817" s="903">
        <v>2</v>
      </c>
      <c r="G817" s="903" t="s">
        <v>1674</v>
      </c>
      <c r="H817" s="904">
        <f t="shared" si="150"/>
        <v>5</v>
      </c>
      <c r="I817" s="904">
        <f t="shared" si="151"/>
        <v>10</v>
      </c>
      <c r="J817" s="21">
        <f t="shared" si="152"/>
        <v>8544</v>
      </c>
      <c r="K817" s="21">
        <f t="shared" si="153"/>
        <v>11994.52</v>
      </c>
      <c r="L817" s="21">
        <f t="shared" si="154"/>
        <v>21911</v>
      </c>
      <c r="M817" s="21">
        <f t="shared" si="155"/>
        <v>35278</v>
      </c>
      <c r="N817" s="904">
        <f t="shared" si="156"/>
        <v>465</v>
      </c>
      <c r="O817" s="21"/>
      <c r="P817" s="22">
        <v>0.80299999999999994</v>
      </c>
      <c r="Q817" s="22">
        <v>0.72</v>
      </c>
      <c r="R817" s="904" t="s">
        <v>38</v>
      </c>
      <c r="S817" s="904" t="str">
        <f t="shared" si="157"/>
        <v>Insert</v>
      </c>
      <c r="T817" s="23">
        <f t="shared" si="158"/>
        <v>3.6245240999856716E-2</v>
      </c>
      <c r="U817" s="23">
        <f t="shared" si="159"/>
        <v>0.10660364999957857</v>
      </c>
      <c r="V817" s="23">
        <f t="shared" si="159"/>
        <v>5.835697193158438E-2</v>
      </c>
      <c r="W817" s="23">
        <f t="shared" si="160"/>
        <v>0.14965585346359378</v>
      </c>
      <c r="X817" s="904">
        <f t="shared" si="161"/>
        <v>5</v>
      </c>
      <c r="Y817" s="904">
        <f t="shared" si="161"/>
        <v>5</v>
      </c>
      <c r="Z817" s="904">
        <f t="shared" si="161"/>
        <v>5</v>
      </c>
      <c r="AA817" s="904">
        <f t="shared" si="161"/>
        <v>10</v>
      </c>
      <c r="AB817" s="24">
        <v>2</v>
      </c>
    </row>
    <row r="818" spans="1:28" x14ac:dyDescent="0.25">
      <c r="A818" s="903"/>
      <c r="B818" t="s">
        <v>1645</v>
      </c>
      <c r="C818" s="906" t="s">
        <v>1677</v>
      </c>
      <c r="D818" s="25">
        <v>5.2</v>
      </c>
      <c r="E818" s="903">
        <v>784</v>
      </c>
      <c r="F818" s="903">
        <v>437</v>
      </c>
      <c r="G818" s="903" t="s">
        <v>1678</v>
      </c>
      <c r="H818" s="904">
        <f t="shared" si="150"/>
        <v>5</v>
      </c>
      <c r="I818" s="904">
        <f t="shared" si="151"/>
        <v>10</v>
      </c>
      <c r="J818" s="21">
        <f t="shared" si="152"/>
        <v>9400</v>
      </c>
      <c r="K818" s="21">
        <f t="shared" si="153"/>
        <v>17952</v>
      </c>
      <c r="L818" s="21">
        <f t="shared" si="154"/>
        <v>31100</v>
      </c>
      <c r="M818" s="21">
        <f t="shared" si="155"/>
        <v>52800</v>
      </c>
      <c r="N818" s="904">
        <f t="shared" si="156"/>
        <v>891</v>
      </c>
      <c r="O818" s="21"/>
      <c r="P818" s="22" t="s">
        <v>2</v>
      </c>
      <c r="Q818" s="22">
        <v>0.63</v>
      </c>
      <c r="R818" s="904" t="s">
        <v>42</v>
      </c>
      <c r="S818" s="904" t="str">
        <f t="shared" si="157"/>
        <v>Stove</v>
      </c>
      <c r="T818" s="23">
        <f t="shared" si="158"/>
        <v>0.21711827267382822</v>
      </c>
      <c r="U818" s="23">
        <f t="shared" si="159"/>
        <v>0.6385831549230242</v>
      </c>
      <c r="V818" s="23">
        <f t="shared" si="159"/>
        <v>0.36861237289961835</v>
      </c>
      <c r="W818" s="23">
        <f t="shared" si="160"/>
        <v>1.2195579571466095</v>
      </c>
      <c r="X818" s="904">
        <f t="shared" si="161"/>
        <v>449</v>
      </c>
      <c r="Y818" s="904">
        <f t="shared" si="161"/>
        <v>480</v>
      </c>
      <c r="Z818" s="904">
        <f t="shared" si="161"/>
        <v>532</v>
      </c>
      <c r="AA818" s="904">
        <f t="shared" si="161"/>
        <v>831</v>
      </c>
      <c r="AB818" s="24">
        <v>220</v>
      </c>
    </row>
    <row r="819" spans="1:28" x14ac:dyDescent="0.25">
      <c r="A819" s="903"/>
      <c r="B819" t="s">
        <v>1645</v>
      </c>
      <c r="C819" s="906" t="s">
        <v>1679</v>
      </c>
      <c r="D819" s="25">
        <v>3.3</v>
      </c>
      <c r="E819" s="903">
        <v>393</v>
      </c>
      <c r="F819" s="903">
        <v>152</v>
      </c>
      <c r="G819" s="903" t="s">
        <v>1680</v>
      </c>
      <c r="H819" s="904">
        <f t="shared" si="150"/>
        <v>6</v>
      </c>
      <c r="I819" s="904">
        <f t="shared" si="151"/>
        <v>11</v>
      </c>
      <c r="J819" s="21">
        <f t="shared" si="152"/>
        <v>12000</v>
      </c>
      <c r="K819" s="21">
        <f t="shared" si="153"/>
        <v>13940.000000000002</v>
      </c>
      <c r="L819" s="21">
        <f t="shared" si="154"/>
        <v>26500</v>
      </c>
      <c r="M819" s="21">
        <f t="shared" si="155"/>
        <v>41000</v>
      </c>
      <c r="N819" s="904">
        <f t="shared" si="156"/>
        <v>770</v>
      </c>
      <c r="O819" s="21"/>
      <c r="P819" s="22" t="s">
        <v>2</v>
      </c>
      <c r="Q819" s="22">
        <v>0.63</v>
      </c>
      <c r="R819" s="904" t="s">
        <v>42</v>
      </c>
      <c r="S819" s="904" t="str">
        <f t="shared" si="157"/>
        <v>Stove</v>
      </c>
      <c r="T819" s="23">
        <f t="shared" si="158"/>
        <v>0.17744225061298233</v>
      </c>
      <c r="U819" s="23">
        <f t="shared" si="159"/>
        <v>0.52188897239112442</v>
      </c>
      <c r="V819" s="23">
        <f t="shared" si="159"/>
        <v>0.2745332934012179</v>
      </c>
      <c r="W819" s="23">
        <f t="shared" si="160"/>
        <v>0.60626102292768957</v>
      </c>
      <c r="X819" s="904">
        <f t="shared" si="161"/>
        <v>300</v>
      </c>
      <c r="Y819" s="904">
        <f t="shared" si="161"/>
        <v>322</v>
      </c>
      <c r="Z819" s="904">
        <f t="shared" si="161"/>
        <v>292</v>
      </c>
      <c r="AA819" s="904">
        <f t="shared" si="161"/>
        <v>296</v>
      </c>
      <c r="AB819" s="24">
        <v>122</v>
      </c>
    </row>
    <row r="820" spans="1:28" x14ac:dyDescent="0.25">
      <c r="A820" s="903"/>
      <c r="B820" t="s">
        <v>1645</v>
      </c>
      <c r="C820" s="906" t="s">
        <v>1681</v>
      </c>
      <c r="D820" s="25">
        <v>4.3</v>
      </c>
      <c r="E820" s="903">
        <v>635</v>
      </c>
      <c r="F820" s="903">
        <v>318</v>
      </c>
      <c r="G820" s="903" t="s">
        <v>1682</v>
      </c>
      <c r="H820" s="904">
        <f t="shared" si="150"/>
        <v>6</v>
      </c>
      <c r="I820" s="904">
        <f t="shared" si="151"/>
        <v>11</v>
      </c>
      <c r="J820" s="21">
        <f t="shared" si="152"/>
        <v>11700</v>
      </c>
      <c r="K820" s="21">
        <f t="shared" si="153"/>
        <v>11700</v>
      </c>
      <c r="L820" s="21">
        <f t="shared" si="154"/>
        <v>19000</v>
      </c>
      <c r="M820" s="21">
        <f t="shared" si="155"/>
        <v>26300</v>
      </c>
      <c r="N820" s="904">
        <f t="shared" si="156"/>
        <v>243</v>
      </c>
      <c r="O820" s="21"/>
      <c r="P820" s="22" t="s">
        <v>2</v>
      </c>
      <c r="Q820" s="22">
        <v>0.63</v>
      </c>
      <c r="R820" s="904" t="s">
        <v>42</v>
      </c>
      <c r="S820" s="904" t="str">
        <f t="shared" si="157"/>
        <v>Stove</v>
      </c>
      <c r="T820" s="23">
        <f t="shared" si="158"/>
        <v>0.36044554422247704</v>
      </c>
      <c r="U820" s="23">
        <f t="shared" si="159"/>
        <v>0.8102322917137732</v>
      </c>
      <c r="V820" s="23">
        <f t="shared" si="159"/>
        <v>0.4989325164763761</v>
      </c>
      <c r="W820" s="23">
        <f t="shared" si="160"/>
        <v>0.8102322917137732</v>
      </c>
      <c r="X820" s="904">
        <f t="shared" si="161"/>
        <v>781</v>
      </c>
      <c r="Y820" s="904">
        <f t="shared" si="161"/>
        <v>669</v>
      </c>
      <c r="Z820" s="904">
        <f t="shared" si="161"/>
        <v>746</v>
      </c>
      <c r="AA820" s="904">
        <f t="shared" si="161"/>
        <v>549</v>
      </c>
      <c r="AB820" s="24">
        <v>360</v>
      </c>
    </row>
    <row r="821" spans="1:28" x14ac:dyDescent="0.25">
      <c r="A821" s="903"/>
      <c r="B821" t="s">
        <v>1645</v>
      </c>
      <c r="C821" s="906" t="s">
        <v>1683</v>
      </c>
      <c r="D821" s="25">
        <v>7.4</v>
      </c>
      <c r="E821" s="903">
        <v>941</v>
      </c>
      <c r="F821" s="903">
        <v>584</v>
      </c>
      <c r="G821" s="903" t="s">
        <v>1684</v>
      </c>
      <c r="H821" s="904">
        <f t="shared" si="150"/>
        <v>6</v>
      </c>
      <c r="I821" s="904">
        <f t="shared" si="151"/>
        <v>11</v>
      </c>
      <c r="J821" s="21">
        <f t="shared" si="152"/>
        <v>12000</v>
      </c>
      <c r="K821" s="21">
        <f t="shared" si="153"/>
        <v>17476</v>
      </c>
      <c r="L821" s="21">
        <f t="shared" si="154"/>
        <v>31700</v>
      </c>
      <c r="M821" s="21">
        <f t="shared" si="155"/>
        <v>51400</v>
      </c>
      <c r="N821" s="904">
        <f t="shared" si="156"/>
        <v>899</v>
      </c>
      <c r="O821" s="21"/>
      <c r="P821" s="22" t="s">
        <v>2</v>
      </c>
      <c r="Q821" s="22">
        <v>0.63</v>
      </c>
      <c r="R821" s="904" t="s">
        <v>42</v>
      </c>
      <c r="S821" s="904" t="str">
        <f t="shared" si="157"/>
        <v>Stove</v>
      </c>
      <c r="T821" s="23">
        <f t="shared" si="158"/>
        <v>0.31739169222956515</v>
      </c>
      <c r="U821" s="23">
        <f t="shared" si="159"/>
        <v>0.93350497714577974</v>
      </c>
      <c r="V821" s="23">
        <f t="shared" si="159"/>
        <v>0.51463510979809612</v>
      </c>
      <c r="W821" s="23">
        <f t="shared" si="160"/>
        <v>1.3594944150499706</v>
      </c>
      <c r="X821" s="904">
        <f t="shared" si="161"/>
        <v>707</v>
      </c>
      <c r="Y821" s="904">
        <f t="shared" si="161"/>
        <v>768</v>
      </c>
      <c r="Z821" s="904">
        <f t="shared" si="161"/>
        <v>759</v>
      </c>
      <c r="AA821" s="904">
        <f t="shared" si="161"/>
        <v>879</v>
      </c>
      <c r="AB821" s="24">
        <v>437</v>
      </c>
    </row>
    <row r="822" spans="1:28" x14ac:dyDescent="0.25">
      <c r="A822" s="903"/>
      <c r="B822" t="s">
        <v>1645</v>
      </c>
      <c r="C822" s="906" t="s">
        <v>1685</v>
      </c>
      <c r="D822" s="25">
        <v>1.94</v>
      </c>
      <c r="E822" s="903">
        <v>122</v>
      </c>
      <c r="F822" s="903">
        <v>29</v>
      </c>
      <c r="G822" s="903" t="s">
        <v>135</v>
      </c>
      <c r="H822" s="904">
        <f t="shared" si="150"/>
        <v>5</v>
      </c>
      <c r="I822" s="904">
        <f t="shared" si="151"/>
        <v>10</v>
      </c>
      <c r="J822" s="21">
        <f t="shared" si="152"/>
        <v>9300</v>
      </c>
      <c r="K822" s="21">
        <f t="shared" si="153"/>
        <v>14348.000000000002</v>
      </c>
      <c r="L822" s="21">
        <f t="shared" si="154"/>
        <v>25750</v>
      </c>
      <c r="M822" s="21">
        <f t="shared" si="155"/>
        <v>42200</v>
      </c>
      <c r="N822" s="904">
        <f t="shared" si="156"/>
        <v>735</v>
      </c>
      <c r="O822" s="21"/>
      <c r="P822" s="22" t="s">
        <v>2</v>
      </c>
      <c r="Q822" s="22">
        <v>0.63</v>
      </c>
      <c r="R822" s="904" t="s">
        <v>42</v>
      </c>
      <c r="S822" s="904" t="str">
        <f t="shared" si="157"/>
        <v>Stove</v>
      </c>
      <c r="T822" s="23">
        <f t="shared" si="158"/>
        <v>0.10134824510811873</v>
      </c>
      <c r="U822" s="23">
        <f t="shared" si="159"/>
        <v>0.29808307384740801</v>
      </c>
      <c r="V822" s="23">
        <f t="shared" si="159"/>
        <v>0.16609304635194602</v>
      </c>
      <c r="W822" s="23">
        <f t="shared" si="160"/>
        <v>0.45988128425404412</v>
      </c>
      <c r="X822" s="904">
        <f t="shared" si="161"/>
        <v>83</v>
      </c>
      <c r="Y822" s="904">
        <f t="shared" si="161"/>
        <v>97</v>
      </c>
      <c r="Z822" s="904">
        <f t="shared" si="161"/>
        <v>98</v>
      </c>
      <c r="AA822" s="904">
        <f t="shared" si="161"/>
        <v>154</v>
      </c>
      <c r="AB822" s="24">
        <v>20</v>
      </c>
    </row>
    <row r="823" spans="1:28" x14ac:dyDescent="0.25">
      <c r="A823" s="903"/>
      <c r="B823" t="s">
        <v>1645</v>
      </c>
      <c r="C823" s="906" t="s">
        <v>1686</v>
      </c>
      <c r="D823" s="25">
        <v>2.9</v>
      </c>
      <c r="E823" s="903">
        <v>295</v>
      </c>
      <c r="F823" s="903">
        <v>128</v>
      </c>
      <c r="G823" s="903" t="s">
        <v>1687</v>
      </c>
      <c r="H823" s="904">
        <f t="shared" si="150"/>
        <v>6</v>
      </c>
      <c r="I823" s="904">
        <f t="shared" si="151"/>
        <v>11</v>
      </c>
      <c r="J823" s="21">
        <f t="shared" si="152"/>
        <v>10900</v>
      </c>
      <c r="K823" s="21">
        <f t="shared" si="153"/>
        <v>10900</v>
      </c>
      <c r="L823" s="21">
        <f t="shared" si="154"/>
        <v>20950</v>
      </c>
      <c r="M823" s="21">
        <f t="shared" si="155"/>
        <v>31000</v>
      </c>
      <c r="N823" s="904">
        <f t="shared" si="156"/>
        <v>398</v>
      </c>
      <c r="O823" s="21"/>
      <c r="P823" s="22" t="s">
        <v>2</v>
      </c>
      <c r="Q823" s="22">
        <v>0.72</v>
      </c>
      <c r="R823" s="904" t="s">
        <v>38</v>
      </c>
      <c r="S823" s="904" t="str">
        <f t="shared" si="157"/>
        <v>Stove</v>
      </c>
      <c r="T823" s="23">
        <f t="shared" si="158"/>
        <v>0.20623542128918473</v>
      </c>
      <c r="U823" s="23">
        <f t="shared" si="159"/>
        <v>0.58654110641878221</v>
      </c>
      <c r="V823" s="23">
        <f t="shared" si="159"/>
        <v>0.30516935847087001</v>
      </c>
      <c r="W823" s="23">
        <f t="shared" si="160"/>
        <v>0.58654110641878221</v>
      </c>
      <c r="X823" s="904">
        <f t="shared" si="161"/>
        <v>408</v>
      </c>
      <c r="Y823" s="904">
        <f t="shared" si="161"/>
        <v>420</v>
      </c>
      <c r="Z823" s="904">
        <f t="shared" si="161"/>
        <v>372</v>
      </c>
      <c r="AA823" s="904">
        <f t="shared" si="161"/>
        <v>283</v>
      </c>
      <c r="AB823" s="24">
        <v>168</v>
      </c>
    </row>
    <row r="824" spans="1:28" x14ac:dyDescent="0.25">
      <c r="A824" s="903"/>
      <c r="B824" t="s">
        <v>1645</v>
      </c>
      <c r="C824" s="906" t="s">
        <v>1688</v>
      </c>
      <c r="D824" s="25">
        <v>7</v>
      </c>
      <c r="E824" s="903">
        <v>907</v>
      </c>
      <c r="F824" s="903">
        <v>550</v>
      </c>
      <c r="G824" s="903" t="s">
        <v>1689</v>
      </c>
      <c r="H824" s="904">
        <f t="shared" si="150"/>
        <v>5</v>
      </c>
      <c r="I824" s="904">
        <f t="shared" si="151"/>
        <v>10</v>
      </c>
      <c r="J824" s="21">
        <f t="shared" si="152"/>
        <v>8000</v>
      </c>
      <c r="K824" s="21">
        <f t="shared" si="153"/>
        <v>10710</v>
      </c>
      <c r="L824" s="21">
        <f t="shared" si="154"/>
        <v>19750</v>
      </c>
      <c r="M824" s="21">
        <f t="shared" si="155"/>
        <v>31500</v>
      </c>
      <c r="N824" s="904">
        <f t="shared" si="156"/>
        <v>294</v>
      </c>
      <c r="O824" s="21"/>
      <c r="P824" s="22" t="s">
        <v>2</v>
      </c>
      <c r="Q824" s="22">
        <v>0.63</v>
      </c>
      <c r="R824" s="904" t="s">
        <v>42</v>
      </c>
      <c r="S824" s="904" t="str">
        <f t="shared" si="157"/>
        <v>Stove</v>
      </c>
      <c r="T824" s="23">
        <f t="shared" si="158"/>
        <v>0.48990789731530471</v>
      </c>
      <c r="U824" s="23">
        <f t="shared" si="159"/>
        <v>1.4409055803391315</v>
      </c>
      <c r="V824" s="23">
        <f t="shared" si="159"/>
        <v>0.78137208938896707</v>
      </c>
      <c r="W824" s="23">
        <f t="shared" si="160"/>
        <v>1.9290123456790123</v>
      </c>
      <c r="X824" s="904">
        <f t="shared" si="161"/>
        <v>891</v>
      </c>
      <c r="Y824" s="904">
        <f t="shared" si="161"/>
        <v>941</v>
      </c>
      <c r="Z824" s="904">
        <f t="shared" si="161"/>
        <v>922</v>
      </c>
      <c r="AA824" s="904">
        <f t="shared" si="161"/>
        <v>949</v>
      </c>
      <c r="AB824" s="24">
        <v>586</v>
      </c>
    </row>
    <row r="825" spans="1:28" x14ac:dyDescent="0.25">
      <c r="A825" s="903"/>
      <c r="B825" t="s">
        <v>1645</v>
      </c>
      <c r="C825" s="906" t="s">
        <v>1690</v>
      </c>
      <c r="D825" s="25">
        <v>6.7</v>
      </c>
      <c r="E825" s="903">
        <v>893</v>
      </c>
      <c r="F825" s="903">
        <v>537</v>
      </c>
      <c r="G825" s="903" t="s">
        <v>1691</v>
      </c>
      <c r="H825" s="904">
        <f t="shared" si="150"/>
        <v>6</v>
      </c>
      <c r="I825" s="904">
        <f t="shared" si="151"/>
        <v>11</v>
      </c>
      <c r="J825" s="21">
        <f t="shared" si="152"/>
        <v>10500</v>
      </c>
      <c r="K825" s="21">
        <f t="shared" si="153"/>
        <v>21454</v>
      </c>
      <c r="L825" s="21">
        <f t="shared" si="154"/>
        <v>36800</v>
      </c>
      <c r="M825" s="21">
        <f t="shared" si="155"/>
        <v>63100</v>
      </c>
      <c r="N825" s="904">
        <f t="shared" si="156"/>
        <v>947</v>
      </c>
      <c r="O825" s="21"/>
      <c r="P825" s="22" t="s">
        <v>2</v>
      </c>
      <c r="Q825" s="22">
        <v>0.63</v>
      </c>
      <c r="R825" s="904" t="s">
        <v>42</v>
      </c>
      <c r="S825" s="904" t="str">
        <f t="shared" si="157"/>
        <v>Stove</v>
      </c>
      <c r="T825" s="23">
        <f t="shared" si="158"/>
        <v>0.23408435981072009</v>
      </c>
      <c r="U825" s="23">
        <f t="shared" si="159"/>
        <v>0.68848341120800027</v>
      </c>
      <c r="V825" s="23">
        <f t="shared" si="159"/>
        <v>0.4013783452189249</v>
      </c>
      <c r="W825" s="23">
        <f t="shared" si="160"/>
        <v>1.4067355337196608</v>
      </c>
      <c r="X825" s="904">
        <f t="shared" si="161"/>
        <v>512</v>
      </c>
      <c r="Y825" s="904">
        <f t="shared" si="161"/>
        <v>556</v>
      </c>
      <c r="Z825" s="904">
        <f t="shared" si="161"/>
        <v>593</v>
      </c>
      <c r="AA825" s="904">
        <f t="shared" si="161"/>
        <v>900</v>
      </c>
      <c r="AB825" s="24">
        <v>271</v>
      </c>
    </row>
    <row r="826" spans="1:28" x14ac:dyDescent="0.25">
      <c r="A826" s="903"/>
      <c r="B826" t="s">
        <v>1645</v>
      </c>
      <c r="C826" s="906" t="s">
        <v>1692</v>
      </c>
      <c r="D826" s="25">
        <v>6</v>
      </c>
      <c r="E826" s="903">
        <v>844</v>
      </c>
      <c r="F826" s="903">
        <v>491</v>
      </c>
      <c r="G826" s="903" t="s">
        <v>1693</v>
      </c>
      <c r="H826" s="904">
        <f t="shared" si="150"/>
        <v>6</v>
      </c>
      <c r="I826" s="904">
        <f t="shared" si="151"/>
        <v>11</v>
      </c>
      <c r="J826" s="21">
        <f t="shared" si="152"/>
        <v>13600</v>
      </c>
      <c r="K826" s="21">
        <f t="shared" si="153"/>
        <v>13600</v>
      </c>
      <c r="L826" s="21">
        <f t="shared" si="154"/>
        <v>21350</v>
      </c>
      <c r="M826" s="21">
        <f t="shared" si="155"/>
        <v>29100</v>
      </c>
      <c r="N826" s="904">
        <f t="shared" si="156"/>
        <v>433</v>
      </c>
      <c r="O826" s="21"/>
      <c r="P826" s="22" t="s">
        <v>2</v>
      </c>
      <c r="Q826" s="22">
        <v>0.63</v>
      </c>
      <c r="R826" s="904" t="s">
        <v>42</v>
      </c>
      <c r="S826" s="904" t="str">
        <f t="shared" si="157"/>
        <v>Insert</v>
      </c>
      <c r="T826" s="23">
        <f t="shared" si="158"/>
        <v>0.45455371915853016</v>
      </c>
      <c r="U826" s="23">
        <f t="shared" si="159"/>
        <v>0.97261126672891374</v>
      </c>
      <c r="V826" s="23">
        <f t="shared" si="159"/>
        <v>0.61955565468446028</v>
      </c>
      <c r="W826" s="23">
        <f t="shared" si="160"/>
        <v>0.97261126672891374</v>
      </c>
      <c r="X826" s="904">
        <f t="shared" si="161"/>
        <v>870</v>
      </c>
      <c r="Y826" s="904">
        <f t="shared" si="161"/>
        <v>798</v>
      </c>
      <c r="Z826" s="904">
        <f t="shared" si="161"/>
        <v>851</v>
      </c>
      <c r="AA826" s="904">
        <f t="shared" si="161"/>
        <v>701</v>
      </c>
      <c r="AB826" s="24">
        <v>464</v>
      </c>
    </row>
    <row r="827" spans="1:28" x14ac:dyDescent="0.25">
      <c r="A827" s="903"/>
      <c r="B827" t="s">
        <v>1645</v>
      </c>
      <c r="C827" s="906" t="s">
        <v>1694</v>
      </c>
      <c r="D827" s="25">
        <v>7.2</v>
      </c>
      <c r="E827" s="903">
        <v>932</v>
      </c>
      <c r="F827" s="903">
        <v>575</v>
      </c>
      <c r="G827" s="903" t="s">
        <v>1695</v>
      </c>
      <c r="H827" s="904">
        <f t="shared" si="150"/>
        <v>6</v>
      </c>
      <c r="I827" s="904">
        <f t="shared" si="151"/>
        <v>11</v>
      </c>
      <c r="J827" s="21">
        <f t="shared" si="152"/>
        <v>11600</v>
      </c>
      <c r="K827" s="21">
        <f t="shared" si="153"/>
        <v>18326</v>
      </c>
      <c r="L827" s="21">
        <f t="shared" si="154"/>
        <v>32750</v>
      </c>
      <c r="M827" s="21">
        <f t="shared" si="155"/>
        <v>53900</v>
      </c>
      <c r="N827" s="904">
        <f t="shared" si="156"/>
        <v>911</v>
      </c>
      <c r="O827" s="21"/>
      <c r="P827" s="22" t="s">
        <v>2</v>
      </c>
      <c r="Q827" s="22">
        <v>0.63</v>
      </c>
      <c r="R827" s="904" t="s">
        <v>42</v>
      </c>
      <c r="S827" s="904" t="str">
        <f t="shared" si="157"/>
        <v>Stove</v>
      </c>
      <c r="T827" s="23">
        <f t="shared" si="158"/>
        <v>0.29449009040845775</v>
      </c>
      <c r="U827" s="23">
        <f t="shared" si="159"/>
        <v>0.86614732473075806</v>
      </c>
      <c r="V827" s="23">
        <f t="shared" si="159"/>
        <v>0.48467224039743123</v>
      </c>
      <c r="W827" s="23">
        <f t="shared" si="160"/>
        <v>1.3683634373289546</v>
      </c>
      <c r="X827" s="904">
        <f t="shared" si="161"/>
        <v>660</v>
      </c>
      <c r="Y827" s="904">
        <f t="shared" si="161"/>
        <v>718</v>
      </c>
      <c r="Z827" s="904">
        <f t="shared" si="161"/>
        <v>725</v>
      </c>
      <c r="AA827" s="904">
        <f t="shared" si="161"/>
        <v>881</v>
      </c>
      <c r="AB827" s="24">
        <v>398</v>
      </c>
    </row>
    <row r="828" spans="1:28" x14ac:dyDescent="0.25">
      <c r="A828" s="903"/>
      <c r="B828" t="s">
        <v>1645</v>
      </c>
      <c r="C828" s="906" t="s">
        <v>1696</v>
      </c>
      <c r="D828" s="25">
        <v>4</v>
      </c>
      <c r="E828" s="903">
        <v>571</v>
      </c>
      <c r="F828" s="903">
        <v>225</v>
      </c>
      <c r="G828" s="903" t="s">
        <v>1697</v>
      </c>
      <c r="H828" s="904">
        <f t="shared" si="150"/>
        <v>6</v>
      </c>
      <c r="I828" s="904">
        <f t="shared" si="151"/>
        <v>11</v>
      </c>
      <c r="J828" s="21">
        <f t="shared" si="152"/>
        <v>11900</v>
      </c>
      <c r="K828" s="21">
        <f t="shared" si="153"/>
        <v>18700</v>
      </c>
      <c r="L828" s="21">
        <f t="shared" si="154"/>
        <v>33450</v>
      </c>
      <c r="M828" s="21">
        <f t="shared" si="155"/>
        <v>55000</v>
      </c>
      <c r="N828" s="904">
        <f t="shared" si="156"/>
        <v>921</v>
      </c>
      <c r="O828" s="21"/>
      <c r="P828" s="22" t="s">
        <v>2</v>
      </c>
      <c r="Q828" s="22">
        <v>0.72</v>
      </c>
      <c r="R828" s="904" t="s">
        <v>38</v>
      </c>
      <c r="S828" s="904" t="str">
        <f t="shared" si="157"/>
        <v>Stove</v>
      </c>
      <c r="T828" s="23">
        <f t="shared" si="158"/>
        <v>0.160333493666827</v>
      </c>
      <c r="U828" s="23">
        <f t="shared" si="159"/>
        <v>0.47156909902007943</v>
      </c>
      <c r="V828" s="23">
        <f t="shared" si="159"/>
        <v>0.2636275680620474</v>
      </c>
      <c r="W828" s="23">
        <f t="shared" si="160"/>
        <v>0.74103715560298189</v>
      </c>
      <c r="X828" s="904">
        <f t="shared" si="161"/>
        <v>240</v>
      </c>
      <c r="Y828" s="904">
        <f t="shared" si="161"/>
        <v>255</v>
      </c>
      <c r="Z828" s="904">
        <f t="shared" si="161"/>
        <v>267</v>
      </c>
      <c r="AA828" s="904">
        <f t="shared" si="161"/>
        <v>449</v>
      </c>
      <c r="AB828" s="24">
        <v>101</v>
      </c>
    </row>
    <row r="829" spans="1:28" x14ac:dyDescent="0.25">
      <c r="A829" s="903"/>
      <c r="B829" t="s">
        <v>1645</v>
      </c>
      <c r="C829" s="906" t="s">
        <v>1698</v>
      </c>
      <c r="D829" s="25">
        <v>2.2999999999999998</v>
      </c>
      <c r="E829" s="903">
        <v>182</v>
      </c>
      <c r="F829" s="903">
        <v>71</v>
      </c>
      <c r="G829" s="903" t="s">
        <v>1699</v>
      </c>
      <c r="H829" s="904">
        <f t="shared" si="150"/>
        <v>6</v>
      </c>
      <c r="I829" s="904">
        <f t="shared" si="151"/>
        <v>11</v>
      </c>
      <c r="J829" s="21">
        <f t="shared" si="152"/>
        <v>10700</v>
      </c>
      <c r="K829" s="21">
        <f t="shared" si="153"/>
        <v>25738.000000000004</v>
      </c>
      <c r="L829" s="21">
        <f t="shared" si="154"/>
        <v>43200</v>
      </c>
      <c r="M829" s="21">
        <f t="shared" si="155"/>
        <v>75700</v>
      </c>
      <c r="N829" s="904">
        <f t="shared" si="156"/>
        <v>959</v>
      </c>
      <c r="O829" s="21"/>
      <c r="P829" s="22" t="s">
        <v>2</v>
      </c>
      <c r="Q829" s="22">
        <v>0.72</v>
      </c>
      <c r="R829" s="904" t="s">
        <v>38</v>
      </c>
      <c r="S829" s="904" t="str">
        <f t="shared" si="157"/>
        <v>Stove</v>
      </c>
      <c r="T829" s="23">
        <f t="shared" si="158"/>
        <v>6.6982123344959094E-2</v>
      </c>
      <c r="U829" s="23">
        <f t="shared" si="159"/>
        <v>0.19700624513223261</v>
      </c>
      <c r="V829" s="23">
        <f t="shared" si="159"/>
        <v>0.11737376706512509</v>
      </c>
      <c r="W829" s="23">
        <f t="shared" si="160"/>
        <v>0.47388287263676671</v>
      </c>
      <c r="X829" s="904">
        <f t="shared" si="161"/>
        <v>36</v>
      </c>
      <c r="Y829" s="904">
        <f t="shared" si="161"/>
        <v>46</v>
      </c>
      <c r="Z829" s="904">
        <f t="shared" si="161"/>
        <v>46</v>
      </c>
      <c r="AA829" s="904">
        <f t="shared" si="161"/>
        <v>165</v>
      </c>
      <c r="AB829" s="24">
        <v>13</v>
      </c>
    </row>
    <row r="830" spans="1:28" x14ac:dyDescent="0.25">
      <c r="A830" s="903" t="s">
        <v>77</v>
      </c>
      <c r="B830" t="s">
        <v>1700</v>
      </c>
      <c r="C830" s="906" t="s">
        <v>1701</v>
      </c>
      <c r="D830" s="25">
        <v>5.5</v>
      </c>
      <c r="E830" s="903">
        <v>808</v>
      </c>
      <c r="F830" s="903">
        <v>458</v>
      </c>
      <c r="G830" s="903" t="s">
        <v>1702</v>
      </c>
      <c r="H830" s="904">
        <f t="shared" si="150"/>
        <v>6</v>
      </c>
      <c r="I830" s="904">
        <f t="shared" si="151"/>
        <v>11</v>
      </c>
      <c r="J830" s="21">
        <f t="shared" si="152"/>
        <v>11700</v>
      </c>
      <c r="K830" s="21">
        <f t="shared" si="153"/>
        <v>11700</v>
      </c>
      <c r="L830" s="21">
        <f t="shared" si="154"/>
        <v>18750</v>
      </c>
      <c r="M830" s="21">
        <f t="shared" si="155"/>
        <v>25800</v>
      </c>
      <c r="N830" s="904">
        <f t="shared" si="156"/>
        <v>213</v>
      </c>
      <c r="O830" s="21"/>
      <c r="P830" s="22" t="s">
        <v>2</v>
      </c>
      <c r="Q830" s="22">
        <v>0.63</v>
      </c>
      <c r="R830" s="904" t="s">
        <v>42</v>
      </c>
      <c r="S830" s="904" t="str">
        <f t="shared" si="157"/>
        <v>Stove</v>
      </c>
      <c r="T830" s="23">
        <f t="shared" si="158"/>
        <v>0.46996978521526322</v>
      </c>
      <c r="U830" s="23">
        <f t="shared" si="159"/>
        <v>1.0363436289362216</v>
      </c>
      <c r="V830" s="23">
        <f t="shared" si="159"/>
        <v>0.64667842445620227</v>
      </c>
      <c r="W830" s="23">
        <f t="shared" si="160"/>
        <v>1.0363436289362216</v>
      </c>
      <c r="X830" s="904">
        <f t="shared" si="161"/>
        <v>880</v>
      </c>
      <c r="Y830" s="904">
        <f t="shared" si="161"/>
        <v>824</v>
      </c>
      <c r="Z830" s="904">
        <f t="shared" si="161"/>
        <v>864</v>
      </c>
      <c r="AA830" s="904">
        <f t="shared" si="161"/>
        <v>736</v>
      </c>
      <c r="AB830" s="24">
        <v>483</v>
      </c>
    </row>
    <row r="831" spans="1:28" x14ac:dyDescent="0.25">
      <c r="A831" s="903" t="s">
        <v>77</v>
      </c>
      <c r="B831" t="s">
        <v>1700</v>
      </c>
      <c r="C831" s="906" t="s">
        <v>1703</v>
      </c>
      <c r="D831" s="25">
        <v>5</v>
      </c>
      <c r="E831" s="903">
        <v>756</v>
      </c>
      <c r="F831" s="903">
        <v>417</v>
      </c>
      <c r="G831" s="903" t="s">
        <v>1704</v>
      </c>
      <c r="H831" s="904">
        <f t="shared" si="150"/>
        <v>6</v>
      </c>
      <c r="I831" s="904">
        <f t="shared" si="151"/>
        <v>11</v>
      </c>
      <c r="J831" s="21">
        <f t="shared" si="152"/>
        <v>10600</v>
      </c>
      <c r="K831" s="21">
        <f t="shared" si="153"/>
        <v>10600</v>
      </c>
      <c r="L831" s="21">
        <f t="shared" si="154"/>
        <v>18550</v>
      </c>
      <c r="M831" s="21">
        <f t="shared" si="155"/>
        <v>26500</v>
      </c>
      <c r="N831" s="904">
        <f t="shared" si="156"/>
        <v>196</v>
      </c>
      <c r="O831" s="21"/>
      <c r="P831" s="22" t="s">
        <v>2</v>
      </c>
      <c r="Q831" s="22">
        <v>0.63</v>
      </c>
      <c r="R831" s="904" t="s">
        <v>42</v>
      </c>
      <c r="S831" s="904" t="str">
        <f t="shared" si="157"/>
        <v>Stove</v>
      </c>
      <c r="T831" s="23">
        <f t="shared" si="158"/>
        <v>0.41595953545639081</v>
      </c>
      <c r="U831" s="23">
        <f t="shared" si="159"/>
        <v>1.0398988386409771</v>
      </c>
      <c r="V831" s="23">
        <f t="shared" si="159"/>
        <v>0.59422790779484402</v>
      </c>
      <c r="W831" s="23">
        <f t="shared" si="160"/>
        <v>1.0398988386409771</v>
      </c>
      <c r="X831" s="904">
        <f t="shared" si="161"/>
        <v>844</v>
      </c>
      <c r="Y831" s="904">
        <f t="shared" si="161"/>
        <v>826</v>
      </c>
      <c r="Z831" s="904">
        <f t="shared" si="161"/>
        <v>834</v>
      </c>
      <c r="AA831" s="904">
        <f t="shared" si="161"/>
        <v>737</v>
      </c>
      <c r="AB831" s="24">
        <v>484</v>
      </c>
    </row>
    <row r="832" spans="1:28" x14ac:dyDescent="0.25">
      <c r="A832" s="903" t="s">
        <v>77</v>
      </c>
      <c r="B832" t="s">
        <v>1700</v>
      </c>
      <c r="C832" s="906" t="s">
        <v>1705</v>
      </c>
      <c r="D832" s="25">
        <v>6.2</v>
      </c>
      <c r="E832" s="903">
        <v>857</v>
      </c>
      <c r="F832" s="903">
        <v>504</v>
      </c>
      <c r="G832" s="903" t="s">
        <v>1706</v>
      </c>
      <c r="H832" s="904">
        <f t="shared" si="150"/>
        <v>6</v>
      </c>
      <c r="I832" s="904">
        <f t="shared" si="151"/>
        <v>11</v>
      </c>
      <c r="J832" s="21">
        <f t="shared" si="152"/>
        <v>10700</v>
      </c>
      <c r="K832" s="21">
        <f t="shared" si="153"/>
        <v>13498.000000000002</v>
      </c>
      <c r="L832" s="21">
        <f t="shared" si="154"/>
        <v>25200</v>
      </c>
      <c r="M832" s="21">
        <f t="shared" si="155"/>
        <v>39700</v>
      </c>
      <c r="N832" s="904">
        <f t="shared" si="156"/>
        <v>711</v>
      </c>
      <c r="O832" s="21"/>
      <c r="P832" s="22" t="s">
        <v>2</v>
      </c>
      <c r="Q832" s="22">
        <v>0.63</v>
      </c>
      <c r="R832" s="904" t="s">
        <v>42</v>
      </c>
      <c r="S832" s="904" t="str">
        <f t="shared" si="157"/>
        <v>Stove</v>
      </c>
      <c r="T832" s="23">
        <f t="shared" si="158"/>
        <v>0.34429295554400507</v>
      </c>
      <c r="U832" s="23">
        <f t="shared" si="159"/>
        <v>1.012626339835309</v>
      </c>
      <c r="V832" s="23">
        <f t="shared" si="159"/>
        <v>0.54239802917051594</v>
      </c>
      <c r="W832" s="23">
        <f t="shared" si="160"/>
        <v>1.2774233958034582</v>
      </c>
      <c r="X832" s="904">
        <f t="shared" si="161"/>
        <v>760</v>
      </c>
      <c r="Y832" s="904">
        <f t="shared" si="161"/>
        <v>811</v>
      </c>
      <c r="Z832" s="904">
        <f t="shared" si="161"/>
        <v>787</v>
      </c>
      <c r="AA832" s="904">
        <f t="shared" si="161"/>
        <v>846</v>
      </c>
      <c r="AB832" s="24">
        <v>472</v>
      </c>
    </row>
    <row r="833" spans="1:28" x14ac:dyDescent="0.25">
      <c r="A833" s="903"/>
      <c r="B833" t="s">
        <v>1707</v>
      </c>
      <c r="C833" s="906" t="s">
        <v>1708</v>
      </c>
      <c r="D833" s="25">
        <v>4.22</v>
      </c>
      <c r="E833" s="903">
        <v>633</v>
      </c>
      <c r="F833" s="903">
        <v>316</v>
      </c>
      <c r="G833" s="903" t="s">
        <v>1709</v>
      </c>
      <c r="H833" s="904">
        <f t="shared" si="150"/>
        <v>6</v>
      </c>
      <c r="I833" s="904">
        <f t="shared" si="151"/>
        <v>11</v>
      </c>
      <c r="J833" s="21">
        <f t="shared" si="152"/>
        <v>12058</v>
      </c>
      <c r="K833" s="21">
        <f t="shared" si="153"/>
        <v>12996.160000000002</v>
      </c>
      <c r="L833" s="21">
        <f t="shared" si="154"/>
        <v>25141</v>
      </c>
      <c r="M833" s="21">
        <f t="shared" si="155"/>
        <v>38224</v>
      </c>
      <c r="N833" s="904">
        <f t="shared" si="156"/>
        <v>701</v>
      </c>
      <c r="O833" s="21"/>
      <c r="P833" s="22" t="s">
        <v>2</v>
      </c>
      <c r="Q833" s="22">
        <v>0.63</v>
      </c>
      <c r="R833" s="904" t="s">
        <v>42</v>
      </c>
      <c r="S833" s="904" t="str">
        <f t="shared" si="157"/>
        <v>Stove</v>
      </c>
      <c r="T833" s="23">
        <f t="shared" si="158"/>
        <v>0.24339030373633413</v>
      </c>
      <c r="U833" s="23">
        <f t="shared" si="159"/>
        <v>0.71585383451862972</v>
      </c>
      <c r="V833" s="23">
        <f t="shared" si="159"/>
        <v>0.37004697386808938</v>
      </c>
      <c r="W833" s="23">
        <f t="shared" si="160"/>
        <v>0.77155008873923014</v>
      </c>
      <c r="X833" s="904">
        <f t="shared" si="161"/>
        <v>540</v>
      </c>
      <c r="Y833" s="904">
        <f t="shared" si="161"/>
        <v>584</v>
      </c>
      <c r="Z833" s="904">
        <f t="shared" si="161"/>
        <v>537</v>
      </c>
      <c r="AA833" s="904">
        <f t="shared" si="161"/>
        <v>493</v>
      </c>
      <c r="AB833" s="24">
        <v>292</v>
      </c>
    </row>
    <row r="834" spans="1:28" x14ac:dyDescent="0.25">
      <c r="A834" s="903"/>
      <c r="B834" t="s">
        <v>1707</v>
      </c>
      <c r="C834" s="906" t="s">
        <v>1710</v>
      </c>
      <c r="D834" s="25">
        <v>4.51</v>
      </c>
      <c r="E834" s="903">
        <v>719</v>
      </c>
      <c r="F834" s="903">
        <v>390</v>
      </c>
      <c r="G834" s="903" t="s">
        <v>1711</v>
      </c>
      <c r="H834" s="904">
        <f t="shared" si="150"/>
        <v>6</v>
      </c>
      <c r="I834" s="904">
        <f t="shared" si="151"/>
        <v>11</v>
      </c>
      <c r="J834" s="21">
        <f t="shared" si="152"/>
        <v>12100</v>
      </c>
      <c r="K834" s="21">
        <f t="shared" si="153"/>
        <v>12988.000000000002</v>
      </c>
      <c r="L834" s="21">
        <f t="shared" si="154"/>
        <v>25150</v>
      </c>
      <c r="M834" s="21">
        <f t="shared" si="155"/>
        <v>38200</v>
      </c>
      <c r="N834" s="904">
        <f t="shared" si="156"/>
        <v>702</v>
      </c>
      <c r="O834" s="21"/>
      <c r="P834" s="22" t="s">
        <v>2</v>
      </c>
      <c r="Q834" s="22">
        <v>0.63</v>
      </c>
      <c r="R834" s="904" t="s">
        <v>42</v>
      </c>
      <c r="S834" s="904" t="str">
        <f t="shared" si="157"/>
        <v>Stove</v>
      </c>
      <c r="T834" s="23">
        <f t="shared" si="158"/>
        <v>0.26027960146633794</v>
      </c>
      <c r="U834" s="23">
        <f t="shared" si="159"/>
        <v>0.76552823960687622</v>
      </c>
      <c r="V834" s="23">
        <f t="shared" si="159"/>
        <v>0.39533521972223101</v>
      </c>
      <c r="W834" s="23">
        <f t="shared" si="160"/>
        <v>0.82170915504248843</v>
      </c>
      <c r="X834" s="904">
        <f t="shared" si="161"/>
        <v>590</v>
      </c>
      <c r="Y834" s="904">
        <f t="shared" si="161"/>
        <v>630</v>
      </c>
      <c r="Z834" s="904">
        <f t="shared" si="161"/>
        <v>587</v>
      </c>
      <c r="AA834" s="904">
        <f t="shared" si="161"/>
        <v>561</v>
      </c>
      <c r="AB834" s="24">
        <v>326</v>
      </c>
    </row>
    <row r="835" spans="1:28" x14ac:dyDescent="0.25">
      <c r="A835" s="903"/>
      <c r="B835" t="s">
        <v>25</v>
      </c>
      <c r="C835" s="906">
        <v>2400</v>
      </c>
      <c r="D835" s="25">
        <v>1.1299999999999999</v>
      </c>
      <c r="E835" s="903">
        <v>42</v>
      </c>
      <c r="F835" s="903">
        <v>13</v>
      </c>
      <c r="G835" s="903" t="s">
        <v>1712</v>
      </c>
      <c r="H835" s="904">
        <f t="shared" si="150"/>
        <v>5</v>
      </c>
      <c r="I835" s="904">
        <f t="shared" si="151"/>
        <v>10</v>
      </c>
      <c r="J835" s="21">
        <f t="shared" si="152"/>
        <v>7315</v>
      </c>
      <c r="K835" s="21">
        <f t="shared" si="153"/>
        <v>7315</v>
      </c>
      <c r="L835" s="21">
        <f t="shared" si="154"/>
        <v>10674</v>
      </c>
      <c r="M835" s="21">
        <f t="shared" si="155"/>
        <v>14033</v>
      </c>
      <c r="N835" s="904">
        <f t="shared" si="156"/>
        <v>3</v>
      </c>
      <c r="O835" s="21"/>
      <c r="P835" s="22" t="s">
        <v>2</v>
      </c>
      <c r="Q835" s="22">
        <v>0.72</v>
      </c>
      <c r="R835" s="904" t="s">
        <v>42</v>
      </c>
      <c r="S835" s="904" t="str">
        <f t="shared" si="157"/>
        <v>Stove</v>
      </c>
      <c r="T835" s="23">
        <f t="shared" si="158"/>
        <v>0.17752309968277091</v>
      </c>
      <c r="U835" s="23">
        <f t="shared" si="159"/>
        <v>0.34055798466826037</v>
      </c>
      <c r="V835" s="23">
        <f t="shared" si="159"/>
        <v>0.23338782629270416</v>
      </c>
      <c r="W835" s="23">
        <f t="shared" si="160"/>
        <v>0.34055798466826037</v>
      </c>
      <c r="X835" s="904">
        <f t="shared" si="161"/>
        <v>302</v>
      </c>
      <c r="Y835" s="904">
        <f t="shared" si="161"/>
        <v>142</v>
      </c>
      <c r="Z835" s="904">
        <f t="shared" si="161"/>
        <v>209</v>
      </c>
      <c r="AA835" s="904">
        <f t="shared" si="161"/>
        <v>78</v>
      </c>
      <c r="AB835" s="24">
        <v>38</v>
      </c>
    </row>
    <row r="836" spans="1:28" x14ac:dyDescent="0.25">
      <c r="A836" s="903"/>
      <c r="B836" t="s">
        <v>25</v>
      </c>
      <c r="C836" s="906" t="s">
        <v>1713</v>
      </c>
      <c r="D836" s="25">
        <v>3.69</v>
      </c>
      <c r="E836" s="903">
        <v>499</v>
      </c>
      <c r="F836" s="903">
        <v>228</v>
      </c>
      <c r="G836" s="903" t="s">
        <v>1714</v>
      </c>
      <c r="H836" s="904">
        <f t="shared" si="150"/>
        <v>6</v>
      </c>
      <c r="I836" s="904">
        <f t="shared" si="151"/>
        <v>11</v>
      </c>
      <c r="J836" s="21">
        <f t="shared" si="152"/>
        <v>11817</v>
      </c>
      <c r="K836" s="21">
        <f t="shared" si="153"/>
        <v>11817</v>
      </c>
      <c r="L836" s="21">
        <f t="shared" si="154"/>
        <v>21765</v>
      </c>
      <c r="M836" s="21">
        <f t="shared" si="155"/>
        <v>31713</v>
      </c>
      <c r="N836" s="904">
        <f t="shared" si="156"/>
        <v>454</v>
      </c>
      <c r="O836" s="21"/>
      <c r="P836" s="22" t="s">
        <v>2</v>
      </c>
      <c r="Q836" s="22">
        <v>0.63</v>
      </c>
      <c r="R836" s="904" t="s">
        <v>42</v>
      </c>
      <c r="S836" s="904" t="str">
        <f t="shared" si="157"/>
        <v>Stove</v>
      </c>
      <c r="T836" s="23">
        <f t="shared" si="158"/>
        <v>0.25651690584052705</v>
      </c>
      <c r="U836" s="23">
        <f t="shared" si="159"/>
        <v>0.68840827916735503</v>
      </c>
      <c r="V836" s="23">
        <f t="shared" si="159"/>
        <v>0.37376157293455708</v>
      </c>
      <c r="W836" s="23">
        <f t="shared" si="160"/>
        <v>0.68840827916735503</v>
      </c>
      <c r="X836" s="904">
        <f t="shared" si="161"/>
        <v>580</v>
      </c>
      <c r="Y836" s="904">
        <f t="shared" si="161"/>
        <v>555</v>
      </c>
      <c r="Z836" s="904">
        <f t="shared" si="161"/>
        <v>551</v>
      </c>
      <c r="AA836" s="904">
        <f t="shared" si="161"/>
        <v>406</v>
      </c>
      <c r="AB836" s="24">
        <v>270</v>
      </c>
    </row>
    <row r="837" spans="1:28" x14ac:dyDescent="0.25">
      <c r="A837" s="903"/>
      <c r="B837" t="s">
        <v>25</v>
      </c>
      <c r="C837" s="906" t="s">
        <v>1715</v>
      </c>
      <c r="D837" s="25">
        <v>3.1</v>
      </c>
      <c r="E837" s="903">
        <v>347</v>
      </c>
      <c r="F837" s="903">
        <v>130</v>
      </c>
      <c r="G837" s="903" t="s">
        <v>1716</v>
      </c>
      <c r="H837" s="904">
        <f t="shared" si="150"/>
        <v>6</v>
      </c>
      <c r="I837" s="904">
        <f t="shared" si="151"/>
        <v>11</v>
      </c>
      <c r="J837" s="21">
        <f t="shared" si="152"/>
        <v>11576</v>
      </c>
      <c r="K837" s="21">
        <f t="shared" si="153"/>
        <v>12340.300000000001</v>
      </c>
      <c r="L837" s="21">
        <f t="shared" si="154"/>
        <v>23935.5</v>
      </c>
      <c r="M837" s="21">
        <f t="shared" si="155"/>
        <v>36295</v>
      </c>
      <c r="N837" s="904">
        <f t="shared" si="156"/>
        <v>632</v>
      </c>
      <c r="O837" s="21"/>
      <c r="P837" s="22" t="s">
        <v>2</v>
      </c>
      <c r="Q837" s="22">
        <v>0.63</v>
      </c>
      <c r="R837" s="904" t="s">
        <v>42</v>
      </c>
      <c r="S837" s="904" t="str">
        <f t="shared" si="157"/>
        <v>Stove</v>
      </c>
      <c r="T837" s="23">
        <f t="shared" si="158"/>
        <v>0.18829632642370853</v>
      </c>
      <c r="U837" s="23">
        <f t="shared" si="159"/>
        <v>0.55381272477561316</v>
      </c>
      <c r="V837" s="23">
        <f t="shared" si="159"/>
        <v>0.28552631729224376</v>
      </c>
      <c r="W837" s="23">
        <f t="shared" si="160"/>
        <v>0.59037795158504669</v>
      </c>
      <c r="X837" s="904">
        <f t="shared" si="161"/>
        <v>335</v>
      </c>
      <c r="Y837" s="904">
        <f t="shared" si="161"/>
        <v>362</v>
      </c>
      <c r="Z837" s="904">
        <f t="shared" si="161"/>
        <v>321</v>
      </c>
      <c r="AA837" s="904">
        <f t="shared" si="161"/>
        <v>287</v>
      </c>
      <c r="AB837" s="24">
        <v>148</v>
      </c>
    </row>
    <row r="838" spans="1:28" x14ac:dyDescent="0.25">
      <c r="A838" s="903"/>
      <c r="B838" t="s">
        <v>25</v>
      </c>
      <c r="C838" s="906" t="s">
        <v>1717</v>
      </c>
      <c r="D838" s="25">
        <v>1.9</v>
      </c>
      <c r="E838" s="903">
        <v>114</v>
      </c>
      <c r="F838" s="903">
        <v>26</v>
      </c>
      <c r="G838" s="903" t="s">
        <v>1718</v>
      </c>
      <c r="H838" s="904">
        <f t="shared" si="150"/>
        <v>6</v>
      </c>
      <c r="I838" s="904">
        <f t="shared" si="151"/>
        <v>11</v>
      </c>
      <c r="J838" s="21">
        <f t="shared" si="152"/>
        <v>11624</v>
      </c>
      <c r="K838" s="21">
        <f t="shared" si="153"/>
        <v>12967.6</v>
      </c>
      <c r="L838" s="21">
        <f t="shared" si="154"/>
        <v>24882</v>
      </c>
      <c r="M838" s="21">
        <f t="shared" si="155"/>
        <v>38140</v>
      </c>
      <c r="N838" s="904">
        <f t="shared" si="156"/>
        <v>682</v>
      </c>
      <c r="O838" s="21"/>
      <c r="P838" s="22" t="s">
        <v>2</v>
      </c>
      <c r="Q838" s="22">
        <v>0.63</v>
      </c>
      <c r="R838" s="904" t="s">
        <v>42</v>
      </c>
      <c r="S838" s="904" t="str">
        <f t="shared" si="157"/>
        <v>Stove</v>
      </c>
      <c r="T838" s="23">
        <f t="shared" si="158"/>
        <v>0.10982465972852269</v>
      </c>
      <c r="U838" s="23">
        <f t="shared" si="159"/>
        <v>0.32301370508389027</v>
      </c>
      <c r="V838" s="23">
        <f t="shared" si="159"/>
        <v>0.16834308022047484</v>
      </c>
      <c r="W838" s="23">
        <f t="shared" si="160"/>
        <v>0.36035035461509418</v>
      </c>
      <c r="X838" s="904">
        <f t="shared" si="161"/>
        <v>116</v>
      </c>
      <c r="Y838" s="904">
        <f t="shared" si="161"/>
        <v>129</v>
      </c>
      <c r="Z838" s="904">
        <f t="shared" si="161"/>
        <v>107</v>
      </c>
      <c r="AA838" s="904">
        <f t="shared" si="161"/>
        <v>85</v>
      </c>
      <c r="AB838" s="24">
        <v>32</v>
      </c>
    </row>
    <row r="839" spans="1:28" x14ac:dyDescent="0.25">
      <c r="A839" s="903"/>
      <c r="B839" s="26" t="s">
        <v>25</v>
      </c>
      <c r="C839" s="27" t="s">
        <v>1719</v>
      </c>
      <c r="D839" s="28">
        <v>1.9</v>
      </c>
      <c r="E839" s="29">
        <v>114</v>
      </c>
      <c r="F839" s="903">
        <v>26</v>
      </c>
      <c r="G839" s="29" t="s">
        <v>1718</v>
      </c>
      <c r="H839" s="904">
        <f t="shared" si="150"/>
        <v>6</v>
      </c>
      <c r="I839" s="904">
        <f t="shared" si="151"/>
        <v>11</v>
      </c>
      <c r="J839" s="21">
        <f t="shared" si="152"/>
        <v>11624</v>
      </c>
      <c r="K839" s="21">
        <f t="shared" si="153"/>
        <v>12967.6</v>
      </c>
      <c r="L839" s="21">
        <f t="shared" si="154"/>
        <v>24882</v>
      </c>
      <c r="M839" s="21">
        <f t="shared" si="155"/>
        <v>38140</v>
      </c>
      <c r="N839" s="904">
        <f t="shared" si="156"/>
        <v>682</v>
      </c>
      <c r="O839" s="21"/>
      <c r="P839" s="22"/>
      <c r="Q839" s="22">
        <v>0.63</v>
      </c>
      <c r="R839" s="904" t="s">
        <v>42</v>
      </c>
      <c r="S839" s="904" t="str">
        <f t="shared" si="157"/>
        <v>Stove</v>
      </c>
      <c r="T839" s="23">
        <f t="shared" si="158"/>
        <v>0.10982465972852269</v>
      </c>
      <c r="U839" s="23">
        <f t="shared" si="159"/>
        <v>0.32301370508389027</v>
      </c>
      <c r="V839" s="23">
        <f t="shared" si="159"/>
        <v>0.16834308022047484</v>
      </c>
      <c r="W839" s="23">
        <f t="shared" si="160"/>
        <v>0.36035035461509418</v>
      </c>
      <c r="X839" s="904">
        <f t="shared" si="161"/>
        <v>116</v>
      </c>
      <c r="Y839" s="904">
        <f t="shared" si="161"/>
        <v>129</v>
      </c>
      <c r="Z839" s="904">
        <f t="shared" si="161"/>
        <v>107</v>
      </c>
      <c r="AA839" s="904">
        <f t="shared" si="161"/>
        <v>85</v>
      </c>
      <c r="AB839" s="24">
        <v>32</v>
      </c>
    </row>
    <row r="840" spans="1:28" x14ac:dyDescent="0.25">
      <c r="A840" s="903"/>
      <c r="B840" t="s">
        <v>25</v>
      </c>
      <c r="C840" s="906" t="s">
        <v>1720</v>
      </c>
      <c r="D840" s="25">
        <v>1.6</v>
      </c>
      <c r="E840" s="903">
        <v>86</v>
      </c>
      <c r="F840" s="903">
        <v>37</v>
      </c>
      <c r="G840" s="903" t="s">
        <v>1721</v>
      </c>
      <c r="H840" s="904">
        <f t="shared" si="150"/>
        <v>5</v>
      </c>
      <c r="I840" s="904">
        <f t="shared" si="151"/>
        <v>10</v>
      </c>
      <c r="J840" s="21">
        <f t="shared" si="152"/>
        <v>9126</v>
      </c>
      <c r="K840" s="21">
        <f t="shared" si="153"/>
        <v>9410.18</v>
      </c>
      <c r="L840" s="21">
        <f t="shared" si="154"/>
        <v>18401.5</v>
      </c>
      <c r="M840" s="21">
        <f t="shared" si="155"/>
        <v>27677</v>
      </c>
      <c r="N840" s="904">
        <f t="shared" si="156"/>
        <v>190</v>
      </c>
      <c r="O840" s="21"/>
      <c r="P840" s="22" t="s">
        <v>2</v>
      </c>
      <c r="Q840" s="22">
        <v>0.78</v>
      </c>
      <c r="R840" s="904" t="s">
        <v>15</v>
      </c>
      <c r="S840" s="904" t="str">
        <f t="shared" si="157"/>
        <v>Stove</v>
      </c>
      <c r="T840" s="23">
        <f t="shared" si="158"/>
        <v>0.12744650289663598</v>
      </c>
      <c r="U840" s="23">
        <f t="shared" si="159"/>
        <v>0.37484265557834112</v>
      </c>
      <c r="V840" s="23">
        <f t="shared" si="159"/>
        <v>0.19168746355841609</v>
      </c>
      <c r="W840" s="23">
        <f t="shared" si="160"/>
        <v>0.38651510636315956</v>
      </c>
      <c r="X840" s="904">
        <f t="shared" si="161"/>
        <v>166</v>
      </c>
      <c r="Y840" s="904">
        <f t="shared" si="161"/>
        <v>173</v>
      </c>
      <c r="Z840" s="904">
        <f t="shared" si="161"/>
        <v>152</v>
      </c>
      <c r="AA840" s="904">
        <f t="shared" si="161"/>
        <v>100</v>
      </c>
      <c r="AB840" s="24">
        <v>59</v>
      </c>
    </row>
    <row r="841" spans="1:28" x14ac:dyDescent="0.25">
      <c r="A841" s="903"/>
      <c r="B841" t="s">
        <v>25</v>
      </c>
      <c r="C841" s="906" t="s">
        <v>1722</v>
      </c>
      <c r="D841" s="25">
        <v>1.5</v>
      </c>
      <c r="E841" s="903">
        <v>79</v>
      </c>
      <c r="F841" s="903">
        <v>34</v>
      </c>
      <c r="G841" s="903" t="s">
        <v>1723</v>
      </c>
      <c r="H841" s="904">
        <f t="shared" si="150"/>
        <v>5</v>
      </c>
      <c r="I841" s="904">
        <f t="shared" si="151"/>
        <v>10</v>
      </c>
      <c r="J841" s="21">
        <f t="shared" si="152"/>
        <v>8528</v>
      </c>
      <c r="K841" s="21">
        <f t="shared" si="153"/>
        <v>10173.140000000001</v>
      </c>
      <c r="L841" s="21">
        <f t="shared" si="154"/>
        <v>19224.5</v>
      </c>
      <c r="M841" s="21">
        <f t="shared" si="155"/>
        <v>29921</v>
      </c>
      <c r="N841" s="904">
        <f t="shared" si="156"/>
        <v>257</v>
      </c>
      <c r="O841" s="21"/>
      <c r="P841" s="22" t="s">
        <v>2</v>
      </c>
      <c r="Q841" s="22">
        <v>0.78</v>
      </c>
      <c r="R841" s="904" t="s">
        <v>15</v>
      </c>
      <c r="S841" s="904" t="str">
        <f t="shared" si="157"/>
        <v>Stove</v>
      </c>
      <c r="T841" s="23">
        <f t="shared" si="158"/>
        <v>0.11052031372207835</v>
      </c>
      <c r="U841" s="23">
        <f t="shared" si="159"/>
        <v>0.32505974624140693</v>
      </c>
      <c r="V841" s="23">
        <f t="shared" si="159"/>
        <v>0.17201374843966327</v>
      </c>
      <c r="W841" s="23">
        <f t="shared" si="160"/>
        <v>0.38776715605983897</v>
      </c>
      <c r="X841" s="904">
        <f t="shared" si="161"/>
        <v>121</v>
      </c>
      <c r="Y841" s="904">
        <f t="shared" si="161"/>
        <v>134</v>
      </c>
      <c r="Z841" s="904">
        <f t="shared" si="161"/>
        <v>114</v>
      </c>
      <c r="AA841" s="904">
        <f t="shared" si="161"/>
        <v>103</v>
      </c>
      <c r="AB841" s="24">
        <v>48</v>
      </c>
    </row>
    <row r="842" spans="1:28" x14ac:dyDescent="0.25">
      <c r="A842" s="903"/>
      <c r="B842" t="s">
        <v>25</v>
      </c>
      <c r="C842" s="906" t="s">
        <v>1724</v>
      </c>
      <c r="D842" s="25">
        <v>5.9</v>
      </c>
      <c r="E842" s="903">
        <v>836</v>
      </c>
      <c r="F842" s="903">
        <v>483</v>
      </c>
      <c r="G842" s="903" t="s">
        <v>1285</v>
      </c>
      <c r="H842" s="904">
        <f t="shared" si="150"/>
        <v>6</v>
      </c>
      <c r="I842" s="904">
        <f t="shared" si="151"/>
        <v>11</v>
      </c>
      <c r="J842" s="21">
        <f t="shared" si="152"/>
        <v>10100</v>
      </c>
      <c r="K842" s="21">
        <f t="shared" si="153"/>
        <v>10100</v>
      </c>
      <c r="L842" s="21">
        <f t="shared" si="154"/>
        <v>17550</v>
      </c>
      <c r="M842" s="21">
        <f t="shared" si="155"/>
        <v>25000</v>
      </c>
      <c r="N842" s="904">
        <f t="shared" si="156"/>
        <v>135</v>
      </c>
      <c r="O842" s="21"/>
      <c r="P842" s="22" t="s">
        <v>2</v>
      </c>
      <c r="Q842" s="22">
        <v>0.63</v>
      </c>
      <c r="R842" s="904" t="s">
        <v>42</v>
      </c>
      <c r="S842" s="904" t="str">
        <f t="shared" si="157"/>
        <v>Stove</v>
      </c>
      <c r="T842" s="23">
        <f t="shared" si="158"/>
        <v>0.52028218694885364</v>
      </c>
      <c r="U842" s="23">
        <f t="shared" si="159"/>
        <v>1.2878271954179545</v>
      </c>
      <c r="V842" s="23">
        <f t="shared" si="159"/>
        <v>0.74114271645135843</v>
      </c>
      <c r="W842" s="23">
        <f t="shared" si="160"/>
        <v>1.2878271954179545</v>
      </c>
      <c r="X842" s="904">
        <f t="shared" si="161"/>
        <v>906</v>
      </c>
      <c r="Y842" s="904">
        <f t="shared" si="161"/>
        <v>897</v>
      </c>
      <c r="Z842" s="904">
        <f t="shared" si="161"/>
        <v>909</v>
      </c>
      <c r="AA842" s="904">
        <f t="shared" ref="AA842:AA905" si="162">RANK(W842,W$11:W$973,1)</f>
        <v>848</v>
      </c>
      <c r="AB842" s="24">
        <v>542</v>
      </c>
    </row>
    <row r="843" spans="1:28" x14ac:dyDescent="0.25">
      <c r="A843" s="903"/>
      <c r="B843" t="s">
        <v>25</v>
      </c>
      <c r="C843" s="906" t="s">
        <v>1725</v>
      </c>
      <c r="D843" s="25">
        <v>2.6</v>
      </c>
      <c r="E843" s="903">
        <v>235</v>
      </c>
      <c r="F843" s="903">
        <v>102</v>
      </c>
      <c r="G843" s="903" t="s">
        <v>1726</v>
      </c>
      <c r="H843" s="904">
        <f t="shared" ref="H843:H906" si="163">FIND("-",$G843)</f>
        <v>6</v>
      </c>
      <c r="I843" s="904">
        <f t="shared" ref="I843:I906" si="164">LEN($G843)</f>
        <v>11</v>
      </c>
      <c r="J843" s="21">
        <f t="shared" ref="J843:J906" si="165">VALUE(LEFT($G843,H843-1))</f>
        <v>10300</v>
      </c>
      <c r="K843" s="21">
        <f t="shared" ref="K843:K906" si="166">IF(K$8*M843&gt;J843,K$8*M843,J843)</f>
        <v>11764</v>
      </c>
      <c r="L843" s="21">
        <f t="shared" ref="L843:L906" si="167">AVERAGE(J843,M843)</f>
        <v>22450</v>
      </c>
      <c r="M843" s="21">
        <f t="shared" ref="M843:M906" si="168">VALUE(RIGHT($G843,I843-H843))</f>
        <v>34600</v>
      </c>
      <c r="N843" s="904">
        <f t="shared" ref="N843:N906" si="169">RANK($L843,$L$11:$L$973,1)</f>
        <v>512</v>
      </c>
      <c r="O843" s="21"/>
      <c r="P843" s="22" t="s">
        <v>2</v>
      </c>
      <c r="Q843" s="22">
        <v>0.72</v>
      </c>
      <c r="R843" s="904" t="s">
        <v>38</v>
      </c>
      <c r="S843" s="904" t="str">
        <f t="shared" ref="S843:S906" si="170">IF(AND(ISERROR(FIND("Insert",B843&amp;C843)),ISERROR(FIND("insert",B843&amp;C843))),"Stove","Insert")</f>
        <v>Insert</v>
      </c>
      <c r="T843" s="23">
        <f t="shared" ref="T843:T906" si="171">$D843*10^6/(M843*453.6)</f>
        <v>0.16566249706904812</v>
      </c>
      <c r="U843" s="23">
        <f t="shared" ref="U843:V906" si="172">$D843*10^6/(K843*453.6)</f>
        <v>0.48724263843837684</v>
      </c>
      <c r="V843" s="23">
        <f t="shared" si="172"/>
        <v>0.25531948323336595</v>
      </c>
      <c r="W843" s="23">
        <f t="shared" ref="W843:W906" si="173">$D843*10^6/(J843*453.6)</f>
        <v>0.55649732025136556</v>
      </c>
      <c r="X843" s="904">
        <f t="shared" ref="X843:AA906" si="174">RANK(T843,T$11:T$973,1)</f>
        <v>264</v>
      </c>
      <c r="Y843" s="904">
        <f t="shared" si="174"/>
        <v>280</v>
      </c>
      <c r="Z843" s="904">
        <f t="shared" si="174"/>
        <v>257</v>
      </c>
      <c r="AA843" s="904">
        <f t="shared" si="162"/>
        <v>250</v>
      </c>
      <c r="AB843" s="24">
        <v>117</v>
      </c>
    </row>
    <row r="844" spans="1:28" x14ac:dyDescent="0.25">
      <c r="A844" s="903"/>
      <c r="B844" t="s">
        <v>25</v>
      </c>
      <c r="C844" s="906" t="s">
        <v>1727</v>
      </c>
      <c r="D844" s="25">
        <v>1.9</v>
      </c>
      <c r="E844" s="903">
        <v>114</v>
      </c>
      <c r="F844" s="903">
        <v>42</v>
      </c>
      <c r="G844" s="903" t="s">
        <v>1728</v>
      </c>
      <c r="H844" s="904">
        <f t="shared" si="163"/>
        <v>6</v>
      </c>
      <c r="I844" s="904">
        <f t="shared" si="164"/>
        <v>11</v>
      </c>
      <c r="J844" s="21">
        <f t="shared" si="165"/>
        <v>13700</v>
      </c>
      <c r="K844" s="21">
        <f t="shared" si="166"/>
        <v>13700</v>
      </c>
      <c r="L844" s="21">
        <f t="shared" si="167"/>
        <v>24000</v>
      </c>
      <c r="M844" s="21">
        <f t="shared" si="168"/>
        <v>34300</v>
      </c>
      <c r="N844" s="904">
        <f t="shared" si="169"/>
        <v>635</v>
      </c>
      <c r="O844" s="21"/>
      <c r="P844" s="22" t="s">
        <v>2</v>
      </c>
      <c r="Q844" s="22">
        <v>0.72</v>
      </c>
      <c r="R844" s="904" t="s">
        <v>38</v>
      </c>
      <c r="S844" s="904" t="str">
        <f t="shared" si="170"/>
        <v>Stove</v>
      </c>
      <c r="T844" s="23">
        <f t="shared" si="171"/>
        <v>0.12211989860191998</v>
      </c>
      <c r="U844" s="23">
        <f t="shared" si="172"/>
        <v>0.30574543956539091</v>
      </c>
      <c r="V844" s="23">
        <f t="shared" si="172"/>
        <v>0.1745296884185773</v>
      </c>
      <c r="W844" s="23">
        <f t="shared" si="173"/>
        <v>0.30574543956539091</v>
      </c>
      <c r="X844" s="904">
        <f t="shared" si="174"/>
        <v>148</v>
      </c>
      <c r="Y844" s="904">
        <f t="shared" si="174"/>
        <v>113</v>
      </c>
      <c r="Z844" s="904">
        <f t="shared" si="174"/>
        <v>123</v>
      </c>
      <c r="AA844" s="904">
        <f t="shared" si="162"/>
        <v>66</v>
      </c>
      <c r="AB844" s="24">
        <v>47</v>
      </c>
    </row>
    <row r="845" spans="1:28" x14ac:dyDescent="0.25">
      <c r="A845" s="903"/>
      <c r="B845" t="s">
        <v>25</v>
      </c>
      <c r="C845" s="906" t="s">
        <v>1729</v>
      </c>
      <c r="D845" s="25">
        <v>3</v>
      </c>
      <c r="E845" s="903">
        <v>322</v>
      </c>
      <c r="F845" s="903">
        <v>134</v>
      </c>
      <c r="G845" s="903" t="s">
        <v>1730</v>
      </c>
      <c r="H845" s="904">
        <f t="shared" si="163"/>
        <v>6</v>
      </c>
      <c r="I845" s="904">
        <f t="shared" si="164"/>
        <v>11</v>
      </c>
      <c r="J845" s="21">
        <f t="shared" si="165"/>
        <v>11000</v>
      </c>
      <c r="K845" s="21">
        <f t="shared" si="166"/>
        <v>12546</v>
      </c>
      <c r="L845" s="21">
        <f t="shared" si="167"/>
        <v>23950</v>
      </c>
      <c r="M845" s="21">
        <f t="shared" si="168"/>
        <v>36900</v>
      </c>
      <c r="N845" s="904">
        <f t="shared" si="169"/>
        <v>633</v>
      </c>
      <c r="O845" s="21"/>
      <c r="P845" s="22" t="s">
        <v>2</v>
      </c>
      <c r="Q845" s="22">
        <v>0.72</v>
      </c>
      <c r="R845" s="904" t="s">
        <v>38</v>
      </c>
      <c r="S845" s="904" t="str">
        <f t="shared" si="170"/>
        <v>Stove</v>
      </c>
      <c r="T845" s="23">
        <f t="shared" si="171"/>
        <v>0.17923459657877003</v>
      </c>
      <c r="U845" s="23">
        <f t="shared" si="172"/>
        <v>0.527160578172853</v>
      </c>
      <c r="V845" s="23">
        <f t="shared" si="172"/>
        <v>0.27614850161823024</v>
      </c>
      <c r="W845" s="23">
        <f t="shared" si="173"/>
        <v>0.60125060125060126</v>
      </c>
      <c r="X845" s="904">
        <f t="shared" si="174"/>
        <v>303</v>
      </c>
      <c r="Y845" s="904">
        <f t="shared" si="174"/>
        <v>326</v>
      </c>
      <c r="Z845" s="904">
        <f t="shared" si="174"/>
        <v>295</v>
      </c>
      <c r="AA845" s="904">
        <f t="shared" si="162"/>
        <v>292</v>
      </c>
      <c r="AB845" s="24">
        <v>134</v>
      </c>
    </row>
    <row r="846" spans="1:28" x14ac:dyDescent="0.25">
      <c r="A846" s="903"/>
      <c r="B846" t="s">
        <v>25</v>
      </c>
      <c r="C846" s="906" t="s">
        <v>1731</v>
      </c>
      <c r="D846" s="25">
        <v>1.6</v>
      </c>
      <c r="E846" s="903">
        <v>86</v>
      </c>
      <c r="F846" s="903">
        <v>29</v>
      </c>
      <c r="G846" s="903" t="s">
        <v>1732</v>
      </c>
      <c r="H846" s="904">
        <f t="shared" si="163"/>
        <v>6</v>
      </c>
      <c r="I846" s="904">
        <f t="shared" si="164"/>
        <v>11</v>
      </c>
      <c r="J846" s="21">
        <f t="shared" si="165"/>
        <v>12800</v>
      </c>
      <c r="K846" s="21">
        <f t="shared" si="166"/>
        <v>13226.000000000002</v>
      </c>
      <c r="L846" s="21">
        <f t="shared" si="167"/>
        <v>25850</v>
      </c>
      <c r="M846" s="21">
        <f t="shared" si="168"/>
        <v>38900</v>
      </c>
      <c r="N846" s="904">
        <f t="shared" si="169"/>
        <v>745</v>
      </c>
      <c r="O846" s="21"/>
      <c r="P846" s="22" t="s">
        <v>2</v>
      </c>
      <c r="Q846" s="22">
        <v>0.72</v>
      </c>
      <c r="R846" s="904" t="s">
        <v>38</v>
      </c>
      <c r="S846" s="904" t="str">
        <f t="shared" si="170"/>
        <v>Stove</v>
      </c>
      <c r="T846" s="23">
        <f t="shared" si="171"/>
        <v>9.0677040120056396E-2</v>
      </c>
      <c r="U846" s="23">
        <f t="shared" si="172"/>
        <v>0.26669717682369526</v>
      </c>
      <c r="V846" s="23">
        <f t="shared" si="172"/>
        <v>0.13645403716325702</v>
      </c>
      <c r="W846" s="23">
        <f t="shared" si="173"/>
        <v>0.27557319223985893</v>
      </c>
      <c r="X846" s="904">
        <f t="shared" si="174"/>
        <v>67</v>
      </c>
      <c r="Y846" s="904">
        <f t="shared" si="174"/>
        <v>76</v>
      </c>
      <c r="Z846" s="904">
        <f t="shared" si="174"/>
        <v>64</v>
      </c>
      <c r="AA846" s="904">
        <f t="shared" si="162"/>
        <v>51</v>
      </c>
      <c r="AB846" s="24">
        <v>28</v>
      </c>
    </row>
    <row r="847" spans="1:28" x14ac:dyDescent="0.25">
      <c r="A847" s="903"/>
      <c r="B847" t="s">
        <v>25</v>
      </c>
      <c r="C847" s="906" t="s">
        <v>1733</v>
      </c>
      <c r="D847" s="25">
        <v>7.16</v>
      </c>
      <c r="E847" s="903">
        <v>930</v>
      </c>
      <c r="F847" s="903">
        <v>573</v>
      </c>
      <c r="G847" s="903" t="s">
        <v>1734</v>
      </c>
      <c r="H847" s="904">
        <f t="shared" si="163"/>
        <v>5</v>
      </c>
      <c r="I847" s="904">
        <f t="shared" si="164"/>
        <v>10</v>
      </c>
      <c r="J847" s="21">
        <f t="shared" si="165"/>
        <v>6500</v>
      </c>
      <c r="K847" s="21">
        <f t="shared" si="166"/>
        <v>7888.0000000000009</v>
      </c>
      <c r="L847" s="21">
        <f t="shared" si="167"/>
        <v>14850</v>
      </c>
      <c r="M847" s="21">
        <f t="shared" si="168"/>
        <v>23200</v>
      </c>
      <c r="N847" s="904">
        <f t="shared" si="169"/>
        <v>36</v>
      </c>
      <c r="O847" s="21"/>
      <c r="P847" s="22" t="s">
        <v>2</v>
      </c>
      <c r="Q847" s="22">
        <v>0.63</v>
      </c>
      <c r="R847" s="904" t="s">
        <v>42</v>
      </c>
      <c r="S847" s="904" t="str">
        <f t="shared" si="170"/>
        <v>Stove</v>
      </c>
      <c r="T847" s="23">
        <f t="shared" si="171"/>
        <v>0.6803807091163413</v>
      </c>
      <c r="U847" s="23">
        <f t="shared" si="172"/>
        <v>2.0011197326951211</v>
      </c>
      <c r="V847" s="23">
        <f t="shared" si="172"/>
        <v>1.0629516802356309</v>
      </c>
      <c r="W847" s="23">
        <f t="shared" si="173"/>
        <v>2.4284357617690953</v>
      </c>
      <c r="X847" s="904">
        <f t="shared" si="174"/>
        <v>955</v>
      </c>
      <c r="Y847" s="904">
        <f t="shared" si="174"/>
        <v>960</v>
      </c>
      <c r="Z847" s="904">
        <f t="shared" si="174"/>
        <v>959</v>
      </c>
      <c r="AA847" s="904">
        <f t="shared" si="162"/>
        <v>957</v>
      </c>
      <c r="AB847" s="24">
        <v>604</v>
      </c>
    </row>
    <row r="848" spans="1:28" x14ac:dyDescent="0.25">
      <c r="A848" s="903"/>
      <c r="B848" t="s">
        <v>25</v>
      </c>
      <c r="C848" s="906" t="s">
        <v>1735</v>
      </c>
      <c r="D848" s="25">
        <v>3.7</v>
      </c>
      <c r="E848" s="903">
        <v>501</v>
      </c>
      <c r="F848" s="903">
        <v>196</v>
      </c>
      <c r="G848" s="903" t="s">
        <v>1736</v>
      </c>
      <c r="H848" s="904">
        <f t="shared" si="163"/>
        <v>5</v>
      </c>
      <c r="I848" s="904">
        <f t="shared" si="164"/>
        <v>10</v>
      </c>
      <c r="J848" s="21">
        <f t="shared" si="165"/>
        <v>9600</v>
      </c>
      <c r="K848" s="21">
        <f t="shared" si="166"/>
        <v>10438</v>
      </c>
      <c r="L848" s="21">
        <f t="shared" si="167"/>
        <v>20150</v>
      </c>
      <c r="M848" s="21">
        <f t="shared" si="168"/>
        <v>30700</v>
      </c>
      <c r="N848" s="904">
        <f t="shared" si="169"/>
        <v>335</v>
      </c>
      <c r="O848" s="21"/>
      <c r="P848" s="22" t="s">
        <v>2</v>
      </c>
      <c r="Q848" s="22">
        <v>0.72</v>
      </c>
      <c r="R848" s="904" t="s">
        <v>38</v>
      </c>
      <c r="S848" s="904" t="str">
        <f t="shared" si="170"/>
        <v>Insert</v>
      </c>
      <c r="T848" s="23">
        <f t="shared" si="171"/>
        <v>0.26569923421172065</v>
      </c>
      <c r="U848" s="23">
        <f t="shared" si="172"/>
        <v>0.78146833591682541</v>
      </c>
      <c r="V848" s="23">
        <f t="shared" si="172"/>
        <v>0.40481223276922201</v>
      </c>
      <c r="W848" s="23">
        <f t="shared" si="173"/>
        <v>0.84968400940623168</v>
      </c>
      <c r="X848" s="904">
        <f t="shared" si="174"/>
        <v>596</v>
      </c>
      <c r="Y848" s="904">
        <f t="shared" si="174"/>
        <v>641</v>
      </c>
      <c r="Z848" s="904">
        <f t="shared" si="174"/>
        <v>602</v>
      </c>
      <c r="AA848" s="904">
        <f t="shared" si="162"/>
        <v>599</v>
      </c>
      <c r="AB848" s="24">
        <v>228</v>
      </c>
    </row>
    <row r="849" spans="1:28" x14ac:dyDescent="0.25">
      <c r="A849" s="903"/>
      <c r="B849" t="s">
        <v>25</v>
      </c>
      <c r="C849" s="906" t="s">
        <v>1185</v>
      </c>
      <c r="D849" s="25">
        <v>2.2999999999999998</v>
      </c>
      <c r="E849" s="903">
        <v>182</v>
      </c>
      <c r="F849" s="903">
        <v>48</v>
      </c>
      <c r="G849" s="903" t="s">
        <v>1186</v>
      </c>
      <c r="H849" s="904">
        <f t="shared" si="163"/>
        <v>6</v>
      </c>
      <c r="I849" s="904">
        <f t="shared" si="164"/>
        <v>11</v>
      </c>
      <c r="J849" s="21">
        <f t="shared" si="165"/>
        <v>11600</v>
      </c>
      <c r="K849" s="21">
        <f t="shared" si="166"/>
        <v>11600</v>
      </c>
      <c r="L849" s="21">
        <f t="shared" si="167"/>
        <v>22650</v>
      </c>
      <c r="M849" s="21">
        <f t="shared" si="168"/>
        <v>33700</v>
      </c>
      <c r="N849" s="904">
        <f t="shared" si="169"/>
        <v>519</v>
      </c>
      <c r="O849" s="21"/>
      <c r="P849" s="22" t="s">
        <v>2</v>
      </c>
      <c r="Q849" s="22">
        <v>0.63</v>
      </c>
      <c r="R849" s="904" t="s">
        <v>42</v>
      </c>
      <c r="S849" s="904" t="str">
        <f t="shared" si="170"/>
        <v>Stove</v>
      </c>
      <c r="T849" s="23">
        <f t="shared" si="171"/>
        <v>0.15046132751375085</v>
      </c>
      <c r="U849" s="23">
        <f t="shared" si="172"/>
        <v>0.43711609803563828</v>
      </c>
      <c r="V849" s="23">
        <f t="shared" si="172"/>
        <v>0.22386519811096706</v>
      </c>
      <c r="W849" s="23">
        <f t="shared" si="173"/>
        <v>0.43711609803563828</v>
      </c>
      <c r="X849" s="904">
        <f t="shared" si="174"/>
        <v>216</v>
      </c>
      <c r="Y849" s="904">
        <f t="shared" si="174"/>
        <v>216</v>
      </c>
      <c r="Z849" s="904">
        <f t="shared" si="174"/>
        <v>190</v>
      </c>
      <c r="AA849" s="904">
        <f t="shared" si="162"/>
        <v>139</v>
      </c>
      <c r="AB849" s="24">
        <v>68</v>
      </c>
    </row>
    <row r="850" spans="1:28" x14ac:dyDescent="0.25">
      <c r="A850" s="903"/>
      <c r="B850" t="s">
        <v>25</v>
      </c>
      <c r="C850" s="906" t="s">
        <v>1737</v>
      </c>
      <c r="D850" s="25">
        <v>2.7</v>
      </c>
      <c r="E850" s="903">
        <v>257</v>
      </c>
      <c r="F850" s="903">
        <v>109</v>
      </c>
      <c r="G850" s="903" t="s">
        <v>1738</v>
      </c>
      <c r="H850" s="904">
        <f t="shared" si="163"/>
        <v>6</v>
      </c>
      <c r="I850" s="904">
        <f t="shared" si="164"/>
        <v>11</v>
      </c>
      <c r="J850" s="21">
        <f t="shared" si="165"/>
        <v>12100</v>
      </c>
      <c r="K850" s="21">
        <f t="shared" si="166"/>
        <v>18462</v>
      </c>
      <c r="L850" s="21">
        <f t="shared" si="167"/>
        <v>33200</v>
      </c>
      <c r="M850" s="21">
        <f t="shared" si="168"/>
        <v>54300</v>
      </c>
      <c r="N850" s="904">
        <f t="shared" si="169"/>
        <v>916</v>
      </c>
      <c r="O850" s="21"/>
      <c r="P850" s="22" t="s">
        <v>2</v>
      </c>
      <c r="Q850" s="22">
        <v>0.72</v>
      </c>
      <c r="R850" s="904" t="s">
        <v>38</v>
      </c>
      <c r="S850" s="904" t="str">
        <f t="shared" si="170"/>
        <v>Stove</v>
      </c>
      <c r="T850" s="23">
        <f t="shared" si="171"/>
        <v>0.10962027536613173</v>
      </c>
      <c r="U850" s="23">
        <f t="shared" si="172"/>
        <v>0.32241257460626976</v>
      </c>
      <c r="V850" s="23">
        <f t="shared" si="172"/>
        <v>0.17928858290304073</v>
      </c>
      <c r="W850" s="23">
        <f t="shared" si="173"/>
        <v>0.4919323101141283</v>
      </c>
      <c r="X850" s="904">
        <f t="shared" si="174"/>
        <v>115</v>
      </c>
      <c r="Y850" s="904">
        <f t="shared" si="174"/>
        <v>128</v>
      </c>
      <c r="Z850" s="904">
        <f t="shared" si="174"/>
        <v>129</v>
      </c>
      <c r="AA850" s="904">
        <f t="shared" si="162"/>
        <v>180</v>
      </c>
      <c r="AB850" s="24">
        <v>51</v>
      </c>
    </row>
    <row r="851" spans="1:28" x14ac:dyDescent="0.25">
      <c r="A851" s="903"/>
      <c r="B851" t="s">
        <v>25</v>
      </c>
      <c r="C851" s="906" t="s">
        <v>1739</v>
      </c>
      <c r="D851" s="25">
        <v>5.4</v>
      </c>
      <c r="E851" s="903">
        <v>802</v>
      </c>
      <c r="F851" s="903">
        <v>452</v>
      </c>
      <c r="G851" s="903" t="s">
        <v>1740</v>
      </c>
      <c r="H851" s="904">
        <f t="shared" si="163"/>
        <v>6</v>
      </c>
      <c r="I851" s="904">
        <f t="shared" si="164"/>
        <v>11</v>
      </c>
      <c r="J851" s="21">
        <f t="shared" si="165"/>
        <v>27136</v>
      </c>
      <c r="K851" s="21">
        <f t="shared" si="166"/>
        <v>27136</v>
      </c>
      <c r="L851" s="21">
        <f t="shared" si="167"/>
        <v>48068</v>
      </c>
      <c r="M851" s="21">
        <f t="shared" si="168"/>
        <v>69000</v>
      </c>
      <c r="N851" s="904">
        <f t="shared" si="169"/>
        <v>962</v>
      </c>
      <c r="O851" s="21"/>
      <c r="P851" s="22" t="s">
        <v>2</v>
      </c>
      <c r="Q851" s="22">
        <v>0.63</v>
      </c>
      <c r="R851" s="904" t="s">
        <v>42</v>
      </c>
      <c r="S851" s="904" t="str">
        <f t="shared" si="170"/>
        <v>Stove</v>
      </c>
      <c r="T851" s="23">
        <f t="shared" si="171"/>
        <v>0.17253278122843341</v>
      </c>
      <c r="U851" s="23">
        <f t="shared" si="172"/>
        <v>0.43870732255166212</v>
      </c>
      <c r="V851" s="23">
        <f t="shared" si="172"/>
        <v>0.24766501424569162</v>
      </c>
      <c r="W851" s="23">
        <f t="shared" si="173"/>
        <v>0.43870732255166212</v>
      </c>
      <c r="X851" s="904">
        <f t="shared" si="174"/>
        <v>282</v>
      </c>
      <c r="Y851" s="904">
        <f t="shared" si="174"/>
        <v>224</v>
      </c>
      <c r="Z851" s="904">
        <f t="shared" si="174"/>
        <v>241</v>
      </c>
      <c r="AA851" s="904">
        <f t="shared" si="162"/>
        <v>141</v>
      </c>
      <c r="AB851" s="24">
        <v>72</v>
      </c>
    </row>
    <row r="852" spans="1:28" x14ac:dyDescent="0.25">
      <c r="A852" s="903"/>
      <c r="B852" t="s">
        <v>25</v>
      </c>
      <c r="C852" s="906" t="s">
        <v>1741</v>
      </c>
      <c r="D852" s="25">
        <v>4.5999999999999996</v>
      </c>
      <c r="E852" s="903">
        <v>721</v>
      </c>
      <c r="F852" s="903">
        <v>392</v>
      </c>
      <c r="G852" s="903" t="s">
        <v>1742</v>
      </c>
      <c r="H852" s="904">
        <f t="shared" si="163"/>
        <v>5</v>
      </c>
      <c r="I852" s="904">
        <f t="shared" si="164"/>
        <v>10</v>
      </c>
      <c r="J852" s="21">
        <f t="shared" si="165"/>
        <v>7775</v>
      </c>
      <c r="K852" s="21">
        <f t="shared" si="166"/>
        <v>7775</v>
      </c>
      <c r="L852" s="21">
        <f t="shared" si="167"/>
        <v>11874.5</v>
      </c>
      <c r="M852" s="21">
        <f t="shared" si="168"/>
        <v>15974</v>
      </c>
      <c r="N852" s="904">
        <f t="shared" si="169"/>
        <v>8</v>
      </c>
      <c r="O852" s="21"/>
      <c r="P852" s="22" t="s">
        <v>2</v>
      </c>
      <c r="Q852" s="22">
        <v>0.63</v>
      </c>
      <c r="R852" s="904" t="s">
        <v>42</v>
      </c>
      <c r="S852" s="904" t="str">
        <f t="shared" si="170"/>
        <v>Stove</v>
      </c>
      <c r="T852" s="23">
        <f t="shared" si="171"/>
        <v>0.63484997335838278</v>
      </c>
      <c r="U852" s="23">
        <f t="shared" si="172"/>
        <v>1.3043207041063418</v>
      </c>
      <c r="V852" s="23">
        <f t="shared" si="172"/>
        <v>0.8540227777528997</v>
      </c>
      <c r="W852" s="23">
        <f t="shared" si="173"/>
        <v>1.3043207041063418</v>
      </c>
      <c r="X852" s="904">
        <f t="shared" si="174"/>
        <v>944</v>
      </c>
      <c r="Y852" s="904">
        <f t="shared" si="174"/>
        <v>904</v>
      </c>
      <c r="Z852" s="904">
        <f t="shared" si="174"/>
        <v>936</v>
      </c>
      <c r="AA852" s="904">
        <f t="shared" si="162"/>
        <v>856</v>
      </c>
      <c r="AB852" s="24">
        <v>549</v>
      </c>
    </row>
    <row r="853" spans="1:28" x14ac:dyDescent="0.25">
      <c r="A853" s="903"/>
      <c r="B853" t="s">
        <v>25</v>
      </c>
      <c r="C853" s="906" t="s">
        <v>1743</v>
      </c>
      <c r="D853" s="25">
        <v>3.06</v>
      </c>
      <c r="E853" s="903">
        <v>345</v>
      </c>
      <c r="F853" s="903">
        <v>128</v>
      </c>
      <c r="G853" s="903" t="s">
        <v>1285</v>
      </c>
      <c r="H853" s="904">
        <f t="shared" si="163"/>
        <v>6</v>
      </c>
      <c r="I853" s="904">
        <f t="shared" si="164"/>
        <v>11</v>
      </c>
      <c r="J853" s="21">
        <f t="shared" si="165"/>
        <v>10100</v>
      </c>
      <c r="K853" s="21">
        <f t="shared" si="166"/>
        <v>10100</v>
      </c>
      <c r="L853" s="21">
        <f t="shared" si="167"/>
        <v>17550</v>
      </c>
      <c r="M853" s="21">
        <f t="shared" si="168"/>
        <v>25000</v>
      </c>
      <c r="N853" s="904">
        <f t="shared" si="169"/>
        <v>135</v>
      </c>
      <c r="O853" s="21"/>
      <c r="P853" s="22" t="s">
        <v>2</v>
      </c>
      <c r="Q853" s="22">
        <v>0.63</v>
      </c>
      <c r="R853" s="904" t="s">
        <v>42</v>
      </c>
      <c r="S853" s="904" t="str">
        <f t="shared" si="170"/>
        <v>Stove</v>
      </c>
      <c r="T853" s="23">
        <f t="shared" si="171"/>
        <v>0.26984126984126983</v>
      </c>
      <c r="U853" s="23">
        <f t="shared" si="172"/>
        <v>0.66792393525066796</v>
      </c>
      <c r="V853" s="23">
        <f t="shared" si="172"/>
        <v>0.38438927327816219</v>
      </c>
      <c r="W853" s="23">
        <f t="shared" si="173"/>
        <v>0.66792393525066796</v>
      </c>
      <c r="X853" s="904">
        <f t="shared" si="174"/>
        <v>603</v>
      </c>
      <c r="Y853" s="904">
        <f t="shared" si="174"/>
        <v>523</v>
      </c>
      <c r="Z853" s="904">
        <f t="shared" si="174"/>
        <v>568</v>
      </c>
      <c r="AA853" s="904">
        <f t="shared" si="162"/>
        <v>378</v>
      </c>
      <c r="AB853" s="24">
        <v>252</v>
      </c>
    </row>
    <row r="854" spans="1:28" x14ac:dyDescent="0.25">
      <c r="A854" s="903"/>
      <c r="B854" t="s">
        <v>25</v>
      </c>
      <c r="C854" s="906" t="s">
        <v>1744</v>
      </c>
      <c r="D854" s="25">
        <v>3.3</v>
      </c>
      <c r="E854" s="903">
        <v>393</v>
      </c>
      <c r="F854" s="903">
        <v>167</v>
      </c>
      <c r="G854" s="903" t="s">
        <v>1745</v>
      </c>
      <c r="H854" s="904">
        <f t="shared" si="163"/>
        <v>6</v>
      </c>
      <c r="I854" s="904">
        <f t="shared" si="164"/>
        <v>11</v>
      </c>
      <c r="J854" s="21">
        <f t="shared" si="165"/>
        <v>12500</v>
      </c>
      <c r="K854" s="21">
        <f t="shared" si="166"/>
        <v>18564</v>
      </c>
      <c r="L854" s="21">
        <f t="shared" si="167"/>
        <v>33550</v>
      </c>
      <c r="M854" s="21">
        <f t="shared" si="168"/>
        <v>54600</v>
      </c>
      <c r="N854" s="904">
        <f t="shared" si="169"/>
        <v>922</v>
      </c>
      <c r="O854" s="21"/>
      <c r="P854" s="22" t="s">
        <v>2</v>
      </c>
      <c r="Q854" s="22">
        <v>0.72</v>
      </c>
      <c r="R854" s="904" t="s">
        <v>38</v>
      </c>
      <c r="S854" s="904" t="str">
        <f t="shared" si="170"/>
        <v>Stove</v>
      </c>
      <c r="T854" s="23">
        <f t="shared" si="171"/>
        <v>0.13324418086322848</v>
      </c>
      <c r="U854" s="23">
        <f t="shared" si="172"/>
        <v>0.39189464959773079</v>
      </c>
      <c r="V854" s="23">
        <f t="shared" si="172"/>
        <v>0.21684447913956112</v>
      </c>
      <c r="W854" s="23">
        <f t="shared" si="173"/>
        <v>0.58201058201058198</v>
      </c>
      <c r="X854" s="904">
        <f t="shared" si="174"/>
        <v>178</v>
      </c>
      <c r="Y854" s="904">
        <f t="shared" si="174"/>
        <v>186</v>
      </c>
      <c r="Z854" s="904">
        <f t="shared" si="174"/>
        <v>182</v>
      </c>
      <c r="AA854" s="904">
        <f t="shared" si="162"/>
        <v>275</v>
      </c>
      <c r="AB854" s="24">
        <v>72</v>
      </c>
    </row>
    <row r="855" spans="1:28" x14ac:dyDescent="0.25">
      <c r="A855" s="903"/>
      <c r="B855" t="s">
        <v>25</v>
      </c>
      <c r="C855" s="906" t="s">
        <v>1746</v>
      </c>
      <c r="D855" s="25">
        <v>3.7</v>
      </c>
      <c r="E855" s="903">
        <v>501</v>
      </c>
      <c r="F855" s="903">
        <v>196</v>
      </c>
      <c r="G855" s="903" t="s">
        <v>1747</v>
      </c>
      <c r="H855" s="904">
        <f t="shared" si="163"/>
        <v>5</v>
      </c>
      <c r="I855" s="904">
        <f t="shared" si="164"/>
        <v>10</v>
      </c>
      <c r="J855" s="21">
        <f t="shared" si="165"/>
        <v>9100</v>
      </c>
      <c r="K855" s="21">
        <f t="shared" si="166"/>
        <v>9100</v>
      </c>
      <c r="L855" s="21">
        <f t="shared" si="167"/>
        <v>13900</v>
      </c>
      <c r="M855" s="21">
        <f t="shared" si="168"/>
        <v>18700</v>
      </c>
      <c r="N855" s="904">
        <f t="shared" si="169"/>
        <v>22</v>
      </c>
      <c r="O855" s="21"/>
      <c r="P855" s="22" t="s">
        <v>2</v>
      </c>
      <c r="Q855" s="22">
        <v>0.72</v>
      </c>
      <c r="R855" s="904" t="s">
        <v>38</v>
      </c>
      <c r="S855" s="904" t="str">
        <f t="shared" si="170"/>
        <v>Stove</v>
      </c>
      <c r="T855" s="23">
        <f t="shared" si="171"/>
        <v>0.43620141659357348</v>
      </c>
      <c r="U855" s="23">
        <f t="shared" si="172"/>
        <v>0.89636994398899161</v>
      </c>
      <c r="V855" s="23">
        <f t="shared" si="172"/>
        <v>0.58683212160430387</v>
      </c>
      <c r="W855" s="23">
        <f t="shared" si="173"/>
        <v>0.89636994398899161</v>
      </c>
      <c r="X855" s="904">
        <f t="shared" si="174"/>
        <v>854</v>
      </c>
      <c r="Y855" s="904">
        <f t="shared" si="174"/>
        <v>741</v>
      </c>
      <c r="Z855" s="904">
        <f t="shared" si="174"/>
        <v>828</v>
      </c>
      <c r="AA855" s="904">
        <f t="shared" si="162"/>
        <v>645</v>
      </c>
      <c r="AB855" s="24">
        <v>244</v>
      </c>
    </row>
    <row r="856" spans="1:28" x14ac:dyDescent="0.25">
      <c r="A856" s="903"/>
      <c r="B856" t="s">
        <v>4</v>
      </c>
      <c r="C856" s="906" t="s">
        <v>224</v>
      </c>
      <c r="D856" s="25">
        <v>1</v>
      </c>
      <c r="E856" s="903">
        <v>23</v>
      </c>
      <c r="F856" s="903">
        <v>8</v>
      </c>
      <c r="G856" s="903" t="s">
        <v>225</v>
      </c>
      <c r="H856" s="904">
        <f t="shared" si="163"/>
        <v>5</v>
      </c>
      <c r="I856" s="904">
        <f t="shared" si="164"/>
        <v>10</v>
      </c>
      <c r="J856" s="21">
        <f t="shared" si="165"/>
        <v>5700</v>
      </c>
      <c r="K856" s="21">
        <f t="shared" si="166"/>
        <v>6222</v>
      </c>
      <c r="L856" s="21">
        <f t="shared" si="167"/>
        <v>12000</v>
      </c>
      <c r="M856" s="21">
        <f t="shared" si="168"/>
        <v>18300</v>
      </c>
      <c r="N856" s="904">
        <f t="shared" si="169"/>
        <v>9</v>
      </c>
      <c r="O856" s="21"/>
      <c r="P856" s="22" t="s">
        <v>2</v>
      </c>
      <c r="Q856" s="22">
        <v>0.72</v>
      </c>
      <c r="R856" s="904" t="s">
        <v>38</v>
      </c>
      <c r="S856" s="904" t="str">
        <f t="shared" si="170"/>
        <v>Stove</v>
      </c>
      <c r="T856" s="23">
        <f t="shared" si="171"/>
        <v>0.12046915507753395</v>
      </c>
      <c r="U856" s="23">
        <f t="shared" si="172"/>
        <v>0.35432104434568806</v>
      </c>
      <c r="V856" s="23">
        <f t="shared" si="172"/>
        <v>0.18371546149323928</v>
      </c>
      <c r="W856" s="23">
        <f t="shared" si="173"/>
        <v>0.38676939261734583</v>
      </c>
      <c r="X856" s="904">
        <f t="shared" si="174"/>
        <v>142</v>
      </c>
      <c r="Y856" s="904">
        <f t="shared" si="174"/>
        <v>153</v>
      </c>
      <c r="Z856" s="904">
        <f t="shared" si="174"/>
        <v>136</v>
      </c>
      <c r="AA856" s="904">
        <f t="shared" si="162"/>
        <v>101</v>
      </c>
      <c r="AB856" s="24">
        <v>59</v>
      </c>
    </row>
    <row r="857" spans="1:28" x14ac:dyDescent="0.25">
      <c r="A857" s="903"/>
      <c r="B857" t="s">
        <v>4</v>
      </c>
      <c r="C857" s="906" t="s">
        <v>224</v>
      </c>
      <c r="D857" s="25">
        <v>3</v>
      </c>
      <c r="E857" s="903">
        <v>322</v>
      </c>
      <c r="F857" s="903">
        <v>134</v>
      </c>
      <c r="G857" s="903" t="s">
        <v>226</v>
      </c>
      <c r="H857" s="904">
        <f t="shared" si="163"/>
        <v>6</v>
      </c>
      <c r="I857" s="904">
        <f t="shared" si="164"/>
        <v>11</v>
      </c>
      <c r="J857" s="21">
        <f t="shared" si="165"/>
        <v>10094</v>
      </c>
      <c r="K857" s="21">
        <f t="shared" si="166"/>
        <v>10094</v>
      </c>
      <c r="L857" s="21">
        <f t="shared" si="167"/>
        <v>18822</v>
      </c>
      <c r="M857" s="21">
        <f t="shared" si="168"/>
        <v>27550</v>
      </c>
      <c r="N857" s="904">
        <f t="shared" si="169"/>
        <v>226</v>
      </c>
      <c r="O857" s="21"/>
      <c r="P857" s="22" t="s">
        <v>2</v>
      </c>
      <c r="Q857" s="22">
        <v>0.72</v>
      </c>
      <c r="R857" s="904" t="s">
        <v>38</v>
      </c>
      <c r="S857" s="904" t="str">
        <f t="shared" si="170"/>
        <v>Stove</v>
      </c>
      <c r="T857" s="23">
        <f t="shared" si="171"/>
        <v>0.24006376093490431</v>
      </c>
      <c r="U857" s="23">
        <f t="shared" si="172"/>
        <v>0.65521662509972389</v>
      </c>
      <c r="V857" s="23">
        <f t="shared" si="172"/>
        <v>0.35138437008588952</v>
      </c>
      <c r="W857" s="23">
        <f t="shared" si="173"/>
        <v>0.65521662509972389</v>
      </c>
      <c r="X857" s="904">
        <f t="shared" si="174"/>
        <v>530</v>
      </c>
      <c r="Y857" s="904">
        <f t="shared" si="174"/>
        <v>507</v>
      </c>
      <c r="Z857" s="904">
        <f t="shared" si="174"/>
        <v>491</v>
      </c>
      <c r="AA857" s="904">
        <f t="shared" si="162"/>
        <v>357</v>
      </c>
      <c r="AB857" s="24">
        <v>190</v>
      </c>
    </row>
    <row r="858" spans="1:28" x14ac:dyDescent="0.25">
      <c r="A858" s="903"/>
      <c r="B858" t="s">
        <v>4</v>
      </c>
      <c r="C858" s="906" t="s">
        <v>198</v>
      </c>
      <c r="D858" s="25">
        <v>4.3</v>
      </c>
      <c r="E858" s="903">
        <v>635</v>
      </c>
      <c r="F858" s="903">
        <v>318</v>
      </c>
      <c r="G858" s="903" t="s">
        <v>199</v>
      </c>
      <c r="H858" s="904">
        <f t="shared" si="163"/>
        <v>5</v>
      </c>
      <c r="I858" s="904">
        <f t="shared" si="164"/>
        <v>10</v>
      </c>
      <c r="J858" s="21">
        <f t="shared" si="165"/>
        <v>9100</v>
      </c>
      <c r="K858" s="21">
        <f t="shared" si="166"/>
        <v>9100</v>
      </c>
      <c r="L858" s="21">
        <f t="shared" si="167"/>
        <v>13550</v>
      </c>
      <c r="M858" s="21">
        <f t="shared" si="168"/>
        <v>18000</v>
      </c>
      <c r="N858" s="904">
        <f t="shared" si="169"/>
        <v>17</v>
      </c>
      <c r="O858" s="21"/>
      <c r="P858" s="22" t="s">
        <v>2</v>
      </c>
      <c r="Q858" s="22">
        <v>0.63</v>
      </c>
      <c r="R858" s="904" t="s">
        <v>42</v>
      </c>
      <c r="S858" s="904" t="str">
        <f t="shared" si="170"/>
        <v>Stove</v>
      </c>
      <c r="T858" s="23">
        <f t="shared" si="171"/>
        <v>0.52665098961395262</v>
      </c>
      <c r="U858" s="23">
        <f t="shared" si="172"/>
        <v>1.0417272322034228</v>
      </c>
      <c r="V858" s="23">
        <f t="shared" si="172"/>
        <v>0.69961017070488163</v>
      </c>
      <c r="W858" s="23">
        <f t="shared" si="173"/>
        <v>1.0417272322034228</v>
      </c>
      <c r="X858" s="904">
        <f t="shared" si="174"/>
        <v>911</v>
      </c>
      <c r="Y858" s="904">
        <f t="shared" si="174"/>
        <v>827</v>
      </c>
      <c r="Z858" s="904">
        <f t="shared" si="174"/>
        <v>884</v>
      </c>
      <c r="AA858" s="904">
        <f t="shared" si="162"/>
        <v>738</v>
      </c>
      <c r="AB858" s="24">
        <v>485</v>
      </c>
    </row>
    <row r="859" spans="1:28" x14ac:dyDescent="0.25">
      <c r="A859" s="903"/>
      <c r="B859" t="s">
        <v>4</v>
      </c>
      <c r="C859" s="906" t="s">
        <v>227</v>
      </c>
      <c r="D859" s="25">
        <v>6.3</v>
      </c>
      <c r="E859" s="903">
        <v>861</v>
      </c>
      <c r="F859" s="903">
        <v>507</v>
      </c>
      <c r="G859" s="903" t="s">
        <v>228</v>
      </c>
      <c r="H859" s="904">
        <f t="shared" si="163"/>
        <v>6</v>
      </c>
      <c r="I859" s="904">
        <f t="shared" si="164"/>
        <v>11</v>
      </c>
      <c r="J859" s="21">
        <f t="shared" si="165"/>
        <v>10100</v>
      </c>
      <c r="K859" s="21">
        <f t="shared" si="166"/>
        <v>10100</v>
      </c>
      <c r="L859" s="21">
        <f t="shared" si="167"/>
        <v>18250</v>
      </c>
      <c r="M859" s="21">
        <f t="shared" si="168"/>
        <v>26400</v>
      </c>
      <c r="N859" s="904">
        <f t="shared" si="169"/>
        <v>176</v>
      </c>
      <c r="O859" s="21"/>
      <c r="P859" s="22" t="s">
        <v>2</v>
      </c>
      <c r="Q859" s="22">
        <v>0.63</v>
      </c>
      <c r="R859" s="904" t="s">
        <v>42</v>
      </c>
      <c r="S859" s="904" t="str">
        <f t="shared" si="170"/>
        <v>Stove</v>
      </c>
      <c r="T859" s="23">
        <f t="shared" si="171"/>
        <v>0.52609427609427606</v>
      </c>
      <c r="U859" s="23">
        <f t="shared" si="172"/>
        <v>1.3751375137513751</v>
      </c>
      <c r="V859" s="23">
        <f t="shared" si="172"/>
        <v>0.76103500761035003</v>
      </c>
      <c r="W859" s="23">
        <f t="shared" si="173"/>
        <v>1.3751375137513751</v>
      </c>
      <c r="X859" s="904">
        <f t="shared" si="174"/>
        <v>909</v>
      </c>
      <c r="Y859" s="904">
        <f t="shared" si="174"/>
        <v>928</v>
      </c>
      <c r="Z859" s="904">
        <f t="shared" si="174"/>
        <v>917</v>
      </c>
      <c r="AA859" s="904">
        <f t="shared" si="162"/>
        <v>886</v>
      </c>
      <c r="AB859" s="24">
        <v>573</v>
      </c>
    </row>
    <row r="860" spans="1:28" x14ac:dyDescent="0.25">
      <c r="A860" s="903"/>
      <c r="B860" t="s">
        <v>4</v>
      </c>
      <c r="C860" s="906" t="s">
        <v>229</v>
      </c>
      <c r="D860" s="25">
        <v>3.7</v>
      </c>
      <c r="E860" s="903">
        <v>501</v>
      </c>
      <c r="F860" s="903">
        <v>196</v>
      </c>
      <c r="G860" s="903" t="s">
        <v>230</v>
      </c>
      <c r="H860" s="904">
        <f t="shared" si="163"/>
        <v>5</v>
      </c>
      <c r="I860" s="904">
        <f t="shared" si="164"/>
        <v>10</v>
      </c>
      <c r="J860" s="21">
        <f t="shared" si="165"/>
        <v>8400</v>
      </c>
      <c r="K860" s="21">
        <f t="shared" si="166"/>
        <v>13600.000000000002</v>
      </c>
      <c r="L860" s="21">
        <f t="shared" si="167"/>
        <v>24200</v>
      </c>
      <c r="M860" s="21">
        <f t="shared" si="168"/>
        <v>40000</v>
      </c>
      <c r="N860" s="904">
        <f t="shared" si="169"/>
        <v>650</v>
      </c>
      <c r="O860" s="21"/>
      <c r="P860" s="22" t="s">
        <v>2</v>
      </c>
      <c r="Q860" s="22">
        <v>0.72</v>
      </c>
      <c r="R860" s="904" t="s">
        <v>38</v>
      </c>
      <c r="S860" s="904" t="str">
        <f t="shared" si="170"/>
        <v>Stove</v>
      </c>
      <c r="T860" s="23">
        <f t="shared" si="171"/>
        <v>0.2039241622574956</v>
      </c>
      <c r="U860" s="23">
        <f t="shared" si="172"/>
        <v>0.59977694781616342</v>
      </c>
      <c r="V860" s="23">
        <f t="shared" si="172"/>
        <v>0.33706473100412493</v>
      </c>
      <c r="W860" s="23">
        <f t="shared" si="173"/>
        <v>0.9710674393214076</v>
      </c>
      <c r="X860" s="904">
        <f t="shared" si="174"/>
        <v>401</v>
      </c>
      <c r="Y860" s="904">
        <f t="shared" si="174"/>
        <v>435</v>
      </c>
      <c r="Z860" s="904">
        <f t="shared" si="174"/>
        <v>460</v>
      </c>
      <c r="AA860" s="904">
        <f t="shared" si="162"/>
        <v>697</v>
      </c>
      <c r="AB860" s="24">
        <v>175</v>
      </c>
    </row>
    <row r="861" spans="1:28" x14ac:dyDescent="0.25">
      <c r="A861" s="903"/>
      <c r="B861" t="s">
        <v>4</v>
      </c>
      <c r="C861" s="906" t="s">
        <v>231</v>
      </c>
      <c r="D861" s="25">
        <v>2.6</v>
      </c>
      <c r="E861" s="903">
        <v>235</v>
      </c>
      <c r="F861" s="903">
        <v>102</v>
      </c>
      <c r="G861" s="903" t="s">
        <v>232</v>
      </c>
      <c r="H861" s="904">
        <f t="shared" si="163"/>
        <v>5</v>
      </c>
      <c r="I861" s="904">
        <f t="shared" si="164"/>
        <v>10</v>
      </c>
      <c r="J861" s="21">
        <f t="shared" si="165"/>
        <v>8400</v>
      </c>
      <c r="K861" s="21">
        <f t="shared" si="166"/>
        <v>13158.000000000002</v>
      </c>
      <c r="L861" s="21">
        <f t="shared" si="167"/>
        <v>23550</v>
      </c>
      <c r="M861" s="21">
        <f t="shared" si="168"/>
        <v>38700</v>
      </c>
      <c r="N861" s="904">
        <f t="shared" si="169"/>
        <v>594</v>
      </c>
      <c r="O861" s="21"/>
      <c r="P861" s="22" t="s">
        <v>2</v>
      </c>
      <c r="Q861" s="22">
        <v>0.72</v>
      </c>
      <c r="R861" s="904" t="s">
        <v>38</v>
      </c>
      <c r="S861" s="904" t="str">
        <f t="shared" si="170"/>
        <v>Stove</v>
      </c>
      <c r="T861" s="23">
        <f t="shared" si="171"/>
        <v>0.14811168988602236</v>
      </c>
      <c r="U861" s="23">
        <f t="shared" si="172"/>
        <v>0.43562261731183038</v>
      </c>
      <c r="V861" s="23">
        <f t="shared" si="172"/>
        <v>0.24339373242416412</v>
      </c>
      <c r="W861" s="23">
        <f t="shared" si="173"/>
        <v>0.68237171411774589</v>
      </c>
      <c r="X861" s="904">
        <f t="shared" si="174"/>
        <v>205</v>
      </c>
      <c r="Y861" s="904">
        <f t="shared" si="174"/>
        <v>214</v>
      </c>
      <c r="Z861" s="904">
        <f t="shared" si="174"/>
        <v>233</v>
      </c>
      <c r="AA861" s="904">
        <f t="shared" si="162"/>
        <v>399</v>
      </c>
      <c r="AB861" s="24">
        <v>84</v>
      </c>
    </row>
    <row r="862" spans="1:28" x14ac:dyDescent="0.25">
      <c r="A862" s="903"/>
      <c r="B862" t="s">
        <v>4</v>
      </c>
      <c r="C862" s="906" t="s">
        <v>233</v>
      </c>
      <c r="D862" s="25">
        <v>3.5</v>
      </c>
      <c r="E862" s="903">
        <v>432</v>
      </c>
      <c r="F862" s="903">
        <v>177</v>
      </c>
      <c r="G862" s="903" t="s">
        <v>234</v>
      </c>
      <c r="H862" s="904">
        <f t="shared" si="163"/>
        <v>5</v>
      </c>
      <c r="I862" s="904">
        <f t="shared" si="164"/>
        <v>10</v>
      </c>
      <c r="J862" s="21">
        <f t="shared" si="165"/>
        <v>7200</v>
      </c>
      <c r="K862" s="21">
        <f t="shared" si="166"/>
        <v>10200</v>
      </c>
      <c r="L862" s="21">
        <f t="shared" si="167"/>
        <v>18600</v>
      </c>
      <c r="M862" s="21">
        <f t="shared" si="168"/>
        <v>30000</v>
      </c>
      <c r="N862" s="904">
        <f t="shared" si="169"/>
        <v>206</v>
      </c>
      <c r="O862" s="21"/>
      <c r="P862" s="22" t="s">
        <v>2</v>
      </c>
      <c r="Q862" s="22">
        <v>0.72</v>
      </c>
      <c r="R862" s="904" t="s">
        <v>38</v>
      </c>
      <c r="S862" s="904" t="str">
        <f t="shared" si="170"/>
        <v>Stove</v>
      </c>
      <c r="T862" s="23">
        <f t="shared" si="171"/>
        <v>0.25720164609053497</v>
      </c>
      <c r="U862" s="23">
        <f t="shared" si="172"/>
        <v>0.75647542967804404</v>
      </c>
      <c r="V862" s="23">
        <f t="shared" si="172"/>
        <v>0.41484136466215321</v>
      </c>
      <c r="W862" s="23">
        <f t="shared" si="173"/>
        <v>1.0716735253772292</v>
      </c>
      <c r="X862" s="904">
        <f t="shared" si="174"/>
        <v>581</v>
      </c>
      <c r="Y862" s="904">
        <f t="shared" si="174"/>
        <v>623</v>
      </c>
      <c r="Z862" s="904">
        <f t="shared" si="174"/>
        <v>621</v>
      </c>
      <c r="AA862" s="904">
        <f t="shared" si="162"/>
        <v>760</v>
      </c>
      <c r="AB862" s="24">
        <v>225</v>
      </c>
    </row>
    <row r="863" spans="1:28" x14ac:dyDescent="0.25">
      <c r="A863" s="903"/>
      <c r="B863" t="s">
        <v>4</v>
      </c>
      <c r="C863" s="906" t="s">
        <v>235</v>
      </c>
      <c r="D863" s="25">
        <v>4.3</v>
      </c>
      <c r="E863" s="903">
        <v>635</v>
      </c>
      <c r="F863" s="903">
        <v>238</v>
      </c>
      <c r="G863" s="903" t="s">
        <v>236</v>
      </c>
      <c r="H863" s="904">
        <f t="shared" si="163"/>
        <v>5</v>
      </c>
      <c r="I863" s="904">
        <f t="shared" si="164"/>
        <v>10</v>
      </c>
      <c r="J863" s="21">
        <f t="shared" si="165"/>
        <v>9000</v>
      </c>
      <c r="K863" s="21">
        <f t="shared" si="166"/>
        <v>9000</v>
      </c>
      <c r="L863" s="21">
        <f t="shared" si="167"/>
        <v>17300</v>
      </c>
      <c r="M863" s="21">
        <f t="shared" si="168"/>
        <v>25600</v>
      </c>
      <c r="N863" s="904">
        <f t="shared" si="169"/>
        <v>110</v>
      </c>
      <c r="O863" s="21"/>
      <c r="P863" s="22" t="s">
        <v>2</v>
      </c>
      <c r="Q863" s="22">
        <v>0.72</v>
      </c>
      <c r="R863" s="904" t="s">
        <v>38</v>
      </c>
      <c r="S863" s="904" t="str">
        <f t="shared" si="170"/>
        <v>Stove</v>
      </c>
      <c r="T863" s="23">
        <f t="shared" si="171"/>
        <v>0.37030147707231043</v>
      </c>
      <c r="U863" s="23">
        <f t="shared" si="172"/>
        <v>1.0533019792279052</v>
      </c>
      <c r="V863" s="23">
        <f t="shared" si="172"/>
        <v>0.54796056722838993</v>
      </c>
      <c r="W863" s="23">
        <f t="shared" si="173"/>
        <v>1.0533019792279052</v>
      </c>
      <c r="X863" s="904">
        <f t="shared" si="174"/>
        <v>798</v>
      </c>
      <c r="Y863" s="904">
        <f t="shared" si="174"/>
        <v>834</v>
      </c>
      <c r="Z863" s="904">
        <f t="shared" si="174"/>
        <v>795</v>
      </c>
      <c r="AA863" s="904">
        <f t="shared" si="162"/>
        <v>744</v>
      </c>
      <c r="AB863" s="24">
        <v>262</v>
      </c>
    </row>
    <row r="864" spans="1:28" x14ac:dyDescent="0.25">
      <c r="A864" s="903"/>
      <c r="B864" t="s">
        <v>4</v>
      </c>
      <c r="C864" s="906" t="s">
        <v>237</v>
      </c>
      <c r="D864" s="25">
        <v>1.6</v>
      </c>
      <c r="E864" s="903">
        <v>86</v>
      </c>
      <c r="F864" s="903">
        <v>29</v>
      </c>
      <c r="G864" s="903" t="s">
        <v>238</v>
      </c>
      <c r="H864" s="904">
        <f t="shared" si="163"/>
        <v>5</v>
      </c>
      <c r="I864" s="904">
        <f t="shared" si="164"/>
        <v>10</v>
      </c>
      <c r="J864" s="21">
        <f t="shared" si="165"/>
        <v>6600</v>
      </c>
      <c r="K864" s="21">
        <f t="shared" si="166"/>
        <v>9078</v>
      </c>
      <c r="L864" s="21">
        <f t="shared" si="167"/>
        <v>16650</v>
      </c>
      <c r="M864" s="21">
        <f t="shared" si="168"/>
        <v>26700</v>
      </c>
      <c r="N864" s="904">
        <f t="shared" si="169"/>
        <v>83</v>
      </c>
      <c r="O864" s="21"/>
      <c r="P864" s="22" t="s">
        <v>2</v>
      </c>
      <c r="Q864" s="22">
        <v>0.72</v>
      </c>
      <c r="R864" s="904" t="s">
        <v>38</v>
      </c>
      <c r="S864" s="904" t="str">
        <f t="shared" si="170"/>
        <v>Stove</v>
      </c>
      <c r="T864" s="23">
        <f t="shared" si="171"/>
        <v>0.13210999478165519</v>
      </c>
      <c r="U864" s="23">
        <f t="shared" si="172"/>
        <v>0.38855880818133881</v>
      </c>
      <c r="V864" s="23">
        <f t="shared" si="172"/>
        <v>0.21185206370391554</v>
      </c>
      <c r="W864" s="23">
        <f t="shared" si="173"/>
        <v>0.53444497888942333</v>
      </c>
      <c r="X864" s="904">
        <f t="shared" si="174"/>
        <v>176</v>
      </c>
      <c r="Y864" s="904">
        <f t="shared" si="174"/>
        <v>184</v>
      </c>
      <c r="Z864" s="904">
        <f t="shared" si="174"/>
        <v>177</v>
      </c>
      <c r="AA864" s="904">
        <f t="shared" si="162"/>
        <v>227</v>
      </c>
      <c r="AB864" s="24">
        <v>70</v>
      </c>
    </row>
    <row r="865" spans="1:28" x14ac:dyDescent="0.25">
      <c r="A865" s="903"/>
      <c r="B865" t="s">
        <v>4</v>
      </c>
      <c r="C865" s="906" t="s">
        <v>239</v>
      </c>
      <c r="D865" s="25">
        <v>2.9</v>
      </c>
      <c r="E865" s="903">
        <v>295</v>
      </c>
      <c r="F865" s="903">
        <v>128</v>
      </c>
      <c r="G865" s="903" t="s">
        <v>240</v>
      </c>
      <c r="H865" s="904">
        <f t="shared" si="163"/>
        <v>5</v>
      </c>
      <c r="I865" s="904">
        <f t="shared" si="164"/>
        <v>10</v>
      </c>
      <c r="J865" s="21">
        <f t="shared" si="165"/>
        <v>6800</v>
      </c>
      <c r="K865" s="21">
        <f t="shared" si="166"/>
        <v>9452</v>
      </c>
      <c r="L865" s="21">
        <f t="shared" si="167"/>
        <v>17300</v>
      </c>
      <c r="M865" s="21">
        <f t="shared" si="168"/>
        <v>27800</v>
      </c>
      <c r="N865" s="904">
        <f t="shared" si="169"/>
        <v>110</v>
      </c>
      <c r="O865" s="21"/>
      <c r="P865" s="22" t="s">
        <v>2</v>
      </c>
      <c r="Q865" s="22">
        <v>0.72</v>
      </c>
      <c r="R865" s="904" t="s">
        <v>38</v>
      </c>
      <c r="S865" s="904" t="str">
        <f t="shared" si="170"/>
        <v>Stove</v>
      </c>
      <c r="T865" s="23">
        <f t="shared" si="171"/>
        <v>0.22997475035844339</v>
      </c>
      <c r="U865" s="23">
        <f t="shared" si="172"/>
        <v>0.67639632458365706</v>
      </c>
      <c r="V865" s="23">
        <f t="shared" si="172"/>
        <v>0.36955480115403044</v>
      </c>
      <c r="W865" s="23">
        <f t="shared" si="173"/>
        <v>0.94019089117128329</v>
      </c>
      <c r="X865" s="904">
        <f t="shared" si="174"/>
        <v>496</v>
      </c>
      <c r="Y865" s="904">
        <f t="shared" si="174"/>
        <v>536</v>
      </c>
      <c r="Z865" s="904">
        <f t="shared" si="174"/>
        <v>535</v>
      </c>
      <c r="AA865" s="904">
        <f t="shared" si="162"/>
        <v>673</v>
      </c>
      <c r="AB865" s="24">
        <v>200</v>
      </c>
    </row>
    <row r="866" spans="1:28" x14ac:dyDescent="0.25">
      <c r="A866" s="903"/>
      <c r="B866" t="s">
        <v>4</v>
      </c>
      <c r="C866" s="906" t="s">
        <v>241</v>
      </c>
      <c r="D866" s="25">
        <v>3.6</v>
      </c>
      <c r="E866" s="903">
        <v>467</v>
      </c>
      <c r="F866" s="903">
        <v>186</v>
      </c>
      <c r="G866" s="903" t="s">
        <v>242</v>
      </c>
      <c r="H866" s="904">
        <f t="shared" si="163"/>
        <v>5</v>
      </c>
      <c r="I866" s="904">
        <f t="shared" si="164"/>
        <v>10</v>
      </c>
      <c r="J866" s="21">
        <f t="shared" si="165"/>
        <v>8700</v>
      </c>
      <c r="K866" s="21">
        <f t="shared" si="166"/>
        <v>20502</v>
      </c>
      <c r="L866" s="21">
        <f t="shared" si="167"/>
        <v>34500</v>
      </c>
      <c r="M866" s="21">
        <f t="shared" si="168"/>
        <v>60300</v>
      </c>
      <c r="N866" s="904">
        <f t="shared" si="169"/>
        <v>936</v>
      </c>
      <c r="O866" s="21"/>
      <c r="P866" s="22" t="s">
        <v>2</v>
      </c>
      <c r="Q866" s="22">
        <v>0.72</v>
      </c>
      <c r="R866" s="904" t="s">
        <v>38</v>
      </c>
      <c r="S866" s="904" t="str">
        <f t="shared" si="170"/>
        <v>Stove</v>
      </c>
      <c r="T866" s="23">
        <f t="shared" si="171"/>
        <v>0.1316170470399326</v>
      </c>
      <c r="U866" s="23">
        <f t="shared" si="172"/>
        <v>0.38710896188215471</v>
      </c>
      <c r="V866" s="23">
        <f t="shared" si="172"/>
        <v>0.23004370830457788</v>
      </c>
      <c r="W866" s="23">
        <f t="shared" si="173"/>
        <v>0.91224229155263636</v>
      </c>
      <c r="X866" s="904">
        <f t="shared" si="174"/>
        <v>174</v>
      </c>
      <c r="Y866" s="904">
        <f t="shared" si="174"/>
        <v>182</v>
      </c>
      <c r="Z866" s="904">
        <f t="shared" si="174"/>
        <v>201</v>
      </c>
      <c r="AA866" s="904">
        <f t="shared" si="162"/>
        <v>653</v>
      </c>
      <c r="AB866" s="24">
        <v>68</v>
      </c>
    </row>
    <row r="867" spans="1:28" x14ac:dyDescent="0.25">
      <c r="A867" s="903"/>
      <c r="B867" t="s">
        <v>4</v>
      </c>
      <c r="C867" s="906" t="s">
        <v>243</v>
      </c>
      <c r="D867" s="25">
        <v>4.3</v>
      </c>
      <c r="E867" s="903">
        <v>635</v>
      </c>
      <c r="F867" s="903">
        <v>238</v>
      </c>
      <c r="G867" s="903" t="s">
        <v>244</v>
      </c>
      <c r="H867" s="904">
        <f t="shared" si="163"/>
        <v>5</v>
      </c>
      <c r="I867" s="904">
        <f t="shared" si="164"/>
        <v>10</v>
      </c>
      <c r="J867" s="21">
        <f t="shared" si="165"/>
        <v>6200</v>
      </c>
      <c r="K867" s="21">
        <f t="shared" si="166"/>
        <v>9520</v>
      </c>
      <c r="L867" s="21">
        <f t="shared" si="167"/>
        <v>17100</v>
      </c>
      <c r="M867" s="21">
        <f t="shared" si="168"/>
        <v>28000</v>
      </c>
      <c r="N867" s="904">
        <f t="shared" si="169"/>
        <v>97</v>
      </c>
      <c r="O867" s="21"/>
      <c r="P867" s="22" t="s">
        <v>2</v>
      </c>
      <c r="Q867" s="22">
        <v>0.72</v>
      </c>
      <c r="R867" s="904" t="s">
        <v>38</v>
      </c>
      <c r="S867" s="904" t="str">
        <f t="shared" si="170"/>
        <v>Stove</v>
      </c>
      <c r="T867" s="23">
        <f t="shared" si="171"/>
        <v>0.33856135046611235</v>
      </c>
      <c r="U867" s="23">
        <f t="shared" si="172"/>
        <v>0.99576867784150702</v>
      </c>
      <c r="V867" s="23">
        <f t="shared" si="172"/>
        <v>0.55436946275152899</v>
      </c>
      <c r="W867" s="23">
        <f t="shared" si="173"/>
        <v>1.5289867440405074</v>
      </c>
      <c r="X867" s="904">
        <f t="shared" si="174"/>
        <v>752</v>
      </c>
      <c r="Y867" s="904">
        <f t="shared" si="174"/>
        <v>806</v>
      </c>
      <c r="Z867" s="904">
        <f t="shared" si="174"/>
        <v>803</v>
      </c>
      <c r="AA867" s="904">
        <f t="shared" si="162"/>
        <v>925</v>
      </c>
      <c r="AB867" s="24">
        <v>253</v>
      </c>
    </row>
    <row r="868" spans="1:28" x14ac:dyDescent="0.25">
      <c r="A868" s="903"/>
      <c r="B868" t="s">
        <v>4</v>
      </c>
      <c r="C868" s="906" t="s">
        <v>245</v>
      </c>
      <c r="D868" s="25">
        <v>2.8</v>
      </c>
      <c r="E868" s="903">
        <v>283</v>
      </c>
      <c r="F868" s="903">
        <v>119</v>
      </c>
      <c r="G868" s="903" t="s">
        <v>246</v>
      </c>
      <c r="H868" s="904">
        <f t="shared" si="163"/>
        <v>5</v>
      </c>
      <c r="I868" s="904">
        <f t="shared" si="164"/>
        <v>10</v>
      </c>
      <c r="J868" s="21">
        <f t="shared" si="165"/>
        <v>7000</v>
      </c>
      <c r="K868" s="21">
        <f t="shared" si="166"/>
        <v>10404</v>
      </c>
      <c r="L868" s="21">
        <f t="shared" si="167"/>
        <v>18800</v>
      </c>
      <c r="M868" s="21">
        <f t="shared" si="168"/>
        <v>30600</v>
      </c>
      <c r="N868" s="904">
        <f t="shared" si="169"/>
        <v>219</v>
      </c>
      <c r="O868" s="21"/>
      <c r="P868" s="22" t="s">
        <v>2</v>
      </c>
      <c r="Q868" s="22">
        <v>0.72</v>
      </c>
      <c r="R868" s="904" t="s">
        <v>38</v>
      </c>
      <c r="S868" s="904" t="str">
        <f t="shared" si="170"/>
        <v>Stove</v>
      </c>
      <c r="T868" s="23">
        <f t="shared" si="171"/>
        <v>0.20172678124747842</v>
      </c>
      <c r="U868" s="23">
        <f t="shared" si="172"/>
        <v>0.59331406249258356</v>
      </c>
      <c r="V868" s="23">
        <f t="shared" si="172"/>
        <v>0.32834252692408722</v>
      </c>
      <c r="W868" s="23">
        <f t="shared" si="173"/>
        <v>0.88183421516754845</v>
      </c>
      <c r="X868" s="904">
        <f t="shared" si="174"/>
        <v>389</v>
      </c>
      <c r="Y868" s="904">
        <f t="shared" si="174"/>
        <v>426</v>
      </c>
      <c r="Z868" s="904">
        <f t="shared" si="174"/>
        <v>430</v>
      </c>
      <c r="AA868" s="904">
        <f t="shared" si="162"/>
        <v>623</v>
      </c>
      <c r="AB868" s="24">
        <v>169</v>
      </c>
    </row>
    <row r="869" spans="1:28" x14ac:dyDescent="0.25">
      <c r="A869" s="903"/>
      <c r="B869" t="s">
        <v>4</v>
      </c>
      <c r="C869" s="906" t="s">
        <v>1748</v>
      </c>
      <c r="D869" s="25">
        <v>4.4000000000000004</v>
      </c>
      <c r="E869" s="903">
        <v>660</v>
      </c>
      <c r="F869" s="903">
        <v>338</v>
      </c>
      <c r="G869" s="903" t="s">
        <v>218</v>
      </c>
      <c r="H869" s="904">
        <f t="shared" si="163"/>
        <v>6</v>
      </c>
      <c r="I869" s="904">
        <f t="shared" si="164"/>
        <v>11</v>
      </c>
      <c r="J869" s="21">
        <f t="shared" si="165"/>
        <v>12000</v>
      </c>
      <c r="K869" s="21">
        <f t="shared" si="166"/>
        <v>18734</v>
      </c>
      <c r="L869" s="21">
        <f t="shared" si="167"/>
        <v>33550</v>
      </c>
      <c r="M869" s="21">
        <f t="shared" si="168"/>
        <v>55100</v>
      </c>
      <c r="N869" s="904">
        <f t="shared" si="169"/>
        <v>922</v>
      </c>
      <c r="O869" s="21"/>
      <c r="P869" s="22" t="s">
        <v>2</v>
      </c>
      <c r="Q869" s="22">
        <v>0.63</v>
      </c>
      <c r="R869" s="904" t="s">
        <v>42</v>
      </c>
      <c r="S869" s="904" t="str">
        <f t="shared" si="170"/>
        <v>Stove</v>
      </c>
      <c r="T869" s="23">
        <f t="shared" si="171"/>
        <v>0.17604675801892983</v>
      </c>
      <c r="U869" s="23">
        <f t="shared" si="172"/>
        <v>0.51778458240861713</v>
      </c>
      <c r="V869" s="23">
        <f t="shared" si="172"/>
        <v>0.28912597218608149</v>
      </c>
      <c r="W869" s="23">
        <f t="shared" si="173"/>
        <v>0.80834803057025284</v>
      </c>
      <c r="X869" s="904">
        <f t="shared" si="174"/>
        <v>291</v>
      </c>
      <c r="Y869" s="904">
        <f t="shared" si="174"/>
        <v>311</v>
      </c>
      <c r="Z869" s="904">
        <f t="shared" si="174"/>
        <v>331</v>
      </c>
      <c r="AA869" s="904">
        <f t="shared" si="162"/>
        <v>541</v>
      </c>
      <c r="AB869" s="24">
        <v>114</v>
      </c>
    </row>
    <row r="870" spans="1:28" x14ac:dyDescent="0.25">
      <c r="A870" s="903"/>
      <c r="B870" t="s">
        <v>4</v>
      </c>
      <c r="C870" s="906" t="s">
        <v>247</v>
      </c>
      <c r="D870" s="25">
        <v>1</v>
      </c>
      <c r="E870" s="903">
        <v>23</v>
      </c>
      <c r="F870" s="903">
        <v>6</v>
      </c>
      <c r="G870" s="903" t="s">
        <v>248</v>
      </c>
      <c r="H870" s="904">
        <f t="shared" si="163"/>
        <v>6</v>
      </c>
      <c r="I870" s="904">
        <f t="shared" si="164"/>
        <v>11</v>
      </c>
      <c r="J870" s="21">
        <f t="shared" si="165"/>
        <v>11800</v>
      </c>
      <c r="K870" s="21">
        <f t="shared" si="166"/>
        <v>11800</v>
      </c>
      <c r="L870" s="21">
        <f t="shared" si="167"/>
        <v>22050</v>
      </c>
      <c r="M870" s="21">
        <f t="shared" si="168"/>
        <v>32300</v>
      </c>
      <c r="N870" s="904">
        <f t="shared" si="169"/>
        <v>479</v>
      </c>
      <c r="O870" s="21"/>
      <c r="P870" s="22" t="s">
        <v>2</v>
      </c>
      <c r="Q870" s="22">
        <v>0.63</v>
      </c>
      <c r="R870" s="904" t="s">
        <v>42</v>
      </c>
      <c r="S870" s="904" t="str">
        <f t="shared" si="170"/>
        <v>Stove</v>
      </c>
      <c r="T870" s="23">
        <f t="shared" si="171"/>
        <v>6.8253422226590435E-2</v>
      </c>
      <c r="U870" s="23">
        <f t="shared" si="172"/>
        <v>0.18682928287448061</v>
      </c>
      <c r="V870" s="23">
        <f t="shared" si="172"/>
        <v>9.9981203533735657E-2</v>
      </c>
      <c r="W870" s="23">
        <f t="shared" si="173"/>
        <v>0.18682928287448061</v>
      </c>
      <c r="X870" s="904">
        <f t="shared" si="174"/>
        <v>39</v>
      </c>
      <c r="Y870" s="904">
        <f t="shared" si="174"/>
        <v>36</v>
      </c>
      <c r="Z870" s="904">
        <f t="shared" si="174"/>
        <v>31</v>
      </c>
      <c r="AA870" s="904">
        <f t="shared" si="162"/>
        <v>20</v>
      </c>
      <c r="AB870" s="24">
        <v>7</v>
      </c>
    </row>
    <row r="871" spans="1:28" x14ac:dyDescent="0.25">
      <c r="A871" s="903"/>
      <c r="B871" t="s">
        <v>4</v>
      </c>
      <c r="C871" s="906" t="s">
        <v>1749</v>
      </c>
      <c r="D871" s="25">
        <v>4.4000000000000004</v>
      </c>
      <c r="E871" s="903">
        <v>660</v>
      </c>
      <c r="F871" s="903">
        <v>338</v>
      </c>
      <c r="G871" s="903" t="s">
        <v>218</v>
      </c>
      <c r="H871" s="904">
        <f t="shared" si="163"/>
        <v>6</v>
      </c>
      <c r="I871" s="904">
        <f t="shared" si="164"/>
        <v>11</v>
      </c>
      <c r="J871" s="21">
        <f t="shared" si="165"/>
        <v>12000</v>
      </c>
      <c r="K871" s="21">
        <f t="shared" si="166"/>
        <v>18734</v>
      </c>
      <c r="L871" s="21">
        <f t="shared" si="167"/>
        <v>33550</v>
      </c>
      <c r="M871" s="21">
        <f t="shared" si="168"/>
        <v>55100</v>
      </c>
      <c r="N871" s="904">
        <f t="shared" si="169"/>
        <v>922</v>
      </c>
      <c r="O871" s="21"/>
      <c r="P871" s="22" t="s">
        <v>2</v>
      </c>
      <c r="Q871" s="22">
        <v>0.63</v>
      </c>
      <c r="R871" s="904" t="s">
        <v>42</v>
      </c>
      <c r="S871" s="904" t="str">
        <f t="shared" si="170"/>
        <v>Stove</v>
      </c>
      <c r="T871" s="23">
        <f t="shared" si="171"/>
        <v>0.17604675801892983</v>
      </c>
      <c r="U871" s="23">
        <f t="shared" si="172"/>
        <v>0.51778458240861713</v>
      </c>
      <c r="V871" s="23">
        <f t="shared" si="172"/>
        <v>0.28912597218608149</v>
      </c>
      <c r="W871" s="23">
        <f t="shared" si="173"/>
        <v>0.80834803057025284</v>
      </c>
      <c r="X871" s="904">
        <f t="shared" si="174"/>
        <v>291</v>
      </c>
      <c r="Y871" s="904">
        <f t="shared" si="174"/>
        <v>311</v>
      </c>
      <c r="Z871" s="904">
        <f t="shared" si="174"/>
        <v>331</v>
      </c>
      <c r="AA871" s="904">
        <f t="shared" si="162"/>
        <v>541</v>
      </c>
      <c r="AB871" s="24">
        <v>114</v>
      </c>
    </row>
    <row r="872" spans="1:28" x14ac:dyDescent="0.25">
      <c r="A872" s="903"/>
      <c r="B872" t="s">
        <v>4</v>
      </c>
      <c r="C872" s="906" t="s">
        <v>200</v>
      </c>
      <c r="D872" s="25">
        <v>4.7</v>
      </c>
      <c r="E872" s="903">
        <v>728</v>
      </c>
      <c r="F872" s="903">
        <v>397</v>
      </c>
      <c r="G872" s="903" t="s">
        <v>201</v>
      </c>
      <c r="H872" s="904">
        <f t="shared" si="163"/>
        <v>5</v>
      </c>
      <c r="I872" s="904">
        <f t="shared" si="164"/>
        <v>10</v>
      </c>
      <c r="J872" s="21">
        <f t="shared" si="165"/>
        <v>9500</v>
      </c>
      <c r="K872" s="21">
        <f t="shared" si="166"/>
        <v>19652</v>
      </c>
      <c r="L872" s="21">
        <f t="shared" si="167"/>
        <v>33650</v>
      </c>
      <c r="M872" s="21">
        <f t="shared" si="168"/>
        <v>57800</v>
      </c>
      <c r="N872" s="904">
        <f t="shared" si="169"/>
        <v>927</v>
      </c>
      <c r="O872" s="21"/>
      <c r="P872" s="22" t="s">
        <v>2</v>
      </c>
      <c r="Q872" s="22">
        <v>0.63</v>
      </c>
      <c r="R872" s="904" t="s">
        <v>42</v>
      </c>
      <c r="S872" s="904" t="str">
        <f t="shared" si="170"/>
        <v>Stove</v>
      </c>
      <c r="T872" s="23">
        <f t="shared" si="171"/>
        <v>0.17926560602454489</v>
      </c>
      <c r="U872" s="23">
        <f t="shared" si="172"/>
        <v>0.52725178242513193</v>
      </c>
      <c r="V872" s="23">
        <f t="shared" si="172"/>
        <v>0.30792130841660309</v>
      </c>
      <c r="W872" s="23">
        <f t="shared" si="173"/>
        <v>1.0906896871809153</v>
      </c>
      <c r="X872" s="904">
        <f t="shared" si="174"/>
        <v>305</v>
      </c>
      <c r="Y872" s="904">
        <f t="shared" si="174"/>
        <v>328</v>
      </c>
      <c r="Z872" s="904">
        <f t="shared" si="174"/>
        <v>381</v>
      </c>
      <c r="AA872" s="904">
        <f t="shared" si="162"/>
        <v>771</v>
      </c>
      <c r="AB872" s="24">
        <v>126</v>
      </c>
    </row>
    <row r="873" spans="1:28" x14ac:dyDescent="0.25">
      <c r="A873" s="903"/>
      <c r="B873" t="s">
        <v>4</v>
      </c>
      <c r="C873" s="906" t="s">
        <v>249</v>
      </c>
      <c r="D873" s="25">
        <v>0.8</v>
      </c>
      <c r="E873" s="903">
        <v>15</v>
      </c>
      <c r="F873" s="903">
        <v>6</v>
      </c>
      <c r="G873" s="903" t="s">
        <v>250</v>
      </c>
      <c r="H873" s="904">
        <f t="shared" si="163"/>
        <v>6</v>
      </c>
      <c r="I873" s="904">
        <f t="shared" si="164"/>
        <v>11</v>
      </c>
      <c r="J873" s="21">
        <f t="shared" si="165"/>
        <v>10600</v>
      </c>
      <c r="K873" s="21">
        <f t="shared" si="166"/>
        <v>15096.000000000002</v>
      </c>
      <c r="L873" s="21">
        <f t="shared" si="167"/>
        <v>27500</v>
      </c>
      <c r="M873" s="21">
        <f t="shared" si="168"/>
        <v>44400</v>
      </c>
      <c r="N873" s="904">
        <f t="shared" si="169"/>
        <v>811</v>
      </c>
      <c r="O873" s="21"/>
      <c r="P873" s="22" t="s">
        <v>2</v>
      </c>
      <c r="Q873" s="22">
        <v>0.72</v>
      </c>
      <c r="R873" s="904" t="s">
        <v>38</v>
      </c>
      <c r="S873" s="904" t="str">
        <f t="shared" si="170"/>
        <v>Stove</v>
      </c>
      <c r="T873" s="23">
        <f t="shared" si="171"/>
        <v>3.9722261944484166E-2</v>
      </c>
      <c r="U873" s="23">
        <f t="shared" si="172"/>
        <v>0.11683018218965929</v>
      </c>
      <c r="V873" s="23">
        <f t="shared" si="172"/>
        <v>6.4133397466730802E-2</v>
      </c>
      <c r="W873" s="23">
        <f t="shared" si="173"/>
        <v>0.16638381418255632</v>
      </c>
      <c r="X873" s="904">
        <f t="shared" si="174"/>
        <v>7</v>
      </c>
      <c r="Y873" s="904">
        <f t="shared" si="174"/>
        <v>7</v>
      </c>
      <c r="Z873" s="904">
        <f t="shared" si="174"/>
        <v>7</v>
      </c>
      <c r="AA873" s="904">
        <f t="shared" si="162"/>
        <v>17</v>
      </c>
      <c r="AB873" s="24">
        <v>4</v>
      </c>
    </row>
    <row r="874" spans="1:28" x14ac:dyDescent="0.25">
      <c r="A874" s="903"/>
      <c r="B874" t="s">
        <v>4</v>
      </c>
      <c r="C874" s="906" t="s">
        <v>251</v>
      </c>
      <c r="D874" s="25">
        <v>0.6</v>
      </c>
      <c r="E874" s="903">
        <v>7</v>
      </c>
      <c r="F874" s="903">
        <v>4</v>
      </c>
      <c r="G874" s="903" t="s">
        <v>252</v>
      </c>
      <c r="H874" s="904">
        <f t="shared" si="163"/>
        <v>5</v>
      </c>
      <c r="I874" s="904">
        <f t="shared" si="164"/>
        <v>10</v>
      </c>
      <c r="J874" s="21">
        <f t="shared" si="165"/>
        <v>6200</v>
      </c>
      <c r="K874" s="21">
        <f t="shared" si="166"/>
        <v>11186</v>
      </c>
      <c r="L874" s="21">
        <f t="shared" si="167"/>
        <v>19550</v>
      </c>
      <c r="M874" s="21">
        <f t="shared" si="168"/>
        <v>32900</v>
      </c>
      <c r="N874" s="904">
        <f t="shared" si="169"/>
        <v>279</v>
      </c>
      <c r="O874" s="21"/>
      <c r="P874" s="22" t="s">
        <v>2</v>
      </c>
      <c r="Q874" s="22">
        <v>0.72</v>
      </c>
      <c r="R874" s="904" t="s">
        <v>38</v>
      </c>
      <c r="S874" s="904" t="str">
        <f t="shared" si="170"/>
        <v>Stove</v>
      </c>
      <c r="T874" s="23">
        <f t="shared" si="171"/>
        <v>4.0205207378459659E-2</v>
      </c>
      <c r="U874" s="23">
        <f t="shared" si="172"/>
        <v>0.11825060993664605</v>
      </c>
      <c r="V874" s="23">
        <f t="shared" si="172"/>
        <v>6.7659914207228791E-2</v>
      </c>
      <c r="W874" s="23">
        <f t="shared" si="173"/>
        <v>0.21334698754053594</v>
      </c>
      <c r="X874" s="904">
        <f t="shared" si="174"/>
        <v>10</v>
      </c>
      <c r="Y874" s="904">
        <f t="shared" si="174"/>
        <v>10</v>
      </c>
      <c r="Z874" s="904">
        <f t="shared" si="174"/>
        <v>9</v>
      </c>
      <c r="AA874" s="904">
        <f t="shared" si="162"/>
        <v>35</v>
      </c>
      <c r="AB874" s="24">
        <v>7</v>
      </c>
    </row>
    <row r="875" spans="1:28" x14ac:dyDescent="0.25">
      <c r="A875" s="903"/>
      <c r="B875" t="s">
        <v>4</v>
      </c>
      <c r="C875" s="906" t="s">
        <v>253</v>
      </c>
      <c r="D875" s="25">
        <v>1.8</v>
      </c>
      <c r="E875" s="903">
        <v>106</v>
      </c>
      <c r="F875" s="903">
        <v>38</v>
      </c>
      <c r="G875" s="903" t="s">
        <v>254</v>
      </c>
      <c r="H875" s="904">
        <f t="shared" si="163"/>
        <v>5</v>
      </c>
      <c r="I875" s="904">
        <f t="shared" si="164"/>
        <v>10</v>
      </c>
      <c r="J875" s="21">
        <f t="shared" si="165"/>
        <v>9000</v>
      </c>
      <c r="K875" s="21">
        <f t="shared" si="166"/>
        <v>14042.000000000002</v>
      </c>
      <c r="L875" s="21">
        <f t="shared" si="167"/>
        <v>25150</v>
      </c>
      <c r="M875" s="21">
        <f t="shared" si="168"/>
        <v>41300</v>
      </c>
      <c r="N875" s="904">
        <f t="shared" si="169"/>
        <v>702</v>
      </c>
      <c r="O875" s="21"/>
      <c r="P875" s="22" t="s">
        <v>2</v>
      </c>
      <c r="Q875" s="22">
        <v>0.72</v>
      </c>
      <c r="R875" s="904" t="s">
        <v>38</v>
      </c>
      <c r="S875" s="904" t="str">
        <f t="shared" si="170"/>
        <v>Stove</v>
      </c>
      <c r="T875" s="23">
        <f t="shared" si="171"/>
        <v>9.608363119259003E-2</v>
      </c>
      <c r="U875" s="23">
        <f t="shared" si="172"/>
        <v>0.28259891527232356</v>
      </c>
      <c r="V875" s="23">
        <f t="shared" si="172"/>
        <v>0.15778345798226515</v>
      </c>
      <c r="W875" s="23">
        <f t="shared" si="173"/>
        <v>0.44091710758377423</v>
      </c>
      <c r="X875" s="904">
        <f t="shared" si="174"/>
        <v>74</v>
      </c>
      <c r="Y875" s="904">
        <f t="shared" si="174"/>
        <v>84</v>
      </c>
      <c r="Z875" s="904">
        <f t="shared" si="174"/>
        <v>86</v>
      </c>
      <c r="AA875" s="904">
        <f t="shared" si="162"/>
        <v>143</v>
      </c>
      <c r="AB875" s="24">
        <v>35</v>
      </c>
    </row>
    <row r="876" spans="1:28" x14ac:dyDescent="0.25">
      <c r="A876" s="903"/>
      <c r="B876" t="s">
        <v>4</v>
      </c>
      <c r="C876" s="906" t="s">
        <v>255</v>
      </c>
      <c r="D876" s="25">
        <v>1.6</v>
      </c>
      <c r="E876" s="903">
        <v>86</v>
      </c>
      <c r="F876" s="903">
        <v>29</v>
      </c>
      <c r="G876" s="903" t="s">
        <v>256</v>
      </c>
      <c r="H876" s="904">
        <f t="shared" si="163"/>
        <v>5</v>
      </c>
      <c r="I876" s="904">
        <f t="shared" si="164"/>
        <v>10</v>
      </c>
      <c r="J876" s="21">
        <f t="shared" si="165"/>
        <v>8700</v>
      </c>
      <c r="K876" s="21">
        <f t="shared" si="166"/>
        <v>14178.000000000002</v>
      </c>
      <c r="L876" s="21">
        <f t="shared" si="167"/>
        <v>25200</v>
      </c>
      <c r="M876" s="21">
        <f t="shared" si="168"/>
        <v>41700</v>
      </c>
      <c r="N876" s="904">
        <f t="shared" si="169"/>
        <v>711</v>
      </c>
      <c r="O876" s="21"/>
      <c r="P876" s="22" t="s">
        <v>2</v>
      </c>
      <c r="Q876" s="22">
        <v>0.72</v>
      </c>
      <c r="R876" s="904" t="s">
        <v>38</v>
      </c>
      <c r="S876" s="904" t="str">
        <f t="shared" si="170"/>
        <v>Stove</v>
      </c>
      <c r="T876" s="23">
        <f t="shared" si="171"/>
        <v>8.4588413924944705E-2</v>
      </c>
      <c r="U876" s="23">
        <f t="shared" si="172"/>
        <v>0.24878945272042555</v>
      </c>
      <c r="V876" s="23">
        <f t="shared" si="172"/>
        <v>0.13997368494722992</v>
      </c>
      <c r="W876" s="23">
        <f t="shared" si="173"/>
        <v>0.40544101846783837</v>
      </c>
      <c r="X876" s="904">
        <f t="shared" si="174"/>
        <v>55</v>
      </c>
      <c r="Y876" s="904">
        <f t="shared" si="174"/>
        <v>63</v>
      </c>
      <c r="Z876" s="904">
        <f t="shared" si="174"/>
        <v>66</v>
      </c>
      <c r="AA876" s="904">
        <f t="shared" si="162"/>
        <v>117</v>
      </c>
      <c r="AB876" s="24">
        <v>21</v>
      </c>
    </row>
    <row r="877" spans="1:28" x14ac:dyDescent="0.25">
      <c r="A877" s="903"/>
      <c r="B877" t="s">
        <v>4</v>
      </c>
      <c r="C877" s="906" t="s">
        <v>257</v>
      </c>
      <c r="D877" s="25">
        <v>1.3</v>
      </c>
      <c r="E877" s="903">
        <v>53</v>
      </c>
      <c r="F877" s="903">
        <v>15</v>
      </c>
      <c r="G877" s="903" t="s">
        <v>258</v>
      </c>
      <c r="H877" s="904">
        <f t="shared" si="163"/>
        <v>5</v>
      </c>
      <c r="I877" s="904">
        <f t="shared" si="164"/>
        <v>10</v>
      </c>
      <c r="J877" s="21">
        <f t="shared" si="165"/>
        <v>8300</v>
      </c>
      <c r="K877" s="21">
        <f t="shared" si="166"/>
        <v>9520</v>
      </c>
      <c r="L877" s="21">
        <f t="shared" si="167"/>
        <v>18150</v>
      </c>
      <c r="M877" s="21">
        <f t="shared" si="168"/>
        <v>28000</v>
      </c>
      <c r="N877" s="904">
        <f t="shared" si="169"/>
        <v>168</v>
      </c>
      <c r="O877" s="21"/>
      <c r="P877" s="22" t="s">
        <v>2</v>
      </c>
      <c r="Q877" s="22">
        <v>0.72</v>
      </c>
      <c r="R877" s="904" t="s">
        <v>38</v>
      </c>
      <c r="S877" s="904" t="str">
        <f t="shared" si="170"/>
        <v>Stove</v>
      </c>
      <c r="T877" s="23">
        <f t="shared" si="171"/>
        <v>0.10235575711766189</v>
      </c>
      <c r="U877" s="23">
        <f t="shared" si="172"/>
        <v>0.30104634446371142</v>
      </c>
      <c r="V877" s="23">
        <f t="shared" si="172"/>
        <v>0.15790419830823871</v>
      </c>
      <c r="W877" s="23">
        <f t="shared" si="173"/>
        <v>0.34529653003548588</v>
      </c>
      <c r="X877" s="904">
        <f t="shared" si="174"/>
        <v>88</v>
      </c>
      <c r="Y877" s="904">
        <f t="shared" si="174"/>
        <v>103</v>
      </c>
      <c r="Z877" s="904">
        <f t="shared" si="174"/>
        <v>88</v>
      </c>
      <c r="AA877" s="904">
        <f t="shared" si="162"/>
        <v>81</v>
      </c>
      <c r="AB877" s="24">
        <v>44</v>
      </c>
    </row>
    <row r="878" spans="1:28" x14ac:dyDescent="0.25">
      <c r="A878" s="903"/>
      <c r="B878" t="s">
        <v>4</v>
      </c>
      <c r="C878" s="906" t="s">
        <v>202</v>
      </c>
      <c r="D878" s="25">
        <v>1.31</v>
      </c>
      <c r="E878" s="903">
        <v>65</v>
      </c>
      <c r="F878" s="903">
        <v>16</v>
      </c>
      <c r="G878" s="903" t="s">
        <v>203</v>
      </c>
      <c r="H878" s="904">
        <f t="shared" si="163"/>
        <v>6</v>
      </c>
      <c r="I878" s="904">
        <f t="shared" si="164"/>
        <v>11</v>
      </c>
      <c r="J878" s="21">
        <f t="shared" si="165"/>
        <v>11300</v>
      </c>
      <c r="K878" s="21">
        <f t="shared" si="166"/>
        <v>11300</v>
      </c>
      <c r="L878" s="21">
        <f t="shared" si="167"/>
        <v>18900</v>
      </c>
      <c r="M878" s="21">
        <f t="shared" si="168"/>
        <v>26500</v>
      </c>
      <c r="N878" s="904">
        <f t="shared" si="169"/>
        <v>236</v>
      </c>
      <c r="O878" s="21"/>
      <c r="P878" s="22" t="s">
        <v>2</v>
      </c>
      <c r="Q878" s="22">
        <v>0.63</v>
      </c>
      <c r="R878" s="904" t="s">
        <v>42</v>
      </c>
      <c r="S878" s="904" t="str">
        <f t="shared" si="170"/>
        <v>Stove</v>
      </c>
      <c r="T878" s="23">
        <f t="shared" si="171"/>
        <v>0.10898139828957439</v>
      </c>
      <c r="U878" s="23">
        <f t="shared" si="172"/>
        <v>0.25557584554634705</v>
      </c>
      <c r="V878" s="23">
        <f t="shared" si="172"/>
        <v>0.15280460606739266</v>
      </c>
      <c r="W878" s="23">
        <f t="shared" si="173"/>
        <v>0.25557584554634705</v>
      </c>
      <c r="X878" s="904">
        <f t="shared" si="174"/>
        <v>113</v>
      </c>
      <c r="Y878" s="904">
        <f t="shared" si="174"/>
        <v>70</v>
      </c>
      <c r="Z878" s="904">
        <f t="shared" si="174"/>
        <v>78</v>
      </c>
      <c r="AA878" s="904">
        <f t="shared" si="162"/>
        <v>45</v>
      </c>
      <c r="AB878" s="24">
        <v>16</v>
      </c>
    </row>
    <row r="879" spans="1:28" x14ac:dyDescent="0.25">
      <c r="A879" s="903"/>
      <c r="B879" t="s">
        <v>4</v>
      </c>
      <c r="C879" s="906" t="s">
        <v>259</v>
      </c>
      <c r="D879" s="25">
        <v>1.41</v>
      </c>
      <c r="E879" s="903">
        <v>71</v>
      </c>
      <c r="F879" s="903">
        <v>23</v>
      </c>
      <c r="G879" s="903" t="s">
        <v>260</v>
      </c>
      <c r="H879" s="904">
        <f t="shared" si="163"/>
        <v>6</v>
      </c>
      <c r="I879" s="904">
        <f t="shared" si="164"/>
        <v>11</v>
      </c>
      <c r="J879" s="21">
        <f t="shared" si="165"/>
        <v>10700</v>
      </c>
      <c r="K879" s="21">
        <f t="shared" si="166"/>
        <v>10700</v>
      </c>
      <c r="L879" s="21">
        <f t="shared" si="167"/>
        <v>20100</v>
      </c>
      <c r="M879" s="21">
        <f t="shared" si="168"/>
        <v>29500</v>
      </c>
      <c r="N879" s="904">
        <f t="shared" si="169"/>
        <v>328</v>
      </c>
      <c r="O879" s="21"/>
      <c r="P879" s="22" t="s">
        <v>2</v>
      </c>
      <c r="Q879" s="22">
        <v>0.72</v>
      </c>
      <c r="R879" s="904" t="s">
        <v>38</v>
      </c>
      <c r="S879" s="904" t="str">
        <f t="shared" si="170"/>
        <v>Stove</v>
      </c>
      <c r="T879" s="23">
        <f t="shared" si="171"/>
        <v>0.10537171554120707</v>
      </c>
      <c r="U879" s="23">
        <f t="shared" si="172"/>
        <v>0.29051080452949612</v>
      </c>
      <c r="V879" s="23">
        <f t="shared" si="172"/>
        <v>0.15465003027192081</v>
      </c>
      <c r="W879" s="23">
        <f t="shared" si="173"/>
        <v>0.29051080452949612</v>
      </c>
      <c r="X879" s="904">
        <f t="shared" si="174"/>
        <v>97</v>
      </c>
      <c r="Y879" s="904">
        <f t="shared" si="174"/>
        <v>93</v>
      </c>
      <c r="Z879" s="904">
        <f t="shared" si="174"/>
        <v>80</v>
      </c>
      <c r="AA879" s="904">
        <f t="shared" si="162"/>
        <v>60</v>
      </c>
      <c r="AB879" s="24">
        <v>41</v>
      </c>
    </row>
    <row r="880" spans="1:28" x14ac:dyDescent="0.25">
      <c r="A880" s="903"/>
      <c r="B880" t="s">
        <v>4</v>
      </c>
      <c r="C880" s="906" t="s">
        <v>204</v>
      </c>
      <c r="D880" s="25">
        <v>1.5</v>
      </c>
      <c r="E880" s="903">
        <v>79</v>
      </c>
      <c r="F880" s="903">
        <v>20</v>
      </c>
      <c r="G880" s="903" t="s">
        <v>205</v>
      </c>
      <c r="H880" s="904">
        <f t="shared" si="163"/>
        <v>6</v>
      </c>
      <c r="I880" s="904">
        <f t="shared" si="164"/>
        <v>11</v>
      </c>
      <c r="J880" s="21">
        <f t="shared" si="165"/>
        <v>10600</v>
      </c>
      <c r="K880" s="21">
        <f t="shared" si="166"/>
        <v>10600</v>
      </c>
      <c r="L880" s="21">
        <f t="shared" si="167"/>
        <v>17950</v>
      </c>
      <c r="M880" s="21">
        <f t="shared" si="168"/>
        <v>25300</v>
      </c>
      <c r="N880" s="904">
        <f t="shared" si="169"/>
        <v>154</v>
      </c>
      <c r="O880" s="21"/>
      <c r="P880" s="22" t="s">
        <v>2</v>
      </c>
      <c r="Q880" s="22">
        <v>0.63</v>
      </c>
      <c r="R880" s="904" t="s">
        <v>42</v>
      </c>
      <c r="S880" s="904" t="str">
        <f t="shared" si="170"/>
        <v>Stove</v>
      </c>
      <c r="T880" s="23">
        <f t="shared" si="171"/>
        <v>0.13070665244578289</v>
      </c>
      <c r="U880" s="23">
        <f t="shared" si="172"/>
        <v>0.31196965159229312</v>
      </c>
      <c r="V880" s="23">
        <f t="shared" si="172"/>
        <v>0.18422720372581097</v>
      </c>
      <c r="W880" s="23">
        <f t="shared" si="173"/>
        <v>0.31196965159229312</v>
      </c>
      <c r="X880" s="904">
        <f t="shared" si="174"/>
        <v>172</v>
      </c>
      <c r="Y880" s="904">
        <f t="shared" si="174"/>
        <v>117</v>
      </c>
      <c r="Z880" s="904">
        <f t="shared" si="174"/>
        <v>138</v>
      </c>
      <c r="AA880" s="904">
        <f t="shared" si="162"/>
        <v>69</v>
      </c>
      <c r="AB880" s="24">
        <v>28</v>
      </c>
    </row>
    <row r="881" spans="1:28" x14ac:dyDescent="0.25">
      <c r="A881" s="903"/>
      <c r="B881" t="s">
        <v>4</v>
      </c>
      <c r="C881" s="906" t="s">
        <v>261</v>
      </c>
      <c r="D881" s="25">
        <v>1.1000000000000001</v>
      </c>
      <c r="E881" s="903">
        <v>36</v>
      </c>
      <c r="F881" s="903">
        <v>10</v>
      </c>
      <c r="G881" s="903" t="s">
        <v>262</v>
      </c>
      <c r="H881" s="904">
        <f t="shared" si="163"/>
        <v>5</v>
      </c>
      <c r="I881" s="904">
        <f t="shared" si="164"/>
        <v>10</v>
      </c>
      <c r="J881" s="21">
        <f t="shared" si="165"/>
        <v>6600</v>
      </c>
      <c r="K881" s="21">
        <f t="shared" si="166"/>
        <v>9282</v>
      </c>
      <c r="L881" s="21">
        <f t="shared" si="167"/>
        <v>16950</v>
      </c>
      <c r="M881" s="21">
        <f t="shared" si="168"/>
        <v>27300</v>
      </c>
      <c r="N881" s="904">
        <f t="shared" si="169"/>
        <v>89</v>
      </c>
      <c r="O881" s="21"/>
      <c r="P881" s="22" t="s">
        <v>2</v>
      </c>
      <c r="Q881" s="22">
        <v>0.72</v>
      </c>
      <c r="R881" s="904" t="s">
        <v>38</v>
      </c>
      <c r="S881" s="904" t="str">
        <f t="shared" si="170"/>
        <v>Stove</v>
      </c>
      <c r="T881" s="23">
        <f t="shared" si="171"/>
        <v>8.8829453908818995E-2</v>
      </c>
      <c r="U881" s="23">
        <f t="shared" si="172"/>
        <v>0.26126309973182055</v>
      </c>
      <c r="V881" s="23">
        <f t="shared" si="172"/>
        <v>0.14307044788854031</v>
      </c>
      <c r="W881" s="23">
        <f t="shared" si="173"/>
        <v>0.36743092298647856</v>
      </c>
      <c r="X881" s="904">
        <f t="shared" si="174"/>
        <v>65</v>
      </c>
      <c r="Y881" s="904">
        <f t="shared" si="174"/>
        <v>74</v>
      </c>
      <c r="Z881" s="904">
        <f t="shared" si="174"/>
        <v>69</v>
      </c>
      <c r="AA881" s="904">
        <f t="shared" si="162"/>
        <v>87</v>
      </c>
      <c r="AB881" s="24">
        <v>26</v>
      </c>
    </row>
    <row r="882" spans="1:28" x14ac:dyDescent="0.25">
      <c r="A882" s="903"/>
      <c r="B882" t="s">
        <v>4</v>
      </c>
      <c r="C882" s="906" t="s">
        <v>206</v>
      </c>
      <c r="D882" s="25">
        <v>1.41</v>
      </c>
      <c r="E882" s="903">
        <v>71</v>
      </c>
      <c r="F882" s="903">
        <v>18</v>
      </c>
      <c r="G882" s="903" t="s">
        <v>207</v>
      </c>
      <c r="H882" s="904">
        <f t="shared" si="163"/>
        <v>5</v>
      </c>
      <c r="I882" s="904">
        <f t="shared" si="164"/>
        <v>10</v>
      </c>
      <c r="J882" s="21">
        <f t="shared" si="165"/>
        <v>7800</v>
      </c>
      <c r="K882" s="21">
        <f t="shared" si="166"/>
        <v>8534</v>
      </c>
      <c r="L882" s="21">
        <f t="shared" si="167"/>
        <v>16450</v>
      </c>
      <c r="M882" s="21">
        <f t="shared" si="168"/>
        <v>25100</v>
      </c>
      <c r="N882" s="904">
        <f t="shared" si="169"/>
        <v>77</v>
      </c>
      <c r="O882" s="21"/>
      <c r="P882" s="22" t="s">
        <v>2</v>
      </c>
      <c r="Q882" s="22">
        <v>0.63</v>
      </c>
      <c r="R882" s="904" t="s">
        <v>42</v>
      </c>
      <c r="S882" s="904" t="str">
        <f t="shared" si="170"/>
        <v>Stove</v>
      </c>
      <c r="T882" s="23">
        <f t="shared" si="171"/>
        <v>0.12384325133329117</v>
      </c>
      <c r="U882" s="23">
        <f t="shared" si="172"/>
        <v>0.36424485686262109</v>
      </c>
      <c r="V882" s="23">
        <f t="shared" si="172"/>
        <v>0.1889644746787604</v>
      </c>
      <c r="W882" s="23">
        <f t="shared" si="173"/>
        <v>0.39852123185456517</v>
      </c>
      <c r="X882" s="904">
        <f t="shared" si="174"/>
        <v>149</v>
      </c>
      <c r="Y882" s="904">
        <f t="shared" si="174"/>
        <v>159</v>
      </c>
      <c r="Z882" s="904">
        <f t="shared" si="174"/>
        <v>145</v>
      </c>
      <c r="AA882" s="904">
        <f t="shared" si="162"/>
        <v>113</v>
      </c>
      <c r="AB882" s="24">
        <v>42</v>
      </c>
    </row>
    <row r="883" spans="1:28" x14ac:dyDescent="0.25">
      <c r="A883" s="903"/>
      <c r="B883" t="s">
        <v>4</v>
      </c>
      <c r="C883" s="906" t="s">
        <v>263</v>
      </c>
      <c r="D883" s="25">
        <v>0.7</v>
      </c>
      <c r="E883" s="903">
        <v>11</v>
      </c>
      <c r="F883" s="903">
        <v>1</v>
      </c>
      <c r="G883" s="903" t="s">
        <v>264</v>
      </c>
      <c r="H883" s="904">
        <f t="shared" si="163"/>
        <v>6</v>
      </c>
      <c r="I883" s="904">
        <f t="shared" si="164"/>
        <v>11</v>
      </c>
      <c r="J883" s="21">
        <f t="shared" si="165"/>
        <v>10600</v>
      </c>
      <c r="K883" s="21">
        <f t="shared" si="166"/>
        <v>10600</v>
      </c>
      <c r="L883" s="21">
        <f t="shared" si="167"/>
        <v>17325</v>
      </c>
      <c r="M883" s="21">
        <f t="shared" si="168"/>
        <v>24050</v>
      </c>
      <c r="N883" s="904">
        <f t="shared" si="169"/>
        <v>117</v>
      </c>
      <c r="O883" s="21"/>
      <c r="P883" s="22" t="s">
        <v>2</v>
      </c>
      <c r="Q883" s="22">
        <v>0.63</v>
      </c>
      <c r="R883" s="904" t="s">
        <v>42</v>
      </c>
      <c r="S883" s="904" t="str">
        <f t="shared" si="170"/>
        <v>Stove</v>
      </c>
      <c r="T883" s="23">
        <f t="shared" si="171"/>
        <v>6.4166730833397495E-2</v>
      </c>
      <c r="U883" s="23">
        <f t="shared" si="172"/>
        <v>0.14558583740973677</v>
      </c>
      <c r="V883" s="23">
        <f t="shared" si="172"/>
        <v>8.9074163148237226E-2</v>
      </c>
      <c r="W883" s="23">
        <f t="shared" si="173"/>
        <v>0.14558583740973677</v>
      </c>
      <c r="X883" s="904">
        <f t="shared" si="174"/>
        <v>28</v>
      </c>
      <c r="Y883" s="904">
        <f t="shared" si="174"/>
        <v>16</v>
      </c>
      <c r="Z883" s="904">
        <f t="shared" si="174"/>
        <v>18</v>
      </c>
      <c r="AA883" s="904">
        <f t="shared" si="162"/>
        <v>7</v>
      </c>
      <c r="AB883" s="24">
        <v>2</v>
      </c>
    </row>
    <row r="884" spans="1:28" x14ac:dyDescent="0.25">
      <c r="A884" s="903"/>
      <c r="B884" t="s">
        <v>4</v>
      </c>
      <c r="C884" s="906" t="s">
        <v>208</v>
      </c>
      <c r="D884" s="25">
        <v>3.5</v>
      </c>
      <c r="E884" s="903">
        <v>432</v>
      </c>
      <c r="F884" s="903">
        <v>181</v>
      </c>
      <c r="G884" s="903" t="s">
        <v>209</v>
      </c>
      <c r="H884" s="904">
        <f t="shared" si="163"/>
        <v>6</v>
      </c>
      <c r="I884" s="904">
        <f t="shared" si="164"/>
        <v>11</v>
      </c>
      <c r="J884" s="21">
        <f t="shared" si="165"/>
        <v>11100</v>
      </c>
      <c r="K884" s="21">
        <f t="shared" si="166"/>
        <v>13770.000000000002</v>
      </c>
      <c r="L884" s="21">
        <f t="shared" si="167"/>
        <v>25800</v>
      </c>
      <c r="M884" s="21">
        <f t="shared" si="168"/>
        <v>40500</v>
      </c>
      <c r="N884" s="904">
        <f t="shared" si="169"/>
        <v>742</v>
      </c>
      <c r="O884" s="21"/>
      <c r="P884" s="22" t="s">
        <v>2</v>
      </c>
      <c r="Q884" s="22">
        <v>0.63</v>
      </c>
      <c r="R884" s="904" t="s">
        <v>42</v>
      </c>
      <c r="S884" s="904" t="str">
        <f t="shared" si="170"/>
        <v>Stove</v>
      </c>
      <c r="T884" s="23">
        <f t="shared" si="171"/>
        <v>0.19051973784484072</v>
      </c>
      <c r="U884" s="23">
        <f t="shared" si="172"/>
        <v>0.56035217013188443</v>
      </c>
      <c r="V884" s="23">
        <f t="shared" si="172"/>
        <v>0.29907168150062208</v>
      </c>
      <c r="W884" s="23">
        <f t="shared" si="173"/>
        <v>0.69513958402847287</v>
      </c>
      <c r="X884" s="904">
        <f t="shared" si="174"/>
        <v>346</v>
      </c>
      <c r="Y884" s="904">
        <f t="shared" si="174"/>
        <v>375</v>
      </c>
      <c r="Z884" s="904">
        <f t="shared" si="174"/>
        <v>355</v>
      </c>
      <c r="AA884" s="904">
        <f t="shared" si="162"/>
        <v>410</v>
      </c>
      <c r="AB884" s="24">
        <v>156</v>
      </c>
    </row>
    <row r="885" spans="1:28" x14ac:dyDescent="0.25">
      <c r="A885" s="903"/>
      <c r="B885" t="s">
        <v>4</v>
      </c>
      <c r="C885" s="906" t="s">
        <v>265</v>
      </c>
      <c r="D885" s="25">
        <v>2.7</v>
      </c>
      <c r="E885" s="903">
        <v>257</v>
      </c>
      <c r="F885" s="903">
        <v>109</v>
      </c>
      <c r="G885" s="903" t="s">
        <v>266</v>
      </c>
      <c r="H885" s="904">
        <f t="shared" si="163"/>
        <v>6</v>
      </c>
      <c r="I885" s="904">
        <f t="shared" si="164"/>
        <v>11</v>
      </c>
      <c r="J885" s="21">
        <f t="shared" si="165"/>
        <v>11800</v>
      </c>
      <c r="K885" s="21">
        <f t="shared" si="166"/>
        <v>23324</v>
      </c>
      <c r="L885" s="21">
        <f t="shared" si="167"/>
        <v>40200</v>
      </c>
      <c r="M885" s="21">
        <f t="shared" si="168"/>
        <v>68600</v>
      </c>
      <c r="N885" s="904">
        <f t="shared" si="169"/>
        <v>951</v>
      </c>
      <c r="O885" s="21"/>
      <c r="P885" s="22" t="s">
        <v>2</v>
      </c>
      <c r="Q885" s="22">
        <v>0.72</v>
      </c>
      <c r="R885" s="904" t="s">
        <v>38</v>
      </c>
      <c r="S885" s="904" t="str">
        <f t="shared" si="170"/>
        <v>Stove</v>
      </c>
      <c r="T885" s="23">
        <f t="shared" si="171"/>
        <v>8.6769401638206303E-2</v>
      </c>
      <c r="U885" s="23">
        <f t="shared" si="172"/>
        <v>0.25520412246531265</v>
      </c>
      <c r="V885" s="23">
        <f t="shared" si="172"/>
        <v>0.14806917791992419</v>
      </c>
      <c r="W885" s="23">
        <f t="shared" si="173"/>
        <v>0.50443906376109771</v>
      </c>
      <c r="X885" s="904">
        <f t="shared" si="174"/>
        <v>60</v>
      </c>
      <c r="Y885" s="904">
        <f t="shared" si="174"/>
        <v>68</v>
      </c>
      <c r="Z885" s="904">
        <f t="shared" si="174"/>
        <v>73</v>
      </c>
      <c r="AA885" s="904">
        <f t="shared" si="162"/>
        <v>194</v>
      </c>
      <c r="AB885" s="24">
        <v>24</v>
      </c>
    </row>
    <row r="886" spans="1:28" x14ac:dyDescent="0.25">
      <c r="A886" s="903"/>
      <c r="B886" t="s">
        <v>4</v>
      </c>
      <c r="C886" s="906" t="s">
        <v>267</v>
      </c>
      <c r="D886" s="25">
        <v>3.1</v>
      </c>
      <c r="E886" s="903">
        <v>347</v>
      </c>
      <c r="F886" s="903">
        <v>146</v>
      </c>
      <c r="G886" s="903" t="s">
        <v>268</v>
      </c>
      <c r="H886" s="904">
        <f t="shared" si="163"/>
        <v>5</v>
      </c>
      <c r="I886" s="904">
        <f t="shared" si="164"/>
        <v>10</v>
      </c>
      <c r="J886" s="21">
        <f t="shared" si="165"/>
        <v>9100</v>
      </c>
      <c r="K886" s="21">
        <f t="shared" si="166"/>
        <v>11832</v>
      </c>
      <c r="L886" s="21">
        <f t="shared" si="167"/>
        <v>21950</v>
      </c>
      <c r="M886" s="21">
        <f t="shared" si="168"/>
        <v>34800</v>
      </c>
      <c r="N886" s="904">
        <f t="shared" si="169"/>
        <v>467</v>
      </c>
      <c r="O886" s="21"/>
      <c r="P886" s="22" t="s">
        <v>2</v>
      </c>
      <c r="Q886" s="22">
        <v>0.72</v>
      </c>
      <c r="R886" s="904" t="s">
        <v>38</v>
      </c>
      <c r="S886" s="904" t="str">
        <f t="shared" si="170"/>
        <v>Stove</v>
      </c>
      <c r="T886" s="23">
        <f t="shared" si="171"/>
        <v>0.19638549332035923</v>
      </c>
      <c r="U886" s="23">
        <f t="shared" si="172"/>
        <v>0.57760439211870362</v>
      </c>
      <c r="V886" s="23">
        <f t="shared" si="172"/>
        <v>0.31135376617533034</v>
      </c>
      <c r="W886" s="23">
        <f t="shared" si="173"/>
        <v>0.75101265577456056</v>
      </c>
      <c r="X886" s="904">
        <f t="shared" si="174"/>
        <v>371</v>
      </c>
      <c r="Y886" s="904">
        <f t="shared" si="174"/>
        <v>401</v>
      </c>
      <c r="Z886" s="904">
        <f t="shared" si="174"/>
        <v>394</v>
      </c>
      <c r="AA886" s="904">
        <f t="shared" si="162"/>
        <v>466</v>
      </c>
      <c r="AB886" s="24">
        <v>160</v>
      </c>
    </row>
    <row r="887" spans="1:28" x14ac:dyDescent="0.25">
      <c r="A887" s="903"/>
      <c r="B887" t="s">
        <v>4</v>
      </c>
      <c r="C887" s="906" t="s">
        <v>269</v>
      </c>
      <c r="D887" s="25">
        <v>2.2000000000000002</v>
      </c>
      <c r="E887" s="903">
        <v>169</v>
      </c>
      <c r="F887" s="903">
        <v>64</v>
      </c>
      <c r="G887" s="903" t="s">
        <v>270</v>
      </c>
      <c r="H887" s="904">
        <f t="shared" si="163"/>
        <v>5</v>
      </c>
      <c r="I887" s="904">
        <f t="shared" si="164"/>
        <v>10</v>
      </c>
      <c r="J887" s="21">
        <f t="shared" si="165"/>
        <v>9500</v>
      </c>
      <c r="K887" s="21">
        <f t="shared" si="166"/>
        <v>10778</v>
      </c>
      <c r="L887" s="21">
        <f t="shared" si="167"/>
        <v>20600</v>
      </c>
      <c r="M887" s="21">
        <f t="shared" si="168"/>
        <v>31700</v>
      </c>
      <c r="N887" s="904">
        <f t="shared" si="169"/>
        <v>370</v>
      </c>
      <c r="O887" s="21"/>
      <c r="P887" s="22" t="s">
        <v>2</v>
      </c>
      <c r="Q887" s="22">
        <v>0.72</v>
      </c>
      <c r="R887" s="904" t="s">
        <v>38</v>
      </c>
      <c r="S887" s="904" t="str">
        <f t="shared" si="170"/>
        <v>Stove</v>
      </c>
      <c r="T887" s="23">
        <f t="shared" si="171"/>
        <v>0.15299962723727181</v>
      </c>
      <c r="U887" s="23">
        <f t="shared" si="172"/>
        <v>0.44999890363903478</v>
      </c>
      <c r="V887" s="23">
        <f t="shared" si="172"/>
        <v>0.2354411739525008</v>
      </c>
      <c r="W887" s="23">
        <f t="shared" si="173"/>
        <v>0.51053559825489647</v>
      </c>
      <c r="X887" s="904">
        <f t="shared" si="174"/>
        <v>224</v>
      </c>
      <c r="Y887" s="904">
        <f t="shared" si="174"/>
        <v>237</v>
      </c>
      <c r="Z887" s="904">
        <f t="shared" si="174"/>
        <v>213</v>
      </c>
      <c r="AA887" s="904">
        <f t="shared" si="162"/>
        <v>205</v>
      </c>
      <c r="AB887" s="24">
        <v>94</v>
      </c>
    </row>
    <row r="888" spans="1:28" x14ac:dyDescent="0.25">
      <c r="A888" s="903"/>
      <c r="B888" t="s">
        <v>4</v>
      </c>
      <c r="C888" s="906" t="s">
        <v>271</v>
      </c>
      <c r="D888" s="25">
        <v>3.1</v>
      </c>
      <c r="E888" s="903">
        <v>347</v>
      </c>
      <c r="F888" s="903">
        <v>146</v>
      </c>
      <c r="G888" s="903" t="s">
        <v>272</v>
      </c>
      <c r="H888" s="904">
        <f t="shared" si="163"/>
        <v>5</v>
      </c>
      <c r="I888" s="904">
        <f t="shared" si="164"/>
        <v>10</v>
      </c>
      <c r="J888" s="21">
        <f t="shared" si="165"/>
        <v>7800</v>
      </c>
      <c r="K888" s="21">
        <f t="shared" si="166"/>
        <v>9962</v>
      </c>
      <c r="L888" s="21">
        <f t="shared" si="167"/>
        <v>18550</v>
      </c>
      <c r="M888" s="21">
        <f t="shared" si="168"/>
        <v>29300</v>
      </c>
      <c r="N888" s="904">
        <f t="shared" si="169"/>
        <v>196</v>
      </c>
      <c r="O888" s="21"/>
      <c r="P888" s="22" t="s">
        <v>2</v>
      </c>
      <c r="Q888" s="22">
        <v>0.72</v>
      </c>
      <c r="R888" s="904" t="s">
        <v>38</v>
      </c>
      <c r="S888" s="904" t="str">
        <f t="shared" si="170"/>
        <v>Stove</v>
      </c>
      <c r="T888" s="23">
        <f t="shared" si="171"/>
        <v>0.23324966442145054</v>
      </c>
      <c r="U888" s="23">
        <f t="shared" si="172"/>
        <v>0.68602842476897219</v>
      </c>
      <c r="V888" s="23">
        <f t="shared" si="172"/>
        <v>0.36842130283280328</v>
      </c>
      <c r="W888" s="23">
        <f t="shared" si="173"/>
        <v>0.87618143173698726</v>
      </c>
      <c r="X888" s="904">
        <f t="shared" si="174"/>
        <v>505</v>
      </c>
      <c r="Y888" s="904">
        <f t="shared" si="174"/>
        <v>548</v>
      </c>
      <c r="Z888" s="904">
        <f t="shared" si="174"/>
        <v>529</v>
      </c>
      <c r="AA888" s="904">
        <f t="shared" si="162"/>
        <v>615</v>
      </c>
      <c r="AB888" s="24">
        <v>205</v>
      </c>
    </row>
    <row r="889" spans="1:28" x14ac:dyDescent="0.25">
      <c r="A889" s="903"/>
      <c r="B889" t="s">
        <v>4</v>
      </c>
      <c r="C889" s="906" t="s">
        <v>273</v>
      </c>
      <c r="D889" s="25">
        <v>1.3</v>
      </c>
      <c r="E889" s="903">
        <v>53</v>
      </c>
      <c r="F889" s="903">
        <v>15</v>
      </c>
      <c r="G889" s="903" t="s">
        <v>274</v>
      </c>
      <c r="H889" s="904">
        <f t="shared" si="163"/>
        <v>6</v>
      </c>
      <c r="I889" s="904">
        <f t="shared" si="164"/>
        <v>11</v>
      </c>
      <c r="J889" s="21">
        <f t="shared" si="165"/>
        <v>10400</v>
      </c>
      <c r="K889" s="21">
        <f t="shared" si="166"/>
        <v>10400</v>
      </c>
      <c r="L889" s="21">
        <f t="shared" si="167"/>
        <v>18450</v>
      </c>
      <c r="M889" s="21">
        <f t="shared" si="168"/>
        <v>26500</v>
      </c>
      <c r="N889" s="904">
        <f t="shared" si="169"/>
        <v>191</v>
      </c>
      <c r="O889" s="21"/>
      <c r="P889" s="22" t="s">
        <v>2</v>
      </c>
      <c r="Q889" s="22">
        <v>0.72</v>
      </c>
      <c r="R889" s="904" t="s">
        <v>38</v>
      </c>
      <c r="S889" s="904" t="str">
        <f t="shared" si="170"/>
        <v>Stove</v>
      </c>
      <c r="T889" s="23">
        <f t="shared" si="171"/>
        <v>0.10814947921866161</v>
      </c>
      <c r="U889" s="23">
        <f t="shared" si="172"/>
        <v>0.27557319223985893</v>
      </c>
      <c r="V889" s="23">
        <f t="shared" si="172"/>
        <v>0.15533665036826735</v>
      </c>
      <c r="W889" s="23">
        <f t="shared" si="173"/>
        <v>0.27557319223985893</v>
      </c>
      <c r="X889" s="904">
        <f t="shared" si="174"/>
        <v>111</v>
      </c>
      <c r="Y889" s="904">
        <f t="shared" si="174"/>
        <v>80</v>
      </c>
      <c r="Z889" s="904">
        <f t="shared" si="174"/>
        <v>82</v>
      </c>
      <c r="AA889" s="904">
        <f t="shared" si="162"/>
        <v>51</v>
      </c>
      <c r="AB889" s="24">
        <v>31</v>
      </c>
    </row>
    <row r="890" spans="1:28" x14ac:dyDescent="0.25">
      <c r="A890" s="903"/>
      <c r="B890" t="s">
        <v>4</v>
      </c>
      <c r="C890" s="906" t="s">
        <v>210</v>
      </c>
      <c r="D890" s="25">
        <v>5</v>
      </c>
      <c r="E890" s="903">
        <v>756</v>
      </c>
      <c r="F890" s="903">
        <v>417</v>
      </c>
      <c r="G890" s="903" t="s">
        <v>211</v>
      </c>
      <c r="H890" s="904">
        <f t="shared" si="163"/>
        <v>6</v>
      </c>
      <c r="I890" s="904">
        <f t="shared" si="164"/>
        <v>11</v>
      </c>
      <c r="J890" s="21">
        <f t="shared" si="165"/>
        <v>11500</v>
      </c>
      <c r="K890" s="21">
        <f t="shared" si="166"/>
        <v>11500</v>
      </c>
      <c r="L890" s="21">
        <f t="shared" si="167"/>
        <v>15200</v>
      </c>
      <c r="M890" s="21">
        <f t="shared" si="168"/>
        <v>18900</v>
      </c>
      <c r="N890" s="904">
        <f t="shared" si="169"/>
        <v>41</v>
      </c>
      <c r="O890" s="21"/>
      <c r="P890" s="22" t="s">
        <v>2</v>
      </c>
      <c r="Q890" s="22">
        <v>0.63</v>
      </c>
      <c r="R890" s="904" t="s">
        <v>42</v>
      </c>
      <c r="S890" s="904" t="str">
        <f t="shared" si="170"/>
        <v>Stove</v>
      </c>
      <c r="T890" s="23">
        <f t="shared" si="171"/>
        <v>0.58322368728012464</v>
      </c>
      <c r="U890" s="23">
        <f t="shared" si="172"/>
        <v>0.95851545126907445</v>
      </c>
      <c r="V890" s="23">
        <f t="shared" si="172"/>
        <v>0.72519261115752343</v>
      </c>
      <c r="W890" s="23">
        <f t="shared" si="173"/>
        <v>0.95851545126907445</v>
      </c>
      <c r="X890" s="904">
        <f t="shared" si="174"/>
        <v>930</v>
      </c>
      <c r="Y890" s="904">
        <f t="shared" si="174"/>
        <v>791</v>
      </c>
      <c r="Z890" s="904">
        <f t="shared" si="174"/>
        <v>903</v>
      </c>
      <c r="AA890" s="904">
        <f t="shared" si="162"/>
        <v>689</v>
      </c>
      <c r="AB890" s="24">
        <v>458</v>
      </c>
    </row>
    <row r="891" spans="1:28" x14ac:dyDescent="0.25">
      <c r="A891" s="903"/>
      <c r="B891" t="s">
        <v>4</v>
      </c>
      <c r="C891" s="906" t="s">
        <v>275</v>
      </c>
      <c r="D891" s="25">
        <v>3.1</v>
      </c>
      <c r="E891" s="903">
        <v>347</v>
      </c>
      <c r="F891" s="903">
        <v>146</v>
      </c>
      <c r="G891" s="903" t="s">
        <v>276</v>
      </c>
      <c r="H891" s="904">
        <f t="shared" si="163"/>
        <v>6</v>
      </c>
      <c r="I891" s="904">
        <f t="shared" si="164"/>
        <v>11</v>
      </c>
      <c r="J891" s="21">
        <f t="shared" si="165"/>
        <v>10200</v>
      </c>
      <c r="K891" s="21">
        <f t="shared" si="166"/>
        <v>10200</v>
      </c>
      <c r="L891" s="21">
        <f t="shared" si="167"/>
        <v>16350</v>
      </c>
      <c r="M891" s="21">
        <f t="shared" si="168"/>
        <v>22500</v>
      </c>
      <c r="N891" s="904">
        <f t="shared" si="169"/>
        <v>74</v>
      </c>
      <c r="O891" s="21"/>
      <c r="P891" s="22" t="s">
        <v>2</v>
      </c>
      <c r="Q891" s="22">
        <v>0.72</v>
      </c>
      <c r="R891" s="904" t="s">
        <v>38</v>
      </c>
      <c r="S891" s="904" t="str">
        <f t="shared" si="170"/>
        <v>Stove</v>
      </c>
      <c r="T891" s="23">
        <f t="shared" si="171"/>
        <v>0.30374289633548895</v>
      </c>
      <c r="U891" s="23">
        <f t="shared" si="172"/>
        <v>0.67002109485769612</v>
      </c>
      <c r="V891" s="23">
        <f t="shared" si="172"/>
        <v>0.41799481147085632</v>
      </c>
      <c r="W891" s="23">
        <f t="shared" si="173"/>
        <v>0.67002109485769612</v>
      </c>
      <c r="X891" s="904">
        <f t="shared" si="174"/>
        <v>678</v>
      </c>
      <c r="Y891" s="904">
        <f t="shared" si="174"/>
        <v>524</v>
      </c>
      <c r="Z891" s="904">
        <f t="shared" si="174"/>
        <v>628</v>
      </c>
      <c r="AA891" s="904">
        <f t="shared" si="162"/>
        <v>381</v>
      </c>
      <c r="AB891" s="24">
        <v>197</v>
      </c>
    </row>
    <row r="892" spans="1:28" x14ac:dyDescent="0.25">
      <c r="A892" s="903"/>
      <c r="B892" t="s">
        <v>4</v>
      </c>
      <c r="C892" s="906" t="s">
        <v>277</v>
      </c>
      <c r="D892" s="25">
        <v>2.1</v>
      </c>
      <c r="E892" s="903">
        <v>145</v>
      </c>
      <c r="F892" s="903">
        <v>53</v>
      </c>
      <c r="G892" s="903" t="s">
        <v>278</v>
      </c>
      <c r="H892" s="904">
        <f t="shared" si="163"/>
        <v>5</v>
      </c>
      <c r="I892" s="904">
        <f t="shared" si="164"/>
        <v>10</v>
      </c>
      <c r="J892" s="21">
        <f t="shared" si="165"/>
        <v>8300</v>
      </c>
      <c r="K892" s="21">
        <f t="shared" si="166"/>
        <v>9078</v>
      </c>
      <c r="L892" s="21">
        <f t="shared" si="167"/>
        <v>17500</v>
      </c>
      <c r="M892" s="21">
        <f t="shared" si="168"/>
        <v>26700</v>
      </c>
      <c r="N892" s="904">
        <f t="shared" si="169"/>
        <v>131</v>
      </c>
      <c r="O892" s="21"/>
      <c r="P892" s="22" t="s">
        <v>2</v>
      </c>
      <c r="Q892" s="22">
        <v>0.72</v>
      </c>
      <c r="R892" s="904" t="s">
        <v>38</v>
      </c>
      <c r="S892" s="904" t="str">
        <f t="shared" si="170"/>
        <v>Stove</v>
      </c>
      <c r="T892" s="23">
        <f t="shared" si="171"/>
        <v>0.17339436815092246</v>
      </c>
      <c r="U892" s="23">
        <f t="shared" si="172"/>
        <v>0.5099834357380072</v>
      </c>
      <c r="V892" s="23">
        <f t="shared" si="172"/>
        <v>0.26455026455026454</v>
      </c>
      <c r="W892" s="23">
        <f t="shared" si="173"/>
        <v>0.5577867023650156</v>
      </c>
      <c r="X892" s="904">
        <f t="shared" si="174"/>
        <v>283</v>
      </c>
      <c r="Y892" s="904">
        <f t="shared" si="174"/>
        <v>303</v>
      </c>
      <c r="Z892" s="904">
        <f t="shared" si="174"/>
        <v>269</v>
      </c>
      <c r="AA892" s="904">
        <f t="shared" si="162"/>
        <v>252</v>
      </c>
      <c r="AB892" s="24">
        <v>127</v>
      </c>
    </row>
    <row r="893" spans="1:28" x14ac:dyDescent="0.25">
      <c r="A893" s="903"/>
      <c r="B893" t="s">
        <v>4</v>
      </c>
      <c r="C893" s="906" t="s">
        <v>279</v>
      </c>
      <c r="D893" s="25">
        <v>2.4</v>
      </c>
      <c r="E893" s="903">
        <v>196</v>
      </c>
      <c r="F893" s="903">
        <v>75</v>
      </c>
      <c r="G893" s="903" t="s">
        <v>280</v>
      </c>
      <c r="H893" s="904">
        <f t="shared" si="163"/>
        <v>5</v>
      </c>
      <c r="I893" s="904">
        <f t="shared" si="164"/>
        <v>10</v>
      </c>
      <c r="J893" s="21">
        <f t="shared" si="165"/>
        <v>9200</v>
      </c>
      <c r="K893" s="21">
        <f t="shared" si="166"/>
        <v>9200</v>
      </c>
      <c r="L893" s="21">
        <f t="shared" si="167"/>
        <v>14250</v>
      </c>
      <c r="M893" s="21">
        <f t="shared" si="168"/>
        <v>19300</v>
      </c>
      <c r="N893" s="904">
        <f t="shared" si="169"/>
        <v>26</v>
      </c>
      <c r="O893" s="21"/>
      <c r="P893" s="22" t="s">
        <v>2</v>
      </c>
      <c r="Q893" s="22">
        <v>0.72</v>
      </c>
      <c r="R893" s="904" t="s">
        <v>38</v>
      </c>
      <c r="S893" s="904" t="str">
        <f t="shared" si="170"/>
        <v>Stove</v>
      </c>
      <c r="T893" s="23">
        <f t="shared" si="171"/>
        <v>0.27414535186555911</v>
      </c>
      <c r="U893" s="23">
        <f t="shared" si="172"/>
        <v>0.57510927076144469</v>
      </c>
      <c r="V893" s="23">
        <f t="shared" si="172"/>
        <v>0.37129861691265198</v>
      </c>
      <c r="W893" s="23">
        <f t="shared" si="173"/>
        <v>0.57510927076144469</v>
      </c>
      <c r="X893" s="904">
        <f t="shared" si="174"/>
        <v>612</v>
      </c>
      <c r="Y893" s="904">
        <f t="shared" si="174"/>
        <v>398</v>
      </c>
      <c r="Z893" s="904">
        <f t="shared" si="174"/>
        <v>543</v>
      </c>
      <c r="AA893" s="904">
        <f t="shared" si="162"/>
        <v>269</v>
      </c>
      <c r="AB893" s="24">
        <v>158</v>
      </c>
    </row>
    <row r="894" spans="1:28" x14ac:dyDescent="0.25">
      <c r="A894" s="903"/>
      <c r="B894" t="s">
        <v>4</v>
      </c>
      <c r="C894" s="906" t="s">
        <v>281</v>
      </c>
      <c r="D894" s="25">
        <v>3.3</v>
      </c>
      <c r="E894" s="903">
        <v>393</v>
      </c>
      <c r="F894" s="903">
        <v>152</v>
      </c>
      <c r="G894" s="903" t="s">
        <v>282</v>
      </c>
      <c r="H894" s="904">
        <f t="shared" si="163"/>
        <v>5</v>
      </c>
      <c r="I894" s="904">
        <f t="shared" si="164"/>
        <v>10</v>
      </c>
      <c r="J894" s="21">
        <f t="shared" si="165"/>
        <v>8200</v>
      </c>
      <c r="K894" s="21">
        <f t="shared" si="166"/>
        <v>8200</v>
      </c>
      <c r="L894" s="21">
        <f t="shared" si="167"/>
        <v>13850</v>
      </c>
      <c r="M894" s="21">
        <f t="shared" si="168"/>
        <v>19500</v>
      </c>
      <c r="N894" s="904">
        <f t="shared" si="169"/>
        <v>19</v>
      </c>
      <c r="O894" s="21"/>
      <c r="P894" s="22" t="s">
        <v>2</v>
      </c>
      <c r="Q894" s="22">
        <v>0.63</v>
      </c>
      <c r="R894" s="904" t="s">
        <v>42</v>
      </c>
      <c r="S894" s="904" t="str">
        <f t="shared" si="170"/>
        <v>Stove</v>
      </c>
      <c r="T894" s="23">
        <f t="shared" si="171"/>
        <v>0.37308370641703975</v>
      </c>
      <c r="U894" s="23">
        <f t="shared" si="172"/>
        <v>0.88721125306491155</v>
      </c>
      <c r="V894" s="23">
        <f t="shared" si="172"/>
        <v>0.52528030867381048</v>
      </c>
      <c r="W894" s="23">
        <f t="shared" si="173"/>
        <v>0.88721125306491155</v>
      </c>
      <c r="X894" s="904">
        <f t="shared" si="174"/>
        <v>802</v>
      </c>
      <c r="Y894" s="904">
        <f t="shared" si="174"/>
        <v>731</v>
      </c>
      <c r="Z894" s="904">
        <f t="shared" si="174"/>
        <v>771</v>
      </c>
      <c r="AA894" s="904">
        <f t="shared" si="162"/>
        <v>633</v>
      </c>
      <c r="AB894" s="24">
        <v>409</v>
      </c>
    </row>
    <row r="895" spans="1:28" x14ac:dyDescent="0.25">
      <c r="A895" s="903"/>
      <c r="B895" t="s">
        <v>4</v>
      </c>
      <c r="C895" s="906" t="s">
        <v>1750</v>
      </c>
      <c r="D895" s="25">
        <v>4.4000000000000004</v>
      </c>
      <c r="E895" s="903">
        <v>660</v>
      </c>
      <c r="F895" s="903">
        <v>338</v>
      </c>
      <c r="G895" s="903" t="s">
        <v>221</v>
      </c>
      <c r="H895" s="904">
        <f t="shared" si="163"/>
        <v>6</v>
      </c>
      <c r="I895" s="904">
        <f t="shared" si="164"/>
        <v>11</v>
      </c>
      <c r="J895" s="21">
        <f t="shared" si="165"/>
        <v>10300</v>
      </c>
      <c r="K895" s="21">
        <f t="shared" si="166"/>
        <v>10300</v>
      </c>
      <c r="L895" s="21">
        <f t="shared" si="167"/>
        <v>19750</v>
      </c>
      <c r="M895" s="21">
        <f t="shared" si="168"/>
        <v>29200</v>
      </c>
      <c r="N895" s="904">
        <f t="shared" si="169"/>
        <v>294</v>
      </c>
      <c r="O895" s="21"/>
      <c r="P895" s="22" t="s">
        <v>2</v>
      </c>
      <c r="Q895" s="22">
        <v>0.63</v>
      </c>
      <c r="R895" s="904" t="s">
        <v>42</v>
      </c>
      <c r="S895" s="904" t="str">
        <f t="shared" si="170"/>
        <v>Stove</v>
      </c>
      <c r="T895" s="23">
        <f t="shared" si="171"/>
        <v>0.33219782078229565</v>
      </c>
      <c r="U895" s="23">
        <f t="shared" si="172"/>
        <v>0.94176469581000322</v>
      </c>
      <c r="V895" s="23">
        <f t="shared" si="172"/>
        <v>0.49114817047306497</v>
      </c>
      <c r="W895" s="23">
        <f t="shared" si="173"/>
        <v>0.94176469581000322</v>
      </c>
      <c r="X895" s="904">
        <f t="shared" si="174"/>
        <v>738</v>
      </c>
      <c r="Y895" s="904">
        <f t="shared" si="174"/>
        <v>774</v>
      </c>
      <c r="Z895" s="904">
        <f t="shared" si="174"/>
        <v>732</v>
      </c>
      <c r="AA895" s="904">
        <f t="shared" si="162"/>
        <v>675</v>
      </c>
      <c r="AB895" s="24">
        <v>443</v>
      </c>
    </row>
    <row r="896" spans="1:28" x14ac:dyDescent="0.25">
      <c r="A896" s="903"/>
      <c r="B896" t="s">
        <v>4</v>
      </c>
      <c r="C896" s="906" t="s">
        <v>283</v>
      </c>
      <c r="D896" s="25">
        <v>5.5</v>
      </c>
      <c r="E896" s="903">
        <v>808</v>
      </c>
      <c r="F896" s="903">
        <v>458</v>
      </c>
      <c r="G896" s="903" t="s">
        <v>284</v>
      </c>
      <c r="H896" s="904">
        <f t="shared" si="163"/>
        <v>6</v>
      </c>
      <c r="I896" s="904">
        <f t="shared" si="164"/>
        <v>11</v>
      </c>
      <c r="J896" s="21">
        <f t="shared" si="165"/>
        <v>11400</v>
      </c>
      <c r="K896" s="21">
        <f t="shared" si="166"/>
        <v>11400</v>
      </c>
      <c r="L896" s="21">
        <f t="shared" si="167"/>
        <v>21200</v>
      </c>
      <c r="M896" s="21">
        <f t="shared" si="168"/>
        <v>31000</v>
      </c>
      <c r="N896" s="904">
        <f t="shared" si="169"/>
        <v>424</v>
      </c>
      <c r="O896" s="21"/>
      <c r="P896" s="22" t="s">
        <v>2</v>
      </c>
      <c r="Q896" s="22">
        <v>0.63</v>
      </c>
      <c r="R896" s="904" t="s">
        <v>42</v>
      </c>
      <c r="S896" s="904" t="str">
        <f t="shared" si="170"/>
        <v>Stove</v>
      </c>
      <c r="T896" s="23">
        <f t="shared" si="171"/>
        <v>0.39113614382431589</v>
      </c>
      <c r="U896" s="23">
        <f t="shared" si="172"/>
        <v>1.063615829697701</v>
      </c>
      <c r="V896" s="23">
        <f t="shared" si="172"/>
        <v>0.57194436125253734</v>
      </c>
      <c r="W896" s="23">
        <f t="shared" si="173"/>
        <v>1.063615829697701</v>
      </c>
      <c r="X896" s="904">
        <f t="shared" si="174"/>
        <v>819</v>
      </c>
      <c r="Y896" s="904">
        <f t="shared" si="174"/>
        <v>842</v>
      </c>
      <c r="Z896" s="904">
        <f t="shared" si="174"/>
        <v>818</v>
      </c>
      <c r="AA896" s="904">
        <f t="shared" si="162"/>
        <v>755</v>
      </c>
      <c r="AB896" s="24">
        <v>495</v>
      </c>
    </row>
    <row r="897" spans="1:28" x14ac:dyDescent="0.25">
      <c r="A897" s="903"/>
      <c r="B897" t="s">
        <v>4</v>
      </c>
      <c r="C897" s="906" t="s">
        <v>285</v>
      </c>
      <c r="D897" s="25">
        <v>3.3</v>
      </c>
      <c r="E897" s="903">
        <v>393</v>
      </c>
      <c r="F897" s="903">
        <v>152</v>
      </c>
      <c r="G897" s="903" t="s">
        <v>286</v>
      </c>
      <c r="H897" s="904">
        <f t="shared" si="163"/>
        <v>6</v>
      </c>
      <c r="I897" s="904">
        <f t="shared" si="164"/>
        <v>11</v>
      </c>
      <c r="J897" s="21">
        <f t="shared" si="165"/>
        <v>11300</v>
      </c>
      <c r="K897" s="21">
        <f t="shared" si="166"/>
        <v>13498.000000000002</v>
      </c>
      <c r="L897" s="21">
        <f t="shared" si="167"/>
        <v>25500</v>
      </c>
      <c r="M897" s="21">
        <f t="shared" si="168"/>
        <v>39700</v>
      </c>
      <c r="N897" s="904">
        <f t="shared" si="169"/>
        <v>724</v>
      </c>
      <c r="O897" s="21"/>
      <c r="P897" s="22" t="s">
        <v>2</v>
      </c>
      <c r="Q897" s="22">
        <v>0.63</v>
      </c>
      <c r="R897" s="904" t="s">
        <v>42</v>
      </c>
      <c r="S897" s="904" t="str">
        <f t="shared" si="170"/>
        <v>Stove</v>
      </c>
      <c r="T897" s="23">
        <f t="shared" si="171"/>
        <v>0.1832527021443898</v>
      </c>
      <c r="U897" s="23">
        <f t="shared" si="172"/>
        <v>0.53897853571879351</v>
      </c>
      <c r="V897" s="23">
        <f t="shared" si="172"/>
        <v>0.28529930490714805</v>
      </c>
      <c r="W897" s="23">
        <f t="shared" si="173"/>
        <v>0.6438170154984314</v>
      </c>
      <c r="X897" s="904">
        <f t="shared" si="174"/>
        <v>323</v>
      </c>
      <c r="Y897" s="904">
        <f t="shared" si="174"/>
        <v>348</v>
      </c>
      <c r="Z897" s="904">
        <f t="shared" si="174"/>
        <v>318</v>
      </c>
      <c r="AA897" s="904">
        <f t="shared" si="162"/>
        <v>342</v>
      </c>
      <c r="AB897" s="24">
        <v>139</v>
      </c>
    </row>
    <row r="898" spans="1:28" x14ac:dyDescent="0.25">
      <c r="A898" s="903"/>
      <c r="B898" t="s">
        <v>4</v>
      </c>
      <c r="C898" s="906" t="s">
        <v>287</v>
      </c>
      <c r="D898" s="25">
        <v>2.1</v>
      </c>
      <c r="E898" s="903">
        <v>145</v>
      </c>
      <c r="F898" s="903">
        <v>53</v>
      </c>
      <c r="G898" s="903" t="s">
        <v>288</v>
      </c>
      <c r="H898" s="904">
        <f t="shared" si="163"/>
        <v>5</v>
      </c>
      <c r="I898" s="904">
        <f t="shared" si="164"/>
        <v>10</v>
      </c>
      <c r="J898" s="21">
        <f t="shared" si="165"/>
        <v>9400</v>
      </c>
      <c r="K898" s="21">
        <f t="shared" si="166"/>
        <v>9400</v>
      </c>
      <c r="L898" s="21">
        <f t="shared" si="167"/>
        <v>16100</v>
      </c>
      <c r="M898" s="21">
        <f t="shared" si="168"/>
        <v>22800</v>
      </c>
      <c r="N898" s="904">
        <f t="shared" si="169"/>
        <v>67</v>
      </c>
      <c r="O898" s="21"/>
      <c r="P898" s="22" t="s">
        <v>2</v>
      </c>
      <c r="Q898" s="22">
        <v>0.72</v>
      </c>
      <c r="R898" s="904" t="s">
        <v>38</v>
      </c>
      <c r="S898" s="904" t="str">
        <f t="shared" si="170"/>
        <v>Stove</v>
      </c>
      <c r="T898" s="23">
        <f t="shared" si="171"/>
        <v>0.20305393112410655</v>
      </c>
      <c r="U898" s="23">
        <f t="shared" si="172"/>
        <v>0.4925137903861308</v>
      </c>
      <c r="V898" s="23">
        <f t="shared" si="172"/>
        <v>0.28755463538072235</v>
      </c>
      <c r="W898" s="23">
        <f t="shared" si="173"/>
        <v>0.4925137903861308</v>
      </c>
      <c r="X898" s="904">
        <f t="shared" si="174"/>
        <v>397</v>
      </c>
      <c r="Y898" s="904">
        <f t="shared" si="174"/>
        <v>288</v>
      </c>
      <c r="Z898" s="904">
        <f t="shared" si="174"/>
        <v>322</v>
      </c>
      <c r="AA898" s="904">
        <f t="shared" si="162"/>
        <v>181</v>
      </c>
      <c r="AB898" s="24">
        <v>123</v>
      </c>
    </row>
    <row r="899" spans="1:28" x14ac:dyDescent="0.25">
      <c r="A899" s="903"/>
      <c r="B899" t="s">
        <v>4</v>
      </c>
      <c r="C899" s="906" t="s">
        <v>212</v>
      </c>
      <c r="D899" s="25">
        <v>2.4</v>
      </c>
      <c r="E899" s="903">
        <v>196</v>
      </c>
      <c r="F899" s="903">
        <v>75</v>
      </c>
      <c r="G899" s="903" t="s">
        <v>213</v>
      </c>
      <c r="H899" s="904">
        <f t="shared" si="163"/>
        <v>6</v>
      </c>
      <c r="I899" s="904">
        <f t="shared" si="164"/>
        <v>11</v>
      </c>
      <c r="J899" s="21">
        <f t="shared" si="165"/>
        <v>11300</v>
      </c>
      <c r="K899" s="21">
        <f t="shared" si="166"/>
        <v>25670.000000000004</v>
      </c>
      <c r="L899" s="21">
        <f t="shared" si="167"/>
        <v>43400</v>
      </c>
      <c r="M899" s="21">
        <f t="shared" si="168"/>
        <v>75500</v>
      </c>
      <c r="N899" s="904">
        <f t="shared" si="169"/>
        <v>960</v>
      </c>
      <c r="O899" s="21"/>
      <c r="P899" s="22" t="s">
        <v>2</v>
      </c>
      <c r="Q899" s="22">
        <v>0.72</v>
      </c>
      <c r="R899" s="904" t="s">
        <v>38</v>
      </c>
      <c r="S899" s="904" t="str">
        <f t="shared" si="170"/>
        <v>Stove</v>
      </c>
      <c r="T899" s="23">
        <f t="shared" si="171"/>
        <v>7.0079540278215779E-2</v>
      </c>
      <c r="U899" s="23">
        <f t="shared" si="172"/>
        <v>0.20611629493592873</v>
      </c>
      <c r="V899" s="23">
        <f t="shared" si="172"/>
        <v>0.12191256430887767</v>
      </c>
      <c r="W899" s="23">
        <f t="shared" si="173"/>
        <v>0.46823055672613195</v>
      </c>
      <c r="X899" s="904">
        <f t="shared" si="174"/>
        <v>44</v>
      </c>
      <c r="Y899" s="904">
        <f t="shared" si="174"/>
        <v>53</v>
      </c>
      <c r="Z899" s="904">
        <f t="shared" si="174"/>
        <v>49</v>
      </c>
      <c r="AA899" s="904">
        <f t="shared" si="162"/>
        <v>161</v>
      </c>
      <c r="AB899" s="24">
        <v>15</v>
      </c>
    </row>
    <row r="900" spans="1:28" x14ac:dyDescent="0.25">
      <c r="A900" s="903"/>
      <c r="B900" t="s">
        <v>4</v>
      </c>
      <c r="C900" s="906" t="s">
        <v>289</v>
      </c>
      <c r="D900" s="25">
        <v>2.9</v>
      </c>
      <c r="E900" s="903">
        <v>295</v>
      </c>
      <c r="F900" s="903">
        <v>96</v>
      </c>
      <c r="G900" s="903" t="s">
        <v>226</v>
      </c>
      <c r="H900" s="904">
        <f t="shared" si="163"/>
        <v>6</v>
      </c>
      <c r="I900" s="904">
        <f t="shared" si="164"/>
        <v>11</v>
      </c>
      <c r="J900" s="21">
        <f t="shared" si="165"/>
        <v>10094</v>
      </c>
      <c r="K900" s="21">
        <f t="shared" si="166"/>
        <v>10094</v>
      </c>
      <c r="L900" s="21">
        <f t="shared" si="167"/>
        <v>18822</v>
      </c>
      <c r="M900" s="21">
        <f t="shared" si="168"/>
        <v>27550</v>
      </c>
      <c r="N900" s="904">
        <f t="shared" si="169"/>
        <v>226</v>
      </c>
      <c r="O900" s="21"/>
      <c r="P900" s="22" t="s">
        <v>2</v>
      </c>
      <c r="Q900" s="22">
        <v>0.63</v>
      </c>
      <c r="R900" s="904" t="s">
        <v>42</v>
      </c>
      <c r="S900" s="904" t="str">
        <f t="shared" si="170"/>
        <v>Stove</v>
      </c>
      <c r="T900" s="23">
        <f t="shared" si="171"/>
        <v>0.23206163557040749</v>
      </c>
      <c r="U900" s="23">
        <f t="shared" si="172"/>
        <v>0.63337607092973314</v>
      </c>
      <c r="V900" s="23">
        <f t="shared" si="172"/>
        <v>0.33967155774969321</v>
      </c>
      <c r="W900" s="23">
        <f t="shared" si="173"/>
        <v>0.63337607092973314</v>
      </c>
      <c r="X900" s="904">
        <f t="shared" si="174"/>
        <v>502</v>
      </c>
      <c r="Y900" s="904">
        <f t="shared" si="174"/>
        <v>473</v>
      </c>
      <c r="Z900" s="904">
        <f t="shared" si="174"/>
        <v>464</v>
      </c>
      <c r="AA900" s="904">
        <f t="shared" si="162"/>
        <v>326</v>
      </c>
      <c r="AB900" s="24">
        <v>213</v>
      </c>
    </row>
    <row r="901" spans="1:28" x14ac:dyDescent="0.25">
      <c r="A901" s="903"/>
      <c r="B901" t="s">
        <v>4</v>
      </c>
      <c r="C901" s="906" t="s">
        <v>290</v>
      </c>
      <c r="D901" s="25">
        <v>3.4</v>
      </c>
      <c r="E901" s="903">
        <v>415</v>
      </c>
      <c r="F901" s="903">
        <v>168</v>
      </c>
      <c r="G901" s="903" t="s">
        <v>291</v>
      </c>
      <c r="H901" s="904">
        <f t="shared" si="163"/>
        <v>5</v>
      </c>
      <c r="I901" s="904">
        <f t="shared" si="164"/>
        <v>10</v>
      </c>
      <c r="J901" s="21">
        <f t="shared" si="165"/>
        <v>9500</v>
      </c>
      <c r="K901" s="21">
        <f t="shared" si="166"/>
        <v>11526</v>
      </c>
      <c r="L901" s="21">
        <f t="shared" si="167"/>
        <v>21700</v>
      </c>
      <c r="M901" s="21">
        <f t="shared" si="168"/>
        <v>33900</v>
      </c>
      <c r="N901" s="904">
        <f t="shared" si="169"/>
        <v>444</v>
      </c>
      <c r="O901" s="21"/>
      <c r="P901" s="22" t="s">
        <v>2</v>
      </c>
      <c r="Q901" s="22">
        <v>0.63</v>
      </c>
      <c r="R901" s="904" t="s">
        <v>42</v>
      </c>
      <c r="S901" s="904" t="str">
        <f t="shared" si="170"/>
        <v>Stove</v>
      </c>
      <c r="T901" s="23">
        <f t="shared" si="171"/>
        <v>0.22110887400956231</v>
      </c>
      <c r="U901" s="23">
        <f t="shared" si="172"/>
        <v>0.65032021767518322</v>
      </c>
      <c r="V901" s="23">
        <f t="shared" si="172"/>
        <v>0.34541893220848674</v>
      </c>
      <c r="W901" s="23">
        <f t="shared" si="173"/>
        <v>0.78900956093938546</v>
      </c>
      <c r="X901" s="904">
        <f t="shared" si="174"/>
        <v>465</v>
      </c>
      <c r="Y901" s="904">
        <f t="shared" si="174"/>
        <v>499</v>
      </c>
      <c r="Z901" s="904">
        <f t="shared" si="174"/>
        <v>479</v>
      </c>
      <c r="AA901" s="904">
        <f t="shared" si="162"/>
        <v>513</v>
      </c>
      <c r="AB901" s="24">
        <v>236</v>
      </c>
    </row>
    <row r="902" spans="1:28" x14ac:dyDescent="0.25">
      <c r="A902" s="903"/>
      <c r="B902" t="s">
        <v>4</v>
      </c>
      <c r="C902" s="906" t="s">
        <v>292</v>
      </c>
      <c r="D902" s="25">
        <v>5.0999999999999996</v>
      </c>
      <c r="E902" s="903">
        <v>766</v>
      </c>
      <c r="F902" s="903">
        <v>259</v>
      </c>
      <c r="G902" s="903" t="s">
        <v>293</v>
      </c>
      <c r="H902" s="904">
        <f t="shared" si="163"/>
        <v>5</v>
      </c>
      <c r="I902" s="904">
        <f t="shared" si="164"/>
        <v>10</v>
      </c>
      <c r="J902" s="21">
        <f t="shared" si="165"/>
        <v>8700</v>
      </c>
      <c r="K902" s="21">
        <f t="shared" si="166"/>
        <v>10506</v>
      </c>
      <c r="L902" s="21">
        <f t="shared" si="167"/>
        <v>19800</v>
      </c>
      <c r="M902" s="21">
        <f t="shared" si="168"/>
        <v>30900</v>
      </c>
      <c r="N902" s="904">
        <f t="shared" si="169"/>
        <v>303</v>
      </c>
      <c r="O902" s="21"/>
      <c r="P902" s="22" t="s">
        <v>2</v>
      </c>
      <c r="Q902" s="22">
        <v>0.72</v>
      </c>
      <c r="R902" s="904" t="s">
        <v>38</v>
      </c>
      <c r="S902" s="904" t="str">
        <f t="shared" si="170"/>
        <v>Stove</v>
      </c>
      <c r="T902" s="23">
        <f t="shared" si="171"/>
        <v>0.36386363247204673</v>
      </c>
      <c r="U902" s="23">
        <f t="shared" si="172"/>
        <v>1.0701871543295489</v>
      </c>
      <c r="V902" s="23">
        <f t="shared" si="172"/>
        <v>0.56784779007001229</v>
      </c>
      <c r="W902" s="23">
        <f t="shared" si="173"/>
        <v>1.2923432463662348</v>
      </c>
      <c r="X902" s="904">
        <f t="shared" si="174"/>
        <v>788</v>
      </c>
      <c r="Y902" s="904">
        <f t="shared" si="174"/>
        <v>846</v>
      </c>
      <c r="Z902" s="904">
        <f t="shared" si="174"/>
        <v>815</v>
      </c>
      <c r="AA902" s="904">
        <f t="shared" si="162"/>
        <v>849</v>
      </c>
      <c r="AB902" s="24">
        <v>264</v>
      </c>
    </row>
    <row r="903" spans="1:28" x14ac:dyDescent="0.25">
      <c r="A903" s="903"/>
      <c r="B903" t="s">
        <v>4</v>
      </c>
      <c r="C903" s="906" t="s">
        <v>1751</v>
      </c>
      <c r="D903" s="25">
        <v>4.4000000000000004</v>
      </c>
      <c r="E903" s="903">
        <v>660</v>
      </c>
      <c r="F903" s="903">
        <v>338</v>
      </c>
      <c r="G903" s="903" t="s">
        <v>221</v>
      </c>
      <c r="H903" s="904">
        <f t="shared" si="163"/>
        <v>6</v>
      </c>
      <c r="I903" s="904">
        <f t="shared" si="164"/>
        <v>11</v>
      </c>
      <c r="J903" s="21">
        <f t="shared" si="165"/>
        <v>10300</v>
      </c>
      <c r="K903" s="21">
        <f t="shared" si="166"/>
        <v>10300</v>
      </c>
      <c r="L903" s="21">
        <f t="shared" si="167"/>
        <v>19750</v>
      </c>
      <c r="M903" s="21">
        <f t="shared" si="168"/>
        <v>29200</v>
      </c>
      <c r="N903" s="904">
        <f t="shared" si="169"/>
        <v>294</v>
      </c>
      <c r="O903" s="21"/>
      <c r="P903" s="22" t="s">
        <v>2</v>
      </c>
      <c r="Q903" s="22">
        <v>0.63</v>
      </c>
      <c r="R903" s="904" t="s">
        <v>42</v>
      </c>
      <c r="S903" s="904" t="str">
        <f t="shared" si="170"/>
        <v>Stove</v>
      </c>
      <c r="T903" s="23">
        <f t="shared" si="171"/>
        <v>0.33219782078229565</v>
      </c>
      <c r="U903" s="23">
        <f t="shared" si="172"/>
        <v>0.94176469581000322</v>
      </c>
      <c r="V903" s="23">
        <f t="shared" si="172"/>
        <v>0.49114817047306497</v>
      </c>
      <c r="W903" s="23">
        <f t="shared" si="173"/>
        <v>0.94176469581000322</v>
      </c>
      <c r="X903" s="904">
        <f t="shared" si="174"/>
        <v>738</v>
      </c>
      <c r="Y903" s="904">
        <f t="shared" si="174"/>
        <v>774</v>
      </c>
      <c r="Z903" s="904">
        <f t="shared" si="174"/>
        <v>732</v>
      </c>
      <c r="AA903" s="904">
        <f t="shared" si="162"/>
        <v>675</v>
      </c>
      <c r="AB903" s="24">
        <v>443</v>
      </c>
    </row>
    <row r="904" spans="1:28" x14ac:dyDescent="0.25">
      <c r="A904" s="903"/>
      <c r="B904" t="s">
        <v>4</v>
      </c>
      <c r="C904" s="906" t="s">
        <v>1752</v>
      </c>
      <c r="D904" s="25">
        <v>4.4000000000000004</v>
      </c>
      <c r="E904" s="903">
        <v>660</v>
      </c>
      <c r="F904" s="903">
        <v>338</v>
      </c>
      <c r="G904" s="903" t="s">
        <v>221</v>
      </c>
      <c r="H904" s="904">
        <f t="shared" si="163"/>
        <v>6</v>
      </c>
      <c r="I904" s="904">
        <f t="shared" si="164"/>
        <v>11</v>
      </c>
      <c r="J904" s="21">
        <f t="shared" si="165"/>
        <v>10300</v>
      </c>
      <c r="K904" s="21">
        <f t="shared" si="166"/>
        <v>10300</v>
      </c>
      <c r="L904" s="21">
        <f t="shared" si="167"/>
        <v>19750</v>
      </c>
      <c r="M904" s="21">
        <f t="shared" si="168"/>
        <v>29200</v>
      </c>
      <c r="N904" s="904">
        <f t="shared" si="169"/>
        <v>294</v>
      </c>
      <c r="O904" s="21"/>
      <c r="P904" s="22" t="s">
        <v>2</v>
      </c>
      <c r="Q904" s="22">
        <v>0.63</v>
      </c>
      <c r="R904" s="904" t="s">
        <v>42</v>
      </c>
      <c r="S904" s="904" t="str">
        <f t="shared" si="170"/>
        <v>Stove</v>
      </c>
      <c r="T904" s="23">
        <f t="shared" si="171"/>
        <v>0.33219782078229565</v>
      </c>
      <c r="U904" s="23">
        <f t="shared" si="172"/>
        <v>0.94176469581000322</v>
      </c>
      <c r="V904" s="23">
        <f t="shared" si="172"/>
        <v>0.49114817047306497</v>
      </c>
      <c r="W904" s="23">
        <f t="shared" si="173"/>
        <v>0.94176469581000322</v>
      </c>
      <c r="X904" s="904">
        <f t="shared" si="174"/>
        <v>738</v>
      </c>
      <c r="Y904" s="904">
        <f t="shared" si="174"/>
        <v>774</v>
      </c>
      <c r="Z904" s="904">
        <f t="shared" si="174"/>
        <v>732</v>
      </c>
      <c r="AA904" s="904">
        <f t="shared" si="162"/>
        <v>675</v>
      </c>
      <c r="AB904" s="24">
        <v>443</v>
      </c>
    </row>
    <row r="905" spans="1:28" x14ac:dyDescent="0.25">
      <c r="A905" s="903"/>
      <c r="B905" t="s">
        <v>4</v>
      </c>
      <c r="C905" s="906" t="s">
        <v>1753</v>
      </c>
      <c r="D905" s="25">
        <v>6.3</v>
      </c>
      <c r="E905" s="903">
        <v>861</v>
      </c>
      <c r="F905" s="903">
        <v>507</v>
      </c>
      <c r="G905" s="903" t="s">
        <v>295</v>
      </c>
      <c r="H905" s="904">
        <f t="shared" si="163"/>
        <v>6</v>
      </c>
      <c r="I905" s="904">
        <f t="shared" si="164"/>
        <v>11</v>
      </c>
      <c r="J905" s="21">
        <f t="shared" si="165"/>
        <v>12000</v>
      </c>
      <c r="K905" s="21">
        <f t="shared" si="166"/>
        <v>12000</v>
      </c>
      <c r="L905" s="21">
        <f t="shared" si="167"/>
        <v>19650</v>
      </c>
      <c r="M905" s="21">
        <f t="shared" si="168"/>
        <v>27300</v>
      </c>
      <c r="N905" s="904">
        <f t="shared" si="169"/>
        <v>289</v>
      </c>
      <c r="O905" s="21"/>
      <c r="P905" s="22" t="s">
        <v>2</v>
      </c>
      <c r="Q905" s="22">
        <v>0.63</v>
      </c>
      <c r="R905" s="904" t="s">
        <v>42</v>
      </c>
      <c r="S905" s="904" t="str">
        <f t="shared" si="170"/>
        <v>Stove</v>
      </c>
      <c r="T905" s="23">
        <f t="shared" si="171"/>
        <v>0.50875050875050876</v>
      </c>
      <c r="U905" s="23">
        <f t="shared" si="172"/>
        <v>1.1574074074074074</v>
      </c>
      <c r="V905" s="23">
        <f t="shared" si="172"/>
        <v>0.70681368391292054</v>
      </c>
      <c r="W905" s="23">
        <f t="shared" si="173"/>
        <v>1.1574074074074074</v>
      </c>
      <c r="X905" s="904">
        <f t="shared" si="174"/>
        <v>901</v>
      </c>
      <c r="Y905" s="904">
        <f t="shared" si="174"/>
        <v>875</v>
      </c>
      <c r="Z905" s="904">
        <f t="shared" si="174"/>
        <v>890</v>
      </c>
      <c r="AA905" s="904">
        <f t="shared" si="162"/>
        <v>808</v>
      </c>
      <c r="AB905" s="24">
        <v>522</v>
      </c>
    </row>
    <row r="906" spans="1:28" x14ac:dyDescent="0.25">
      <c r="A906" s="903"/>
      <c r="B906" t="s">
        <v>4</v>
      </c>
      <c r="C906" s="906" t="s">
        <v>296</v>
      </c>
      <c r="D906" s="25">
        <v>4.5</v>
      </c>
      <c r="E906" s="903">
        <v>700</v>
      </c>
      <c r="F906" s="903">
        <v>376</v>
      </c>
      <c r="G906" s="903" t="s">
        <v>297</v>
      </c>
      <c r="H906" s="904">
        <f t="shared" si="163"/>
        <v>5</v>
      </c>
      <c r="I906" s="904">
        <f t="shared" si="164"/>
        <v>10</v>
      </c>
      <c r="J906" s="21">
        <f t="shared" si="165"/>
        <v>9900</v>
      </c>
      <c r="K906" s="21">
        <f t="shared" si="166"/>
        <v>10472</v>
      </c>
      <c r="L906" s="21">
        <f t="shared" si="167"/>
        <v>20350</v>
      </c>
      <c r="M906" s="21">
        <f t="shared" si="168"/>
        <v>30800</v>
      </c>
      <c r="N906" s="904">
        <f t="shared" si="169"/>
        <v>350</v>
      </c>
      <c r="O906" s="21"/>
      <c r="P906" s="22" t="s">
        <v>2</v>
      </c>
      <c r="Q906" s="22">
        <v>0.63</v>
      </c>
      <c r="R906" s="904" t="s">
        <v>42</v>
      </c>
      <c r="S906" s="904" t="str">
        <f t="shared" si="170"/>
        <v>Insert</v>
      </c>
      <c r="T906" s="23">
        <f t="shared" si="171"/>
        <v>0.32209853638425068</v>
      </c>
      <c r="U906" s="23">
        <f t="shared" si="172"/>
        <v>0.94734863642426659</v>
      </c>
      <c r="V906" s="23">
        <f t="shared" si="172"/>
        <v>0.48750048750048752</v>
      </c>
      <c r="W906" s="23">
        <f t="shared" si="173"/>
        <v>1.0020843354176687</v>
      </c>
      <c r="X906" s="904">
        <f t="shared" si="174"/>
        <v>719</v>
      </c>
      <c r="Y906" s="904">
        <f t="shared" si="174"/>
        <v>784</v>
      </c>
      <c r="Z906" s="904">
        <f t="shared" si="174"/>
        <v>728</v>
      </c>
      <c r="AA906" s="904">
        <f t="shared" si="174"/>
        <v>715</v>
      </c>
      <c r="AB906" s="24">
        <v>453</v>
      </c>
    </row>
    <row r="907" spans="1:28" x14ac:dyDescent="0.25">
      <c r="A907" s="903"/>
      <c r="B907" t="s">
        <v>4</v>
      </c>
      <c r="C907" s="906" t="s">
        <v>298</v>
      </c>
      <c r="D907" s="25">
        <v>5.5</v>
      </c>
      <c r="E907" s="903">
        <v>808</v>
      </c>
      <c r="F907" s="903">
        <v>458</v>
      </c>
      <c r="G907" s="903" t="s">
        <v>299</v>
      </c>
      <c r="H907" s="904">
        <f t="shared" ref="H907:H973" si="175">FIND("-",$G907)</f>
        <v>6</v>
      </c>
      <c r="I907" s="904">
        <f t="shared" ref="I907:I973" si="176">LEN($G907)</f>
        <v>11</v>
      </c>
      <c r="J907" s="21">
        <f t="shared" ref="J907:J973" si="177">VALUE(LEFT($G907,H907-1))</f>
        <v>10200</v>
      </c>
      <c r="K907" s="21">
        <f t="shared" ref="K907:K970" si="178">IF(K$8*M907&gt;J907,K$8*M907,J907)</f>
        <v>10200</v>
      </c>
      <c r="L907" s="21">
        <f t="shared" ref="L907:L970" si="179">AVERAGE(J907,M907)</f>
        <v>18800</v>
      </c>
      <c r="M907" s="21">
        <f t="shared" ref="M907:M973" si="180">VALUE(RIGHT($G907,I907-H907))</f>
        <v>27400</v>
      </c>
      <c r="N907" s="904">
        <f t="shared" ref="N907:N973" si="181">RANK($L907,$L$11:$L$973,1)</f>
        <v>219</v>
      </c>
      <c r="O907" s="21"/>
      <c r="P907" s="22" t="s">
        <v>2</v>
      </c>
      <c r="Q907" s="22">
        <v>0.63</v>
      </c>
      <c r="R907" s="904" t="s">
        <v>42</v>
      </c>
      <c r="S907" s="904" t="str">
        <f t="shared" ref="S907:S973" si="182">IF(AND(ISERROR(FIND("Insert",B907&amp;C907)),ISERROR(FIND("insert",B907&amp;C907))),"Stove","Insert")</f>
        <v>Insert</v>
      </c>
      <c r="T907" s="23">
        <f t="shared" ref="T907:T973" si="183">$D907*10^6/(M907*453.6)</f>
        <v>0.44252629410780264</v>
      </c>
      <c r="U907" s="23">
        <f t="shared" ref="U907:V973" si="184">$D907*10^6/(K907*453.6)</f>
        <v>1.1887471037797834</v>
      </c>
      <c r="V907" s="23">
        <f t="shared" si="184"/>
        <v>0.64495853502945699</v>
      </c>
      <c r="W907" s="23">
        <f t="shared" ref="W907:W973" si="185">$D907*10^6/(J907*453.6)</f>
        <v>1.1887471037797834</v>
      </c>
      <c r="X907" s="904">
        <f t="shared" ref="X907:AA970" si="186">RANK(T907,T$11:T$973,1)</f>
        <v>858</v>
      </c>
      <c r="Y907" s="904">
        <f t="shared" si="186"/>
        <v>884</v>
      </c>
      <c r="Z907" s="904">
        <f t="shared" si="186"/>
        <v>861</v>
      </c>
      <c r="AA907" s="904">
        <f t="shared" si="186"/>
        <v>817</v>
      </c>
      <c r="AB907" s="24">
        <v>530</v>
      </c>
    </row>
    <row r="908" spans="1:28" x14ac:dyDescent="0.25">
      <c r="A908" s="903"/>
      <c r="B908" t="s">
        <v>4</v>
      </c>
      <c r="C908" s="906" t="s">
        <v>214</v>
      </c>
      <c r="D908" s="25">
        <v>2.9</v>
      </c>
      <c r="E908" s="903">
        <v>295</v>
      </c>
      <c r="F908" s="903">
        <v>96</v>
      </c>
      <c r="G908" s="903" t="s">
        <v>215</v>
      </c>
      <c r="H908" s="904">
        <f t="shared" si="175"/>
        <v>6</v>
      </c>
      <c r="I908" s="904">
        <f t="shared" si="176"/>
        <v>11</v>
      </c>
      <c r="J908" s="21">
        <f t="shared" si="177"/>
        <v>10000</v>
      </c>
      <c r="K908" s="21">
        <f t="shared" si="178"/>
        <v>10200</v>
      </c>
      <c r="L908" s="21">
        <f t="shared" si="179"/>
        <v>20000</v>
      </c>
      <c r="M908" s="21">
        <f t="shared" si="180"/>
        <v>30000</v>
      </c>
      <c r="N908" s="904">
        <f t="shared" si="181"/>
        <v>321</v>
      </c>
      <c r="O908" s="21"/>
      <c r="P908" s="22" t="s">
        <v>2</v>
      </c>
      <c r="Q908" s="22">
        <v>0.63</v>
      </c>
      <c r="R908" s="904" t="s">
        <v>42</v>
      </c>
      <c r="S908" s="904" t="str">
        <f t="shared" si="182"/>
        <v>Stove</v>
      </c>
      <c r="T908" s="23">
        <f t="shared" si="183"/>
        <v>0.21310993533215755</v>
      </c>
      <c r="U908" s="23">
        <f t="shared" si="184"/>
        <v>0.62679392744752227</v>
      </c>
      <c r="V908" s="23">
        <f t="shared" si="184"/>
        <v>0.31966490299823636</v>
      </c>
      <c r="W908" s="23">
        <f t="shared" si="185"/>
        <v>0.63932980599647271</v>
      </c>
      <c r="X908" s="904">
        <f t="shared" si="186"/>
        <v>438</v>
      </c>
      <c r="Y908" s="904">
        <f t="shared" si="186"/>
        <v>466</v>
      </c>
      <c r="Z908" s="904">
        <f t="shared" si="186"/>
        <v>412</v>
      </c>
      <c r="AA908" s="904">
        <f t="shared" si="186"/>
        <v>330</v>
      </c>
      <c r="AB908" s="24">
        <v>207</v>
      </c>
    </row>
    <row r="909" spans="1:28" x14ac:dyDescent="0.25">
      <c r="A909" s="903"/>
      <c r="B909" t="s">
        <v>4</v>
      </c>
      <c r="C909" s="906" t="s">
        <v>300</v>
      </c>
      <c r="D909" s="25">
        <v>2.1</v>
      </c>
      <c r="E909" s="903">
        <v>145</v>
      </c>
      <c r="F909" s="903">
        <v>53</v>
      </c>
      <c r="G909" s="903" t="s">
        <v>301</v>
      </c>
      <c r="H909" s="904">
        <f t="shared" si="175"/>
        <v>6</v>
      </c>
      <c r="I909" s="904">
        <f t="shared" si="176"/>
        <v>11</v>
      </c>
      <c r="J909" s="21">
        <f t="shared" si="177"/>
        <v>10300</v>
      </c>
      <c r="K909" s="21">
        <f t="shared" si="178"/>
        <v>10300</v>
      </c>
      <c r="L909" s="21">
        <f t="shared" si="179"/>
        <v>20150</v>
      </c>
      <c r="M909" s="21">
        <f t="shared" si="180"/>
        <v>30000</v>
      </c>
      <c r="N909" s="904">
        <f t="shared" si="181"/>
        <v>335</v>
      </c>
      <c r="O909" s="21"/>
      <c r="P909" s="22" t="s">
        <v>2</v>
      </c>
      <c r="Q909" s="22">
        <v>0.72</v>
      </c>
      <c r="R909" s="904" t="s">
        <v>38</v>
      </c>
      <c r="S909" s="904" t="str">
        <f t="shared" si="182"/>
        <v>Insert</v>
      </c>
      <c r="T909" s="23">
        <f t="shared" si="183"/>
        <v>0.15432098765432098</v>
      </c>
      <c r="U909" s="23">
        <f t="shared" si="184"/>
        <v>0.44947860481841062</v>
      </c>
      <c r="V909" s="23">
        <f t="shared" si="184"/>
        <v>0.22975829427442332</v>
      </c>
      <c r="W909" s="23">
        <f t="shared" si="185"/>
        <v>0.44947860481841062</v>
      </c>
      <c r="X909" s="904">
        <f t="shared" si="186"/>
        <v>230</v>
      </c>
      <c r="Y909" s="904">
        <f t="shared" si="186"/>
        <v>234</v>
      </c>
      <c r="Z909" s="904">
        <f t="shared" si="186"/>
        <v>199</v>
      </c>
      <c r="AA909" s="904">
        <f t="shared" si="186"/>
        <v>148</v>
      </c>
      <c r="AB909" s="24">
        <v>92</v>
      </c>
    </row>
    <row r="910" spans="1:28" x14ac:dyDescent="0.25">
      <c r="A910" s="903"/>
      <c r="B910" t="s">
        <v>4</v>
      </c>
      <c r="C910" s="906" t="s">
        <v>302</v>
      </c>
      <c r="D910" s="25">
        <v>4</v>
      </c>
      <c r="E910" s="903">
        <v>571</v>
      </c>
      <c r="F910" s="903">
        <v>225</v>
      </c>
      <c r="G910" s="903" t="s">
        <v>303</v>
      </c>
      <c r="H910" s="904">
        <f t="shared" si="175"/>
        <v>5</v>
      </c>
      <c r="I910" s="904">
        <f t="shared" si="176"/>
        <v>10</v>
      </c>
      <c r="J910" s="21">
        <f t="shared" si="177"/>
        <v>9250</v>
      </c>
      <c r="K910" s="21">
        <f t="shared" si="178"/>
        <v>9250</v>
      </c>
      <c r="L910" s="21">
        <f t="shared" si="179"/>
        <v>15375</v>
      </c>
      <c r="M910" s="21">
        <f t="shared" si="180"/>
        <v>21500</v>
      </c>
      <c r="N910" s="904">
        <f t="shared" si="181"/>
        <v>48</v>
      </c>
      <c r="O910" s="21"/>
      <c r="P910" s="22" t="s">
        <v>2</v>
      </c>
      <c r="Q910" s="22">
        <v>0.72</v>
      </c>
      <c r="R910" s="904" t="s">
        <v>38</v>
      </c>
      <c r="S910" s="904" t="str">
        <f t="shared" si="182"/>
        <v>Insert</v>
      </c>
      <c r="T910" s="23">
        <f t="shared" si="183"/>
        <v>0.41015544891513883</v>
      </c>
      <c r="U910" s="23">
        <f t="shared" si="184"/>
        <v>0.95333428666761999</v>
      </c>
      <c r="V910" s="23">
        <f t="shared" si="184"/>
        <v>0.57355070905206407</v>
      </c>
      <c r="W910" s="23">
        <f t="shared" si="185"/>
        <v>0.95333428666761999</v>
      </c>
      <c r="X910" s="904">
        <f t="shared" si="186"/>
        <v>838</v>
      </c>
      <c r="Y910" s="904">
        <f t="shared" si="186"/>
        <v>786</v>
      </c>
      <c r="Z910" s="904">
        <f t="shared" si="186"/>
        <v>820</v>
      </c>
      <c r="AA910" s="904">
        <f t="shared" si="186"/>
        <v>684</v>
      </c>
      <c r="AB910" s="24">
        <v>248</v>
      </c>
    </row>
    <row r="911" spans="1:28" x14ac:dyDescent="0.25">
      <c r="A911" s="903"/>
      <c r="B911" t="s">
        <v>4</v>
      </c>
      <c r="C911" s="906" t="s">
        <v>304</v>
      </c>
      <c r="D911" s="25">
        <v>2.1</v>
      </c>
      <c r="E911" s="903">
        <v>145</v>
      </c>
      <c r="F911" s="903">
        <v>53</v>
      </c>
      <c r="G911" s="903" t="s">
        <v>305</v>
      </c>
      <c r="H911" s="904">
        <f t="shared" si="175"/>
        <v>5</v>
      </c>
      <c r="I911" s="904">
        <f t="shared" si="176"/>
        <v>10</v>
      </c>
      <c r="J911" s="21">
        <f t="shared" si="177"/>
        <v>8700</v>
      </c>
      <c r="K911" s="21">
        <f t="shared" si="178"/>
        <v>10574</v>
      </c>
      <c r="L911" s="21">
        <f t="shared" si="179"/>
        <v>19900</v>
      </c>
      <c r="M911" s="21">
        <f t="shared" si="180"/>
        <v>31100</v>
      </c>
      <c r="N911" s="904">
        <f t="shared" si="181"/>
        <v>311</v>
      </c>
      <c r="O911" s="21"/>
      <c r="P911" s="22" t="s">
        <v>2</v>
      </c>
      <c r="Q911" s="22">
        <v>0.72</v>
      </c>
      <c r="R911" s="904" t="s">
        <v>38</v>
      </c>
      <c r="S911" s="904" t="str">
        <f t="shared" si="182"/>
        <v>Insert</v>
      </c>
      <c r="T911" s="23">
        <f t="shared" si="183"/>
        <v>0.14886268905561509</v>
      </c>
      <c r="U911" s="23">
        <f t="shared" si="184"/>
        <v>0.4378314383988679</v>
      </c>
      <c r="V911" s="23">
        <f t="shared" si="184"/>
        <v>0.23264470500651405</v>
      </c>
      <c r="W911" s="23">
        <f t="shared" si="185"/>
        <v>0.53214133673903785</v>
      </c>
      <c r="X911" s="904">
        <f t="shared" si="186"/>
        <v>209</v>
      </c>
      <c r="Y911" s="904">
        <f t="shared" si="186"/>
        <v>220</v>
      </c>
      <c r="Z911" s="904">
        <f t="shared" si="186"/>
        <v>206</v>
      </c>
      <c r="AA911" s="904">
        <f t="shared" si="186"/>
        <v>225</v>
      </c>
      <c r="AB911" s="24">
        <v>88</v>
      </c>
    </row>
    <row r="912" spans="1:28" x14ac:dyDescent="0.25">
      <c r="A912" s="903" t="s">
        <v>77</v>
      </c>
      <c r="B912" t="s">
        <v>1754</v>
      </c>
      <c r="C912" s="906" t="s">
        <v>1755</v>
      </c>
      <c r="D912" s="25">
        <v>2</v>
      </c>
      <c r="E912" s="903">
        <v>131</v>
      </c>
      <c r="F912" s="903">
        <v>46</v>
      </c>
      <c r="G912" s="903" t="s">
        <v>1756</v>
      </c>
      <c r="H912" s="904">
        <f t="shared" si="175"/>
        <v>6</v>
      </c>
      <c r="I912" s="904">
        <f t="shared" si="176"/>
        <v>11</v>
      </c>
      <c r="J912" s="21">
        <f t="shared" si="177"/>
        <v>11700</v>
      </c>
      <c r="K912" s="21">
        <f t="shared" si="178"/>
        <v>11700</v>
      </c>
      <c r="L912" s="21">
        <f t="shared" si="179"/>
        <v>19100</v>
      </c>
      <c r="M912" s="21">
        <f t="shared" si="180"/>
        <v>26500</v>
      </c>
      <c r="N912" s="904">
        <f t="shared" si="181"/>
        <v>250</v>
      </c>
      <c r="O912" s="21"/>
      <c r="P912" s="22" t="s">
        <v>2</v>
      </c>
      <c r="Q912" s="22">
        <v>0.72</v>
      </c>
      <c r="R912" s="904" t="s">
        <v>38</v>
      </c>
      <c r="S912" s="904" t="str">
        <f t="shared" si="182"/>
        <v>Insert</v>
      </c>
      <c r="T912" s="23">
        <f t="shared" si="183"/>
        <v>0.16638381418255632</v>
      </c>
      <c r="U912" s="23">
        <f t="shared" si="184"/>
        <v>0.37685222870408058</v>
      </c>
      <c r="V912" s="23">
        <f t="shared" si="184"/>
        <v>0.23084665318522213</v>
      </c>
      <c r="W912" s="23">
        <f t="shared" si="185"/>
        <v>0.37685222870408058</v>
      </c>
      <c r="X912" s="904">
        <f t="shared" si="186"/>
        <v>270</v>
      </c>
      <c r="Y912" s="904">
        <f t="shared" si="186"/>
        <v>176</v>
      </c>
      <c r="Z912" s="904">
        <f t="shared" si="186"/>
        <v>203</v>
      </c>
      <c r="AA912" s="904">
        <f t="shared" si="186"/>
        <v>94</v>
      </c>
      <c r="AB912" s="24">
        <v>66</v>
      </c>
    </row>
    <row r="913" spans="1:28" x14ac:dyDescent="0.25">
      <c r="A913" s="903" t="s">
        <v>77</v>
      </c>
      <c r="B913" t="s">
        <v>1754</v>
      </c>
      <c r="C913" s="906" t="s">
        <v>1757</v>
      </c>
      <c r="D913" s="25">
        <v>2.2000000000000002</v>
      </c>
      <c r="E913" s="903">
        <v>169</v>
      </c>
      <c r="F913" s="903">
        <v>64</v>
      </c>
      <c r="G913" s="903" t="s">
        <v>1758</v>
      </c>
      <c r="H913" s="904">
        <f t="shared" si="175"/>
        <v>5</v>
      </c>
      <c r="I913" s="904">
        <f t="shared" si="176"/>
        <v>10</v>
      </c>
      <c r="J913" s="21">
        <f t="shared" si="177"/>
        <v>9400</v>
      </c>
      <c r="K913" s="21">
        <f t="shared" si="178"/>
        <v>9418</v>
      </c>
      <c r="L913" s="21">
        <f t="shared" si="179"/>
        <v>18550</v>
      </c>
      <c r="M913" s="21">
        <f t="shared" si="180"/>
        <v>27700</v>
      </c>
      <c r="N913" s="904">
        <f t="shared" si="181"/>
        <v>196</v>
      </c>
      <c r="O913" s="21"/>
      <c r="P913" s="22" t="s">
        <v>2</v>
      </c>
      <c r="Q913" s="22">
        <v>0.72</v>
      </c>
      <c r="R913" s="904" t="s">
        <v>38</v>
      </c>
      <c r="S913" s="904" t="str">
        <f t="shared" si="182"/>
        <v>Stove</v>
      </c>
      <c r="T913" s="23">
        <f t="shared" si="183"/>
        <v>0.17509343622460349</v>
      </c>
      <c r="U913" s="23">
        <f t="shared" si="184"/>
        <v>0.5149806947782456</v>
      </c>
      <c r="V913" s="23">
        <f t="shared" si="184"/>
        <v>0.26146027942973138</v>
      </c>
      <c r="W913" s="23">
        <f t="shared" si="185"/>
        <v>0.51596682802356564</v>
      </c>
      <c r="X913" s="904">
        <f t="shared" si="186"/>
        <v>289</v>
      </c>
      <c r="Y913" s="904">
        <f t="shared" si="186"/>
        <v>308</v>
      </c>
      <c r="Z913" s="904">
        <f t="shared" si="186"/>
        <v>264</v>
      </c>
      <c r="AA913" s="904">
        <f t="shared" si="186"/>
        <v>213</v>
      </c>
      <c r="AB913" s="24">
        <v>130</v>
      </c>
    </row>
    <row r="914" spans="1:28" x14ac:dyDescent="0.25">
      <c r="A914" s="903"/>
      <c r="B914" t="s">
        <v>1759</v>
      </c>
      <c r="C914" s="906" t="s">
        <v>1760</v>
      </c>
      <c r="D914" s="25">
        <v>3.6</v>
      </c>
      <c r="E914" s="903">
        <v>467</v>
      </c>
      <c r="F914" s="903">
        <v>207</v>
      </c>
      <c r="G914" s="903" t="s">
        <v>1761</v>
      </c>
      <c r="H914" s="904">
        <f t="shared" si="175"/>
        <v>6</v>
      </c>
      <c r="I914" s="904">
        <f t="shared" si="176"/>
        <v>11</v>
      </c>
      <c r="J914" s="21">
        <f t="shared" si="177"/>
        <v>11299</v>
      </c>
      <c r="K914" s="21">
        <f t="shared" si="178"/>
        <v>12270.26</v>
      </c>
      <c r="L914" s="21">
        <f t="shared" si="179"/>
        <v>23694</v>
      </c>
      <c r="M914" s="21">
        <f t="shared" si="180"/>
        <v>36089</v>
      </c>
      <c r="N914" s="904">
        <f t="shared" si="181"/>
        <v>601</v>
      </c>
      <c r="O914" s="21"/>
      <c r="P914" s="22" t="s">
        <v>2</v>
      </c>
      <c r="Q914" s="22">
        <v>0.63</v>
      </c>
      <c r="R914" s="904" t="s">
        <v>42</v>
      </c>
      <c r="S914" s="904" t="str">
        <f t="shared" si="182"/>
        <v>Stove</v>
      </c>
      <c r="T914" s="23">
        <f t="shared" si="183"/>
        <v>0.2199148753500495</v>
      </c>
      <c r="U914" s="23">
        <f t="shared" si="184"/>
        <v>0.64680845691191025</v>
      </c>
      <c r="V914" s="23">
        <f t="shared" si="184"/>
        <v>0.33495855222874721</v>
      </c>
      <c r="W914" s="23">
        <f t="shared" si="185"/>
        <v>0.70240799508876328</v>
      </c>
      <c r="X914" s="904">
        <f t="shared" si="186"/>
        <v>459</v>
      </c>
      <c r="Y914" s="904">
        <f t="shared" si="186"/>
        <v>494</v>
      </c>
      <c r="Z914" s="904">
        <f t="shared" si="186"/>
        <v>451</v>
      </c>
      <c r="AA914" s="904">
        <f t="shared" si="186"/>
        <v>419</v>
      </c>
      <c r="AB914" s="24">
        <v>233</v>
      </c>
    </row>
    <row r="915" spans="1:28" x14ac:dyDescent="0.25">
      <c r="A915" s="903"/>
      <c r="B915" t="s">
        <v>1759</v>
      </c>
      <c r="C915" s="906" t="s">
        <v>1762</v>
      </c>
      <c r="D915" s="25">
        <v>3.8</v>
      </c>
      <c r="E915" s="903">
        <v>518</v>
      </c>
      <c r="F915" s="903">
        <v>238</v>
      </c>
      <c r="G915" s="903" t="s">
        <v>1763</v>
      </c>
      <c r="H915" s="904">
        <f t="shared" si="175"/>
        <v>5</v>
      </c>
      <c r="I915" s="904">
        <f t="shared" si="176"/>
        <v>10</v>
      </c>
      <c r="J915" s="21">
        <f t="shared" si="177"/>
        <v>9000</v>
      </c>
      <c r="K915" s="21">
        <f t="shared" si="178"/>
        <v>9000</v>
      </c>
      <c r="L915" s="21">
        <f t="shared" si="179"/>
        <v>17650</v>
      </c>
      <c r="M915" s="21">
        <f t="shared" si="180"/>
        <v>26300</v>
      </c>
      <c r="N915" s="904">
        <f t="shared" si="181"/>
        <v>142</v>
      </c>
      <c r="O915" s="21"/>
      <c r="P915" s="22" t="s">
        <v>2</v>
      </c>
      <c r="Q915" s="22">
        <v>0.63</v>
      </c>
      <c r="R915" s="904" t="s">
        <v>42</v>
      </c>
      <c r="S915" s="904" t="str">
        <f t="shared" si="182"/>
        <v>Insert</v>
      </c>
      <c r="T915" s="23">
        <f t="shared" si="183"/>
        <v>0.31853327163846806</v>
      </c>
      <c r="U915" s="23">
        <f t="shared" si="184"/>
        <v>0.93082500489907893</v>
      </c>
      <c r="V915" s="23">
        <f t="shared" si="184"/>
        <v>0.47464164555760402</v>
      </c>
      <c r="W915" s="23">
        <f t="shared" si="185"/>
        <v>0.93082500489907893</v>
      </c>
      <c r="X915" s="904">
        <f t="shared" si="186"/>
        <v>709</v>
      </c>
      <c r="Y915" s="904">
        <f t="shared" si="186"/>
        <v>765</v>
      </c>
      <c r="Z915" s="904">
        <f t="shared" si="186"/>
        <v>708</v>
      </c>
      <c r="AA915" s="904">
        <f t="shared" si="186"/>
        <v>667</v>
      </c>
      <c r="AB915" s="24">
        <v>434</v>
      </c>
    </row>
    <row r="916" spans="1:28" x14ac:dyDescent="0.25">
      <c r="A916" s="903"/>
      <c r="B916" t="s">
        <v>1759</v>
      </c>
      <c r="C916" s="906" t="s">
        <v>1764</v>
      </c>
      <c r="D916" s="25">
        <v>4.0199999999999996</v>
      </c>
      <c r="E916" s="903">
        <v>590</v>
      </c>
      <c r="F916" s="903">
        <v>280</v>
      </c>
      <c r="G916" s="903" t="s">
        <v>1761</v>
      </c>
      <c r="H916" s="904">
        <f t="shared" si="175"/>
        <v>6</v>
      </c>
      <c r="I916" s="904">
        <f t="shared" si="176"/>
        <v>11</v>
      </c>
      <c r="J916" s="21">
        <f t="shared" si="177"/>
        <v>11299</v>
      </c>
      <c r="K916" s="21">
        <f t="shared" si="178"/>
        <v>12270.26</v>
      </c>
      <c r="L916" s="21">
        <f t="shared" si="179"/>
        <v>23694</v>
      </c>
      <c r="M916" s="21">
        <f t="shared" si="180"/>
        <v>36089</v>
      </c>
      <c r="N916" s="904">
        <f t="shared" si="181"/>
        <v>601</v>
      </c>
      <c r="O916" s="21"/>
      <c r="P916" s="22" t="s">
        <v>2</v>
      </c>
      <c r="Q916" s="22">
        <v>0.63</v>
      </c>
      <c r="R916" s="904" t="s">
        <v>42</v>
      </c>
      <c r="S916" s="904" t="str">
        <f t="shared" si="182"/>
        <v>Stove</v>
      </c>
      <c r="T916" s="23">
        <f t="shared" si="183"/>
        <v>0.24557161080755524</v>
      </c>
      <c r="U916" s="23">
        <f t="shared" si="184"/>
        <v>0.72226944355163303</v>
      </c>
      <c r="V916" s="23">
        <f t="shared" si="184"/>
        <v>0.37403704998876769</v>
      </c>
      <c r="W916" s="23">
        <f t="shared" si="185"/>
        <v>0.78435559451578551</v>
      </c>
      <c r="X916" s="904">
        <f t="shared" si="186"/>
        <v>546</v>
      </c>
      <c r="Y916" s="904">
        <f t="shared" si="186"/>
        <v>588</v>
      </c>
      <c r="Z916" s="904">
        <f t="shared" si="186"/>
        <v>554</v>
      </c>
      <c r="AA916" s="904">
        <f t="shared" si="186"/>
        <v>507</v>
      </c>
      <c r="AB916" s="24">
        <v>294</v>
      </c>
    </row>
    <row r="917" spans="1:28" x14ac:dyDescent="0.25">
      <c r="A917" s="903"/>
      <c r="B917" t="s">
        <v>1759</v>
      </c>
      <c r="C917" s="906" t="s">
        <v>1765</v>
      </c>
      <c r="D917" s="25">
        <v>3.2</v>
      </c>
      <c r="E917" s="903">
        <v>376</v>
      </c>
      <c r="F917" s="903">
        <v>141</v>
      </c>
      <c r="G917" s="903" t="s">
        <v>1766</v>
      </c>
      <c r="H917" s="904">
        <f t="shared" si="175"/>
        <v>6</v>
      </c>
      <c r="I917" s="904">
        <f t="shared" si="176"/>
        <v>11</v>
      </c>
      <c r="J917" s="21">
        <f t="shared" si="177"/>
        <v>11913</v>
      </c>
      <c r="K917" s="21">
        <f t="shared" si="178"/>
        <v>11913</v>
      </c>
      <c r="L917" s="21">
        <f t="shared" si="179"/>
        <v>23010.5</v>
      </c>
      <c r="M917" s="21">
        <f t="shared" si="180"/>
        <v>34108</v>
      </c>
      <c r="N917" s="904">
        <f t="shared" si="181"/>
        <v>555</v>
      </c>
      <c r="O917" s="21"/>
      <c r="P917" s="22" t="s">
        <v>2</v>
      </c>
      <c r="Q917" s="22">
        <v>0.63</v>
      </c>
      <c r="R917" s="904" t="s">
        <v>42</v>
      </c>
      <c r="S917" s="904" t="str">
        <f t="shared" si="182"/>
        <v>Stove</v>
      </c>
      <c r="T917" s="23">
        <f t="shared" si="183"/>
        <v>0.20683340334644035</v>
      </c>
      <c r="U917" s="23">
        <f t="shared" si="184"/>
        <v>0.5921828020935439</v>
      </c>
      <c r="V917" s="23">
        <f t="shared" si="184"/>
        <v>0.30658498169706816</v>
      </c>
      <c r="W917" s="23">
        <f t="shared" si="185"/>
        <v>0.5921828020935439</v>
      </c>
      <c r="X917" s="904">
        <f t="shared" si="186"/>
        <v>411</v>
      </c>
      <c r="Y917" s="904">
        <f t="shared" si="186"/>
        <v>424</v>
      </c>
      <c r="Z917" s="904">
        <f t="shared" si="186"/>
        <v>376</v>
      </c>
      <c r="AA917" s="904">
        <f t="shared" si="186"/>
        <v>288</v>
      </c>
      <c r="AB917" s="24">
        <v>183</v>
      </c>
    </row>
    <row r="918" spans="1:28" x14ac:dyDescent="0.25">
      <c r="A918" s="903"/>
      <c r="B918" t="s">
        <v>1759</v>
      </c>
      <c r="C918" s="906" t="s">
        <v>1767</v>
      </c>
      <c r="D918" s="25">
        <v>3.89</v>
      </c>
      <c r="E918" s="903">
        <v>546</v>
      </c>
      <c r="F918" s="903">
        <v>251</v>
      </c>
      <c r="G918" s="903" t="s">
        <v>1761</v>
      </c>
      <c r="H918" s="904">
        <f t="shared" si="175"/>
        <v>6</v>
      </c>
      <c r="I918" s="904">
        <f t="shared" si="176"/>
        <v>11</v>
      </c>
      <c r="J918" s="21">
        <f t="shared" si="177"/>
        <v>11299</v>
      </c>
      <c r="K918" s="21">
        <f t="shared" si="178"/>
        <v>12270.26</v>
      </c>
      <c r="L918" s="21">
        <f t="shared" si="179"/>
        <v>23694</v>
      </c>
      <c r="M918" s="21">
        <f t="shared" si="180"/>
        <v>36089</v>
      </c>
      <c r="N918" s="904">
        <f t="shared" si="181"/>
        <v>601</v>
      </c>
      <c r="O918" s="21"/>
      <c r="P918" s="22" t="s">
        <v>2</v>
      </c>
      <c r="Q918" s="22">
        <v>0.63</v>
      </c>
      <c r="R918" s="904" t="s">
        <v>42</v>
      </c>
      <c r="S918" s="904" t="str">
        <f t="shared" si="182"/>
        <v>Stove</v>
      </c>
      <c r="T918" s="23">
        <f t="shared" si="183"/>
        <v>0.23763024030880348</v>
      </c>
      <c r="U918" s="23">
        <f t="shared" si="184"/>
        <v>0.69891247149648073</v>
      </c>
      <c r="V918" s="23">
        <f t="shared" si="184"/>
        <v>0.36194132449161853</v>
      </c>
      <c r="W918" s="23">
        <f t="shared" si="185"/>
        <v>0.75899086135980254</v>
      </c>
      <c r="X918" s="904">
        <f t="shared" si="186"/>
        <v>522</v>
      </c>
      <c r="Y918" s="904">
        <f t="shared" si="186"/>
        <v>569</v>
      </c>
      <c r="Z918" s="904">
        <f t="shared" si="186"/>
        <v>517</v>
      </c>
      <c r="AA918" s="904">
        <f t="shared" si="186"/>
        <v>477</v>
      </c>
      <c r="AB918" s="24">
        <v>280</v>
      </c>
    </row>
    <row r="919" spans="1:28" x14ac:dyDescent="0.25">
      <c r="A919" s="19"/>
      <c r="B919" s="16" t="s">
        <v>1759</v>
      </c>
      <c r="C919" s="17" t="s">
        <v>1768</v>
      </c>
      <c r="D919" s="18">
        <v>3.73</v>
      </c>
      <c r="E919" s="19">
        <v>515</v>
      </c>
      <c r="F919" s="903">
        <v>235</v>
      </c>
      <c r="G919" s="19" t="s">
        <v>1761</v>
      </c>
      <c r="H919" s="904">
        <f t="shared" si="175"/>
        <v>6</v>
      </c>
      <c r="I919" s="904">
        <f t="shared" si="176"/>
        <v>11</v>
      </c>
      <c r="J919" s="21">
        <f t="shared" si="177"/>
        <v>11299</v>
      </c>
      <c r="K919" s="21">
        <f t="shared" si="178"/>
        <v>12270.26</v>
      </c>
      <c r="L919" s="21">
        <f t="shared" si="179"/>
        <v>23694</v>
      </c>
      <c r="M919" s="21">
        <f t="shared" si="180"/>
        <v>36089</v>
      </c>
      <c r="N919" s="904">
        <f t="shared" si="181"/>
        <v>601</v>
      </c>
      <c r="O919" s="21"/>
      <c r="P919" s="22" t="s">
        <v>2</v>
      </c>
      <c r="Q919" s="22">
        <v>0.63</v>
      </c>
      <c r="R919" s="904" t="s">
        <v>42</v>
      </c>
      <c r="S919" s="904" t="str">
        <f t="shared" si="182"/>
        <v>Stove</v>
      </c>
      <c r="T919" s="23">
        <f t="shared" si="183"/>
        <v>0.22785624584880129</v>
      </c>
      <c r="U919" s="23">
        <f t="shared" si="184"/>
        <v>0.67016542896706255</v>
      </c>
      <c r="V919" s="23">
        <f t="shared" si="184"/>
        <v>0.34705427772589642</v>
      </c>
      <c r="W919" s="23">
        <f t="shared" si="185"/>
        <v>0.72777272824474637</v>
      </c>
      <c r="X919" s="904">
        <f t="shared" si="186"/>
        <v>486</v>
      </c>
      <c r="Y919" s="904">
        <f t="shared" si="186"/>
        <v>526</v>
      </c>
      <c r="Z919" s="904">
        <f t="shared" si="186"/>
        <v>484</v>
      </c>
      <c r="AA919" s="904">
        <f t="shared" si="186"/>
        <v>437</v>
      </c>
      <c r="AB919" s="24">
        <v>253</v>
      </c>
    </row>
    <row r="920" spans="1:28" x14ac:dyDescent="0.25">
      <c r="A920" s="903"/>
      <c r="B920" t="s">
        <v>1769</v>
      </c>
      <c r="C920" s="906" t="s">
        <v>1770</v>
      </c>
      <c r="D920" s="25">
        <v>4.18</v>
      </c>
      <c r="E920" s="903">
        <v>616</v>
      </c>
      <c r="F920" s="903">
        <v>300</v>
      </c>
      <c r="G920" s="903" t="s">
        <v>1637</v>
      </c>
      <c r="H920" s="904">
        <f t="shared" si="175"/>
        <v>5</v>
      </c>
      <c r="I920" s="904">
        <f t="shared" si="176"/>
        <v>10</v>
      </c>
      <c r="J920" s="21">
        <f t="shared" si="177"/>
        <v>9200</v>
      </c>
      <c r="K920" s="21">
        <f t="shared" si="178"/>
        <v>9622</v>
      </c>
      <c r="L920" s="21">
        <f t="shared" si="179"/>
        <v>18750</v>
      </c>
      <c r="M920" s="21">
        <f t="shared" si="180"/>
        <v>28300</v>
      </c>
      <c r="N920" s="904">
        <f t="shared" si="181"/>
        <v>213</v>
      </c>
      <c r="O920" s="21"/>
      <c r="P920" s="22" t="s">
        <v>2</v>
      </c>
      <c r="Q920" s="22">
        <v>0.63</v>
      </c>
      <c r="R920" s="904" t="s">
        <v>42</v>
      </c>
      <c r="S920" s="904" t="str">
        <f t="shared" si="182"/>
        <v>Stove</v>
      </c>
      <c r="T920" s="23">
        <f t="shared" si="183"/>
        <v>0.32562429500003115</v>
      </c>
      <c r="U920" s="23">
        <f t="shared" si="184"/>
        <v>0.9577185147059738</v>
      </c>
      <c r="V920" s="23">
        <f t="shared" si="184"/>
        <v>0.49147560258671363</v>
      </c>
      <c r="W920" s="23">
        <f t="shared" si="185"/>
        <v>1.0016486465761827</v>
      </c>
      <c r="X920" s="904">
        <f t="shared" si="186"/>
        <v>725</v>
      </c>
      <c r="Y920" s="904">
        <f t="shared" si="186"/>
        <v>789</v>
      </c>
      <c r="Z920" s="904">
        <f t="shared" si="186"/>
        <v>737</v>
      </c>
      <c r="AA920" s="904">
        <f t="shared" si="186"/>
        <v>712</v>
      </c>
      <c r="AB920" s="24">
        <v>456</v>
      </c>
    </row>
    <row r="921" spans="1:28" x14ac:dyDescent="0.25">
      <c r="A921" s="903"/>
      <c r="B921" t="s">
        <v>1771</v>
      </c>
      <c r="C921" s="906" t="s">
        <v>1772</v>
      </c>
      <c r="D921" s="25">
        <v>4.5999999999999996</v>
      </c>
      <c r="E921" s="903">
        <v>721</v>
      </c>
      <c r="F921" s="903">
        <v>392</v>
      </c>
      <c r="G921" s="903" t="s">
        <v>1773</v>
      </c>
      <c r="H921" s="904">
        <f t="shared" si="175"/>
        <v>5</v>
      </c>
      <c r="I921" s="904">
        <f t="shared" si="176"/>
        <v>10</v>
      </c>
      <c r="J921" s="21">
        <f t="shared" si="177"/>
        <v>9200</v>
      </c>
      <c r="K921" s="21">
        <f t="shared" si="178"/>
        <v>9200</v>
      </c>
      <c r="L921" s="21">
        <f t="shared" si="179"/>
        <v>13050</v>
      </c>
      <c r="M921" s="21">
        <f t="shared" si="180"/>
        <v>16900</v>
      </c>
      <c r="N921" s="904">
        <f t="shared" si="181"/>
        <v>15</v>
      </c>
      <c r="O921" s="21"/>
      <c r="P921" s="22" t="s">
        <v>2</v>
      </c>
      <c r="Q921" s="22">
        <v>0.63</v>
      </c>
      <c r="R921" s="904" t="s">
        <v>42</v>
      </c>
      <c r="S921" s="904" t="str">
        <f t="shared" si="182"/>
        <v>Stove</v>
      </c>
      <c r="T921" s="23">
        <f t="shared" si="183"/>
        <v>0.60006470262880518</v>
      </c>
      <c r="U921" s="23">
        <f t="shared" si="184"/>
        <v>1.1022927689594357</v>
      </c>
      <c r="V921" s="23">
        <f t="shared" si="184"/>
        <v>0.77709528539669026</v>
      </c>
      <c r="W921" s="23">
        <f t="shared" si="185"/>
        <v>1.1022927689594357</v>
      </c>
      <c r="X921" s="904">
        <f t="shared" si="186"/>
        <v>936</v>
      </c>
      <c r="Y921" s="904">
        <f t="shared" si="186"/>
        <v>858</v>
      </c>
      <c r="Z921" s="904">
        <f t="shared" si="186"/>
        <v>920</v>
      </c>
      <c r="AA921" s="904">
        <f t="shared" si="186"/>
        <v>781</v>
      </c>
      <c r="AB921" s="24">
        <v>505</v>
      </c>
    </row>
    <row r="922" spans="1:28" x14ac:dyDescent="0.25">
      <c r="A922" s="903"/>
      <c r="B922" t="s">
        <v>1774</v>
      </c>
      <c r="C922" s="906" t="s">
        <v>1775</v>
      </c>
      <c r="D922" s="25">
        <v>3.9</v>
      </c>
      <c r="E922" s="903">
        <v>548</v>
      </c>
      <c r="F922" s="903">
        <v>253</v>
      </c>
      <c r="G922" s="903" t="s">
        <v>1704</v>
      </c>
      <c r="H922" s="904">
        <f t="shared" si="175"/>
        <v>6</v>
      </c>
      <c r="I922" s="904">
        <f t="shared" si="176"/>
        <v>11</v>
      </c>
      <c r="J922" s="21">
        <f t="shared" si="177"/>
        <v>10600</v>
      </c>
      <c r="K922" s="21">
        <f t="shared" si="178"/>
        <v>10600</v>
      </c>
      <c r="L922" s="21">
        <f t="shared" si="179"/>
        <v>18550</v>
      </c>
      <c r="M922" s="21">
        <f t="shared" si="180"/>
        <v>26500</v>
      </c>
      <c r="N922" s="904">
        <f t="shared" si="181"/>
        <v>196</v>
      </c>
      <c r="O922" s="21"/>
      <c r="P922" s="22" t="s">
        <v>2</v>
      </c>
      <c r="Q922" s="22">
        <v>0.63</v>
      </c>
      <c r="R922" s="904" t="s">
        <v>42</v>
      </c>
      <c r="S922" s="904" t="str">
        <f t="shared" si="182"/>
        <v>Stove</v>
      </c>
      <c r="T922" s="23">
        <f t="shared" si="183"/>
        <v>0.3244484376559848</v>
      </c>
      <c r="U922" s="23">
        <f t="shared" si="184"/>
        <v>0.81112109413996203</v>
      </c>
      <c r="V922" s="23">
        <f t="shared" si="184"/>
        <v>0.46349776807997833</v>
      </c>
      <c r="W922" s="23">
        <f t="shared" si="185"/>
        <v>0.81112109413996203</v>
      </c>
      <c r="X922" s="904">
        <f t="shared" si="186"/>
        <v>722</v>
      </c>
      <c r="Y922" s="904">
        <f t="shared" si="186"/>
        <v>674</v>
      </c>
      <c r="Z922" s="904">
        <f t="shared" si="186"/>
        <v>687</v>
      </c>
      <c r="AA922" s="904">
        <f t="shared" si="186"/>
        <v>551</v>
      </c>
      <c r="AB922" s="24">
        <v>365</v>
      </c>
    </row>
    <row r="923" spans="1:28" x14ac:dyDescent="0.25">
      <c r="A923" s="903"/>
      <c r="B923" t="s">
        <v>1774</v>
      </c>
      <c r="C923" s="906" t="s">
        <v>1776</v>
      </c>
      <c r="D923" s="25">
        <v>3.1</v>
      </c>
      <c r="E923" s="903">
        <v>347</v>
      </c>
      <c r="F923" s="903">
        <v>130</v>
      </c>
      <c r="G923" s="903" t="s">
        <v>1777</v>
      </c>
      <c r="H923" s="904">
        <f t="shared" si="175"/>
        <v>6</v>
      </c>
      <c r="I923" s="904">
        <f t="shared" si="176"/>
        <v>11</v>
      </c>
      <c r="J923" s="21">
        <f t="shared" si="177"/>
        <v>10800</v>
      </c>
      <c r="K923" s="21">
        <f t="shared" si="178"/>
        <v>11016</v>
      </c>
      <c r="L923" s="21">
        <f t="shared" si="179"/>
        <v>21600</v>
      </c>
      <c r="M923" s="21">
        <f t="shared" si="180"/>
        <v>32400</v>
      </c>
      <c r="N923" s="904">
        <f t="shared" si="181"/>
        <v>441</v>
      </c>
      <c r="O923" s="21"/>
      <c r="P923" s="22" t="s">
        <v>2</v>
      </c>
      <c r="Q923" s="22">
        <v>0.63</v>
      </c>
      <c r="R923" s="904" t="s">
        <v>42</v>
      </c>
      <c r="S923" s="904" t="str">
        <f t="shared" si="182"/>
        <v>Stove</v>
      </c>
      <c r="T923" s="23">
        <f t="shared" si="183"/>
        <v>0.2109325668996451</v>
      </c>
      <c r="U923" s="23">
        <f t="shared" si="184"/>
        <v>0.6203899026460149</v>
      </c>
      <c r="V923" s="23">
        <f t="shared" si="184"/>
        <v>0.31639885034946763</v>
      </c>
      <c r="W923" s="23">
        <f t="shared" si="185"/>
        <v>0.63279770069893526</v>
      </c>
      <c r="X923" s="904">
        <f t="shared" si="186"/>
        <v>421</v>
      </c>
      <c r="Y923" s="904">
        <f t="shared" si="186"/>
        <v>452</v>
      </c>
      <c r="Z923" s="904">
        <f t="shared" si="186"/>
        <v>402</v>
      </c>
      <c r="AA923" s="904">
        <f t="shared" si="186"/>
        <v>325</v>
      </c>
      <c r="AB923" s="24">
        <v>197</v>
      </c>
    </row>
    <row r="924" spans="1:28" x14ac:dyDescent="0.25">
      <c r="A924" s="903"/>
      <c r="B924" t="s">
        <v>1774</v>
      </c>
      <c r="C924" s="906" t="s">
        <v>1778</v>
      </c>
      <c r="D924" s="25">
        <v>7.5</v>
      </c>
      <c r="E924" s="903">
        <v>944</v>
      </c>
      <c r="F924" s="903">
        <v>587</v>
      </c>
      <c r="G924" s="903" t="s">
        <v>1779</v>
      </c>
      <c r="H924" s="904">
        <f t="shared" si="175"/>
        <v>5</v>
      </c>
      <c r="I924" s="904">
        <f t="shared" si="176"/>
        <v>10</v>
      </c>
      <c r="J924" s="21">
        <f t="shared" si="177"/>
        <v>7200</v>
      </c>
      <c r="K924" s="21">
        <f t="shared" si="178"/>
        <v>9350</v>
      </c>
      <c r="L924" s="21">
        <f t="shared" si="179"/>
        <v>17350</v>
      </c>
      <c r="M924" s="21">
        <f t="shared" si="180"/>
        <v>27500</v>
      </c>
      <c r="N924" s="904">
        <f t="shared" si="181"/>
        <v>120</v>
      </c>
      <c r="O924" s="21"/>
      <c r="P924" s="22" t="s">
        <v>2</v>
      </c>
      <c r="Q924" s="22">
        <v>0.63</v>
      </c>
      <c r="R924" s="904" t="s">
        <v>42</v>
      </c>
      <c r="S924" s="904" t="str">
        <f t="shared" si="182"/>
        <v>Stove</v>
      </c>
      <c r="T924" s="23">
        <f t="shared" si="183"/>
        <v>0.60125060125060126</v>
      </c>
      <c r="U924" s="23">
        <f t="shared" si="184"/>
        <v>1.7683841213252978</v>
      </c>
      <c r="V924" s="23">
        <f t="shared" si="184"/>
        <v>0.95299086653553511</v>
      </c>
      <c r="W924" s="23">
        <f t="shared" si="185"/>
        <v>2.2964432686654908</v>
      </c>
      <c r="X924" s="904">
        <f t="shared" si="186"/>
        <v>937</v>
      </c>
      <c r="Y924" s="904">
        <f t="shared" si="186"/>
        <v>959</v>
      </c>
      <c r="Z924" s="904">
        <f t="shared" si="186"/>
        <v>954</v>
      </c>
      <c r="AA924" s="904">
        <f t="shared" si="186"/>
        <v>953</v>
      </c>
      <c r="AB924" s="24">
        <v>603</v>
      </c>
    </row>
    <row r="925" spans="1:28" x14ac:dyDescent="0.25">
      <c r="A925" s="903"/>
      <c r="B925" t="s">
        <v>1774</v>
      </c>
      <c r="C925" s="906" t="s">
        <v>1780</v>
      </c>
      <c r="D925" s="25">
        <v>2.9</v>
      </c>
      <c r="E925" s="903">
        <v>295</v>
      </c>
      <c r="F925" s="903">
        <v>96</v>
      </c>
      <c r="G925" s="903" t="s">
        <v>1781</v>
      </c>
      <c r="H925" s="904">
        <f t="shared" si="175"/>
        <v>5</v>
      </c>
      <c r="I925" s="904">
        <f t="shared" si="176"/>
        <v>10</v>
      </c>
      <c r="J925" s="21">
        <f t="shared" si="177"/>
        <v>8800</v>
      </c>
      <c r="K925" s="21">
        <f t="shared" si="178"/>
        <v>8806</v>
      </c>
      <c r="L925" s="21">
        <f t="shared" si="179"/>
        <v>17350</v>
      </c>
      <c r="M925" s="21">
        <f t="shared" si="180"/>
        <v>25900</v>
      </c>
      <c r="N925" s="904">
        <f t="shared" si="181"/>
        <v>120</v>
      </c>
      <c r="O925" s="21"/>
      <c r="P925" s="22" t="s">
        <v>2</v>
      </c>
      <c r="Q925" s="22">
        <v>0.63</v>
      </c>
      <c r="R925" s="904" t="s">
        <v>42</v>
      </c>
      <c r="S925" s="904" t="str">
        <f t="shared" si="182"/>
        <v>Stove</v>
      </c>
      <c r="T925" s="23">
        <f t="shared" si="183"/>
        <v>0.24684548494072303</v>
      </c>
      <c r="U925" s="23">
        <f t="shared" si="184"/>
        <v>0.72601613217859717</v>
      </c>
      <c r="V925" s="23">
        <f t="shared" si="184"/>
        <v>0.36848980172707357</v>
      </c>
      <c r="W925" s="23">
        <f t="shared" si="185"/>
        <v>0.72651114317780985</v>
      </c>
      <c r="X925" s="904">
        <f t="shared" si="186"/>
        <v>548</v>
      </c>
      <c r="Y925" s="904">
        <f t="shared" si="186"/>
        <v>591</v>
      </c>
      <c r="Z925" s="904">
        <f t="shared" si="186"/>
        <v>531</v>
      </c>
      <c r="AA925" s="904">
        <f t="shared" si="186"/>
        <v>435</v>
      </c>
      <c r="AB925" s="24">
        <v>297</v>
      </c>
    </row>
    <row r="926" spans="1:28" x14ac:dyDescent="0.25">
      <c r="A926" s="903"/>
      <c r="B926" t="s">
        <v>1774</v>
      </c>
      <c r="C926" s="906" t="s">
        <v>1782</v>
      </c>
      <c r="D926" s="25">
        <v>4.0999999999999996</v>
      </c>
      <c r="E926" s="903">
        <v>594</v>
      </c>
      <c r="F926" s="903">
        <v>283</v>
      </c>
      <c r="G926" s="903" t="s">
        <v>1783</v>
      </c>
      <c r="H926" s="904">
        <f t="shared" si="175"/>
        <v>6</v>
      </c>
      <c r="I926" s="904">
        <f t="shared" si="176"/>
        <v>11</v>
      </c>
      <c r="J926" s="21">
        <f t="shared" si="177"/>
        <v>12000</v>
      </c>
      <c r="K926" s="21">
        <f t="shared" si="178"/>
        <v>12000</v>
      </c>
      <c r="L926" s="21">
        <f t="shared" si="179"/>
        <v>20900</v>
      </c>
      <c r="M926" s="21">
        <f t="shared" si="180"/>
        <v>29800</v>
      </c>
      <c r="N926" s="904">
        <f t="shared" si="181"/>
        <v>394</v>
      </c>
      <c r="O926" s="21"/>
      <c r="P926" s="22" t="s">
        <v>2</v>
      </c>
      <c r="Q926" s="22">
        <v>0.63</v>
      </c>
      <c r="R926" s="904" t="s">
        <v>42</v>
      </c>
      <c r="S926" s="904" t="str">
        <f t="shared" si="182"/>
        <v>Stove</v>
      </c>
      <c r="T926" s="23">
        <f t="shared" si="183"/>
        <v>0.30331545991501246</v>
      </c>
      <c r="U926" s="23">
        <f t="shared" si="184"/>
        <v>0.75323339212228091</v>
      </c>
      <c r="V926" s="23">
        <f t="shared" si="184"/>
        <v>0.43247850265394122</v>
      </c>
      <c r="W926" s="23">
        <f t="shared" si="185"/>
        <v>0.75323339212228091</v>
      </c>
      <c r="X926" s="904">
        <f t="shared" si="186"/>
        <v>677</v>
      </c>
      <c r="Y926" s="904">
        <f t="shared" si="186"/>
        <v>619</v>
      </c>
      <c r="Z926" s="904">
        <f t="shared" si="186"/>
        <v>645</v>
      </c>
      <c r="AA926" s="904">
        <f t="shared" si="186"/>
        <v>469</v>
      </c>
      <c r="AB926" s="24">
        <v>317</v>
      </c>
    </row>
    <row r="927" spans="1:28" x14ac:dyDescent="0.25">
      <c r="A927" s="903"/>
      <c r="B927" t="s">
        <v>1774</v>
      </c>
      <c r="C927" s="906" t="s">
        <v>1784</v>
      </c>
      <c r="D927" s="25">
        <v>7.6</v>
      </c>
      <c r="E927" s="903">
        <v>952</v>
      </c>
      <c r="F927" s="903">
        <v>595</v>
      </c>
      <c r="G927" s="903" t="s">
        <v>1785</v>
      </c>
      <c r="H927" s="904">
        <f t="shared" si="175"/>
        <v>6</v>
      </c>
      <c r="I927" s="904">
        <f t="shared" si="176"/>
        <v>11</v>
      </c>
      <c r="J927" s="21">
        <f t="shared" si="177"/>
        <v>11800</v>
      </c>
      <c r="K927" s="21">
        <f t="shared" si="178"/>
        <v>14110.000000000002</v>
      </c>
      <c r="L927" s="21">
        <f t="shared" si="179"/>
        <v>26650</v>
      </c>
      <c r="M927" s="21">
        <f t="shared" si="180"/>
        <v>41500</v>
      </c>
      <c r="N927" s="904">
        <f t="shared" si="181"/>
        <v>776</v>
      </c>
      <c r="O927" s="21"/>
      <c r="P927" s="22" t="s">
        <v>2</v>
      </c>
      <c r="Q927" s="22">
        <v>0.63</v>
      </c>
      <c r="R927" s="904" t="s">
        <v>42</v>
      </c>
      <c r="S927" s="904" t="str">
        <f t="shared" si="182"/>
        <v>Stove</v>
      </c>
      <c r="T927" s="23">
        <f t="shared" si="183"/>
        <v>0.40373132742610657</v>
      </c>
      <c r="U927" s="23">
        <f t="shared" si="184"/>
        <v>1.187445080665019</v>
      </c>
      <c r="V927" s="23">
        <f t="shared" si="184"/>
        <v>0.62869981569168565</v>
      </c>
      <c r="W927" s="23">
        <f t="shared" si="185"/>
        <v>1.4199025498460527</v>
      </c>
      <c r="X927" s="904">
        <f t="shared" si="186"/>
        <v>833</v>
      </c>
      <c r="Y927" s="904">
        <f t="shared" si="186"/>
        <v>883</v>
      </c>
      <c r="Z927" s="904">
        <f t="shared" si="186"/>
        <v>853</v>
      </c>
      <c r="AA927" s="904">
        <f t="shared" si="186"/>
        <v>907</v>
      </c>
      <c r="AB927" s="24">
        <v>529</v>
      </c>
    </row>
    <row r="928" spans="1:28" x14ac:dyDescent="0.25">
      <c r="A928" s="903"/>
      <c r="B928" t="s">
        <v>1774</v>
      </c>
      <c r="C928" s="906" t="s">
        <v>1786</v>
      </c>
      <c r="D928" s="25">
        <v>4.0999999999999996</v>
      </c>
      <c r="E928" s="903">
        <v>594</v>
      </c>
      <c r="F928" s="903">
        <v>283</v>
      </c>
      <c r="G928" s="903" t="s">
        <v>1787</v>
      </c>
      <c r="H928" s="904">
        <f t="shared" si="175"/>
        <v>6</v>
      </c>
      <c r="I928" s="904">
        <f t="shared" si="176"/>
        <v>11</v>
      </c>
      <c r="J928" s="21">
        <f t="shared" si="177"/>
        <v>10400</v>
      </c>
      <c r="K928" s="21">
        <f t="shared" si="178"/>
        <v>10400</v>
      </c>
      <c r="L928" s="21">
        <f t="shared" si="179"/>
        <v>20350</v>
      </c>
      <c r="M928" s="21">
        <f t="shared" si="180"/>
        <v>30300</v>
      </c>
      <c r="N928" s="904">
        <f t="shared" si="181"/>
        <v>350</v>
      </c>
      <c r="O928" s="21"/>
      <c r="P928" s="22" t="s">
        <v>2</v>
      </c>
      <c r="Q928" s="22">
        <v>0.63</v>
      </c>
      <c r="R928" s="904" t="s">
        <v>42</v>
      </c>
      <c r="S928" s="904" t="str">
        <f t="shared" si="182"/>
        <v>Stove</v>
      </c>
      <c r="T928" s="23">
        <f t="shared" si="183"/>
        <v>0.29831025430585384</v>
      </c>
      <c r="U928" s="23">
        <f t="shared" si="184"/>
        <v>0.86911545244878563</v>
      </c>
      <c r="V928" s="23">
        <f t="shared" si="184"/>
        <v>0.44416711083377747</v>
      </c>
      <c r="W928" s="23">
        <f t="shared" si="185"/>
        <v>0.86911545244878563</v>
      </c>
      <c r="X928" s="904">
        <f t="shared" si="186"/>
        <v>668</v>
      </c>
      <c r="Y928" s="904">
        <f t="shared" si="186"/>
        <v>721</v>
      </c>
      <c r="Z928" s="904">
        <f t="shared" si="186"/>
        <v>665</v>
      </c>
      <c r="AA928" s="904">
        <f t="shared" si="186"/>
        <v>612</v>
      </c>
      <c r="AB928" s="24">
        <v>401</v>
      </c>
    </row>
    <row r="929" spans="1:28" x14ac:dyDescent="0.25">
      <c r="A929" s="903"/>
      <c r="B929" t="s">
        <v>1774</v>
      </c>
      <c r="C929" s="906" t="s">
        <v>1788</v>
      </c>
      <c r="D929" s="25">
        <v>4.2</v>
      </c>
      <c r="E929" s="903">
        <v>619</v>
      </c>
      <c r="F929" s="903">
        <v>303</v>
      </c>
      <c r="G929" s="903" t="s">
        <v>1789</v>
      </c>
      <c r="H929" s="904">
        <f t="shared" si="175"/>
        <v>6</v>
      </c>
      <c r="I929" s="904">
        <f t="shared" si="176"/>
        <v>11</v>
      </c>
      <c r="J929" s="21">
        <f t="shared" si="177"/>
        <v>10500</v>
      </c>
      <c r="K929" s="21">
        <f t="shared" si="178"/>
        <v>13906.000000000002</v>
      </c>
      <c r="L929" s="21">
        <f t="shared" si="179"/>
        <v>25700</v>
      </c>
      <c r="M929" s="21">
        <f t="shared" si="180"/>
        <v>40900</v>
      </c>
      <c r="N929" s="904">
        <f t="shared" si="181"/>
        <v>734</v>
      </c>
      <c r="O929" s="21"/>
      <c r="P929" s="22" t="s">
        <v>2</v>
      </c>
      <c r="Q929" s="22">
        <v>0.63</v>
      </c>
      <c r="R929" s="904" t="s">
        <v>42</v>
      </c>
      <c r="S929" s="904" t="str">
        <f t="shared" si="182"/>
        <v>Stove</v>
      </c>
      <c r="T929" s="23">
        <f t="shared" si="183"/>
        <v>0.22638775695010413</v>
      </c>
      <c r="U929" s="23">
        <f t="shared" si="184"/>
        <v>0.66584634397089437</v>
      </c>
      <c r="V929" s="23">
        <f t="shared" si="184"/>
        <v>0.3602824614497766</v>
      </c>
      <c r="W929" s="23">
        <f t="shared" si="185"/>
        <v>0.88183421516754845</v>
      </c>
      <c r="X929" s="904">
        <f t="shared" si="186"/>
        <v>480</v>
      </c>
      <c r="Y929" s="904">
        <f t="shared" si="186"/>
        <v>518</v>
      </c>
      <c r="Z929" s="904">
        <f t="shared" si="186"/>
        <v>511</v>
      </c>
      <c r="AA929" s="904">
        <f t="shared" si="186"/>
        <v>623</v>
      </c>
      <c r="AB929" s="24">
        <v>247</v>
      </c>
    </row>
    <row r="930" spans="1:28" x14ac:dyDescent="0.25">
      <c r="A930" s="903"/>
      <c r="B930" t="s">
        <v>1774</v>
      </c>
      <c r="C930" s="906" t="s">
        <v>1788</v>
      </c>
      <c r="D930" s="25">
        <v>5.7</v>
      </c>
      <c r="E930" s="903">
        <v>824</v>
      </c>
      <c r="F930" s="903">
        <v>472</v>
      </c>
      <c r="G930" s="903" t="s">
        <v>1790</v>
      </c>
      <c r="H930" s="904">
        <f t="shared" si="175"/>
        <v>6</v>
      </c>
      <c r="I930" s="904">
        <f t="shared" si="176"/>
        <v>11</v>
      </c>
      <c r="J930" s="21">
        <f t="shared" si="177"/>
        <v>10200</v>
      </c>
      <c r="K930" s="21">
        <f t="shared" si="178"/>
        <v>13566.000000000002</v>
      </c>
      <c r="L930" s="21">
        <f t="shared" si="179"/>
        <v>25050</v>
      </c>
      <c r="M930" s="21">
        <f t="shared" si="180"/>
        <v>39900</v>
      </c>
      <c r="N930" s="904">
        <f t="shared" si="181"/>
        <v>687</v>
      </c>
      <c r="O930" s="21"/>
      <c r="P930" s="22" t="s">
        <v>2</v>
      </c>
      <c r="Q930" s="22">
        <v>0.63</v>
      </c>
      <c r="R930" s="904" t="s">
        <v>42</v>
      </c>
      <c r="S930" s="904" t="str">
        <f t="shared" si="182"/>
        <v>Stove</v>
      </c>
      <c r="T930" s="23">
        <f t="shared" si="183"/>
        <v>0.31494079113126733</v>
      </c>
      <c r="U930" s="23">
        <f t="shared" si="184"/>
        <v>0.92629644450372717</v>
      </c>
      <c r="V930" s="23">
        <f t="shared" si="184"/>
        <v>0.5016422182090845</v>
      </c>
      <c r="W930" s="23">
        <f t="shared" si="185"/>
        <v>1.2319742711899575</v>
      </c>
      <c r="X930" s="904">
        <f t="shared" si="186"/>
        <v>703</v>
      </c>
      <c r="Y930" s="904">
        <f t="shared" si="186"/>
        <v>764</v>
      </c>
      <c r="Z930" s="904">
        <f t="shared" si="186"/>
        <v>749</v>
      </c>
      <c r="AA930" s="904">
        <f t="shared" si="186"/>
        <v>833</v>
      </c>
      <c r="AB930" s="24">
        <v>433</v>
      </c>
    </row>
    <row r="931" spans="1:28" x14ac:dyDescent="0.25">
      <c r="A931" s="903"/>
      <c r="B931" t="s">
        <v>1774</v>
      </c>
      <c r="C931" s="906" t="s">
        <v>1791</v>
      </c>
      <c r="D931" s="25">
        <v>4.3</v>
      </c>
      <c r="E931" s="903">
        <v>635</v>
      </c>
      <c r="F931" s="903">
        <v>318</v>
      </c>
      <c r="G931" s="903" t="s">
        <v>1792</v>
      </c>
      <c r="H931" s="904">
        <f t="shared" si="175"/>
        <v>5</v>
      </c>
      <c r="I931" s="904">
        <f t="shared" si="176"/>
        <v>10</v>
      </c>
      <c r="J931" s="21">
        <f t="shared" si="177"/>
        <v>9000</v>
      </c>
      <c r="K931" s="21">
        <f t="shared" si="178"/>
        <v>9078</v>
      </c>
      <c r="L931" s="21">
        <f t="shared" si="179"/>
        <v>17850</v>
      </c>
      <c r="M931" s="21">
        <f t="shared" si="180"/>
        <v>26700</v>
      </c>
      <c r="N931" s="904">
        <f t="shared" si="181"/>
        <v>150</v>
      </c>
      <c r="O931" s="21"/>
      <c r="P931" s="22" t="s">
        <v>2</v>
      </c>
      <c r="Q931" s="22">
        <v>0.63</v>
      </c>
      <c r="R931" s="904" t="s">
        <v>42</v>
      </c>
      <c r="S931" s="904" t="str">
        <f t="shared" si="182"/>
        <v>Stove</v>
      </c>
      <c r="T931" s="23">
        <f t="shared" si="183"/>
        <v>0.35504561097569837</v>
      </c>
      <c r="U931" s="23">
        <f t="shared" si="184"/>
        <v>1.0442517969873482</v>
      </c>
      <c r="V931" s="23">
        <f t="shared" si="184"/>
        <v>0.53107662818213708</v>
      </c>
      <c r="W931" s="23">
        <f t="shared" si="185"/>
        <v>1.0533019792279052</v>
      </c>
      <c r="X931" s="904">
        <f t="shared" si="186"/>
        <v>774</v>
      </c>
      <c r="Y931" s="904">
        <f t="shared" si="186"/>
        <v>830</v>
      </c>
      <c r="Z931" s="904">
        <f t="shared" si="186"/>
        <v>780</v>
      </c>
      <c r="AA931" s="904">
        <f t="shared" si="186"/>
        <v>744</v>
      </c>
      <c r="AB931" s="24">
        <v>488</v>
      </c>
    </row>
    <row r="932" spans="1:28" x14ac:dyDescent="0.25">
      <c r="A932" s="903"/>
      <c r="B932" t="s">
        <v>1774</v>
      </c>
      <c r="C932" s="906" t="s">
        <v>1793</v>
      </c>
      <c r="D932" s="25">
        <v>7</v>
      </c>
      <c r="E932" s="903">
        <v>907</v>
      </c>
      <c r="F932" s="903">
        <v>550</v>
      </c>
      <c r="G932" s="903" t="s">
        <v>1794</v>
      </c>
      <c r="H932" s="904">
        <f t="shared" si="175"/>
        <v>6</v>
      </c>
      <c r="I932" s="904">
        <f t="shared" si="176"/>
        <v>11</v>
      </c>
      <c r="J932" s="21">
        <f t="shared" si="177"/>
        <v>11800</v>
      </c>
      <c r="K932" s="21">
        <f t="shared" si="178"/>
        <v>13362.000000000002</v>
      </c>
      <c r="L932" s="21">
        <f t="shared" si="179"/>
        <v>25550</v>
      </c>
      <c r="M932" s="21">
        <f t="shared" si="180"/>
        <v>39300</v>
      </c>
      <c r="N932" s="904">
        <f t="shared" si="181"/>
        <v>727</v>
      </c>
      <c r="O932" s="21"/>
      <c r="P932" s="22" t="s">
        <v>2</v>
      </c>
      <c r="Q932" s="22">
        <v>0.63</v>
      </c>
      <c r="R932" s="904" t="s">
        <v>42</v>
      </c>
      <c r="S932" s="904" t="str">
        <f t="shared" si="182"/>
        <v>Stove</v>
      </c>
      <c r="T932" s="23">
        <f t="shared" si="183"/>
        <v>0.39267426884051143</v>
      </c>
      <c r="U932" s="23">
        <f t="shared" si="184"/>
        <v>1.154924320119151</v>
      </c>
      <c r="V932" s="23">
        <f t="shared" si="184"/>
        <v>0.60399603778599209</v>
      </c>
      <c r="W932" s="23">
        <f t="shared" si="185"/>
        <v>1.3078049801213643</v>
      </c>
      <c r="X932" s="904">
        <f t="shared" si="186"/>
        <v>821</v>
      </c>
      <c r="Y932" s="904">
        <f t="shared" si="186"/>
        <v>873</v>
      </c>
      <c r="Z932" s="904">
        <f t="shared" si="186"/>
        <v>842</v>
      </c>
      <c r="AA932" s="904">
        <f t="shared" si="186"/>
        <v>857</v>
      </c>
      <c r="AB932" s="24">
        <v>520</v>
      </c>
    </row>
    <row r="933" spans="1:28" x14ac:dyDescent="0.25">
      <c r="A933" s="903"/>
      <c r="B933" t="s">
        <v>1774</v>
      </c>
      <c r="C933" s="906" t="s">
        <v>1795</v>
      </c>
      <c r="D933" s="25">
        <v>3.97</v>
      </c>
      <c r="E933" s="903">
        <v>568</v>
      </c>
      <c r="F933" s="903">
        <v>267</v>
      </c>
      <c r="G933" s="903" t="s">
        <v>1796</v>
      </c>
      <c r="H933" s="904">
        <f t="shared" si="175"/>
        <v>6</v>
      </c>
      <c r="I933" s="904">
        <f t="shared" si="176"/>
        <v>11</v>
      </c>
      <c r="J933" s="21">
        <f t="shared" si="177"/>
        <v>11500</v>
      </c>
      <c r="K933" s="21">
        <f t="shared" si="178"/>
        <v>14892.000000000002</v>
      </c>
      <c r="L933" s="21">
        <f t="shared" si="179"/>
        <v>27650</v>
      </c>
      <c r="M933" s="21">
        <f t="shared" si="180"/>
        <v>43800</v>
      </c>
      <c r="N933" s="904">
        <f t="shared" si="181"/>
        <v>818</v>
      </c>
      <c r="O933" s="21"/>
      <c r="P933" s="22" t="s">
        <v>2</v>
      </c>
      <c r="Q933" s="22">
        <v>0.63</v>
      </c>
      <c r="R933" s="904" t="s">
        <v>42</v>
      </c>
      <c r="S933" s="904" t="str">
        <f t="shared" si="182"/>
        <v>Stove</v>
      </c>
      <c r="T933" s="23">
        <f t="shared" si="183"/>
        <v>0.19982202250086573</v>
      </c>
      <c r="U933" s="23">
        <f t="shared" si="184"/>
        <v>0.58771183088489909</v>
      </c>
      <c r="V933" s="23">
        <f t="shared" si="184"/>
        <v>0.31653542804838769</v>
      </c>
      <c r="W933" s="23">
        <f t="shared" si="185"/>
        <v>0.76106126830764509</v>
      </c>
      <c r="X933" s="904">
        <f t="shared" si="186"/>
        <v>387</v>
      </c>
      <c r="Y933" s="904">
        <f t="shared" si="186"/>
        <v>422</v>
      </c>
      <c r="Z933" s="904">
        <f t="shared" si="186"/>
        <v>403</v>
      </c>
      <c r="AA933" s="904">
        <f t="shared" si="186"/>
        <v>483</v>
      </c>
      <c r="AB933" s="24">
        <v>181</v>
      </c>
    </row>
    <row r="934" spans="1:28" x14ac:dyDescent="0.25">
      <c r="A934" s="903"/>
      <c r="B934" t="s">
        <v>1797</v>
      </c>
      <c r="C934" s="906" t="s">
        <v>1798</v>
      </c>
      <c r="D934" s="25">
        <v>3.6</v>
      </c>
      <c r="E934" s="903">
        <v>467</v>
      </c>
      <c r="F934" s="903">
        <v>186</v>
      </c>
      <c r="G934" s="903" t="s">
        <v>1298</v>
      </c>
      <c r="H934" s="904">
        <f t="shared" si="175"/>
        <v>5</v>
      </c>
      <c r="I934" s="904">
        <f t="shared" si="176"/>
        <v>10</v>
      </c>
      <c r="J934" s="21">
        <f t="shared" si="177"/>
        <v>9900</v>
      </c>
      <c r="K934" s="21">
        <f t="shared" si="178"/>
        <v>9900</v>
      </c>
      <c r="L934" s="21">
        <f t="shared" si="179"/>
        <v>14950</v>
      </c>
      <c r="M934" s="21">
        <f t="shared" si="180"/>
        <v>20000</v>
      </c>
      <c r="N934" s="904">
        <f t="shared" si="181"/>
        <v>37</v>
      </c>
      <c r="O934" s="21"/>
      <c r="P934" s="22" t="s">
        <v>2</v>
      </c>
      <c r="Q934" s="22">
        <v>0.72</v>
      </c>
      <c r="R934" s="904" t="s">
        <v>38</v>
      </c>
      <c r="S934" s="904" t="str">
        <f t="shared" si="182"/>
        <v>Stove</v>
      </c>
      <c r="T934" s="23">
        <f t="shared" si="183"/>
        <v>0.3968253968253968</v>
      </c>
      <c r="U934" s="23">
        <f t="shared" si="184"/>
        <v>0.80166746833413505</v>
      </c>
      <c r="V934" s="23">
        <f t="shared" si="184"/>
        <v>0.53087009608748736</v>
      </c>
      <c r="W934" s="23">
        <f t="shared" si="185"/>
        <v>0.80166746833413505</v>
      </c>
      <c r="X934" s="904">
        <f t="shared" si="186"/>
        <v>824</v>
      </c>
      <c r="Y934" s="904">
        <f t="shared" si="186"/>
        <v>661</v>
      </c>
      <c r="Z934" s="904">
        <f t="shared" si="186"/>
        <v>778</v>
      </c>
      <c r="AA934" s="904">
        <f t="shared" si="186"/>
        <v>533</v>
      </c>
      <c r="AB934" s="24">
        <v>230</v>
      </c>
    </row>
    <row r="935" spans="1:28" x14ac:dyDescent="0.25">
      <c r="A935" s="903" t="s">
        <v>77</v>
      </c>
      <c r="B935" t="s">
        <v>1799</v>
      </c>
      <c r="C935" s="906" t="s">
        <v>1800</v>
      </c>
      <c r="D935" s="25">
        <v>4.8</v>
      </c>
      <c r="E935" s="903">
        <v>740</v>
      </c>
      <c r="F935" s="903">
        <v>403</v>
      </c>
      <c r="G935" s="903" t="s">
        <v>205</v>
      </c>
      <c r="H935" s="904">
        <f t="shared" si="175"/>
        <v>6</v>
      </c>
      <c r="I935" s="904">
        <f t="shared" si="176"/>
        <v>11</v>
      </c>
      <c r="J935" s="21">
        <f t="shared" si="177"/>
        <v>10600</v>
      </c>
      <c r="K935" s="21">
        <f t="shared" si="178"/>
        <v>10600</v>
      </c>
      <c r="L935" s="21">
        <f t="shared" si="179"/>
        <v>17950</v>
      </c>
      <c r="M935" s="21">
        <f t="shared" si="180"/>
        <v>25300</v>
      </c>
      <c r="N935" s="904">
        <f t="shared" si="181"/>
        <v>154</v>
      </c>
      <c r="O935" s="21"/>
      <c r="P935" s="22" t="s">
        <v>2</v>
      </c>
      <c r="Q935" s="22">
        <v>0.63</v>
      </c>
      <c r="R935" s="904" t="s">
        <v>42</v>
      </c>
      <c r="S935" s="904" t="str">
        <f t="shared" si="182"/>
        <v>Stove</v>
      </c>
      <c r="T935" s="23">
        <f t="shared" si="183"/>
        <v>0.41826128782650523</v>
      </c>
      <c r="U935" s="23">
        <f t="shared" si="184"/>
        <v>0.99830288509533793</v>
      </c>
      <c r="V935" s="23">
        <f t="shared" si="184"/>
        <v>0.58952705192259514</v>
      </c>
      <c r="W935" s="23">
        <f t="shared" si="185"/>
        <v>0.99830288509533793</v>
      </c>
      <c r="X935" s="904">
        <f t="shared" si="186"/>
        <v>845</v>
      </c>
      <c r="Y935" s="904">
        <f t="shared" si="186"/>
        <v>808</v>
      </c>
      <c r="Z935" s="904">
        <f t="shared" si="186"/>
        <v>830</v>
      </c>
      <c r="AA935" s="904">
        <f t="shared" si="186"/>
        <v>710</v>
      </c>
      <c r="AB935" s="24">
        <v>470</v>
      </c>
    </row>
    <row r="936" spans="1:28" x14ac:dyDescent="0.25">
      <c r="A936" s="903" t="s">
        <v>77</v>
      </c>
      <c r="B936" t="s">
        <v>1799</v>
      </c>
      <c r="C936" s="906" t="s">
        <v>1801</v>
      </c>
      <c r="D936" s="25">
        <v>7.3</v>
      </c>
      <c r="E936" s="903">
        <v>937</v>
      </c>
      <c r="F936" s="903">
        <v>580</v>
      </c>
      <c r="G936" s="903" t="s">
        <v>1802</v>
      </c>
      <c r="H936" s="904">
        <f t="shared" si="175"/>
        <v>5</v>
      </c>
      <c r="I936" s="904">
        <f t="shared" si="176"/>
        <v>10</v>
      </c>
      <c r="J936" s="21">
        <f t="shared" si="177"/>
        <v>9900</v>
      </c>
      <c r="K936" s="21">
        <f t="shared" si="178"/>
        <v>15606.000000000002</v>
      </c>
      <c r="L936" s="21">
        <f t="shared" si="179"/>
        <v>27900</v>
      </c>
      <c r="M936" s="21">
        <f t="shared" si="180"/>
        <v>45900</v>
      </c>
      <c r="N936" s="904">
        <f t="shared" si="181"/>
        <v>825</v>
      </c>
      <c r="O936" s="21"/>
      <c r="P936" s="22" t="s">
        <v>2</v>
      </c>
      <c r="Q936" s="22">
        <v>0.63</v>
      </c>
      <c r="R936" s="904" t="s">
        <v>42</v>
      </c>
      <c r="S936" s="904" t="str">
        <f t="shared" si="182"/>
        <v>Stove</v>
      </c>
      <c r="T936" s="23">
        <f t="shared" si="183"/>
        <v>0.35062035788252199</v>
      </c>
      <c r="U936" s="23">
        <f t="shared" si="184"/>
        <v>1.0312363467132999</v>
      </c>
      <c r="V936" s="23">
        <f t="shared" si="184"/>
        <v>0.57682704038737487</v>
      </c>
      <c r="W936" s="23">
        <f t="shared" si="185"/>
        <v>1.6256034774553294</v>
      </c>
      <c r="X936" s="904">
        <f t="shared" si="186"/>
        <v>764</v>
      </c>
      <c r="Y936" s="904">
        <f t="shared" si="186"/>
        <v>820</v>
      </c>
      <c r="Z936" s="904">
        <f t="shared" si="186"/>
        <v>823</v>
      </c>
      <c r="AA936" s="904">
        <f t="shared" si="186"/>
        <v>933</v>
      </c>
      <c r="AB936" s="24">
        <v>481</v>
      </c>
    </row>
    <row r="937" spans="1:28" x14ac:dyDescent="0.25">
      <c r="A937" s="903" t="s">
        <v>77</v>
      </c>
      <c r="B937" t="s">
        <v>1799</v>
      </c>
      <c r="C937" s="906" t="s">
        <v>1803</v>
      </c>
      <c r="D937" s="25">
        <v>6.4</v>
      </c>
      <c r="E937" s="903">
        <v>868</v>
      </c>
      <c r="F937" s="903">
        <v>514</v>
      </c>
      <c r="G937" s="903" t="s">
        <v>1804</v>
      </c>
      <c r="H937" s="904">
        <f t="shared" si="175"/>
        <v>6</v>
      </c>
      <c r="I937" s="904">
        <f t="shared" si="176"/>
        <v>11</v>
      </c>
      <c r="J937" s="21">
        <f t="shared" si="177"/>
        <v>12800</v>
      </c>
      <c r="K937" s="21">
        <f t="shared" si="178"/>
        <v>12800</v>
      </c>
      <c r="L937" s="21">
        <f t="shared" si="179"/>
        <v>23500</v>
      </c>
      <c r="M937" s="21">
        <f t="shared" si="180"/>
        <v>34200</v>
      </c>
      <c r="N937" s="904">
        <f t="shared" si="181"/>
        <v>590</v>
      </c>
      <c r="O937" s="21"/>
      <c r="P937" s="22" t="s">
        <v>2</v>
      </c>
      <c r="Q937" s="22">
        <v>0.63</v>
      </c>
      <c r="R937" s="904" t="s">
        <v>42</v>
      </c>
      <c r="S937" s="904" t="str">
        <f t="shared" si="182"/>
        <v>Stove</v>
      </c>
      <c r="T937" s="23">
        <f t="shared" si="183"/>
        <v>0.41255401879183556</v>
      </c>
      <c r="U937" s="23">
        <f t="shared" si="184"/>
        <v>1.1022927689594357</v>
      </c>
      <c r="V937" s="23">
        <f t="shared" si="184"/>
        <v>0.60039776351833085</v>
      </c>
      <c r="W937" s="23">
        <f t="shared" si="185"/>
        <v>1.1022927689594357</v>
      </c>
      <c r="X937" s="904">
        <f t="shared" si="186"/>
        <v>842</v>
      </c>
      <c r="Y937" s="904">
        <f t="shared" si="186"/>
        <v>858</v>
      </c>
      <c r="Z937" s="904">
        <f t="shared" si="186"/>
        <v>840</v>
      </c>
      <c r="AA937" s="904">
        <f t="shared" si="186"/>
        <v>781</v>
      </c>
      <c r="AB937" s="24">
        <v>505</v>
      </c>
    </row>
    <row r="938" spans="1:28" x14ac:dyDescent="0.25">
      <c r="A938" s="903" t="s">
        <v>77</v>
      </c>
      <c r="B938" t="s">
        <v>1799</v>
      </c>
      <c r="C938" s="906" t="s">
        <v>1805</v>
      </c>
      <c r="D938" s="25">
        <v>6.4</v>
      </c>
      <c r="E938" s="903">
        <v>868</v>
      </c>
      <c r="F938" s="903">
        <v>514</v>
      </c>
      <c r="G938" s="903" t="s">
        <v>1806</v>
      </c>
      <c r="H938" s="904">
        <f t="shared" si="175"/>
        <v>6</v>
      </c>
      <c r="I938" s="904">
        <f t="shared" si="176"/>
        <v>11</v>
      </c>
      <c r="J938" s="21">
        <f t="shared" si="177"/>
        <v>12800</v>
      </c>
      <c r="K938" s="21">
        <f t="shared" si="178"/>
        <v>12800</v>
      </c>
      <c r="L938" s="21">
        <f t="shared" si="179"/>
        <v>17800</v>
      </c>
      <c r="M938" s="21">
        <f t="shared" si="180"/>
        <v>22800</v>
      </c>
      <c r="N938" s="904">
        <f t="shared" si="181"/>
        <v>146</v>
      </c>
      <c r="O938" s="21"/>
      <c r="P938" s="22" t="s">
        <v>2</v>
      </c>
      <c r="Q938" s="22">
        <v>0.63</v>
      </c>
      <c r="R938" s="904" t="s">
        <v>42</v>
      </c>
      <c r="S938" s="904" t="str">
        <f t="shared" si="182"/>
        <v>Stove</v>
      </c>
      <c r="T938" s="23">
        <f t="shared" si="183"/>
        <v>0.61883102818775337</v>
      </c>
      <c r="U938" s="23">
        <f t="shared" si="184"/>
        <v>1.1022927689594357</v>
      </c>
      <c r="V938" s="23">
        <f t="shared" si="184"/>
        <v>0.79265996868993127</v>
      </c>
      <c r="W938" s="23">
        <f t="shared" si="185"/>
        <v>1.1022927689594357</v>
      </c>
      <c r="X938" s="904">
        <f t="shared" si="186"/>
        <v>940</v>
      </c>
      <c r="Y938" s="904">
        <f t="shared" si="186"/>
        <v>858</v>
      </c>
      <c r="Z938" s="904">
        <f t="shared" si="186"/>
        <v>925</v>
      </c>
      <c r="AA938" s="904">
        <f t="shared" si="186"/>
        <v>781</v>
      </c>
      <c r="AB938" s="24">
        <v>505</v>
      </c>
    </row>
    <row r="939" spans="1:28" x14ac:dyDescent="0.25">
      <c r="A939" s="903" t="s">
        <v>77</v>
      </c>
      <c r="B939" t="s">
        <v>1807</v>
      </c>
      <c r="C939" s="906" t="s">
        <v>1808</v>
      </c>
      <c r="D939" s="25">
        <v>0.7</v>
      </c>
      <c r="E939" s="903">
        <v>11</v>
      </c>
      <c r="F939" s="903">
        <v>6</v>
      </c>
      <c r="G939" s="903" t="s">
        <v>1809</v>
      </c>
      <c r="H939" s="904">
        <f t="shared" si="175"/>
        <v>5</v>
      </c>
      <c r="I939" s="904">
        <f t="shared" si="176"/>
        <v>10</v>
      </c>
      <c r="J939" s="21">
        <f t="shared" si="177"/>
        <v>9600</v>
      </c>
      <c r="K939" s="21">
        <f t="shared" si="178"/>
        <v>9600</v>
      </c>
      <c r="L939" s="21">
        <f t="shared" si="179"/>
        <v>16750</v>
      </c>
      <c r="M939" s="21">
        <f t="shared" si="180"/>
        <v>23900</v>
      </c>
      <c r="N939" s="904">
        <f t="shared" si="181"/>
        <v>87</v>
      </c>
      <c r="O939" s="21"/>
      <c r="P939" s="22" t="s">
        <v>2</v>
      </c>
      <c r="Q939" s="22">
        <v>0.78</v>
      </c>
      <c r="R939" s="904" t="s">
        <v>15</v>
      </c>
      <c r="S939" s="904" t="str">
        <f t="shared" si="182"/>
        <v>Stove</v>
      </c>
      <c r="T939" s="23">
        <f t="shared" si="183"/>
        <v>6.4569450901389533E-2</v>
      </c>
      <c r="U939" s="23">
        <f t="shared" si="184"/>
        <v>0.16075102880658437</v>
      </c>
      <c r="V939" s="23">
        <f t="shared" si="184"/>
        <v>9.2131932927952825E-2</v>
      </c>
      <c r="W939" s="23">
        <f t="shared" si="185"/>
        <v>0.16075102880658437</v>
      </c>
      <c r="X939" s="904">
        <f t="shared" si="186"/>
        <v>30</v>
      </c>
      <c r="Y939" s="904">
        <f t="shared" si="186"/>
        <v>23</v>
      </c>
      <c r="Z939" s="904">
        <f t="shared" si="186"/>
        <v>23</v>
      </c>
      <c r="AA939" s="904">
        <f t="shared" si="186"/>
        <v>15</v>
      </c>
      <c r="AB939" s="24">
        <v>11</v>
      </c>
    </row>
    <row r="940" spans="1:28" x14ac:dyDescent="0.25">
      <c r="A940" s="903"/>
      <c r="B940" t="s">
        <v>1810</v>
      </c>
      <c r="C940" s="906" t="s">
        <v>1811</v>
      </c>
      <c r="D940" s="25">
        <v>7.3</v>
      </c>
      <c r="E940" s="903">
        <v>937</v>
      </c>
      <c r="F940" s="903">
        <v>580</v>
      </c>
      <c r="G940" s="903" t="s">
        <v>1812</v>
      </c>
      <c r="H940" s="904">
        <f t="shared" si="175"/>
        <v>5</v>
      </c>
      <c r="I940" s="904">
        <f t="shared" si="176"/>
        <v>10</v>
      </c>
      <c r="J940" s="21">
        <f t="shared" si="177"/>
        <v>8900</v>
      </c>
      <c r="K940" s="21">
        <f t="shared" si="178"/>
        <v>10608</v>
      </c>
      <c r="L940" s="21">
        <f t="shared" si="179"/>
        <v>20050</v>
      </c>
      <c r="M940" s="21">
        <f t="shared" si="180"/>
        <v>31200</v>
      </c>
      <c r="N940" s="904">
        <f t="shared" si="181"/>
        <v>326</v>
      </c>
      <c r="O940" s="21"/>
      <c r="P940" s="22" t="s">
        <v>2</v>
      </c>
      <c r="Q940" s="22">
        <v>0.63</v>
      </c>
      <c r="R940" s="904" t="s">
        <v>42</v>
      </c>
      <c r="S940" s="904" t="str">
        <f t="shared" si="182"/>
        <v>Stove</v>
      </c>
      <c r="T940" s="23">
        <f t="shared" si="183"/>
        <v>0.51581648803871027</v>
      </c>
      <c r="U940" s="23">
        <f t="shared" si="184"/>
        <v>1.5171073177609127</v>
      </c>
      <c r="V940" s="23">
        <f t="shared" si="184"/>
        <v>0.80266705370612268</v>
      </c>
      <c r="W940" s="23">
        <f t="shared" si="185"/>
        <v>1.8082555535739055</v>
      </c>
      <c r="X940" s="904">
        <f t="shared" si="186"/>
        <v>904</v>
      </c>
      <c r="Y940" s="904">
        <f t="shared" si="186"/>
        <v>946</v>
      </c>
      <c r="Z940" s="904">
        <f t="shared" si="186"/>
        <v>927</v>
      </c>
      <c r="AA940" s="904">
        <f t="shared" si="186"/>
        <v>946</v>
      </c>
      <c r="AB940" s="24">
        <v>591</v>
      </c>
    </row>
    <row r="941" spans="1:28" x14ac:dyDescent="0.25">
      <c r="A941" s="903"/>
      <c r="B941" t="s">
        <v>1810</v>
      </c>
      <c r="C941" s="906" t="s">
        <v>1813</v>
      </c>
      <c r="D941" s="25">
        <v>8</v>
      </c>
      <c r="E941" s="903">
        <v>954</v>
      </c>
      <c r="F941" s="903">
        <v>597</v>
      </c>
      <c r="G941" s="903" t="s">
        <v>1814</v>
      </c>
      <c r="H941" s="904">
        <f t="shared" si="175"/>
        <v>5</v>
      </c>
      <c r="I941" s="904">
        <f t="shared" si="176"/>
        <v>10</v>
      </c>
      <c r="J941" s="21">
        <f t="shared" si="177"/>
        <v>9200</v>
      </c>
      <c r="K941" s="21">
        <f t="shared" si="178"/>
        <v>11186</v>
      </c>
      <c r="L941" s="21">
        <f t="shared" si="179"/>
        <v>21050</v>
      </c>
      <c r="M941" s="21">
        <f t="shared" si="180"/>
        <v>32900</v>
      </c>
      <c r="N941" s="904">
        <f t="shared" si="181"/>
        <v>410</v>
      </c>
      <c r="O941" s="21"/>
      <c r="P941" s="22" t="s">
        <v>2</v>
      </c>
      <c r="Q941" s="22">
        <v>0.63</v>
      </c>
      <c r="R941" s="904" t="s">
        <v>42</v>
      </c>
      <c r="S941" s="904" t="str">
        <f t="shared" si="182"/>
        <v>Stove</v>
      </c>
      <c r="T941" s="23">
        <f t="shared" si="183"/>
        <v>0.53606943171279542</v>
      </c>
      <c r="U941" s="23">
        <f t="shared" si="184"/>
        <v>1.5766747991552805</v>
      </c>
      <c r="V941" s="23">
        <f t="shared" si="184"/>
        <v>0.83784723531358529</v>
      </c>
      <c r="W941" s="23">
        <f t="shared" si="185"/>
        <v>1.9170309025381489</v>
      </c>
      <c r="X941" s="904">
        <f t="shared" si="186"/>
        <v>917</v>
      </c>
      <c r="Y941" s="904">
        <f t="shared" si="186"/>
        <v>949</v>
      </c>
      <c r="Z941" s="904">
        <f t="shared" si="186"/>
        <v>935</v>
      </c>
      <c r="AA941" s="904">
        <f t="shared" si="186"/>
        <v>948</v>
      </c>
      <c r="AB941" s="24">
        <v>594</v>
      </c>
    </row>
    <row r="942" spans="1:28" x14ac:dyDescent="0.25">
      <c r="A942" s="903"/>
      <c r="B942" t="s">
        <v>1815</v>
      </c>
      <c r="C942" s="906" t="s">
        <v>1816</v>
      </c>
      <c r="D942" s="25">
        <v>1.6</v>
      </c>
      <c r="E942" s="903">
        <v>86</v>
      </c>
      <c r="F942" s="903">
        <v>37</v>
      </c>
      <c r="G942" s="903" t="s">
        <v>1817</v>
      </c>
      <c r="H942" s="904">
        <f t="shared" si="175"/>
        <v>5</v>
      </c>
      <c r="I942" s="904">
        <f t="shared" si="176"/>
        <v>10</v>
      </c>
      <c r="J942" s="21">
        <f t="shared" si="177"/>
        <v>8500</v>
      </c>
      <c r="K942" s="21">
        <f t="shared" si="178"/>
        <v>9486</v>
      </c>
      <c r="L942" s="21">
        <f t="shared" si="179"/>
        <v>18200</v>
      </c>
      <c r="M942" s="21">
        <f t="shared" si="180"/>
        <v>27900</v>
      </c>
      <c r="N942" s="904">
        <f t="shared" si="181"/>
        <v>173</v>
      </c>
      <c r="O942" s="21"/>
      <c r="P942" s="22" t="s">
        <v>2</v>
      </c>
      <c r="Q942" s="22">
        <v>0.78</v>
      </c>
      <c r="R942" s="904" t="s">
        <v>15</v>
      </c>
      <c r="S942" s="904" t="str">
        <f t="shared" si="182"/>
        <v>Stove</v>
      </c>
      <c r="T942" s="23">
        <f t="shared" si="183"/>
        <v>0.12642784446846572</v>
      </c>
      <c r="U942" s="23">
        <f t="shared" si="184"/>
        <v>0.37184660137784037</v>
      </c>
      <c r="V942" s="23">
        <f t="shared" si="184"/>
        <v>0.19380971761924143</v>
      </c>
      <c r="W942" s="23">
        <f t="shared" si="185"/>
        <v>0.41498080713766988</v>
      </c>
      <c r="X942" s="904">
        <f t="shared" si="186"/>
        <v>159</v>
      </c>
      <c r="Y942" s="904">
        <f t="shared" si="186"/>
        <v>167</v>
      </c>
      <c r="Z942" s="904">
        <f t="shared" si="186"/>
        <v>155</v>
      </c>
      <c r="AA942" s="904">
        <f t="shared" si="186"/>
        <v>124</v>
      </c>
      <c r="AB942" s="24">
        <v>58</v>
      </c>
    </row>
    <row r="943" spans="1:28" x14ac:dyDescent="0.25">
      <c r="A943" s="903" t="s">
        <v>77</v>
      </c>
      <c r="B943" t="s">
        <v>1818</v>
      </c>
      <c r="C943" s="906" t="s">
        <v>1819</v>
      </c>
      <c r="D943" s="25">
        <v>0.6</v>
      </c>
      <c r="E943" s="903">
        <v>7</v>
      </c>
      <c r="F943" s="903">
        <v>4</v>
      </c>
      <c r="G943" s="903" t="s">
        <v>1159</v>
      </c>
      <c r="H943" s="904">
        <f t="shared" si="175"/>
        <v>6</v>
      </c>
      <c r="I943" s="904">
        <f t="shared" si="176"/>
        <v>11</v>
      </c>
      <c r="J943" s="21">
        <f t="shared" si="177"/>
        <v>10000</v>
      </c>
      <c r="K943" s="21">
        <f t="shared" si="178"/>
        <v>10000</v>
      </c>
      <c r="L943" s="21">
        <f t="shared" si="179"/>
        <v>15650</v>
      </c>
      <c r="M943" s="21">
        <f t="shared" si="180"/>
        <v>21300</v>
      </c>
      <c r="N943" s="904">
        <f t="shared" si="181"/>
        <v>55</v>
      </c>
      <c r="O943" s="21"/>
      <c r="P943" s="22" t="s">
        <v>2</v>
      </c>
      <c r="Q943" s="22">
        <v>0.78</v>
      </c>
      <c r="R943" s="904" t="s">
        <v>15</v>
      </c>
      <c r="S943" s="904" t="str">
        <f t="shared" si="182"/>
        <v>Stove</v>
      </c>
      <c r="T943" s="23">
        <f t="shared" si="183"/>
        <v>6.2101001068137221E-2</v>
      </c>
      <c r="U943" s="23">
        <f t="shared" si="184"/>
        <v>0.13227513227513227</v>
      </c>
      <c r="V943" s="23">
        <f t="shared" si="184"/>
        <v>8.4520851294014238E-2</v>
      </c>
      <c r="W943" s="23">
        <f t="shared" si="185"/>
        <v>0.13227513227513227</v>
      </c>
      <c r="X943" s="904">
        <f t="shared" si="186"/>
        <v>25</v>
      </c>
      <c r="Y943" s="904">
        <f t="shared" si="186"/>
        <v>13</v>
      </c>
      <c r="Z943" s="904">
        <f t="shared" si="186"/>
        <v>15</v>
      </c>
      <c r="AA943" s="904">
        <f t="shared" si="186"/>
        <v>5</v>
      </c>
      <c r="AB943" s="24">
        <v>5</v>
      </c>
    </row>
    <row r="944" spans="1:28" x14ac:dyDescent="0.25">
      <c r="A944" s="903" t="s">
        <v>77</v>
      </c>
      <c r="B944" t="s">
        <v>1818</v>
      </c>
      <c r="C944" s="906" t="s">
        <v>1820</v>
      </c>
      <c r="D944" s="25">
        <v>1.5</v>
      </c>
      <c r="E944" s="903">
        <v>79</v>
      </c>
      <c r="F944" s="903">
        <v>34</v>
      </c>
      <c r="G944" s="903" t="s">
        <v>1821</v>
      </c>
      <c r="H944" s="904">
        <f t="shared" si="175"/>
        <v>5</v>
      </c>
      <c r="I944" s="904">
        <f t="shared" si="176"/>
        <v>10</v>
      </c>
      <c r="J944" s="21">
        <f t="shared" si="177"/>
        <v>9700</v>
      </c>
      <c r="K944" s="21">
        <f t="shared" si="178"/>
        <v>9996</v>
      </c>
      <c r="L944" s="21">
        <f t="shared" si="179"/>
        <v>19550</v>
      </c>
      <c r="M944" s="21">
        <f t="shared" si="180"/>
        <v>29400</v>
      </c>
      <c r="N944" s="904">
        <f t="shared" si="181"/>
        <v>279</v>
      </c>
      <c r="O944" s="21"/>
      <c r="P944" s="22" t="s">
        <v>2</v>
      </c>
      <c r="Q944" s="22">
        <v>0.78</v>
      </c>
      <c r="R944" s="904" t="s">
        <v>15</v>
      </c>
      <c r="S944" s="904" t="str">
        <f t="shared" si="182"/>
        <v>Stove</v>
      </c>
      <c r="T944" s="23">
        <f t="shared" si="183"/>
        <v>0.11247885397545261</v>
      </c>
      <c r="U944" s="23">
        <f t="shared" si="184"/>
        <v>0.33082015875133119</v>
      </c>
      <c r="V944" s="23">
        <f t="shared" si="184"/>
        <v>0.16914978551807197</v>
      </c>
      <c r="W944" s="23">
        <f t="shared" si="185"/>
        <v>0.34091528936889759</v>
      </c>
      <c r="X944" s="904">
        <f t="shared" si="186"/>
        <v>122</v>
      </c>
      <c r="Y944" s="904">
        <f t="shared" si="186"/>
        <v>135</v>
      </c>
      <c r="Z944" s="904">
        <f t="shared" si="186"/>
        <v>110</v>
      </c>
      <c r="AA944" s="904">
        <f t="shared" si="186"/>
        <v>79</v>
      </c>
      <c r="AB944" s="24">
        <v>49</v>
      </c>
    </row>
    <row r="945" spans="1:28" x14ac:dyDescent="0.25">
      <c r="A945" s="903"/>
      <c r="B945" t="s">
        <v>1822</v>
      </c>
      <c r="C945" s="906" t="s">
        <v>1823</v>
      </c>
      <c r="D945" s="25">
        <v>1.9</v>
      </c>
      <c r="E945" s="903">
        <v>114</v>
      </c>
      <c r="F945" s="903">
        <v>48</v>
      </c>
      <c r="G945" s="903" t="s">
        <v>1824</v>
      </c>
      <c r="H945" s="904">
        <f t="shared" si="175"/>
        <v>5</v>
      </c>
      <c r="I945" s="904">
        <f t="shared" si="176"/>
        <v>10</v>
      </c>
      <c r="J945" s="21">
        <f t="shared" si="177"/>
        <v>7481</v>
      </c>
      <c r="K945" s="21">
        <f t="shared" si="178"/>
        <v>7481</v>
      </c>
      <c r="L945" s="21">
        <f t="shared" si="179"/>
        <v>13478</v>
      </c>
      <c r="M945" s="21">
        <f t="shared" si="180"/>
        <v>19475</v>
      </c>
      <c r="N945" s="904">
        <f t="shared" si="181"/>
        <v>16</v>
      </c>
      <c r="O945" s="21"/>
      <c r="P945" s="22" t="s">
        <v>2</v>
      </c>
      <c r="Q945" s="22">
        <v>0.78</v>
      </c>
      <c r="R945" s="904" t="s">
        <v>15</v>
      </c>
      <c r="S945" s="904" t="str">
        <f t="shared" si="182"/>
        <v>Stove</v>
      </c>
      <c r="T945" s="23">
        <f t="shared" si="183"/>
        <v>0.21508151589452401</v>
      </c>
      <c r="U945" s="23">
        <f t="shared" si="184"/>
        <v>0.55991345034699314</v>
      </c>
      <c r="V945" s="23">
        <f t="shared" si="184"/>
        <v>0.31078146030908554</v>
      </c>
      <c r="W945" s="23">
        <f t="shared" si="185"/>
        <v>0.55991345034699314</v>
      </c>
      <c r="X945" s="904">
        <f t="shared" si="186"/>
        <v>441</v>
      </c>
      <c r="Y945" s="904">
        <f t="shared" si="186"/>
        <v>374</v>
      </c>
      <c r="Z945" s="904">
        <f t="shared" si="186"/>
        <v>389</v>
      </c>
      <c r="AA945" s="904">
        <f t="shared" si="186"/>
        <v>258</v>
      </c>
      <c r="AB945" s="24">
        <v>70</v>
      </c>
    </row>
    <row r="946" spans="1:28" x14ac:dyDescent="0.25">
      <c r="A946" s="903"/>
      <c r="B946" t="s">
        <v>1825</v>
      </c>
      <c r="C946" s="906" t="s">
        <v>1826</v>
      </c>
      <c r="D946" s="25">
        <v>7.3</v>
      </c>
      <c r="E946" s="903">
        <v>937</v>
      </c>
      <c r="F946" s="903">
        <v>580</v>
      </c>
      <c r="G946" s="903" t="s">
        <v>1827</v>
      </c>
      <c r="H946" s="904">
        <f t="shared" si="175"/>
        <v>5</v>
      </c>
      <c r="I946" s="904">
        <f t="shared" si="176"/>
        <v>10</v>
      </c>
      <c r="J946" s="21">
        <f t="shared" si="177"/>
        <v>9667</v>
      </c>
      <c r="K946" s="21">
        <f t="shared" si="178"/>
        <v>9942.2800000000007</v>
      </c>
      <c r="L946" s="21">
        <f t="shared" si="179"/>
        <v>19454.5</v>
      </c>
      <c r="M946" s="21">
        <f t="shared" si="180"/>
        <v>29242</v>
      </c>
      <c r="N946" s="904">
        <f t="shared" si="181"/>
        <v>274</v>
      </c>
      <c r="O946" s="21"/>
      <c r="P946" s="22" t="s">
        <v>2</v>
      </c>
      <c r="Q946" s="22">
        <v>0.63</v>
      </c>
      <c r="R946" s="904" t="s">
        <v>42</v>
      </c>
      <c r="S946" s="904" t="str">
        <f t="shared" si="182"/>
        <v>Stove</v>
      </c>
      <c r="T946" s="23">
        <f t="shared" si="183"/>
        <v>0.55035477829176382</v>
      </c>
      <c r="U946" s="23">
        <f t="shared" si="184"/>
        <v>1.6186905243875407</v>
      </c>
      <c r="V946" s="23">
        <f t="shared" si="184"/>
        <v>0.82723659959432305</v>
      </c>
      <c r="W946" s="23">
        <f t="shared" si="185"/>
        <v>1.6647847757119851</v>
      </c>
      <c r="X946" s="904">
        <f t="shared" si="186"/>
        <v>922</v>
      </c>
      <c r="Y946" s="904">
        <f t="shared" si="186"/>
        <v>953</v>
      </c>
      <c r="Z946" s="904">
        <f t="shared" si="186"/>
        <v>934</v>
      </c>
      <c r="AA946" s="904">
        <f t="shared" si="186"/>
        <v>936</v>
      </c>
      <c r="AB946" s="24">
        <v>598</v>
      </c>
    </row>
    <row r="947" spans="1:28" x14ac:dyDescent="0.25">
      <c r="A947" s="903"/>
      <c r="B947" t="s">
        <v>1825</v>
      </c>
      <c r="C947" s="906" t="s">
        <v>1828</v>
      </c>
      <c r="D947" s="25">
        <v>2.4</v>
      </c>
      <c r="E947" s="903">
        <v>196</v>
      </c>
      <c r="F947" s="903">
        <v>56</v>
      </c>
      <c r="G947" s="903" t="s">
        <v>1295</v>
      </c>
      <c r="H947" s="904">
        <f t="shared" si="175"/>
        <v>6</v>
      </c>
      <c r="I947" s="904">
        <f t="shared" si="176"/>
        <v>11</v>
      </c>
      <c r="J947" s="21">
        <f t="shared" si="177"/>
        <v>11519</v>
      </c>
      <c r="K947" s="21">
        <f t="shared" si="178"/>
        <v>11519</v>
      </c>
      <c r="L947" s="21">
        <f t="shared" si="179"/>
        <v>19475.5</v>
      </c>
      <c r="M947" s="21">
        <f t="shared" si="180"/>
        <v>27432</v>
      </c>
      <c r="N947" s="904">
        <f t="shared" si="181"/>
        <v>275</v>
      </c>
      <c r="O947" s="21"/>
      <c r="P947" s="22" t="s">
        <v>2</v>
      </c>
      <c r="Q947" s="22">
        <v>0.63</v>
      </c>
      <c r="R947" s="904" t="s">
        <v>42</v>
      </c>
      <c r="S947" s="904" t="str">
        <f t="shared" si="182"/>
        <v>Stove</v>
      </c>
      <c r="T947" s="23">
        <f t="shared" si="183"/>
        <v>0.19287712492728531</v>
      </c>
      <c r="U947" s="23">
        <f t="shared" si="184"/>
        <v>0.45932852600098018</v>
      </c>
      <c r="V947" s="23">
        <f t="shared" si="184"/>
        <v>0.27167493984777236</v>
      </c>
      <c r="W947" s="23">
        <f t="shared" si="185"/>
        <v>0.45932852600098018</v>
      </c>
      <c r="X947" s="904">
        <f t="shared" si="186"/>
        <v>359</v>
      </c>
      <c r="Y947" s="904">
        <f t="shared" si="186"/>
        <v>248</v>
      </c>
      <c r="Z947" s="904">
        <f t="shared" si="186"/>
        <v>287</v>
      </c>
      <c r="AA947" s="904">
        <f t="shared" si="186"/>
        <v>152</v>
      </c>
      <c r="AB947" s="24">
        <v>85</v>
      </c>
    </row>
    <row r="948" spans="1:28" x14ac:dyDescent="0.25">
      <c r="A948" s="903"/>
      <c r="B948" t="s">
        <v>1829</v>
      </c>
      <c r="C948" s="906" t="s">
        <v>1830</v>
      </c>
      <c r="D948" s="25">
        <v>4.0999999999999996</v>
      </c>
      <c r="E948" s="903">
        <v>594</v>
      </c>
      <c r="F948" s="903">
        <v>283</v>
      </c>
      <c r="G948" s="903" t="s">
        <v>337</v>
      </c>
      <c r="H948" s="904">
        <f t="shared" si="175"/>
        <v>6</v>
      </c>
      <c r="I948" s="904">
        <f t="shared" si="176"/>
        <v>11</v>
      </c>
      <c r="J948" s="21">
        <f t="shared" si="177"/>
        <v>11700</v>
      </c>
      <c r="K948" s="21">
        <f t="shared" si="178"/>
        <v>11700</v>
      </c>
      <c r="L948" s="21">
        <f t="shared" si="179"/>
        <v>22200</v>
      </c>
      <c r="M948" s="21">
        <f t="shared" si="180"/>
        <v>32700</v>
      </c>
      <c r="N948" s="904">
        <f t="shared" si="181"/>
        <v>493</v>
      </c>
      <c r="O948" s="21"/>
      <c r="P948" s="22" t="s">
        <v>2</v>
      </c>
      <c r="Q948" s="22">
        <v>0.63</v>
      </c>
      <c r="R948" s="904" t="s">
        <v>42</v>
      </c>
      <c r="S948" s="904" t="str">
        <f t="shared" si="182"/>
        <v>Stove</v>
      </c>
      <c r="T948" s="23">
        <f t="shared" si="183"/>
        <v>0.2764159237145985</v>
      </c>
      <c r="U948" s="23">
        <f t="shared" si="184"/>
        <v>0.7725470688433651</v>
      </c>
      <c r="V948" s="23">
        <f t="shared" si="184"/>
        <v>0.40715318493096264</v>
      </c>
      <c r="W948" s="23">
        <f t="shared" si="185"/>
        <v>0.7725470688433651</v>
      </c>
      <c r="X948" s="904">
        <f t="shared" si="186"/>
        <v>621</v>
      </c>
      <c r="Y948" s="904">
        <f t="shared" si="186"/>
        <v>632</v>
      </c>
      <c r="Z948" s="904">
        <f t="shared" si="186"/>
        <v>609</v>
      </c>
      <c r="AA948" s="904">
        <f t="shared" si="186"/>
        <v>494</v>
      </c>
      <c r="AB948" s="24">
        <v>328</v>
      </c>
    </row>
    <row r="949" spans="1:28" x14ac:dyDescent="0.25">
      <c r="A949" s="903"/>
      <c r="B949" t="s">
        <v>1829</v>
      </c>
      <c r="C949" s="906" t="s">
        <v>1831</v>
      </c>
      <c r="D949" s="25">
        <v>3.5</v>
      </c>
      <c r="E949" s="903">
        <v>432</v>
      </c>
      <c r="F949" s="903">
        <v>181</v>
      </c>
      <c r="G949" s="903" t="s">
        <v>339</v>
      </c>
      <c r="H949" s="904">
        <f t="shared" si="175"/>
        <v>6</v>
      </c>
      <c r="I949" s="904">
        <f t="shared" si="176"/>
        <v>11</v>
      </c>
      <c r="J949" s="21">
        <f t="shared" si="177"/>
        <v>11500</v>
      </c>
      <c r="K949" s="21">
        <f t="shared" si="178"/>
        <v>11500</v>
      </c>
      <c r="L949" s="21">
        <f t="shared" si="179"/>
        <v>22550</v>
      </c>
      <c r="M949" s="21">
        <f t="shared" si="180"/>
        <v>33600</v>
      </c>
      <c r="N949" s="904">
        <f t="shared" si="181"/>
        <v>516</v>
      </c>
      <c r="O949" s="21"/>
      <c r="P949" s="22" t="s">
        <v>2</v>
      </c>
      <c r="Q949" s="22">
        <v>0.63</v>
      </c>
      <c r="R949" s="904" t="s">
        <v>42</v>
      </c>
      <c r="S949" s="904" t="str">
        <f t="shared" si="182"/>
        <v>Stove</v>
      </c>
      <c r="T949" s="23">
        <f t="shared" si="183"/>
        <v>0.22964432686654909</v>
      </c>
      <c r="U949" s="23">
        <f t="shared" si="184"/>
        <v>0.6709608158883521</v>
      </c>
      <c r="V949" s="23">
        <f t="shared" si="184"/>
        <v>0.34217513892310641</v>
      </c>
      <c r="W949" s="23">
        <f t="shared" si="185"/>
        <v>0.6709608158883521</v>
      </c>
      <c r="X949" s="904">
        <f t="shared" si="186"/>
        <v>493</v>
      </c>
      <c r="Y949" s="904">
        <f t="shared" si="186"/>
        <v>529</v>
      </c>
      <c r="Z949" s="904">
        <f t="shared" si="186"/>
        <v>470</v>
      </c>
      <c r="AA949" s="904">
        <f t="shared" si="186"/>
        <v>383</v>
      </c>
      <c r="AB949" s="24">
        <v>254</v>
      </c>
    </row>
    <row r="950" spans="1:28" x14ac:dyDescent="0.25">
      <c r="A950" s="903"/>
      <c r="B950" t="s">
        <v>1829</v>
      </c>
      <c r="C950" s="906" t="s">
        <v>1832</v>
      </c>
      <c r="D950" s="25">
        <v>7.18</v>
      </c>
      <c r="E950" s="903">
        <v>931</v>
      </c>
      <c r="F950" s="903">
        <v>574</v>
      </c>
      <c r="G950" s="903" t="s">
        <v>1833</v>
      </c>
      <c r="H950" s="904">
        <f t="shared" si="175"/>
        <v>5</v>
      </c>
      <c r="I950" s="904">
        <f t="shared" si="176"/>
        <v>10</v>
      </c>
      <c r="J950" s="21">
        <f t="shared" si="177"/>
        <v>9200</v>
      </c>
      <c r="K950" s="21">
        <f t="shared" si="178"/>
        <v>11356</v>
      </c>
      <c r="L950" s="21">
        <f t="shared" si="179"/>
        <v>21300</v>
      </c>
      <c r="M950" s="21">
        <f t="shared" si="180"/>
        <v>33400</v>
      </c>
      <c r="N950" s="904">
        <f t="shared" si="181"/>
        <v>431</v>
      </c>
      <c r="O950" s="21"/>
      <c r="P950" s="22" t="s">
        <v>2</v>
      </c>
      <c r="Q950" s="22">
        <v>0.63</v>
      </c>
      <c r="R950" s="904" t="s">
        <v>42</v>
      </c>
      <c r="S950" s="904" t="str">
        <f t="shared" si="182"/>
        <v>Stove</v>
      </c>
      <c r="T950" s="23">
        <f t="shared" si="183"/>
        <v>0.4739198850975298</v>
      </c>
      <c r="U950" s="23">
        <f t="shared" si="184"/>
        <v>1.3938820149927347</v>
      </c>
      <c r="V950" s="23">
        <f t="shared" si="184"/>
        <v>0.74314197944870874</v>
      </c>
      <c r="W950" s="23">
        <f t="shared" si="185"/>
        <v>1.7205352350279886</v>
      </c>
      <c r="X950" s="904">
        <f t="shared" si="186"/>
        <v>884</v>
      </c>
      <c r="Y950" s="904">
        <f t="shared" si="186"/>
        <v>932</v>
      </c>
      <c r="Z950" s="904">
        <f t="shared" si="186"/>
        <v>910</v>
      </c>
      <c r="AA950" s="904">
        <f t="shared" si="186"/>
        <v>940</v>
      </c>
      <c r="AB950" s="24">
        <v>577</v>
      </c>
    </row>
    <row r="951" spans="1:28" x14ac:dyDescent="0.25">
      <c r="A951" s="903"/>
      <c r="B951" t="s">
        <v>1829</v>
      </c>
      <c r="C951" s="906" t="s">
        <v>1834</v>
      </c>
      <c r="D951" s="25">
        <v>2.9</v>
      </c>
      <c r="E951" s="903">
        <v>295</v>
      </c>
      <c r="F951" s="903">
        <v>96</v>
      </c>
      <c r="G951" s="903" t="s">
        <v>343</v>
      </c>
      <c r="H951" s="904">
        <f t="shared" si="175"/>
        <v>6</v>
      </c>
      <c r="I951" s="904">
        <f t="shared" si="176"/>
        <v>11</v>
      </c>
      <c r="J951" s="21">
        <f t="shared" si="177"/>
        <v>11800</v>
      </c>
      <c r="K951" s="21">
        <f t="shared" si="178"/>
        <v>11800</v>
      </c>
      <c r="L951" s="21">
        <f t="shared" si="179"/>
        <v>22900</v>
      </c>
      <c r="M951" s="21">
        <f t="shared" si="180"/>
        <v>34000</v>
      </c>
      <c r="N951" s="904">
        <f t="shared" si="181"/>
        <v>539</v>
      </c>
      <c r="O951" s="21"/>
      <c r="P951" s="22" t="s">
        <v>2</v>
      </c>
      <c r="Q951" s="22">
        <v>0.63</v>
      </c>
      <c r="R951" s="904" t="s">
        <v>42</v>
      </c>
      <c r="S951" s="904" t="str">
        <f t="shared" si="182"/>
        <v>Stove</v>
      </c>
      <c r="T951" s="23">
        <f t="shared" si="183"/>
        <v>0.18803817823425667</v>
      </c>
      <c r="U951" s="23">
        <f t="shared" si="184"/>
        <v>0.54180492033599381</v>
      </c>
      <c r="V951" s="23">
        <f t="shared" si="184"/>
        <v>0.27918332139583957</v>
      </c>
      <c r="W951" s="23">
        <f t="shared" si="185"/>
        <v>0.54180492033599381</v>
      </c>
      <c r="X951" s="904">
        <f t="shared" si="186"/>
        <v>330</v>
      </c>
      <c r="Y951" s="904">
        <f t="shared" si="186"/>
        <v>355</v>
      </c>
      <c r="Z951" s="904">
        <f t="shared" si="186"/>
        <v>303</v>
      </c>
      <c r="AA951" s="904">
        <f t="shared" si="186"/>
        <v>239</v>
      </c>
      <c r="AB951" s="24">
        <v>143</v>
      </c>
    </row>
    <row r="952" spans="1:28" x14ac:dyDescent="0.25">
      <c r="A952" s="903"/>
      <c r="B952" t="s">
        <v>1829</v>
      </c>
      <c r="C952" s="906" t="s">
        <v>1835</v>
      </c>
      <c r="D952" s="25">
        <v>3.9</v>
      </c>
      <c r="E952" s="903">
        <v>548</v>
      </c>
      <c r="F952" s="903">
        <v>253</v>
      </c>
      <c r="G952" s="903" t="s">
        <v>1836</v>
      </c>
      <c r="H952" s="904">
        <f t="shared" si="175"/>
        <v>6</v>
      </c>
      <c r="I952" s="904">
        <f t="shared" si="176"/>
        <v>11</v>
      </c>
      <c r="J952" s="21">
        <f t="shared" si="177"/>
        <v>11238</v>
      </c>
      <c r="K952" s="21">
        <f t="shared" si="178"/>
        <v>12777.2</v>
      </c>
      <c r="L952" s="21">
        <f t="shared" si="179"/>
        <v>24409</v>
      </c>
      <c r="M952" s="21">
        <f t="shared" si="180"/>
        <v>37580</v>
      </c>
      <c r="N952" s="904">
        <f t="shared" si="181"/>
        <v>667</v>
      </c>
      <c r="O952" s="21"/>
      <c r="P952" s="22" t="s">
        <v>2</v>
      </c>
      <c r="Q952" s="22">
        <v>0.63</v>
      </c>
      <c r="R952" s="904" t="s">
        <v>42</v>
      </c>
      <c r="S952" s="904" t="str">
        <f t="shared" si="182"/>
        <v>Stove</v>
      </c>
      <c r="T952" s="23">
        <f t="shared" si="183"/>
        <v>0.2287888131421926</v>
      </c>
      <c r="U952" s="23">
        <f t="shared" si="184"/>
        <v>0.6729082739476252</v>
      </c>
      <c r="V952" s="23">
        <f t="shared" si="184"/>
        <v>0.35224235314366004</v>
      </c>
      <c r="W952" s="23">
        <f t="shared" si="185"/>
        <v>0.76507239703537977</v>
      </c>
      <c r="X952" s="904">
        <f t="shared" si="186"/>
        <v>492</v>
      </c>
      <c r="Y952" s="904">
        <f t="shared" si="186"/>
        <v>535</v>
      </c>
      <c r="Z952" s="904">
        <f t="shared" si="186"/>
        <v>496</v>
      </c>
      <c r="AA952" s="904">
        <f t="shared" si="186"/>
        <v>484</v>
      </c>
      <c r="AB952" s="24">
        <v>260</v>
      </c>
    </row>
    <row r="953" spans="1:28" x14ac:dyDescent="0.25">
      <c r="A953" s="903"/>
      <c r="B953" t="s">
        <v>1829</v>
      </c>
      <c r="C953" s="906" t="s">
        <v>1837</v>
      </c>
      <c r="D953" s="25">
        <v>3.6</v>
      </c>
      <c r="E953" s="903">
        <v>467</v>
      </c>
      <c r="F953" s="903">
        <v>207</v>
      </c>
      <c r="G953" s="903" t="s">
        <v>1838</v>
      </c>
      <c r="H953" s="904">
        <f t="shared" si="175"/>
        <v>6</v>
      </c>
      <c r="I953" s="904">
        <f t="shared" si="176"/>
        <v>11</v>
      </c>
      <c r="J953" s="21">
        <f t="shared" si="177"/>
        <v>12084</v>
      </c>
      <c r="K953" s="21">
        <f t="shared" si="178"/>
        <v>12084</v>
      </c>
      <c r="L953" s="21">
        <f t="shared" si="179"/>
        <v>21760</v>
      </c>
      <c r="M953" s="21">
        <f t="shared" si="180"/>
        <v>31436</v>
      </c>
      <c r="N953" s="904">
        <f t="shared" si="181"/>
        <v>453</v>
      </c>
      <c r="O953" s="21"/>
      <c r="P953" s="22" t="s">
        <v>2</v>
      </c>
      <c r="Q953" s="22">
        <v>0.63</v>
      </c>
      <c r="R953" s="904" t="s">
        <v>42</v>
      </c>
      <c r="S953" s="904" t="str">
        <f t="shared" si="182"/>
        <v>Stove</v>
      </c>
      <c r="T953" s="23">
        <f t="shared" si="183"/>
        <v>0.25246557884298054</v>
      </c>
      <c r="U953" s="23">
        <f t="shared" si="184"/>
        <v>0.65677821387851176</v>
      </c>
      <c r="V953" s="23">
        <f t="shared" si="184"/>
        <v>0.36472922502334265</v>
      </c>
      <c r="W953" s="23">
        <f t="shared" si="185"/>
        <v>0.65677821387851176</v>
      </c>
      <c r="X953" s="904">
        <f t="shared" si="186"/>
        <v>563</v>
      </c>
      <c r="Y953" s="904">
        <f t="shared" si="186"/>
        <v>509</v>
      </c>
      <c r="Z953" s="904">
        <f t="shared" si="186"/>
        <v>524</v>
      </c>
      <c r="AA953" s="904">
        <f t="shared" si="186"/>
        <v>359</v>
      </c>
      <c r="AB953" s="24">
        <v>243</v>
      </c>
    </row>
    <row r="954" spans="1:28" x14ac:dyDescent="0.25">
      <c r="A954" s="903"/>
      <c r="B954" t="s">
        <v>1829</v>
      </c>
      <c r="C954" s="906" t="s">
        <v>1839</v>
      </c>
      <c r="D954" s="25">
        <v>5.4</v>
      </c>
      <c r="E954" s="903">
        <v>802</v>
      </c>
      <c r="F954" s="903">
        <v>452</v>
      </c>
      <c r="G954" s="903" t="s">
        <v>1840</v>
      </c>
      <c r="H954" s="904">
        <f t="shared" si="175"/>
        <v>6</v>
      </c>
      <c r="I954" s="904">
        <f t="shared" si="176"/>
        <v>11</v>
      </c>
      <c r="J954" s="21">
        <f t="shared" si="177"/>
        <v>12375</v>
      </c>
      <c r="K954" s="21">
        <f t="shared" si="178"/>
        <v>12375</v>
      </c>
      <c r="L954" s="21">
        <f t="shared" si="179"/>
        <v>20251</v>
      </c>
      <c r="M954" s="21">
        <f t="shared" si="180"/>
        <v>28127</v>
      </c>
      <c r="N954" s="904">
        <f t="shared" si="181"/>
        <v>349</v>
      </c>
      <c r="O954" s="21"/>
      <c r="P954" s="22" t="s">
        <v>2</v>
      </c>
      <c r="Q954" s="22">
        <v>0.63</v>
      </c>
      <c r="R954" s="904" t="s">
        <v>42</v>
      </c>
      <c r="S954" s="904" t="str">
        <f t="shared" si="182"/>
        <v>Stove</v>
      </c>
      <c r="T954" s="23">
        <f t="shared" si="183"/>
        <v>0.42325032547950026</v>
      </c>
      <c r="U954" s="23">
        <f t="shared" si="184"/>
        <v>0.96200096200096197</v>
      </c>
      <c r="V954" s="23">
        <f t="shared" si="184"/>
        <v>0.58786044663285297</v>
      </c>
      <c r="W954" s="23">
        <f t="shared" si="185"/>
        <v>0.96200096200096197</v>
      </c>
      <c r="X954" s="904">
        <f t="shared" si="186"/>
        <v>847</v>
      </c>
      <c r="Y954" s="904">
        <f t="shared" si="186"/>
        <v>795</v>
      </c>
      <c r="Z954" s="904">
        <f t="shared" si="186"/>
        <v>829</v>
      </c>
      <c r="AA954" s="904">
        <f t="shared" si="186"/>
        <v>694</v>
      </c>
      <c r="AB954" s="24">
        <v>461</v>
      </c>
    </row>
    <row r="955" spans="1:28" x14ac:dyDescent="0.25">
      <c r="A955" s="903"/>
      <c r="B955" s="26" t="s">
        <v>1829</v>
      </c>
      <c r="C955" s="27" t="s">
        <v>1841</v>
      </c>
      <c r="D955" s="28">
        <v>2.6</v>
      </c>
      <c r="E955" s="29">
        <v>235</v>
      </c>
      <c r="F955" s="903">
        <v>66</v>
      </c>
      <c r="G955" s="29" t="s">
        <v>1842</v>
      </c>
      <c r="H955" s="904">
        <f t="shared" si="175"/>
        <v>6</v>
      </c>
      <c r="I955" s="904">
        <f t="shared" si="176"/>
        <v>11</v>
      </c>
      <c r="J955" s="21">
        <f t="shared" si="177"/>
        <v>11129</v>
      </c>
      <c r="K955" s="21">
        <f t="shared" si="178"/>
        <v>11129</v>
      </c>
      <c r="L955" s="21">
        <f t="shared" si="179"/>
        <v>21282.5</v>
      </c>
      <c r="M955" s="21">
        <f t="shared" si="180"/>
        <v>31436</v>
      </c>
      <c r="N955" s="904">
        <f t="shared" si="181"/>
        <v>429</v>
      </c>
      <c r="O955" s="21"/>
      <c r="P955" s="22"/>
      <c r="Q955" s="22">
        <v>0.63</v>
      </c>
      <c r="R955" s="904" t="s">
        <v>42</v>
      </c>
      <c r="S955" s="904" t="str">
        <f t="shared" si="182"/>
        <v>Stove</v>
      </c>
      <c r="T955" s="23">
        <f t="shared" si="183"/>
        <v>0.18233625138659704</v>
      </c>
      <c r="U955" s="23">
        <f t="shared" si="184"/>
        <v>0.51504379536248224</v>
      </c>
      <c r="V955" s="23">
        <f t="shared" si="184"/>
        <v>0.26932561487555812</v>
      </c>
      <c r="W955" s="23">
        <f t="shared" si="185"/>
        <v>0.51504379536248224</v>
      </c>
      <c r="X955" s="904">
        <f t="shared" si="186"/>
        <v>319</v>
      </c>
      <c r="Y955" s="904">
        <f t="shared" si="186"/>
        <v>309</v>
      </c>
      <c r="Z955" s="904">
        <f t="shared" si="186"/>
        <v>282</v>
      </c>
      <c r="AA955" s="904">
        <f t="shared" si="186"/>
        <v>212</v>
      </c>
      <c r="AB955" s="24">
        <v>112</v>
      </c>
    </row>
    <row r="956" spans="1:28" x14ac:dyDescent="0.25">
      <c r="A956" s="903"/>
      <c r="B956" t="s">
        <v>1829</v>
      </c>
      <c r="C956" s="906" t="s">
        <v>1843</v>
      </c>
      <c r="D956" s="25">
        <v>2.6</v>
      </c>
      <c r="E956" s="903">
        <v>235</v>
      </c>
      <c r="F956" s="903">
        <v>66</v>
      </c>
      <c r="G956" s="903" t="s">
        <v>1844</v>
      </c>
      <c r="H956" s="904">
        <f t="shared" si="175"/>
        <v>6</v>
      </c>
      <c r="I956" s="904">
        <f t="shared" si="176"/>
        <v>11</v>
      </c>
      <c r="J956" s="21">
        <f t="shared" si="177"/>
        <v>11281</v>
      </c>
      <c r="K956" s="21">
        <f t="shared" si="178"/>
        <v>11281</v>
      </c>
      <c r="L956" s="21">
        <f t="shared" si="179"/>
        <v>19890.5</v>
      </c>
      <c r="M956" s="21">
        <f t="shared" si="180"/>
        <v>28500</v>
      </c>
      <c r="N956" s="904">
        <f t="shared" si="181"/>
        <v>309</v>
      </c>
      <c r="O956" s="21"/>
      <c r="P956" s="22" t="s">
        <v>2</v>
      </c>
      <c r="Q956" s="22">
        <v>0.63</v>
      </c>
      <c r="R956" s="904" t="s">
        <v>42</v>
      </c>
      <c r="S956" s="904" t="str">
        <f t="shared" si="182"/>
        <v>Stove</v>
      </c>
      <c r="T956" s="23">
        <f t="shared" si="183"/>
        <v>0.20112008416101984</v>
      </c>
      <c r="U956" s="23">
        <f t="shared" si="184"/>
        <v>0.5081041041210056</v>
      </c>
      <c r="V956" s="23">
        <f t="shared" si="184"/>
        <v>0.28817387187798521</v>
      </c>
      <c r="W956" s="23">
        <f t="shared" si="185"/>
        <v>0.5081041041210056</v>
      </c>
      <c r="X956" s="904">
        <f t="shared" si="186"/>
        <v>388</v>
      </c>
      <c r="Y956" s="904">
        <f t="shared" si="186"/>
        <v>300</v>
      </c>
      <c r="Z956" s="904">
        <f t="shared" si="186"/>
        <v>324</v>
      </c>
      <c r="AA956" s="904">
        <f t="shared" si="186"/>
        <v>201</v>
      </c>
      <c r="AB956" s="24">
        <v>107</v>
      </c>
    </row>
    <row r="957" spans="1:28" x14ac:dyDescent="0.25">
      <c r="A957" s="903"/>
      <c r="B957" t="s">
        <v>1829</v>
      </c>
      <c r="C957" s="906" t="s">
        <v>1845</v>
      </c>
      <c r="D957" s="25">
        <v>6.5</v>
      </c>
      <c r="E957" s="903">
        <v>875</v>
      </c>
      <c r="F957" s="903">
        <v>521</v>
      </c>
      <c r="G957" s="903" t="s">
        <v>391</v>
      </c>
      <c r="H957" s="904">
        <f t="shared" si="175"/>
        <v>6</v>
      </c>
      <c r="I957" s="904">
        <f t="shared" si="176"/>
        <v>11</v>
      </c>
      <c r="J957" s="21">
        <f t="shared" si="177"/>
        <v>10200</v>
      </c>
      <c r="K957" s="21">
        <f t="shared" si="178"/>
        <v>10472</v>
      </c>
      <c r="L957" s="21">
        <f t="shared" si="179"/>
        <v>20500</v>
      </c>
      <c r="M957" s="21">
        <f t="shared" si="180"/>
        <v>30800</v>
      </c>
      <c r="N957" s="904">
        <f t="shared" si="181"/>
        <v>362</v>
      </c>
      <c r="O957" s="21"/>
      <c r="P957" s="22" t="s">
        <v>2</v>
      </c>
      <c r="Q957" s="22">
        <v>0.63</v>
      </c>
      <c r="R957" s="904" t="s">
        <v>42</v>
      </c>
      <c r="S957" s="904" t="str">
        <f t="shared" si="182"/>
        <v>Stove</v>
      </c>
      <c r="T957" s="23">
        <f t="shared" si="183"/>
        <v>0.46525344144391761</v>
      </c>
      <c r="U957" s="23">
        <f t="shared" si="184"/>
        <v>1.3683924748350518</v>
      </c>
      <c r="V957" s="23">
        <f t="shared" si="184"/>
        <v>0.69901492665720311</v>
      </c>
      <c r="W957" s="23">
        <f t="shared" si="185"/>
        <v>1.4048829408306533</v>
      </c>
      <c r="X957" s="904">
        <f t="shared" si="186"/>
        <v>876</v>
      </c>
      <c r="Y957" s="904">
        <f t="shared" si="186"/>
        <v>921</v>
      </c>
      <c r="Z957" s="904">
        <f t="shared" si="186"/>
        <v>880</v>
      </c>
      <c r="AA957" s="904">
        <f t="shared" si="186"/>
        <v>896</v>
      </c>
      <c r="AB957" s="24">
        <v>566</v>
      </c>
    </row>
    <row r="958" spans="1:28" x14ac:dyDescent="0.25">
      <c r="A958" s="903"/>
      <c r="B958" t="s">
        <v>1829</v>
      </c>
      <c r="C958" s="906" t="s">
        <v>1846</v>
      </c>
      <c r="D958" s="25">
        <v>7</v>
      </c>
      <c r="E958" s="903">
        <v>907</v>
      </c>
      <c r="F958" s="903">
        <v>550</v>
      </c>
      <c r="G958" s="903" t="s">
        <v>385</v>
      </c>
      <c r="H958" s="904">
        <f t="shared" si="175"/>
        <v>6</v>
      </c>
      <c r="I958" s="904">
        <f t="shared" si="176"/>
        <v>11</v>
      </c>
      <c r="J958" s="21">
        <f t="shared" si="177"/>
        <v>11700</v>
      </c>
      <c r="K958" s="21">
        <f t="shared" si="178"/>
        <v>11700</v>
      </c>
      <c r="L958" s="21">
        <f t="shared" si="179"/>
        <v>17400</v>
      </c>
      <c r="M958" s="21">
        <f t="shared" si="180"/>
        <v>23100</v>
      </c>
      <c r="N958" s="904">
        <f t="shared" si="181"/>
        <v>124</v>
      </c>
      <c r="O958" s="21"/>
      <c r="P958" s="22" t="s">
        <v>2</v>
      </c>
      <c r="Q958" s="22">
        <v>0.63</v>
      </c>
      <c r="R958" s="904" t="s">
        <v>42</v>
      </c>
      <c r="S958" s="904" t="str">
        <f t="shared" si="182"/>
        <v>Stove</v>
      </c>
      <c r="T958" s="23">
        <f t="shared" si="183"/>
        <v>0.66805622361177919</v>
      </c>
      <c r="U958" s="23">
        <f t="shared" si="184"/>
        <v>1.3189828004642818</v>
      </c>
      <c r="V958" s="23">
        <f t="shared" si="184"/>
        <v>0.88690222789839646</v>
      </c>
      <c r="W958" s="23">
        <f t="shared" si="185"/>
        <v>1.3189828004642818</v>
      </c>
      <c r="X958" s="904">
        <f t="shared" si="186"/>
        <v>950</v>
      </c>
      <c r="Y958" s="904">
        <f t="shared" si="186"/>
        <v>907</v>
      </c>
      <c r="Z958" s="904">
        <f t="shared" si="186"/>
        <v>942</v>
      </c>
      <c r="AA958" s="904">
        <f t="shared" si="186"/>
        <v>861</v>
      </c>
      <c r="AB958" s="24">
        <v>552</v>
      </c>
    </row>
    <row r="959" spans="1:28" x14ac:dyDescent="0.25">
      <c r="A959" s="903"/>
      <c r="B959" t="s">
        <v>1829</v>
      </c>
      <c r="C959" s="906" t="s">
        <v>1847</v>
      </c>
      <c r="D959" s="25">
        <v>3.2</v>
      </c>
      <c r="E959" s="903">
        <v>376</v>
      </c>
      <c r="F959" s="903">
        <v>141</v>
      </c>
      <c r="G959" s="903" t="s">
        <v>388</v>
      </c>
      <c r="H959" s="904">
        <f t="shared" si="175"/>
        <v>6</v>
      </c>
      <c r="I959" s="904">
        <f t="shared" si="176"/>
        <v>11</v>
      </c>
      <c r="J959" s="21">
        <f t="shared" si="177"/>
        <v>11000</v>
      </c>
      <c r="K959" s="21">
        <f t="shared" si="178"/>
        <v>11000</v>
      </c>
      <c r="L959" s="21">
        <f t="shared" si="179"/>
        <v>21050</v>
      </c>
      <c r="M959" s="21">
        <f t="shared" si="180"/>
        <v>31100</v>
      </c>
      <c r="N959" s="904">
        <f t="shared" si="181"/>
        <v>410</v>
      </c>
      <c r="O959" s="21"/>
      <c r="P959" s="22" t="s">
        <v>2</v>
      </c>
      <c r="Q959" s="22">
        <v>0.63</v>
      </c>
      <c r="R959" s="904" t="s">
        <v>42</v>
      </c>
      <c r="S959" s="904" t="str">
        <f t="shared" si="182"/>
        <v>Stove</v>
      </c>
      <c r="T959" s="23">
        <f t="shared" si="183"/>
        <v>0.22683838332284206</v>
      </c>
      <c r="U959" s="23">
        <f t="shared" si="184"/>
        <v>0.64133397466730802</v>
      </c>
      <c r="V959" s="23">
        <f t="shared" si="184"/>
        <v>0.33513889412543413</v>
      </c>
      <c r="W959" s="23">
        <f t="shared" si="185"/>
        <v>0.64133397466730802</v>
      </c>
      <c r="X959" s="904">
        <f t="shared" si="186"/>
        <v>482</v>
      </c>
      <c r="Y959" s="904">
        <f t="shared" si="186"/>
        <v>484</v>
      </c>
      <c r="Z959" s="904">
        <f t="shared" si="186"/>
        <v>452</v>
      </c>
      <c r="AA959" s="904">
        <f t="shared" si="186"/>
        <v>335</v>
      </c>
      <c r="AB959" s="24">
        <v>224</v>
      </c>
    </row>
    <row r="960" spans="1:28" x14ac:dyDescent="0.25">
      <c r="A960" s="903"/>
      <c r="B960" t="s">
        <v>1829</v>
      </c>
      <c r="C960" s="906" t="s">
        <v>1848</v>
      </c>
      <c r="D960" s="25">
        <v>2.4</v>
      </c>
      <c r="E960" s="903">
        <v>196</v>
      </c>
      <c r="F960" s="903">
        <v>67</v>
      </c>
      <c r="G960" s="903" t="s">
        <v>1849</v>
      </c>
      <c r="H960" s="904">
        <f t="shared" si="175"/>
        <v>5</v>
      </c>
      <c r="I960" s="904">
        <f t="shared" si="176"/>
        <v>10</v>
      </c>
      <c r="J960" s="21">
        <f t="shared" si="177"/>
        <v>8827</v>
      </c>
      <c r="K960" s="21">
        <f t="shared" si="178"/>
        <v>9867.8200000000015</v>
      </c>
      <c r="L960" s="21">
        <f t="shared" si="179"/>
        <v>18925</v>
      </c>
      <c r="M960" s="21">
        <f t="shared" si="180"/>
        <v>29023</v>
      </c>
      <c r="N960" s="904">
        <f t="shared" si="181"/>
        <v>240</v>
      </c>
      <c r="O960" s="21"/>
      <c r="P960" s="22" t="s">
        <v>2</v>
      </c>
      <c r="Q960" s="22">
        <v>0.78</v>
      </c>
      <c r="R960" s="904" t="s">
        <v>15</v>
      </c>
      <c r="S960" s="904" t="str">
        <f t="shared" si="182"/>
        <v>Stove</v>
      </c>
      <c r="T960" s="23">
        <f t="shared" si="183"/>
        <v>0.18230387248062885</v>
      </c>
      <c r="U960" s="23">
        <f t="shared" si="184"/>
        <v>0.5361878602371436</v>
      </c>
      <c r="V960" s="23">
        <f t="shared" si="184"/>
        <v>0.27957755830939451</v>
      </c>
      <c r="W960" s="23">
        <f t="shared" si="185"/>
        <v>0.5994114977914683</v>
      </c>
      <c r="X960" s="904">
        <f t="shared" si="186"/>
        <v>318</v>
      </c>
      <c r="Y960" s="904">
        <f t="shared" si="186"/>
        <v>344</v>
      </c>
      <c r="Z960" s="904">
        <f t="shared" si="186"/>
        <v>307</v>
      </c>
      <c r="AA960" s="904">
        <f t="shared" si="186"/>
        <v>291</v>
      </c>
      <c r="AB960" s="24">
        <v>69</v>
      </c>
    </row>
    <row r="961" spans="1:29" x14ac:dyDescent="0.25">
      <c r="A961" s="903"/>
      <c r="B961" t="s">
        <v>1829</v>
      </c>
      <c r="C961" s="906" t="s">
        <v>1851</v>
      </c>
      <c r="D961" s="25">
        <v>4.46</v>
      </c>
      <c r="E961" s="903">
        <v>697</v>
      </c>
      <c r="F961" s="903">
        <v>373</v>
      </c>
      <c r="G961" s="903" t="s">
        <v>1852</v>
      </c>
      <c r="H961" s="904">
        <f t="shared" si="175"/>
        <v>6</v>
      </c>
      <c r="I961" s="904">
        <f t="shared" si="176"/>
        <v>11</v>
      </c>
      <c r="J961" s="21">
        <f t="shared" si="177"/>
        <v>11200</v>
      </c>
      <c r="K961" s="21">
        <f t="shared" si="178"/>
        <v>11200</v>
      </c>
      <c r="L961" s="21">
        <f t="shared" si="179"/>
        <v>21750</v>
      </c>
      <c r="M961" s="21">
        <f t="shared" si="180"/>
        <v>32300</v>
      </c>
      <c r="N961" s="904">
        <f t="shared" si="181"/>
        <v>449</v>
      </c>
      <c r="O961" s="21"/>
      <c r="P961" s="22" t="s">
        <v>2</v>
      </c>
      <c r="Q961" s="22">
        <v>0.63</v>
      </c>
      <c r="R961" s="904" t="s">
        <v>42</v>
      </c>
      <c r="S961" s="904" t="str">
        <f t="shared" si="182"/>
        <v>Stove</v>
      </c>
      <c r="T961" s="23">
        <f t="shared" si="183"/>
        <v>0.30441026313059338</v>
      </c>
      <c r="U961" s="23">
        <f t="shared" si="184"/>
        <v>0.87789745527840768</v>
      </c>
      <c r="V961" s="23">
        <f t="shared" si="184"/>
        <v>0.45206673559163979</v>
      </c>
      <c r="W961" s="23">
        <f t="shared" si="185"/>
        <v>0.87789745527840768</v>
      </c>
      <c r="X961" s="904">
        <f t="shared" si="186"/>
        <v>682</v>
      </c>
      <c r="Y961" s="904">
        <f t="shared" si="186"/>
        <v>726</v>
      </c>
      <c r="Z961" s="904">
        <f t="shared" si="186"/>
        <v>677</v>
      </c>
      <c r="AA961" s="904">
        <f t="shared" si="186"/>
        <v>621</v>
      </c>
      <c r="AB961" s="24">
        <v>405</v>
      </c>
    </row>
    <row r="962" spans="1:29" x14ac:dyDescent="0.25">
      <c r="A962" s="903"/>
      <c r="B962" t="s">
        <v>1829</v>
      </c>
      <c r="C962" s="906" t="s">
        <v>1853</v>
      </c>
      <c r="D962" s="25">
        <v>5.4</v>
      </c>
      <c r="E962" s="903">
        <v>802</v>
      </c>
      <c r="F962" s="903">
        <v>452</v>
      </c>
      <c r="G962" s="903" t="s">
        <v>1854</v>
      </c>
      <c r="H962" s="904">
        <f t="shared" si="175"/>
        <v>6</v>
      </c>
      <c r="I962" s="904">
        <f t="shared" si="176"/>
        <v>11</v>
      </c>
      <c r="J962" s="21">
        <f t="shared" si="177"/>
        <v>11500</v>
      </c>
      <c r="K962" s="21">
        <f t="shared" si="178"/>
        <v>11500</v>
      </c>
      <c r="L962" s="21">
        <f t="shared" si="179"/>
        <v>19450</v>
      </c>
      <c r="M962" s="21">
        <f t="shared" si="180"/>
        <v>27400</v>
      </c>
      <c r="N962" s="904">
        <f t="shared" si="181"/>
        <v>271</v>
      </c>
      <c r="O962" s="21"/>
      <c r="P962" s="22" t="s">
        <v>2</v>
      </c>
      <c r="Q962" s="22">
        <v>0.63</v>
      </c>
      <c r="R962" s="904" t="s">
        <v>42</v>
      </c>
      <c r="S962" s="904" t="str">
        <f t="shared" si="182"/>
        <v>Stove</v>
      </c>
      <c r="T962" s="23">
        <f t="shared" si="183"/>
        <v>0.43448036148766078</v>
      </c>
      <c r="U962" s="23">
        <f t="shared" si="184"/>
        <v>1.0351966873706004</v>
      </c>
      <c r="V962" s="23">
        <f t="shared" si="184"/>
        <v>0.61207002081038075</v>
      </c>
      <c r="W962" s="23">
        <f t="shared" si="185"/>
        <v>1.0351966873706004</v>
      </c>
      <c r="X962" s="904">
        <f t="shared" si="186"/>
        <v>853</v>
      </c>
      <c r="Y962" s="904">
        <f t="shared" si="186"/>
        <v>822</v>
      </c>
      <c r="Z962" s="904">
        <f t="shared" si="186"/>
        <v>846</v>
      </c>
      <c r="AA962" s="904">
        <f t="shared" si="186"/>
        <v>735</v>
      </c>
      <c r="AB962" s="24">
        <v>482</v>
      </c>
      <c r="AC962" t="s">
        <v>1850</v>
      </c>
    </row>
    <row r="963" spans="1:29" x14ac:dyDescent="0.25">
      <c r="A963" s="903"/>
      <c r="B963" t="s">
        <v>1829</v>
      </c>
      <c r="C963" s="906" t="s">
        <v>1855</v>
      </c>
      <c r="D963" s="25">
        <v>7.2</v>
      </c>
      <c r="E963" s="903">
        <v>932</v>
      </c>
      <c r="F963" s="903">
        <v>575</v>
      </c>
      <c r="G963" s="903" t="s">
        <v>1842</v>
      </c>
      <c r="H963" s="904">
        <f t="shared" si="175"/>
        <v>6</v>
      </c>
      <c r="I963" s="904">
        <f t="shared" si="176"/>
        <v>11</v>
      </c>
      <c r="J963" s="21">
        <f t="shared" si="177"/>
        <v>11129</v>
      </c>
      <c r="K963" s="21">
        <f t="shared" si="178"/>
        <v>11129</v>
      </c>
      <c r="L963" s="21">
        <f t="shared" si="179"/>
        <v>21282.5</v>
      </c>
      <c r="M963" s="21">
        <f t="shared" si="180"/>
        <v>31436</v>
      </c>
      <c r="N963" s="904">
        <f t="shared" si="181"/>
        <v>429</v>
      </c>
      <c r="O963" s="21"/>
      <c r="P963" s="22" t="s">
        <v>2</v>
      </c>
      <c r="Q963" s="22">
        <v>0.63</v>
      </c>
      <c r="R963" s="904" t="s">
        <v>42</v>
      </c>
      <c r="S963" s="904" t="str">
        <f t="shared" si="182"/>
        <v>Stove</v>
      </c>
      <c r="T963" s="23">
        <f t="shared" si="183"/>
        <v>0.50493115768596109</v>
      </c>
      <c r="U963" s="23">
        <f t="shared" si="184"/>
        <v>1.4262751256191817</v>
      </c>
      <c r="V963" s="23">
        <f t="shared" si="184"/>
        <v>0.74582477965539162</v>
      </c>
      <c r="W963" s="23">
        <f t="shared" si="185"/>
        <v>1.4262751256191817</v>
      </c>
      <c r="X963" s="904">
        <f t="shared" si="186"/>
        <v>900</v>
      </c>
      <c r="Y963" s="904">
        <f t="shared" si="186"/>
        <v>938</v>
      </c>
      <c r="Z963" s="904">
        <f t="shared" si="186"/>
        <v>911</v>
      </c>
      <c r="AA963" s="904">
        <f t="shared" si="186"/>
        <v>909</v>
      </c>
      <c r="AB963" s="24">
        <v>583</v>
      </c>
    </row>
    <row r="964" spans="1:29" x14ac:dyDescent="0.25">
      <c r="A964" s="903"/>
      <c r="B964" t="s">
        <v>1829</v>
      </c>
      <c r="C964" s="906" t="s">
        <v>1856</v>
      </c>
      <c r="D964" s="25">
        <v>2.1</v>
      </c>
      <c r="E964" s="903">
        <v>145</v>
      </c>
      <c r="F964" s="903">
        <v>57</v>
      </c>
      <c r="G964" s="903" t="s">
        <v>1857</v>
      </c>
      <c r="H964" s="904">
        <f t="shared" si="175"/>
        <v>6</v>
      </c>
      <c r="I964" s="904">
        <f t="shared" si="176"/>
        <v>11</v>
      </c>
      <c r="J964" s="21">
        <f t="shared" si="177"/>
        <v>11200</v>
      </c>
      <c r="K964" s="21">
        <f t="shared" si="178"/>
        <v>12240</v>
      </c>
      <c r="L964" s="21">
        <f t="shared" si="179"/>
        <v>23600</v>
      </c>
      <c r="M964" s="21">
        <f t="shared" si="180"/>
        <v>36000</v>
      </c>
      <c r="N964" s="904">
        <f t="shared" si="181"/>
        <v>600</v>
      </c>
      <c r="O964" s="21"/>
      <c r="P964" s="22" t="s">
        <v>2</v>
      </c>
      <c r="Q964" s="22">
        <v>0.78</v>
      </c>
      <c r="R964" s="904" t="s">
        <v>15</v>
      </c>
      <c r="S964" s="904" t="str">
        <f t="shared" si="182"/>
        <v>Stove</v>
      </c>
      <c r="T964" s="23">
        <f t="shared" si="183"/>
        <v>0.12860082304526749</v>
      </c>
      <c r="U964" s="23">
        <f t="shared" si="184"/>
        <v>0.37823771483902202</v>
      </c>
      <c r="V964" s="23">
        <f t="shared" si="184"/>
        <v>0.19617074701820464</v>
      </c>
      <c r="W964" s="23">
        <f t="shared" si="185"/>
        <v>0.41335978835978837</v>
      </c>
      <c r="X964" s="904">
        <f t="shared" si="186"/>
        <v>169</v>
      </c>
      <c r="Y964" s="904">
        <f t="shared" si="186"/>
        <v>177</v>
      </c>
      <c r="Z964" s="904">
        <f t="shared" si="186"/>
        <v>161</v>
      </c>
      <c r="AA964" s="904">
        <f t="shared" si="186"/>
        <v>122</v>
      </c>
      <c r="AB964" s="24">
        <v>61</v>
      </c>
    </row>
    <row r="965" spans="1:29" x14ac:dyDescent="0.25">
      <c r="A965" s="903" t="s">
        <v>77</v>
      </c>
      <c r="B965" t="s">
        <v>1858</v>
      </c>
      <c r="C965" s="906" t="s">
        <v>1859</v>
      </c>
      <c r="D965" s="25">
        <v>3.8</v>
      </c>
      <c r="E965" s="903">
        <v>518</v>
      </c>
      <c r="F965" s="903">
        <v>205</v>
      </c>
      <c r="G965" s="903" t="s">
        <v>1860</v>
      </c>
      <c r="H965" s="904">
        <f t="shared" si="175"/>
        <v>6</v>
      </c>
      <c r="I965" s="904">
        <f t="shared" si="176"/>
        <v>11</v>
      </c>
      <c r="J965" s="21">
        <f t="shared" si="177"/>
        <v>10800</v>
      </c>
      <c r="K965" s="21">
        <f t="shared" si="178"/>
        <v>12036</v>
      </c>
      <c r="L965" s="21">
        <f t="shared" si="179"/>
        <v>23100</v>
      </c>
      <c r="M965" s="21">
        <f t="shared" si="180"/>
        <v>35400</v>
      </c>
      <c r="N965" s="904">
        <f t="shared" si="181"/>
        <v>561</v>
      </c>
      <c r="O965" s="21"/>
      <c r="P965" s="22" t="s">
        <v>2</v>
      </c>
      <c r="Q965" s="22">
        <v>0.72</v>
      </c>
      <c r="R965" s="904" t="s">
        <v>38</v>
      </c>
      <c r="S965" s="904" t="str">
        <f t="shared" si="182"/>
        <v>Stove</v>
      </c>
      <c r="T965" s="23">
        <f t="shared" si="183"/>
        <v>0.23665042497434211</v>
      </c>
      <c r="U965" s="23">
        <f t="shared" si="184"/>
        <v>0.69603066168924144</v>
      </c>
      <c r="V965" s="23">
        <f t="shared" si="184"/>
        <v>0.36265909281782299</v>
      </c>
      <c r="W965" s="23">
        <f t="shared" si="185"/>
        <v>0.77568750408256582</v>
      </c>
      <c r="X965" s="904">
        <f t="shared" si="186"/>
        <v>517</v>
      </c>
      <c r="Y965" s="904">
        <f t="shared" si="186"/>
        <v>564</v>
      </c>
      <c r="Z965" s="904">
        <f t="shared" si="186"/>
        <v>519</v>
      </c>
      <c r="AA965" s="904">
        <f t="shared" si="186"/>
        <v>499</v>
      </c>
      <c r="AB965" s="24">
        <v>211</v>
      </c>
    </row>
    <row r="966" spans="1:29" x14ac:dyDescent="0.25">
      <c r="A966" s="903" t="s">
        <v>77</v>
      </c>
      <c r="B966" t="s">
        <v>1861</v>
      </c>
      <c r="C966" s="906" t="s">
        <v>1862</v>
      </c>
      <c r="D966" s="25">
        <v>2.6</v>
      </c>
      <c r="E966" s="903">
        <v>235</v>
      </c>
      <c r="F966" s="903">
        <v>66</v>
      </c>
      <c r="G966" s="903" t="s">
        <v>1863</v>
      </c>
      <c r="H966" s="904">
        <f t="shared" si="175"/>
        <v>6</v>
      </c>
      <c r="I966" s="904">
        <f t="shared" si="176"/>
        <v>11</v>
      </c>
      <c r="J966" s="21">
        <f t="shared" si="177"/>
        <v>11700</v>
      </c>
      <c r="K966" s="21">
        <f t="shared" si="178"/>
        <v>15674.000000000002</v>
      </c>
      <c r="L966" s="21">
        <f t="shared" si="179"/>
        <v>28900</v>
      </c>
      <c r="M966" s="21">
        <f t="shared" si="180"/>
        <v>46100</v>
      </c>
      <c r="N966" s="904">
        <f t="shared" si="181"/>
        <v>852</v>
      </c>
      <c r="O966" s="21"/>
      <c r="P966" s="22" t="s">
        <v>2</v>
      </c>
      <c r="Q966" s="22">
        <v>0.63</v>
      </c>
      <c r="R966" s="904" t="s">
        <v>42</v>
      </c>
      <c r="S966" s="904" t="str">
        <f t="shared" si="182"/>
        <v>Stove</v>
      </c>
      <c r="T966" s="23">
        <f t="shared" si="183"/>
        <v>0.12433671146614024</v>
      </c>
      <c r="U966" s="23">
        <f t="shared" si="184"/>
        <v>0.36569621019453008</v>
      </c>
      <c r="V966" s="23">
        <f t="shared" si="184"/>
        <v>0.19833641517609221</v>
      </c>
      <c r="W966" s="23">
        <f t="shared" si="185"/>
        <v>0.48990789731530471</v>
      </c>
      <c r="X966" s="904">
        <f t="shared" si="186"/>
        <v>151</v>
      </c>
      <c r="Y966" s="904">
        <f t="shared" si="186"/>
        <v>161</v>
      </c>
      <c r="Z966" s="904">
        <f t="shared" si="186"/>
        <v>163</v>
      </c>
      <c r="AA966" s="904">
        <f t="shared" si="186"/>
        <v>178</v>
      </c>
      <c r="AB966" s="24">
        <v>44</v>
      </c>
    </row>
    <row r="967" spans="1:29" x14ac:dyDescent="0.25">
      <c r="A967" s="903" t="s">
        <v>77</v>
      </c>
      <c r="B967" t="s">
        <v>1864</v>
      </c>
      <c r="C967" s="906" t="s">
        <v>1865</v>
      </c>
      <c r="D967" s="25">
        <v>3.8</v>
      </c>
      <c r="E967" s="903">
        <v>518</v>
      </c>
      <c r="F967" s="903">
        <v>238</v>
      </c>
      <c r="G967" s="903" t="s">
        <v>1866</v>
      </c>
      <c r="H967" s="904">
        <f t="shared" si="175"/>
        <v>6</v>
      </c>
      <c r="I967" s="904">
        <f t="shared" si="176"/>
        <v>11</v>
      </c>
      <c r="J967" s="21">
        <f t="shared" si="177"/>
        <v>10700</v>
      </c>
      <c r="K967" s="21">
        <f t="shared" si="178"/>
        <v>10700</v>
      </c>
      <c r="L967" s="21">
        <f t="shared" si="179"/>
        <v>18950</v>
      </c>
      <c r="M967" s="21">
        <f t="shared" si="180"/>
        <v>27200</v>
      </c>
      <c r="N967" s="904">
        <f t="shared" si="181"/>
        <v>241</v>
      </c>
      <c r="O967" s="21"/>
      <c r="P967" s="22" t="s">
        <v>2</v>
      </c>
      <c r="Q967" s="22">
        <v>0.63</v>
      </c>
      <c r="R967" s="904" t="s">
        <v>42</v>
      </c>
      <c r="S967" s="904" t="str">
        <f t="shared" si="182"/>
        <v>Stove</v>
      </c>
      <c r="T967" s="23">
        <f t="shared" si="183"/>
        <v>0.30799356779748938</v>
      </c>
      <c r="U967" s="23">
        <f t="shared" si="184"/>
        <v>0.78293692000857107</v>
      </c>
      <c r="V967" s="23">
        <f t="shared" si="184"/>
        <v>0.44208047726077632</v>
      </c>
      <c r="W967" s="23">
        <f t="shared" si="185"/>
        <v>0.78293692000857107</v>
      </c>
      <c r="X967" s="904">
        <f t="shared" si="186"/>
        <v>693</v>
      </c>
      <c r="Y967" s="904">
        <f t="shared" si="186"/>
        <v>643</v>
      </c>
      <c r="Z967" s="904">
        <f t="shared" si="186"/>
        <v>659</v>
      </c>
      <c r="AA967" s="904">
        <f t="shared" si="186"/>
        <v>505</v>
      </c>
      <c r="AB967" s="24">
        <v>337</v>
      </c>
    </row>
    <row r="968" spans="1:29" x14ac:dyDescent="0.25">
      <c r="A968" s="903"/>
      <c r="B968" t="s">
        <v>1867</v>
      </c>
      <c r="C968" s="906" t="s">
        <v>1868</v>
      </c>
      <c r="D968" s="25">
        <v>3.5</v>
      </c>
      <c r="E968" s="903">
        <v>432</v>
      </c>
      <c r="F968" s="903">
        <v>177</v>
      </c>
      <c r="G968" s="903" t="s">
        <v>1869</v>
      </c>
      <c r="H968" s="904">
        <f t="shared" si="175"/>
        <v>6</v>
      </c>
      <c r="I968" s="904">
        <f t="shared" si="176"/>
        <v>11</v>
      </c>
      <c r="J968" s="21">
        <f t="shared" si="177"/>
        <v>13200</v>
      </c>
      <c r="K968" s="21">
        <f t="shared" si="178"/>
        <v>13600.000000000002</v>
      </c>
      <c r="L968" s="21">
        <f t="shared" si="179"/>
        <v>26600</v>
      </c>
      <c r="M968" s="21">
        <f t="shared" si="180"/>
        <v>40000</v>
      </c>
      <c r="N968" s="904">
        <f t="shared" si="181"/>
        <v>775</v>
      </c>
      <c r="O968" s="21"/>
      <c r="P968" s="22" t="s">
        <v>2</v>
      </c>
      <c r="Q968" s="22">
        <v>0.72</v>
      </c>
      <c r="R968" s="904" t="s">
        <v>38</v>
      </c>
      <c r="S968" s="904" t="str">
        <f t="shared" si="182"/>
        <v>Stove</v>
      </c>
      <c r="T968" s="23">
        <f t="shared" si="183"/>
        <v>0.19290123456790123</v>
      </c>
      <c r="U968" s="23">
        <f t="shared" si="184"/>
        <v>0.56735657225853298</v>
      </c>
      <c r="V968" s="23">
        <f t="shared" si="184"/>
        <v>0.29007704446300936</v>
      </c>
      <c r="W968" s="23">
        <f t="shared" si="185"/>
        <v>0.58454919566030672</v>
      </c>
      <c r="X968" s="904">
        <f t="shared" si="186"/>
        <v>361</v>
      </c>
      <c r="Y968" s="904">
        <f t="shared" si="186"/>
        <v>388</v>
      </c>
      <c r="Z968" s="904">
        <f t="shared" si="186"/>
        <v>336</v>
      </c>
      <c r="AA968" s="904">
        <f t="shared" si="186"/>
        <v>278</v>
      </c>
      <c r="AB968" s="24">
        <v>154</v>
      </c>
    </row>
    <row r="969" spans="1:29" x14ac:dyDescent="0.25">
      <c r="A969" s="903"/>
      <c r="B969" t="s">
        <v>1867</v>
      </c>
      <c r="C969" s="906" t="s">
        <v>1870</v>
      </c>
      <c r="D969" s="25">
        <v>1.35</v>
      </c>
      <c r="E969" s="903">
        <v>68</v>
      </c>
      <c r="F969" s="903">
        <v>21</v>
      </c>
      <c r="G969" s="903" t="s">
        <v>1871</v>
      </c>
      <c r="H969" s="904">
        <f t="shared" si="175"/>
        <v>6</v>
      </c>
      <c r="I969" s="904">
        <f t="shared" si="176"/>
        <v>11</v>
      </c>
      <c r="J969" s="21">
        <f t="shared" si="177"/>
        <v>10900</v>
      </c>
      <c r="K969" s="21">
        <f t="shared" si="178"/>
        <v>14586.000000000002</v>
      </c>
      <c r="L969" s="21">
        <f t="shared" si="179"/>
        <v>26900</v>
      </c>
      <c r="M969" s="21">
        <f t="shared" si="180"/>
        <v>42900</v>
      </c>
      <c r="N969" s="904">
        <f t="shared" si="181"/>
        <v>787</v>
      </c>
      <c r="O969" s="21"/>
      <c r="P969" s="22" t="s">
        <v>2</v>
      </c>
      <c r="Q969" s="22">
        <v>0.72</v>
      </c>
      <c r="R969" s="904" t="s">
        <v>38</v>
      </c>
      <c r="S969" s="904" t="str">
        <f t="shared" si="182"/>
        <v>Stove</v>
      </c>
      <c r="T969" s="23">
        <f t="shared" si="183"/>
        <v>6.9375069375069376E-2</v>
      </c>
      <c r="U969" s="23">
        <f t="shared" si="184"/>
        <v>0.20404432169138048</v>
      </c>
      <c r="V969" s="23">
        <f t="shared" si="184"/>
        <v>0.11063905115949725</v>
      </c>
      <c r="W969" s="23">
        <f t="shared" si="185"/>
        <v>0.27304499781564001</v>
      </c>
      <c r="X969" s="904">
        <f t="shared" si="186"/>
        <v>42</v>
      </c>
      <c r="Y969" s="904">
        <f t="shared" si="186"/>
        <v>50</v>
      </c>
      <c r="Z969" s="904">
        <f t="shared" si="186"/>
        <v>42</v>
      </c>
      <c r="AA969" s="904">
        <f t="shared" si="186"/>
        <v>49</v>
      </c>
      <c r="AB969" s="24">
        <v>14</v>
      </c>
    </row>
    <row r="970" spans="1:29" x14ac:dyDescent="0.25">
      <c r="A970" s="903"/>
      <c r="B970" t="s">
        <v>1867</v>
      </c>
      <c r="C970" s="906" t="s">
        <v>1872</v>
      </c>
      <c r="D970" s="25">
        <v>1.9</v>
      </c>
      <c r="E970" s="903">
        <v>114</v>
      </c>
      <c r="F970" s="903">
        <v>42</v>
      </c>
      <c r="G970" s="903" t="s">
        <v>1396</v>
      </c>
      <c r="H970" s="904">
        <f t="shared" si="175"/>
        <v>5</v>
      </c>
      <c r="I970" s="904">
        <f t="shared" si="176"/>
        <v>10</v>
      </c>
      <c r="J970" s="21">
        <f t="shared" si="177"/>
        <v>8500</v>
      </c>
      <c r="K970" s="21">
        <f t="shared" si="178"/>
        <v>11900</v>
      </c>
      <c r="L970" s="21">
        <f t="shared" si="179"/>
        <v>21750</v>
      </c>
      <c r="M970" s="21">
        <f t="shared" si="180"/>
        <v>35000</v>
      </c>
      <c r="N970" s="904">
        <f t="shared" si="181"/>
        <v>449</v>
      </c>
      <c r="O970" s="21"/>
      <c r="P970" s="22" t="s">
        <v>2</v>
      </c>
      <c r="Q970" s="22">
        <v>0.72</v>
      </c>
      <c r="R970" s="904" t="s">
        <v>38</v>
      </c>
      <c r="S970" s="904" t="str">
        <f t="shared" si="182"/>
        <v>Stove</v>
      </c>
      <c r="T970" s="23">
        <f t="shared" si="183"/>
        <v>0.11967750062988158</v>
      </c>
      <c r="U970" s="23">
        <f t="shared" si="184"/>
        <v>0.35199264891141641</v>
      </c>
      <c r="V970" s="23">
        <f t="shared" si="184"/>
        <v>0.19258448377222323</v>
      </c>
      <c r="W970" s="23">
        <f t="shared" si="185"/>
        <v>0.49278970847598297</v>
      </c>
      <c r="X970" s="904">
        <f t="shared" si="186"/>
        <v>137</v>
      </c>
      <c r="Y970" s="904">
        <f t="shared" si="186"/>
        <v>148</v>
      </c>
      <c r="Z970" s="904">
        <f t="shared" si="186"/>
        <v>153</v>
      </c>
      <c r="AA970" s="904">
        <f t="shared" ref="AA970:AA973" si="187">RANK(W970,W$11:W$973,1)</f>
        <v>183</v>
      </c>
      <c r="AB970" s="24">
        <v>54</v>
      </c>
    </row>
    <row r="971" spans="1:29" x14ac:dyDescent="0.25">
      <c r="A971" s="903"/>
      <c r="B971" t="s">
        <v>1867</v>
      </c>
      <c r="C971" s="906" t="s">
        <v>1873</v>
      </c>
      <c r="D971" s="25">
        <v>1.33</v>
      </c>
      <c r="E971" s="903">
        <v>67</v>
      </c>
      <c r="F971" s="903">
        <v>20</v>
      </c>
      <c r="G971" s="903" t="s">
        <v>1874</v>
      </c>
      <c r="H971" s="904">
        <f t="shared" si="175"/>
        <v>6</v>
      </c>
      <c r="I971" s="904">
        <f t="shared" si="176"/>
        <v>11</v>
      </c>
      <c r="J971" s="21">
        <f t="shared" si="177"/>
        <v>12538</v>
      </c>
      <c r="K971" s="21">
        <f t="shared" ref="K971:K973" si="188">IF(K$8*M971&gt;J971,K$8*M971,J971)</f>
        <v>24878.140000000003</v>
      </c>
      <c r="L971" s="21">
        <f t="shared" ref="L971:L973" si="189">AVERAGE(J971,M971)</f>
        <v>42854.5</v>
      </c>
      <c r="M971" s="21">
        <f t="shared" si="180"/>
        <v>73171</v>
      </c>
      <c r="N971" s="904">
        <f t="shared" si="181"/>
        <v>958</v>
      </c>
      <c r="O971" s="21"/>
      <c r="P971" s="22">
        <v>0.81</v>
      </c>
      <c r="Q971" s="22">
        <v>0.78</v>
      </c>
      <c r="R971" s="904" t="s">
        <v>38</v>
      </c>
      <c r="S971" s="904" t="str">
        <f t="shared" si="182"/>
        <v>Stove</v>
      </c>
      <c r="T971" s="23">
        <f t="shared" si="183"/>
        <v>4.0071869530717071E-2</v>
      </c>
      <c r="U971" s="23">
        <f t="shared" si="184"/>
        <v>0.11785843979622666</v>
      </c>
      <c r="V971" s="23">
        <f t="shared" si="184"/>
        <v>6.841985708460252E-2</v>
      </c>
      <c r="W971" s="23">
        <f t="shared" si="185"/>
        <v>0.23385697602744443</v>
      </c>
      <c r="X971" s="904">
        <f t="shared" ref="X971:Z973" si="190">RANK(T971,T$11:T$973,1)</f>
        <v>9</v>
      </c>
      <c r="Y971" s="904">
        <f t="shared" si="190"/>
        <v>9</v>
      </c>
      <c r="Z971" s="904">
        <f t="shared" si="190"/>
        <v>11</v>
      </c>
      <c r="AA971" s="904">
        <f t="shared" si="187"/>
        <v>40</v>
      </c>
      <c r="AB971" s="24">
        <v>6</v>
      </c>
    </row>
    <row r="972" spans="1:29" x14ac:dyDescent="0.25">
      <c r="A972" s="903" t="s">
        <v>77</v>
      </c>
      <c r="B972" t="s">
        <v>1875</v>
      </c>
      <c r="C972" s="906" t="s">
        <v>1876</v>
      </c>
      <c r="D972" s="25">
        <v>5</v>
      </c>
      <c r="E972" s="903">
        <v>756</v>
      </c>
      <c r="F972" s="903">
        <v>417</v>
      </c>
      <c r="G972" s="903" t="s">
        <v>1877</v>
      </c>
      <c r="H972" s="904">
        <f t="shared" si="175"/>
        <v>6</v>
      </c>
      <c r="I972" s="904">
        <f t="shared" si="176"/>
        <v>11</v>
      </c>
      <c r="J972" s="21">
        <f t="shared" si="177"/>
        <v>10700</v>
      </c>
      <c r="K972" s="21">
        <f t="shared" si="188"/>
        <v>10700</v>
      </c>
      <c r="L972" s="21">
        <f t="shared" si="189"/>
        <v>20500</v>
      </c>
      <c r="M972" s="21">
        <f t="shared" si="180"/>
        <v>30300</v>
      </c>
      <c r="N972" s="904">
        <f t="shared" si="181"/>
        <v>362</v>
      </c>
      <c r="O972" s="21"/>
      <c r="P972" s="22" t="s">
        <v>2</v>
      </c>
      <c r="Q972" s="22">
        <v>0.63</v>
      </c>
      <c r="R972" s="904" t="s">
        <v>42</v>
      </c>
      <c r="S972" s="904" t="str">
        <f t="shared" si="182"/>
        <v>Stove</v>
      </c>
      <c r="T972" s="23">
        <f t="shared" si="183"/>
        <v>0.36379299305591933</v>
      </c>
      <c r="U972" s="23">
        <f t="shared" si="184"/>
        <v>1.0301801579060146</v>
      </c>
      <c r="V972" s="23">
        <f t="shared" si="184"/>
        <v>0.53770378973631006</v>
      </c>
      <c r="W972" s="23">
        <f t="shared" si="185"/>
        <v>1.0301801579060146</v>
      </c>
      <c r="X972" s="904">
        <f t="shared" si="190"/>
        <v>787</v>
      </c>
      <c r="Y972" s="904">
        <f t="shared" si="190"/>
        <v>819</v>
      </c>
      <c r="Z972" s="904">
        <f t="shared" si="190"/>
        <v>785</v>
      </c>
      <c r="AA972" s="904">
        <f t="shared" si="187"/>
        <v>731</v>
      </c>
      <c r="AB972" s="24">
        <v>480</v>
      </c>
    </row>
    <row r="973" spans="1:29" x14ac:dyDescent="0.25">
      <c r="A973" s="903"/>
      <c r="B973" t="s">
        <v>1878</v>
      </c>
      <c r="C973" s="906" t="s">
        <v>1879</v>
      </c>
      <c r="D973" s="25">
        <v>4.5</v>
      </c>
      <c r="E973" s="903">
        <v>700</v>
      </c>
      <c r="F973" s="903">
        <v>376</v>
      </c>
      <c r="G973" s="903" t="s">
        <v>1880</v>
      </c>
      <c r="H973" s="904">
        <f t="shared" si="175"/>
        <v>6</v>
      </c>
      <c r="I973" s="904">
        <f t="shared" si="176"/>
        <v>11</v>
      </c>
      <c r="J973" s="21">
        <f t="shared" si="177"/>
        <v>10700</v>
      </c>
      <c r="K973" s="21">
        <f t="shared" si="188"/>
        <v>11832</v>
      </c>
      <c r="L973" s="21">
        <f t="shared" si="189"/>
        <v>22750</v>
      </c>
      <c r="M973" s="21">
        <f t="shared" si="180"/>
        <v>34800</v>
      </c>
      <c r="N973" s="904">
        <f t="shared" si="181"/>
        <v>524</v>
      </c>
      <c r="O973" s="21"/>
      <c r="P973" s="22" t="s">
        <v>2</v>
      </c>
      <c r="Q973" s="22">
        <v>0.63</v>
      </c>
      <c r="R973" s="904" t="s">
        <v>42</v>
      </c>
      <c r="S973" s="904" t="str">
        <f t="shared" si="182"/>
        <v>Stove</v>
      </c>
      <c r="T973" s="23">
        <f t="shared" si="183"/>
        <v>0.28507571611019888</v>
      </c>
      <c r="U973" s="23">
        <f t="shared" si="184"/>
        <v>0.83845798855940845</v>
      </c>
      <c r="V973" s="23">
        <f t="shared" si="184"/>
        <v>0.43607186464329323</v>
      </c>
      <c r="W973" s="23">
        <f t="shared" si="185"/>
        <v>0.92716214211541315</v>
      </c>
      <c r="X973" s="904">
        <f t="shared" si="190"/>
        <v>643</v>
      </c>
      <c r="Y973" s="904">
        <f t="shared" si="190"/>
        <v>702</v>
      </c>
      <c r="Z973" s="904">
        <f t="shared" si="190"/>
        <v>653</v>
      </c>
      <c r="AA973" s="904">
        <f t="shared" si="187"/>
        <v>666</v>
      </c>
      <c r="AB973" s="24">
        <v>387</v>
      </c>
    </row>
    <row r="974" spans="1:29" x14ac:dyDescent="0.25">
      <c r="A974" s="2" t="s">
        <v>77</v>
      </c>
      <c r="B974" t="s">
        <v>1875</v>
      </c>
      <c r="C974" s="6" t="s">
        <v>1876</v>
      </c>
      <c r="D974" s="25">
        <v>5</v>
      </c>
      <c r="E974" s="2">
        <v>756</v>
      </c>
      <c r="F974" s="2">
        <v>417</v>
      </c>
      <c r="G974" s="2" t="s">
        <v>1877</v>
      </c>
      <c r="H974" s="20">
        <f t="shared" ref="H974:H975" si="191">FIND("-",$G974)</f>
        <v>6</v>
      </c>
      <c r="I974" s="20">
        <f t="shared" ref="I974:I975" si="192">LEN($G974)</f>
        <v>11</v>
      </c>
      <c r="J974" s="21">
        <f t="shared" ref="J974:J975" si="193">VALUE(LEFT($G974,H974-1))</f>
        <v>10700</v>
      </c>
      <c r="K974" s="21">
        <f>IF(K$8*M974&gt;J974,K$8*M974,J974)</f>
        <v>10700</v>
      </c>
      <c r="L974" s="21">
        <f>AVERAGE(J974,M974)</f>
        <v>20500</v>
      </c>
      <c r="M974" s="21">
        <f t="shared" ref="M974:M975" si="194">VALUE(RIGHT($G974,I974-H974))</f>
        <v>30300</v>
      </c>
      <c r="N974" s="20">
        <f t="shared" ref="N974:N975" si="195">RANK($L974,$L$11:$L$975,1)</f>
        <v>362</v>
      </c>
      <c r="O974" s="21"/>
      <c r="P974" s="22" t="s">
        <v>2</v>
      </c>
      <c r="Q974" s="22">
        <v>0.63</v>
      </c>
      <c r="R974" s="20" t="s">
        <v>42</v>
      </c>
      <c r="S974" s="20" t="str">
        <f t="shared" ref="S974:S975" si="196">IF(AND(ISERROR(FIND("Insert",B974&amp;C974)),ISERROR(FIND("insert",B974&amp;C974))),"Stove","Insert")</f>
        <v>Stove</v>
      </c>
      <c r="T974" s="23">
        <f t="shared" ref="T974:T975" si="197">$D974*10^6/(M974*453.6)</f>
        <v>0.36379299305591933</v>
      </c>
      <c r="U974" s="23">
        <f t="shared" ref="U974:V975" si="198">$D974*10^6/(K974*453.6)</f>
        <v>1.0301801579060146</v>
      </c>
      <c r="V974" s="23">
        <f t="shared" si="198"/>
        <v>0.53770378973631006</v>
      </c>
      <c r="W974" s="23">
        <f t="shared" ref="W974:W975" si="199">$D974*10^6/(J974*453.6)</f>
        <v>1.0301801579060146</v>
      </c>
      <c r="X974" s="20">
        <f t="shared" ref="X974:Z975" si="200">RANK(T974,T$11:T$975,1)</f>
        <v>788</v>
      </c>
      <c r="Y974" s="20">
        <f t="shared" si="200"/>
        <v>820</v>
      </c>
      <c r="Z974" s="20">
        <f t="shared" si="200"/>
        <v>786</v>
      </c>
      <c r="AA974" s="20">
        <f>RANK(W974,W$11:W$975,1)</f>
        <v>732</v>
      </c>
      <c r="AB974" s="24">
        <v>480</v>
      </c>
    </row>
    <row r="975" spans="1:29" x14ac:dyDescent="0.25">
      <c r="A975" s="2"/>
      <c r="B975" t="s">
        <v>1878</v>
      </c>
      <c r="C975" s="6" t="s">
        <v>1879</v>
      </c>
      <c r="D975" s="25">
        <v>4.5</v>
      </c>
      <c r="E975" s="2">
        <v>700</v>
      </c>
      <c r="F975" s="2">
        <v>376</v>
      </c>
      <c r="G975" s="2" t="s">
        <v>1880</v>
      </c>
      <c r="H975" s="20">
        <f t="shared" si="191"/>
        <v>6</v>
      </c>
      <c r="I975" s="20">
        <f t="shared" si="192"/>
        <v>11</v>
      </c>
      <c r="J975" s="21">
        <f t="shared" si="193"/>
        <v>10700</v>
      </c>
      <c r="K975" s="21">
        <f>IF(K$8*M975&gt;J975,K$8*M975,J975)</f>
        <v>11832</v>
      </c>
      <c r="L975" s="21">
        <f>AVERAGE(J975,M975)</f>
        <v>22750</v>
      </c>
      <c r="M975" s="21">
        <f t="shared" si="194"/>
        <v>34800</v>
      </c>
      <c r="N975" s="20">
        <f t="shared" si="195"/>
        <v>525</v>
      </c>
      <c r="O975" s="21"/>
      <c r="P975" s="22" t="s">
        <v>2</v>
      </c>
      <c r="Q975" s="22">
        <v>0.63</v>
      </c>
      <c r="R975" s="20" t="s">
        <v>42</v>
      </c>
      <c r="S975" s="20" t="str">
        <f t="shared" si="196"/>
        <v>Stove</v>
      </c>
      <c r="T975" s="23">
        <f t="shared" si="197"/>
        <v>0.28507571611019888</v>
      </c>
      <c r="U975" s="23">
        <f t="shared" si="198"/>
        <v>0.83845798855940845</v>
      </c>
      <c r="V975" s="23">
        <f t="shared" si="198"/>
        <v>0.43607186464329323</v>
      </c>
      <c r="W975" s="23">
        <f t="shared" si="199"/>
        <v>0.92716214211541315</v>
      </c>
      <c r="X975" s="20">
        <f t="shared" si="200"/>
        <v>643</v>
      </c>
      <c r="Y975" s="20">
        <f t="shared" si="200"/>
        <v>702</v>
      </c>
      <c r="Z975" s="20">
        <f t="shared" si="200"/>
        <v>653</v>
      </c>
      <c r="AA975" s="20">
        <f>RANK(W975,W$11:W$975,1)</f>
        <v>666</v>
      </c>
      <c r="AB975" s="24">
        <v>387</v>
      </c>
    </row>
  </sheetData>
  <autoFilter ref="A10:AB975"/>
  <mergeCells count="7">
    <mergeCell ref="B1:AB1"/>
    <mergeCell ref="A2:AB2"/>
    <mergeCell ref="G9:M9"/>
    <mergeCell ref="N9:O9"/>
    <mergeCell ref="P9:Q9"/>
    <mergeCell ref="T9:W9"/>
    <mergeCell ref="X9:AA9"/>
  </mergeCells>
  <conditionalFormatting sqref="K974:K975">
    <cfRule type="cellIs" dxfId="15" priority="32" operator="equal">
      <formula>J974</formula>
    </cfRule>
  </conditionalFormatting>
  <conditionalFormatting sqref="K11 K469:K734 K736:K780 K782:K838">
    <cfRule type="cellIs" dxfId="14" priority="15" operator="equal">
      <formula>J11</formula>
    </cfRule>
  </conditionalFormatting>
  <conditionalFormatting sqref="K13:K14">
    <cfRule type="cellIs" dxfId="13" priority="14" operator="equal">
      <formula>J13</formula>
    </cfRule>
  </conditionalFormatting>
  <conditionalFormatting sqref="K15:K235 K840:K918 K237:K253 K260:K333 K257:K258 K335:K352 K354:K420 K422:K467 K920:K973">
    <cfRule type="cellIs" dxfId="12" priority="13" operator="equal">
      <formula>J15</formula>
    </cfRule>
  </conditionalFormatting>
  <conditionalFormatting sqref="K839">
    <cfRule type="cellIs" dxfId="11" priority="12" operator="equal">
      <formula>J839</formula>
    </cfRule>
  </conditionalFormatting>
  <conditionalFormatting sqref="K12">
    <cfRule type="cellIs" dxfId="10" priority="11" operator="equal">
      <formula>J12</formula>
    </cfRule>
  </conditionalFormatting>
  <conditionalFormatting sqref="K236">
    <cfRule type="cellIs" dxfId="9" priority="10" operator="equal">
      <formula>J236</formula>
    </cfRule>
  </conditionalFormatting>
  <conditionalFormatting sqref="K259">
    <cfRule type="cellIs" dxfId="8" priority="9" operator="equal">
      <formula>J259</formula>
    </cfRule>
  </conditionalFormatting>
  <conditionalFormatting sqref="K254:K256">
    <cfRule type="cellIs" dxfId="7" priority="8" operator="equal">
      <formula>J254</formula>
    </cfRule>
  </conditionalFormatting>
  <conditionalFormatting sqref="K334">
    <cfRule type="cellIs" dxfId="6" priority="7" operator="equal">
      <formula>J334</formula>
    </cfRule>
  </conditionalFormatting>
  <conditionalFormatting sqref="K353">
    <cfRule type="cellIs" dxfId="5" priority="6" operator="equal">
      <formula>J353</formula>
    </cfRule>
  </conditionalFormatting>
  <conditionalFormatting sqref="K421">
    <cfRule type="cellIs" dxfId="4" priority="5" operator="equal">
      <formula>J421</formula>
    </cfRule>
  </conditionalFormatting>
  <conditionalFormatting sqref="K781">
    <cfRule type="cellIs" dxfId="3" priority="2" operator="equal">
      <formula>J781</formula>
    </cfRule>
  </conditionalFormatting>
  <conditionalFormatting sqref="K735">
    <cfRule type="cellIs" dxfId="2" priority="3" operator="equal">
      <formula>J735</formula>
    </cfRule>
  </conditionalFormatting>
  <conditionalFormatting sqref="K919">
    <cfRule type="cellIs" dxfId="1" priority="1" operator="equal">
      <formula>J919</formula>
    </cfRule>
  </conditionalFormatting>
  <conditionalFormatting sqref="K468">
    <cfRule type="cellIs" dxfId="0" priority="4" operator="equal">
      <formula>J468</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CC"/>
  </sheetPr>
  <dimension ref="A1:AB138"/>
  <sheetViews>
    <sheetView workbookViewId="0">
      <selection sqref="A1:K1"/>
    </sheetView>
  </sheetViews>
  <sheetFormatPr defaultRowHeight="15" x14ac:dyDescent="0.25"/>
  <cols>
    <col min="1" max="1" width="27.7109375" customWidth="1"/>
    <col min="3" max="3" width="11.5703125" bestFit="1" customWidth="1"/>
    <col min="6" max="6" width="10.85546875" customWidth="1"/>
    <col min="14" max="14" width="10.140625" bestFit="1" customWidth="1"/>
    <col min="23" max="23" width="12.140625" customWidth="1"/>
    <col min="28" max="28" width="10.28515625" customWidth="1"/>
  </cols>
  <sheetData>
    <row r="1" spans="1:14" ht="18.75" x14ac:dyDescent="0.3">
      <c r="A1" s="912" t="s">
        <v>3364</v>
      </c>
      <c r="B1" s="912"/>
      <c r="C1" s="912"/>
      <c r="D1" s="912"/>
      <c r="E1" s="912"/>
      <c r="F1" s="912"/>
      <c r="G1" s="912"/>
      <c r="H1" s="912"/>
      <c r="I1" s="912"/>
      <c r="J1" s="912"/>
      <c r="K1" s="912"/>
    </row>
    <row r="3" spans="1:14" x14ac:dyDescent="0.25">
      <c r="A3" s="405" t="s">
        <v>3001</v>
      </c>
      <c r="B3" s="241" t="s">
        <v>4373</v>
      </c>
    </row>
    <row r="4" spans="1:14" x14ac:dyDescent="0.25">
      <c r="A4" s="405" t="s">
        <v>3025</v>
      </c>
      <c r="B4" s="519">
        <v>2019</v>
      </c>
    </row>
    <row r="5" spans="1:14" x14ac:dyDescent="0.25">
      <c r="A5" s="405" t="s">
        <v>3189</v>
      </c>
      <c r="B5" s="10">
        <v>1</v>
      </c>
    </row>
    <row r="7" spans="1:14" x14ac:dyDescent="0.25">
      <c r="A7" s="508" t="s">
        <v>3002</v>
      </c>
    </row>
    <row r="8" spans="1:14" x14ac:dyDescent="0.25">
      <c r="A8" s="407" t="s">
        <v>3190</v>
      </c>
      <c r="M8" s="622"/>
      <c r="N8" s="113"/>
    </row>
    <row r="9" spans="1:14" x14ac:dyDescent="0.25">
      <c r="A9" s="682" t="s">
        <v>3382</v>
      </c>
    </row>
    <row r="10" spans="1:14" x14ac:dyDescent="0.25">
      <c r="A10" s="407" t="s">
        <v>3184</v>
      </c>
    </row>
    <row r="11" spans="1:14" x14ac:dyDescent="0.25">
      <c r="A11" s="407" t="s">
        <v>3383</v>
      </c>
    </row>
    <row r="12" spans="1:14" x14ac:dyDescent="0.25">
      <c r="A12" s="407" t="s">
        <v>3384</v>
      </c>
    </row>
    <row r="13" spans="1:14" x14ac:dyDescent="0.25">
      <c r="A13" s="407" t="s">
        <v>3385</v>
      </c>
    </row>
    <row r="16" spans="1:14" x14ac:dyDescent="0.25">
      <c r="A16" t="s">
        <v>3017</v>
      </c>
      <c r="G16" s="411"/>
    </row>
    <row r="17" spans="1:14" x14ac:dyDescent="0.25">
      <c r="E17" s="520" t="s">
        <v>3027</v>
      </c>
      <c r="F17" s="520" t="s">
        <v>3028</v>
      </c>
    </row>
    <row r="18" spans="1:14" x14ac:dyDescent="0.25">
      <c r="A18" t="s">
        <v>3011</v>
      </c>
      <c r="D18">
        <v>984</v>
      </c>
      <c r="E18" s="411"/>
      <c r="K18" s="247" t="s">
        <v>3012</v>
      </c>
    </row>
    <row r="19" spans="1:14" x14ac:dyDescent="0.25">
      <c r="A19" t="s">
        <v>3013</v>
      </c>
      <c r="D19">
        <f>ROUND(D$18*J19,0)</f>
        <v>21</v>
      </c>
      <c r="E19" s="606">
        <f>D19</f>
        <v>21</v>
      </c>
      <c r="F19">
        <f>D19-E19</f>
        <v>0</v>
      </c>
      <c r="J19" s="412">
        <f>TabsAll!$N$21*TabsAll!$N$53</f>
        <v>2.1180764282238692E-2</v>
      </c>
      <c r="K19" s="247" t="s">
        <v>3014</v>
      </c>
    </row>
    <row r="20" spans="1:14" x14ac:dyDescent="0.25">
      <c r="A20" t="s">
        <v>3257</v>
      </c>
      <c r="D20">
        <f>ROUND(D$18*J20,0)</f>
        <v>20</v>
      </c>
      <c r="E20" s="606">
        <f>ROUND(M23*D20,0)</f>
        <v>0</v>
      </c>
      <c r="F20">
        <f>D20-E20</f>
        <v>20</v>
      </c>
      <c r="J20" s="412">
        <f>TabsAll!$N$21*TabsAll!$N$54</f>
        <v>2.0123337534874289E-2</v>
      </c>
      <c r="K20" s="247" t="s">
        <v>3258</v>
      </c>
    </row>
    <row r="21" spans="1:14" x14ac:dyDescent="0.25">
      <c r="A21" t="s">
        <v>3259</v>
      </c>
      <c r="D21">
        <f>ROUND(D$18*J21,0)</f>
        <v>327</v>
      </c>
      <c r="E21" s="606">
        <f>ROUND($D21*VLOOKUP($B$4,HHSurveyG2!$A$280:$E$300,2,FALSE),0)</f>
        <v>66</v>
      </c>
      <c r="F21">
        <f>D21-E21</f>
        <v>261</v>
      </c>
      <c r="J21" s="412">
        <f>TabsAll!$N$21*TabsAll!$N$55</f>
        <v>0.33220321038023365</v>
      </c>
      <c r="K21" s="247" t="s">
        <v>3260</v>
      </c>
    </row>
    <row r="22" spans="1:14" x14ac:dyDescent="0.25">
      <c r="A22" t="s">
        <v>3015</v>
      </c>
      <c r="D22">
        <f>ROUND(D$18*J22,0)</f>
        <v>12</v>
      </c>
      <c r="E22" s="606">
        <f>ROUND($D22*0.8,0)</f>
        <v>10</v>
      </c>
      <c r="F22">
        <f>D22-E22</f>
        <v>2</v>
      </c>
      <c r="J22" s="412">
        <f>TabsAll!$N$21*TabsAll!$N$56</f>
        <v>1.1914924747069535E-2</v>
      </c>
      <c r="K22" s="247" t="s">
        <v>3016</v>
      </c>
    </row>
    <row r="23" spans="1:14" ht="15.75" thickBot="1" x14ac:dyDescent="0.3"/>
    <row r="24" spans="1:14" ht="16.5" thickBot="1" x14ac:dyDescent="0.3">
      <c r="A24" s="919" t="s">
        <v>2776</v>
      </c>
      <c r="B24" s="920"/>
      <c r="C24" s="921"/>
      <c r="J24" s="412"/>
    </row>
    <row r="25" spans="1:14" ht="15.75" x14ac:dyDescent="0.25">
      <c r="A25" s="627"/>
      <c r="B25" s="627"/>
      <c r="C25" s="627"/>
      <c r="J25" s="412"/>
    </row>
    <row r="26" spans="1:14" x14ac:dyDescent="0.25">
      <c r="A26" t="str">
        <f>$B$4&amp;" Projected Device Counts in Fairbanks Nonattainment Area:"</f>
        <v>2019 Projected Device Counts in Fairbanks Nonattainment Area:</v>
      </c>
      <c r="J26" s="412"/>
    </row>
    <row r="27" spans="1:14" x14ac:dyDescent="0.25">
      <c r="J27" s="412"/>
    </row>
    <row r="28" spans="1:14" x14ac:dyDescent="0.25">
      <c r="C28" s="917" t="s">
        <v>3363</v>
      </c>
      <c r="D28" s="917"/>
      <c r="J28" s="412"/>
    </row>
    <row r="29" spans="1:14" x14ac:dyDescent="0.25">
      <c r="C29" s="917" t="s">
        <v>4170</v>
      </c>
      <c r="D29" s="917"/>
    </row>
    <row r="30" spans="1:14" x14ac:dyDescent="0.25">
      <c r="A30" s="9" t="s">
        <v>2463</v>
      </c>
      <c r="B30" s="44" t="s">
        <v>2793</v>
      </c>
      <c r="C30" s="44" t="s">
        <v>2497</v>
      </c>
      <c r="D30" s="44" t="s">
        <v>3361</v>
      </c>
      <c r="H30" s="2"/>
      <c r="I30" s="2"/>
    </row>
    <row r="31" spans="1:14" x14ac:dyDescent="0.25">
      <c r="A31" t="s">
        <v>3020</v>
      </c>
      <c r="B31" s="114">
        <f ca="1">ROUND(OFFSET(Devices!$B$51,0,MATCH($B$4,Devices!$C$49:$R$49,0)),0)</f>
        <v>803</v>
      </c>
      <c r="C31" s="114">
        <f ca="1">INDIRECT("'DevSumOut-"&amp;$B$4&amp;"PB'!U50")</f>
        <v>585.66476749630908</v>
      </c>
      <c r="D31" s="11">
        <f ca="1">C31/B31</f>
        <v>0.72934591219963774</v>
      </c>
      <c r="I31" s="23"/>
      <c r="N31" s="11"/>
    </row>
    <row r="32" spans="1:14" x14ac:dyDescent="0.25">
      <c r="A32" t="s">
        <v>3191</v>
      </c>
      <c r="B32" s="114">
        <f ca="1">ROUND(OFFSET(Devices!$B$53,0,MATCH($B$4,Devices!$C$49:$R$49,0)),0)</f>
        <v>142</v>
      </c>
      <c r="C32" s="114">
        <f ca="1">INDIRECT("'DevSumOut-"&amp;$B$4&amp;"PB'!U51")</f>
        <v>51.272722150218812</v>
      </c>
      <c r="D32" s="11">
        <f t="shared" ref="D32:D37" ca="1" si="0">C32/B32</f>
        <v>0.3610755081001325</v>
      </c>
      <c r="I32" s="23"/>
      <c r="N32" s="11"/>
    </row>
    <row r="33" spans="1:14" x14ac:dyDescent="0.25">
      <c r="A33" t="s">
        <v>3386</v>
      </c>
      <c r="B33" s="114">
        <f ca="1">ROUND(OFFSET(Devices!$B$54,0,MATCH($B$4,Devices!$C$49:$R$49,0))+OFFSET(Devices!$B$55,0,MATCH($B$4,Devices!$C$49:$R$49,0)),0)</f>
        <v>564</v>
      </c>
      <c r="C33" s="114">
        <f ca="1">INDIRECT("'DevSumOut-"&amp;$B$4&amp;"PB'!U52")+INDIRECT("'DevSumOut-"&amp;$B$4&amp;"PB'!U53")</f>
        <v>172.94448529693329</v>
      </c>
      <c r="D33" s="11">
        <f t="shared" ca="1" si="0"/>
        <v>0.3066391583278959</v>
      </c>
      <c r="I33" s="23"/>
      <c r="N33" s="11"/>
    </row>
    <row r="34" spans="1:14" x14ac:dyDescent="0.25">
      <c r="A34" t="s">
        <v>3204</v>
      </c>
      <c r="B34" s="114">
        <f ca="1">ROUND(OFFSET(Devices!$B$59,0,MATCH($B$4,Devices!$C$49:$R$49,0)),0)</f>
        <v>2090</v>
      </c>
      <c r="C34" s="114">
        <f ca="1">INDIRECT("'DevSumOut-"&amp;$B$4&amp;"PB'!U54")</f>
        <v>1040.5399378474017</v>
      </c>
      <c r="D34" s="11">
        <f t="shared" ca="1" si="0"/>
        <v>0.49786599897004863</v>
      </c>
      <c r="I34" s="23"/>
      <c r="N34" s="11"/>
    </row>
    <row r="35" spans="1:14" x14ac:dyDescent="0.25">
      <c r="A35" t="s">
        <v>3387</v>
      </c>
      <c r="B35" s="114">
        <f ca="1">ROUND(OFFSET(Devices!$B$60,0,MATCH($B$4,Devices!$C$49:$R$49,0))+OFFSET(Devices!$B$61,0,MATCH($B$4,Devices!$C$49:$R$49,0)),0)</f>
        <v>8297</v>
      </c>
      <c r="C35" s="114">
        <f ca="1">INDIRECT("'DevSumOut-"&amp;$B$4&amp;"PB'!U55")+INDIRECT("'DevSumOut-"&amp;$B$4&amp;"PB'!U56")</f>
        <v>3509.7735488801986</v>
      </c>
      <c r="D35" s="11">
        <f t="shared" ca="1" si="0"/>
        <v>0.42301718077379757</v>
      </c>
      <c r="I35" s="23"/>
      <c r="N35" s="11"/>
    </row>
    <row r="36" spans="1:14" x14ac:dyDescent="0.25">
      <c r="A36" t="s">
        <v>3179</v>
      </c>
      <c r="B36" s="114">
        <f ca="1">ROUND(OFFSET(Devices!$B$70,0,MATCH($B$4,Devices!$C$49:$R$49,0)),0)</f>
        <v>389</v>
      </c>
      <c r="C36" s="114">
        <f ca="1">INDIRECT("'DevSumOut-"&amp;$B$4&amp;"PB'!U59")*0.8</f>
        <v>576.63242223592965</v>
      </c>
      <c r="D36" s="11">
        <f t="shared" ca="1" si="0"/>
        <v>1.4823455584471199</v>
      </c>
      <c r="H36" s="114"/>
      <c r="I36" s="23"/>
      <c r="N36" s="11"/>
    </row>
    <row r="37" spans="1:14" x14ac:dyDescent="0.25">
      <c r="A37" s="9" t="s">
        <v>3180</v>
      </c>
      <c r="B37" s="245">
        <f ca="1">ROUND(OFFSET(Devices!$B$71,0,MATCH($B$4,Devices!$C$49:$R$49,0)),0)</f>
        <v>97</v>
      </c>
      <c r="C37" s="245">
        <f ca="1">INDIRECT("'DevSumOut-"&amp;$B$4&amp;"PB'!U59")*0.2</f>
        <v>144.15810555898241</v>
      </c>
      <c r="D37" s="11">
        <f t="shared" ca="1" si="0"/>
        <v>1.4861660366905403</v>
      </c>
      <c r="H37" s="244"/>
    </row>
    <row r="38" spans="1:14" x14ac:dyDescent="0.25">
      <c r="A38" t="s">
        <v>3389</v>
      </c>
      <c r="B38" s="114">
        <f ca="1">SUM(B31:B37)</f>
        <v>12382</v>
      </c>
      <c r="C38" s="114">
        <f ca="1">SUM(C31:C37)</f>
        <v>6080.985989465973</v>
      </c>
      <c r="D38" s="11"/>
      <c r="E38" s="114"/>
      <c r="F38" s="43"/>
      <c r="H38" s="244"/>
    </row>
    <row r="39" spans="1:14" x14ac:dyDescent="0.25">
      <c r="B39" s="114"/>
      <c r="C39" s="114"/>
      <c r="D39" s="11"/>
      <c r="F39" s="607"/>
      <c r="H39" s="244"/>
    </row>
    <row r="40" spans="1:14" x14ac:dyDescent="0.25">
      <c r="B40" s="922" t="str">
        <f>$B$4&amp;" Space Heating Emission Factors (lb/mmBTU)"</f>
        <v>2019 Space Heating Emission Factors (lb/mmBTU)</v>
      </c>
      <c r="C40" s="922"/>
      <c r="D40" s="922"/>
      <c r="E40" s="922"/>
      <c r="F40" s="922"/>
      <c r="G40" s="922"/>
      <c r="H40" s="922"/>
    </row>
    <row r="41" spans="1:14" x14ac:dyDescent="0.25">
      <c r="A41" s="9" t="s">
        <v>3019</v>
      </c>
      <c r="B41" s="44" t="s">
        <v>2143</v>
      </c>
      <c r="C41" s="44" t="s">
        <v>2144</v>
      </c>
      <c r="D41" s="44" t="s">
        <v>2145</v>
      </c>
      <c r="E41" s="44" t="s">
        <v>2146</v>
      </c>
      <c r="F41" s="44" t="s">
        <v>2147</v>
      </c>
      <c r="G41" s="44" t="s">
        <v>2148</v>
      </c>
      <c r="H41" s="44" t="s">
        <v>2149</v>
      </c>
    </row>
    <row r="42" spans="1:14" x14ac:dyDescent="0.25">
      <c r="A42" t="s">
        <v>3020</v>
      </c>
      <c r="B42" s="11">
        <f ca="1">INDIRECT("'DevSumOut-"&amp;$B$4&amp;"PB'!Y50")</f>
        <v>14.257053240321779</v>
      </c>
      <c r="C42" s="11">
        <f ca="1">INDIRECT("'DevSumOut-"&amp;$B$4&amp;"PB'!Z50")</f>
        <v>0.16187047347090236</v>
      </c>
      <c r="D42" s="11">
        <f ca="1">INDIRECT("'DevSumOut-"&amp;$B$4&amp;"PB'!AA50")</f>
        <v>2.4903149764754204E-2</v>
      </c>
      <c r="E42" s="11">
        <f ca="1">INDIRECT("'DevSumOut-"&amp;$B$4&amp;"PB'!AB50")</f>
        <v>2.154122454651239</v>
      </c>
      <c r="F42" s="11">
        <f ca="1">INDIRECT("'DevSumOut-"&amp;$B$4&amp;"PB'!AC50")</f>
        <v>2.154122454651239</v>
      </c>
      <c r="G42" s="11">
        <f ca="1">INDIRECT("'DevSumOut-"&amp;$B$4&amp;"PB'!AD50")</f>
        <v>0.11206417394139395</v>
      </c>
      <c r="H42" s="11">
        <f ca="1">INDIRECT("'DevSumOut-"&amp;$B$4&amp;"PB'!AE50")</f>
        <v>15.726339076442278</v>
      </c>
    </row>
    <row r="43" spans="1:14" x14ac:dyDescent="0.25">
      <c r="A43" t="s">
        <v>3191</v>
      </c>
      <c r="B43" s="11">
        <f ca="1">INDIRECT("'DevSumOut-"&amp;$B$4&amp;"PB'!Y51")</f>
        <v>3.3001973107472216</v>
      </c>
      <c r="C43" s="11">
        <f ca="1">INDIRECT("'DevSumOut-"&amp;$B$4&amp;"PB'!z51")</f>
        <v>0.17435004660551356</v>
      </c>
      <c r="D43" s="11">
        <f ca="1">INDIRECT("'DevSumOut-"&amp;$B$4&amp;"PB'!aa51")</f>
        <v>2.4907149515073369E-2</v>
      </c>
      <c r="E43" s="11">
        <f ca="1">INDIRECT("'DevSumOut-"&amp;$B$4&amp;"PB'!ab51")</f>
        <v>1.9053969379031133</v>
      </c>
      <c r="F43" s="11">
        <f ca="1">INDIRECT("'DevSumOut-"&amp;$B$4&amp;"PB'!ac51")</f>
        <v>1.9053969379031133</v>
      </c>
      <c r="G43" s="11">
        <f ca="1">INDIRECT("'DevSumOut-"&amp;$B$4&amp;"PB'!ad51")</f>
        <v>0.10585538543906184</v>
      </c>
      <c r="H43" s="11">
        <f ca="1">INDIRECT("'DevSumOut-"&amp;$B$4&amp;"PB'!ae51")</f>
        <v>14.371425270197337</v>
      </c>
    </row>
    <row r="44" spans="1:14" x14ac:dyDescent="0.25">
      <c r="A44" t="s">
        <v>3386</v>
      </c>
      <c r="B44" s="11">
        <f ca="1">INDIRECT("'DevSumOut-"&amp;$B$4&amp;"PB'!Y75")</f>
        <v>0.81741693074944088</v>
      </c>
      <c r="C44" s="11">
        <f ca="1">INDIRECT("'DevSumOut-"&amp;$B$4&amp;"PB'!Z75")</f>
        <v>0.10132284194260621</v>
      </c>
      <c r="D44" s="11">
        <f ca="1">INDIRECT("'DevSumOut-"&amp;$B$4&amp;"PB'!AA75")</f>
        <v>2.4907149515073366E-2</v>
      </c>
      <c r="E44" s="11">
        <f ca="1">INDIRECT("'DevSumOut-"&amp;$B$4&amp;"PB'!AB75")</f>
        <v>0.5258645872096388</v>
      </c>
      <c r="F44" s="11">
        <f ca="1">INDIRECT("'DevSumOut-"&amp;$B$4&amp;"PB'!AC75")</f>
        <v>0.5258645872096388</v>
      </c>
      <c r="G44" s="11">
        <f ca="1">INDIRECT("'DevSumOut-"&amp;$B$4&amp;"PB'!AD75")</f>
        <v>1.7452351177056433E-2</v>
      </c>
      <c r="H44" s="11">
        <f ca="1">INDIRECT("'DevSumOut-"&amp;$B$4&amp;"PB'!AE75")</f>
        <v>7.7118911550617026</v>
      </c>
    </row>
    <row r="45" spans="1:14" x14ac:dyDescent="0.25">
      <c r="A45" t="s">
        <v>3204</v>
      </c>
      <c r="B45" s="11">
        <f ca="1">INDIRECT("'DevSumOut-"&amp;$B$4&amp;"PB'!Y54")</f>
        <v>3.3001973107472216</v>
      </c>
      <c r="C45" s="11">
        <f ca="1">INDIRECT("'DevSumOut-"&amp;$B$4&amp;"PB'!z54")</f>
        <v>9.0421834210833663E-2</v>
      </c>
      <c r="D45" s="11">
        <f ca="1">INDIRECT("'DevSumOut-"&amp;$B$4&amp;"PB'!aa54")</f>
        <v>2.4907149515073373E-2</v>
      </c>
      <c r="E45" s="11">
        <f ca="1">INDIRECT("'DevSumOut-"&amp;$B$4&amp;"PB'!ab54")</f>
        <v>0.75605835329474658</v>
      </c>
      <c r="F45" s="11">
        <f ca="1">INDIRECT("'DevSumOut-"&amp;$B$4&amp;"PB'!ac54")</f>
        <v>0.75605835329474658</v>
      </c>
      <c r="G45" s="11">
        <f ca="1">INDIRECT("'DevSumOut-"&amp;$B$4&amp;"PB'!ad54")</f>
        <v>2.4722123344748218E-2</v>
      </c>
      <c r="H45" s="11">
        <f ca="1">INDIRECT("'DevSumOut-"&amp;$B$4&amp;"PB'!ae54")</f>
        <v>7.5450382240655234</v>
      </c>
    </row>
    <row r="46" spans="1:14" x14ac:dyDescent="0.25">
      <c r="A46" t="s">
        <v>3387</v>
      </c>
      <c r="B46" s="11">
        <f ca="1">INDIRECT("'DevSumOut-"&amp;$B$4&amp;"PB'!Y75")</f>
        <v>0.81741693074944088</v>
      </c>
      <c r="C46" s="11">
        <f ca="1">INDIRECT("'DevSumOut-"&amp;$B$4&amp;"PB'!Z75")</f>
        <v>0.10132284194260621</v>
      </c>
      <c r="D46" s="11">
        <f ca="1">INDIRECT("'DevSumOut-"&amp;$B$4&amp;"PB'!AA75")</f>
        <v>2.4907149515073366E-2</v>
      </c>
      <c r="E46" s="11">
        <f ca="1">INDIRECT("'DevSumOut-"&amp;$B$4&amp;"PB'!AB75")</f>
        <v>0.5258645872096388</v>
      </c>
      <c r="F46" s="11">
        <f ca="1">INDIRECT("'DevSumOut-"&amp;$B$4&amp;"PB'!AC75")</f>
        <v>0.5258645872096388</v>
      </c>
      <c r="G46" s="11">
        <f ca="1">INDIRECT("'DevSumOut-"&amp;$B$4&amp;"PB'!AD75")</f>
        <v>1.7452351177056433E-2</v>
      </c>
      <c r="H46" s="11">
        <f ca="1">INDIRECT("'DevSumOut-"&amp;$B$4&amp;"PB'!AE75")</f>
        <v>7.7118911550617026</v>
      </c>
    </row>
    <row r="47" spans="1:14" x14ac:dyDescent="0.25">
      <c r="A47" t="s">
        <v>3179</v>
      </c>
      <c r="B47" s="11">
        <f>'EFs-BTU'!H47*'EFs-BTU'!$C$4/'EFs-BTU'!$C$6</f>
        <v>4.1811565060035498</v>
      </c>
      <c r="C47" s="11">
        <f>'EFs-BTU'!I47*'EFs-BTU'!$C$4/'EFs-BTU'!$C$6</f>
        <v>0.11643366199974399</v>
      </c>
      <c r="D47" s="11">
        <f>'EFs-BTU'!J47*'EFs-BTU'!$C$4/'EFs-BTU'!$C$6</f>
        <v>3.1555898158517351E-2</v>
      </c>
      <c r="E47" s="11">
        <f>'EFs-BTU'!K47*'EFs-BTU'!$C$4/'EFs-BTU'!$C$6</f>
        <v>0.87141539194556972</v>
      </c>
      <c r="F47" s="11">
        <f>'EFs-BTU'!L47*'EFs-BTU'!$C$4/'EFs-BTU'!$C$6</f>
        <v>0.87141539194556972</v>
      </c>
      <c r="G47" s="11">
        <f>'EFs-BTU'!M47*'EFs-BTU'!$C$4/'EFs-BTU'!$C$6</f>
        <v>2.1560871736264649E-2</v>
      </c>
      <c r="H47" s="11">
        <f>'EFs-BTU'!N47*'EFs-BTU'!$C$4/'EFs-BTU'!$C$6</f>
        <v>4.3625463570542369</v>
      </c>
    </row>
    <row r="48" spans="1:14" x14ac:dyDescent="0.25">
      <c r="A48" t="s">
        <v>3180</v>
      </c>
      <c r="B48" s="11">
        <f>'EFs-BTU'!H49*'EFs-BTU'!$C$4/'EFs-BTU'!$C$6</f>
        <v>1.183346180944401</v>
      </c>
      <c r="C48" s="11">
        <f>'EFs-BTU'!I49*'EFs-BTU'!$C$4/'EFs-BTU'!$C$6</f>
        <v>0.17040603184586645</v>
      </c>
      <c r="D48" s="11">
        <f>'EFs-BTU'!J49*'EFs-BTU'!$C$4/'EFs-BTU'!$C$6</f>
        <v>3.1555898158517351E-2</v>
      </c>
      <c r="E48" s="11">
        <f>'EFs-BTU'!K49*'EFs-BTU'!$C$4/'EFs-BTU'!$C$6</f>
        <v>0.40760735501342799</v>
      </c>
      <c r="F48" s="11">
        <f>'EFs-BTU'!L49*'EFs-BTU'!$C$4/'EFs-BTU'!$C$6</f>
        <v>0.40760735501342799</v>
      </c>
      <c r="G48" s="11">
        <f>'EFs-BTU'!M49*'EFs-BTU'!$C$4/'EFs-BTU'!$C$6</f>
        <v>9.9067705178080036E-3</v>
      </c>
      <c r="H48" s="11">
        <f>'EFs-BTU'!N49*'EFs-BTU'!$C$4/'EFs-BTU'!$C$6</f>
        <v>6.4418368600000191</v>
      </c>
    </row>
    <row r="49" spans="1:8" x14ac:dyDescent="0.25">
      <c r="A49" t="s">
        <v>3388</v>
      </c>
      <c r="B49" s="11">
        <f ca="1">INDIRECT("'DevSumOut-"&amp;$B$4&amp;"PB'!Y60")</f>
        <v>5.3125436895281979E-3</v>
      </c>
      <c r="C49" s="11">
        <f ca="1">INDIRECT("'DevSumOut-"&amp;$B$4&amp;"PB'!z60")</f>
        <v>8.3237866177467576E-2</v>
      </c>
      <c r="D49" s="11">
        <f ca="1">INDIRECT("'DevSumOut-"&amp;$B$4&amp;"PB'!aa60")</f>
        <v>0.21535233209383506</v>
      </c>
      <c r="E49" s="11">
        <f ca="1">INDIRECT("'DevSumOut-"&amp;$B$4&amp;"PB'!ab60")</f>
        <v>3.4020926230572597E-3</v>
      </c>
      <c r="F49" s="11">
        <f ca="1">INDIRECT("'DevSumOut-"&amp;$B$4&amp;"PB'!ac60")</f>
        <v>3.4020926230572597E-3</v>
      </c>
      <c r="G49" s="11">
        <f ca="1">INDIRECT("'DevSumOut-"&amp;$B$4&amp;"PB'!ad60")</f>
        <v>1.8252226922702195E-4</v>
      </c>
      <c r="H49" s="11">
        <f ca="1">INDIRECT("'DevSumOut-"&amp;$B$4&amp;"PB'!ae60")</f>
        <v>3.3368858477819947E-3</v>
      </c>
    </row>
    <row r="50" spans="1:8" x14ac:dyDescent="0.25">
      <c r="B50" s="11"/>
      <c r="C50" s="11"/>
      <c r="D50" s="11"/>
      <c r="E50" s="11"/>
      <c r="F50" s="11"/>
      <c r="G50" s="11"/>
      <c r="H50" s="11"/>
    </row>
    <row r="51" spans="1:8" x14ac:dyDescent="0.25">
      <c r="B51" s="917" t="str">
        <f>$B$4&amp;" Baseline Emissions in Affected Residences (tons/episodic day)"</f>
        <v>2019 Baseline Emissions in Affected Residences (tons/episodic day)</v>
      </c>
      <c r="C51" s="917"/>
      <c r="D51" s="917"/>
      <c r="E51" s="917"/>
      <c r="F51" s="917"/>
      <c r="G51" s="917"/>
      <c r="H51" s="917"/>
    </row>
    <row r="52" spans="1:8" x14ac:dyDescent="0.25">
      <c r="A52" s="9" t="s">
        <v>3018</v>
      </c>
      <c r="B52" s="44" t="s">
        <v>2143</v>
      </c>
      <c r="C52" s="44" t="s">
        <v>2144</v>
      </c>
      <c r="D52" s="44" t="s">
        <v>2145</v>
      </c>
      <c r="E52" s="44" t="s">
        <v>2146</v>
      </c>
      <c r="F52" s="500" t="s">
        <v>2147</v>
      </c>
      <c r="G52" s="44" t="s">
        <v>2148</v>
      </c>
      <c r="H52" s="44" t="s">
        <v>2149</v>
      </c>
    </row>
    <row r="53" spans="1:8" x14ac:dyDescent="0.25">
      <c r="A53" t="s">
        <v>3020</v>
      </c>
      <c r="B53" s="11">
        <f t="shared" ref="B53:H53" ca="1" si="1">$E$19*$D31*B42/2000</f>
        <v>0.10918239675883354</v>
      </c>
      <c r="C53" s="11">
        <f t="shared" ca="1" si="1"/>
        <v>1.2396254653841367E-3</v>
      </c>
      <c r="D53" s="11">
        <f t="shared" ca="1" si="1"/>
        <v>1.9071161005909792E-4</v>
      </c>
      <c r="E53" s="11">
        <f t="shared" ca="1" si="1"/>
        <v>1.6496554270111971E-2</v>
      </c>
      <c r="F53" s="11">
        <f t="shared" ca="1" si="1"/>
        <v>1.6496554270111971E-2</v>
      </c>
      <c r="G53" s="11">
        <f t="shared" ca="1" si="1"/>
        <v>8.5820224526594088E-4</v>
      </c>
      <c r="H53" s="11">
        <f t="shared" ca="1" si="1"/>
        <v>0.12043438175232032</v>
      </c>
    </row>
    <row r="54" spans="1:8" x14ac:dyDescent="0.25">
      <c r="A54" t="s">
        <v>3191</v>
      </c>
      <c r="B54" s="11">
        <f t="shared" ref="B54:H54" ca="1" si="2">$E$20*$D32*B43/2000</f>
        <v>0</v>
      </c>
      <c r="C54" s="11">
        <f t="shared" ca="1" si="2"/>
        <v>0</v>
      </c>
      <c r="D54" s="11">
        <f t="shared" ca="1" si="2"/>
        <v>0</v>
      </c>
      <c r="E54" s="11">
        <f t="shared" ca="1" si="2"/>
        <v>0</v>
      </c>
      <c r="F54" s="11">
        <f t="shared" ca="1" si="2"/>
        <v>0</v>
      </c>
      <c r="G54" s="11">
        <f t="shared" ca="1" si="2"/>
        <v>0</v>
      </c>
      <c r="H54" s="11">
        <f t="shared" ca="1" si="2"/>
        <v>0</v>
      </c>
    </row>
    <row r="55" spans="1:8" x14ac:dyDescent="0.25">
      <c r="A55" t="s">
        <v>3386</v>
      </c>
      <c r="B55" s="11">
        <f t="shared" ref="B55:H55" ca="1" si="3">$F$20*$D33*B44/2000</f>
        <v>2.5065203964798051E-3</v>
      </c>
      <c r="C55" s="11">
        <f t="shared" ca="1" si="3"/>
        <v>3.1069550972671195E-4</v>
      </c>
      <c r="D55" s="11">
        <f t="shared" ca="1" si="3"/>
        <v>7.6375073636491571E-5</v>
      </c>
      <c r="E55" s="11">
        <f t="shared" ca="1" si="3"/>
        <v>1.6125067441641002E-3</v>
      </c>
      <c r="F55" s="11">
        <f t="shared" ca="1" si="3"/>
        <v>1.6125067441641002E-3</v>
      </c>
      <c r="G55" s="11">
        <f t="shared" ca="1" si="3"/>
        <v>5.3515742757754477E-5</v>
      </c>
      <c r="H55" s="11">
        <f t="shared" ca="1" si="3"/>
        <v>2.3647678129044652E-2</v>
      </c>
    </row>
    <row r="56" spans="1:8" x14ac:dyDescent="0.25">
      <c r="A56" t="s">
        <v>3204</v>
      </c>
      <c r="B56" s="11">
        <f t="shared" ref="B56:H56" ca="1" si="4">$E$21*$D34*B45/2000</f>
        <v>5.4220849020143298E-2</v>
      </c>
      <c r="C56" s="11">
        <f t="shared" ca="1" si="4"/>
        <v>1.485592574996667E-3</v>
      </c>
      <c r="D56" s="11">
        <f t="shared" ca="1" si="4"/>
        <v>4.0921395486900609E-4</v>
      </c>
      <c r="E56" s="11">
        <f t="shared" ca="1" si="4"/>
        <v>1.2421719662310383E-2</v>
      </c>
      <c r="F56" s="11">
        <f t="shared" ca="1" si="4"/>
        <v>1.2421719662310383E-2</v>
      </c>
      <c r="G56" s="11">
        <f t="shared" ca="1" si="4"/>
        <v>4.0617405297789641E-4</v>
      </c>
      <c r="H56" s="11">
        <f t="shared" ca="1" si="4"/>
        <v>0.12396179375882224</v>
      </c>
    </row>
    <row r="57" spans="1:8" x14ac:dyDescent="0.25">
      <c r="A57" t="s">
        <v>3387</v>
      </c>
      <c r="B57" s="11">
        <f t="shared" ref="B57:H57" ca="1" si="5">$F$21*$D35*B46/2000</f>
        <v>4.5124473425893069E-2</v>
      </c>
      <c r="C57" s="11">
        <f t="shared" ca="1" si="5"/>
        <v>5.5934000345248241E-3</v>
      </c>
      <c r="D57" s="11">
        <f t="shared" ca="1" si="5"/>
        <v>1.3749678580516024E-3</v>
      </c>
      <c r="E57" s="11">
        <f t="shared" ca="1" si="5"/>
        <v>2.9029693047100867E-2</v>
      </c>
      <c r="F57" s="11">
        <f t="shared" ca="1" si="5"/>
        <v>2.9029693047100867E-2</v>
      </c>
      <c r="G57" s="11">
        <f t="shared" ca="1" si="5"/>
        <v>9.6343509325944477E-4</v>
      </c>
      <c r="H57" s="11">
        <f t="shared" ca="1" si="5"/>
        <v>0.42572525035774061</v>
      </c>
    </row>
    <row r="58" spans="1:8" x14ac:dyDescent="0.25">
      <c r="A58" t="s">
        <v>3179</v>
      </c>
      <c r="B58" s="11">
        <f t="shared" ref="B58:H58" ca="1" si="6">$E$22*$D36*B47/2000</f>
        <v>3.0989593879233203E-2</v>
      </c>
      <c r="C58" s="11">
        <f t="shared" ca="1" si="6"/>
        <v>8.6297460859526855E-4</v>
      </c>
      <c r="D58" s="11">
        <f t="shared" ca="1" si="6"/>
        <v>2.3388372739043922E-4</v>
      </c>
      <c r="E58" s="11">
        <f t="shared" ca="1" si="6"/>
        <v>6.458693679064857E-3</v>
      </c>
      <c r="F58" s="11">
        <f t="shared" ca="1" si="6"/>
        <v>6.458693679064857E-3</v>
      </c>
      <c r="G58" s="11">
        <f t="shared" ca="1" si="6"/>
        <v>1.5980331227249972E-4</v>
      </c>
      <c r="H58" s="11">
        <f t="shared" ca="1" si="6"/>
        <v>3.2334006079495055E-2</v>
      </c>
    </row>
    <row r="59" spans="1:8" x14ac:dyDescent="0.25">
      <c r="A59" s="9" t="s">
        <v>3180</v>
      </c>
      <c r="B59" s="514">
        <f t="shared" ref="B59:H59" ca="1" si="7">$F$22*$D37*B48/2000</f>
        <v>1.7586489037670274E-3</v>
      </c>
      <c r="C59" s="514">
        <f t="shared" ca="1" si="7"/>
        <v>2.5325165697653336E-4</v>
      </c>
      <c r="D59" s="514">
        <f t="shared" ca="1" si="7"/>
        <v>4.6897304100454049E-5</v>
      </c>
      <c r="E59" s="514">
        <f t="shared" ca="1" si="7"/>
        <v>6.0577220732622029E-4</v>
      </c>
      <c r="F59" s="514">
        <f t="shared" ca="1" si="7"/>
        <v>6.0577220732622029E-4</v>
      </c>
      <c r="G59" s="514">
        <f t="shared" ca="1" si="7"/>
        <v>1.4723105876853411E-5</v>
      </c>
      <c r="H59" s="514">
        <f t="shared" ca="1" si="7"/>
        <v>9.5736391552332621E-3</v>
      </c>
    </row>
    <row r="60" spans="1:8" x14ac:dyDescent="0.25">
      <c r="A60" s="241" t="s">
        <v>2515</v>
      </c>
      <c r="B60" s="607">
        <f ca="1">SUM(B53:B59)</f>
        <v>0.24378248238434994</v>
      </c>
      <c r="C60" s="607">
        <f t="shared" ref="C60:H60" ca="1" si="8">SUM(C53:C59)</f>
        <v>9.7455398502041407E-3</v>
      </c>
      <c r="D60" s="607">
        <f t="shared" ca="1" si="8"/>
        <v>2.3320495281070916E-3</v>
      </c>
      <c r="E60" s="607">
        <f t="shared" ca="1" si="8"/>
        <v>6.6624939610078399E-2</v>
      </c>
      <c r="F60" s="607">
        <f t="shared" ca="1" si="8"/>
        <v>6.6624939610078399E-2</v>
      </c>
      <c r="G60" s="607">
        <f t="shared" ca="1" si="8"/>
        <v>2.4558535524103892E-3</v>
      </c>
      <c r="H60" s="607">
        <f t="shared" ca="1" si="8"/>
        <v>0.73567674923265625</v>
      </c>
    </row>
    <row r="61" spans="1:8" ht="15.75" thickBot="1" x14ac:dyDescent="0.3"/>
    <row r="62" spans="1:8" ht="16.5" thickBot="1" x14ac:dyDescent="0.3">
      <c r="A62" s="919" t="s">
        <v>2792</v>
      </c>
      <c r="B62" s="920"/>
      <c r="C62" s="921"/>
      <c r="H62" s="411"/>
    </row>
    <row r="63" spans="1:8" ht="15.75" x14ac:dyDescent="0.25">
      <c r="A63" s="627"/>
      <c r="B63" s="627"/>
      <c r="C63" s="627"/>
      <c r="E63" s="1"/>
      <c r="H63" s="411"/>
    </row>
    <row r="64" spans="1:8" ht="15.75" x14ac:dyDescent="0.25">
      <c r="A64" s="627"/>
      <c r="B64" s="627"/>
      <c r="C64" s="1" t="s">
        <v>3255</v>
      </c>
      <c r="D64" s="917" t="s">
        <v>3391</v>
      </c>
      <c r="E64" s="917"/>
      <c r="F64" t="s">
        <v>3379</v>
      </c>
      <c r="H64" s="411"/>
    </row>
    <row r="65" spans="1:16" x14ac:dyDescent="0.25">
      <c r="A65" s="1" t="s">
        <v>3026</v>
      </c>
      <c r="B65" t="s">
        <v>2140</v>
      </c>
      <c r="C65" s="1" t="s">
        <v>3390</v>
      </c>
      <c r="D65" s="917" t="s">
        <v>4178</v>
      </c>
      <c r="E65" s="917"/>
      <c r="F65" s="6" t="s">
        <v>4179</v>
      </c>
      <c r="H65" s="411"/>
    </row>
    <row r="66" spans="1:16" x14ac:dyDescent="0.25">
      <c r="A66" s="701" t="s">
        <v>3211</v>
      </c>
      <c r="B66" s="701" t="s">
        <v>3402</v>
      </c>
      <c r="C66" s="665" t="s">
        <v>2793</v>
      </c>
      <c r="D66" s="665" t="s">
        <v>3392</v>
      </c>
      <c r="E66" s="40" t="s">
        <v>3393</v>
      </c>
      <c r="F66" s="665" t="s">
        <v>3394</v>
      </c>
      <c r="H66" s="411"/>
    </row>
    <row r="67" spans="1:16" x14ac:dyDescent="0.25">
      <c r="A67" s="1" t="s">
        <v>3210</v>
      </c>
      <c r="B67" s="710">
        <f>'EFs-BTU'!$D$54/'EFs-BTU'!$D$37</f>
        <v>11.571428571428571</v>
      </c>
      <c r="C67">
        <f>E19</f>
        <v>21</v>
      </c>
      <c r="D67" s="43">
        <f ca="1">D31*C67</f>
        <v>15.316264156192393</v>
      </c>
      <c r="E67" s="43">
        <f ca="1">D67/B67</f>
        <v>1.3236277665845277</v>
      </c>
      <c r="F67" s="700">
        <f t="shared" ref="F67:F73" ca="1" si="9">IFERROR(E67/C67,"--")</f>
        <v>6.3029893646882273E-2</v>
      </c>
      <c r="H67" s="411"/>
    </row>
    <row r="68" spans="1:16" x14ac:dyDescent="0.25">
      <c r="A68" s="1" t="s">
        <v>3207</v>
      </c>
      <c r="B68" s="43">
        <f>'EFs-BTU'!$D$54/'EFs-BTU'!$D$38</f>
        <v>2.0249999999999999</v>
      </c>
      <c r="C68">
        <f>E20</f>
        <v>0</v>
      </c>
      <c r="D68" s="43">
        <f t="shared" ref="D68:D73" ca="1" si="10">D32*C68</f>
        <v>0</v>
      </c>
      <c r="E68" s="43">
        <f t="shared" ref="E68:E73" ca="1" si="11">D68/B68</f>
        <v>0</v>
      </c>
      <c r="F68" s="700" t="str">
        <f t="shared" ca="1" si="9"/>
        <v>--</v>
      </c>
      <c r="H68" s="411"/>
    </row>
    <row r="69" spans="1:16" x14ac:dyDescent="0.25">
      <c r="A69" s="1" t="s">
        <v>3365</v>
      </c>
      <c r="B69" s="43">
        <f>'EFs-BTU'!$D$54/AVERAGE('EFs-BTU'!$D$39:$D$40)</f>
        <v>1.1911764705882355</v>
      </c>
      <c r="C69">
        <f>F20</f>
        <v>20</v>
      </c>
      <c r="D69" s="43">
        <f t="shared" ca="1" si="10"/>
        <v>6.1327831665579176</v>
      </c>
      <c r="E69" s="43">
        <f t="shared" ca="1" si="11"/>
        <v>5.1485093250115845</v>
      </c>
      <c r="F69" s="700">
        <f t="shared" ca="1" si="9"/>
        <v>0.25742546625057922</v>
      </c>
      <c r="H69" s="411"/>
    </row>
    <row r="70" spans="1:16" x14ac:dyDescent="0.25">
      <c r="A70" s="1" t="s">
        <v>3208</v>
      </c>
      <c r="B70" s="43">
        <f>'EFs-BTU'!$D$54/'EFs-BTU'!$D$41</f>
        <v>1.5</v>
      </c>
      <c r="C70">
        <f>E21</f>
        <v>66</v>
      </c>
      <c r="D70" s="43">
        <f t="shared" ca="1" si="10"/>
        <v>32.859155932023207</v>
      </c>
      <c r="E70" s="43">
        <f t="shared" ca="1" si="11"/>
        <v>21.906103954682138</v>
      </c>
      <c r="F70" s="700">
        <f t="shared" ca="1" si="9"/>
        <v>0.33191066598003238</v>
      </c>
      <c r="H70" s="411"/>
    </row>
    <row r="71" spans="1:16" x14ac:dyDescent="0.25">
      <c r="A71" s="1" t="s">
        <v>3366</v>
      </c>
      <c r="B71" s="43">
        <f>'EFs-BTU'!$D$54/AVERAGE('EFs-BTU'!$D$42:$D$43)</f>
        <v>1.1571428571428573</v>
      </c>
      <c r="C71">
        <f>F21</f>
        <v>261</v>
      </c>
      <c r="D71" s="43">
        <f t="shared" ca="1" si="10"/>
        <v>110.40748418196117</v>
      </c>
      <c r="E71" s="43">
        <f t="shared" ca="1" si="11"/>
        <v>95.413875218978774</v>
      </c>
      <c r="F71" s="700">
        <f t="shared" ca="1" si="9"/>
        <v>0.36557040313784972</v>
      </c>
      <c r="H71" s="411"/>
    </row>
    <row r="72" spans="1:16" x14ac:dyDescent="0.25">
      <c r="A72" s="1" t="s">
        <v>3209</v>
      </c>
      <c r="B72" s="43">
        <f>'EFs-BTU'!$D$54/'EFs-BTU'!$D$46</f>
        <v>1.8837209302325584</v>
      </c>
      <c r="C72">
        <f>E22</f>
        <v>10</v>
      </c>
      <c r="D72" s="43">
        <f t="shared" ca="1" si="10"/>
        <v>14.823455584471199</v>
      </c>
      <c r="E72" s="43">
        <f t="shared" ca="1" si="11"/>
        <v>7.8692418534847102</v>
      </c>
      <c r="F72" s="700">
        <f t="shared" ca="1" si="9"/>
        <v>0.78692418534847097</v>
      </c>
      <c r="H72" s="411"/>
    </row>
    <row r="73" spans="1:16" x14ac:dyDescent="0.25">
      <c r="A73" s="1" t="s">
        <v>3367</v>
      </c>
      <c r="B73" s="43">
        <f>'EFs-BTU'!$D$54/'EFs-BTU'!$D$49</f>
        <v>1.8837209302325584</v>
      </c>
      <c r="C73" s="9">
        <f>F22</f>
        <v>2</v>
      </c>
      <c r="D73" s="513">
        <f t="shared" ca="1" si="10"/>
        <v>2.9723320733810805</v>
      </c>
      <c r="E73" s="513">
        <f t="shared" ca="1" si="11"/>
        <v>1.5779046809306969</v>
      </c>
      <c r="F73" s="700">
        <f t="shared" ca="1" si="9"/>
        <v>0.78895234046534846</v>
      </c>
      <c r="H73" s="411"/>
    </row>
    <row r="74" spans="1:16" ht="15.75" x14ac:dyDescent="0.25">
      <c r="A74" s="627"/>
      <c r="B74" t="s">
        <v>2462</v>
      </c>
      <c r="C74" s="1">
        <f>SUM(C67:C73)</f>
        <v>380</v>
      </c>
      <c r="D74" s="708">
        <f ca="1">SUM(D67:D73)</f>
        <v>182.51147509458696</v>
      </c>
      <c r="E74" s="708">
        <f ca="1">SUM(E67:E73)</f>
        <v>133.23926279967242</v>
      </c>
      <c r="H74" s="411"/>
      <c r="M74" s="1"/>
    </row>
    <row r="75" spans="1:16" ht="15.75" x14ac:dyDescent="0.25">
      <c r="A75" s="627"/>
      <c r="B75" t="s">
        <v>2559</v>
      </c>
      <c r="C75" s="1"/>
      <c r="D75" s="708"/>
      <c r="E75" s="700">
        <f ca="1">E74/C74</f>
        <v>0.35062963894650634</v>
      </c>
      <c r="F75" t="s">
        <v>4180</v>
      </c>
      <c r="H75" s="411"/>
      <c r="M75" s="1"/>
    </row>
    <row r="76" spans="1:16" ht="15.75" x14ac:dyDescent="0.25">
      <c r="A76" s="627"/>
      <c r="B76" s="627"/>
      <c r="C76" s="627"/>
      <c r="H76" s="411"/>
      <c r="J76" s="917"/>
      <c r="K76" s="917"/>
      <c r="M76" s="1"/>
    </row>
    <row r="77" spans="1:16" x14ac:dyDescent="0.25">
      <c r="B77" s="917" t="str">
        <f>$B$4&amp;" With Control Emissions in Affected Residences (tons/episodic day)"</f>
        <v>2019 With Control Emissions in Affected Residences (tons/episodic day)</v>
      </c>
      <c r="C77" s="917"/>
      <c r="D77" s="917"/>
      <c r="E77" s="917"/>
      <c r="F77" s="917"/>
      <c r="G77" s="917"/>
      <c r="H77" s="917"/>
      <c r="J77" s="917"/>
      <c r="K77" s="917"/>
      <c r="L77" s="1"/>
      <c r="M77" s="1"/>
    </row>
    <row r="78" spans="1:16" x14ac:dyDescent="0.25">
      <c r="A78" s="9" t="s">
        <v>3018</v>
      </c>
      <c r="B78" s="44" t="s">
        <v>2143</v>
      </c>
      <c r="C78" s="44" t="s">
        <v>2144</v>
      </c>
      <c r="D78" s="44" t="s">
        <v>2145</v>
      </c>
      <c r="E78" s="44" t="s">
        <v>2146</v>
      </c>
      <c r="F78" s="500" t="s">
        <v>2147</v>
      </c>
      <c r="G78" s="44" t="s">
        <v>2148</v>
      </c>
      <c r="H78" s="44" t="s">
        <v>2149</v>
      </c>
      <c r="J78" s="665"/>
      <c r="K78" s="665"/>
      <c r="L78" s="665"/>
      <c r="M78" s="665"/>
      <c r="N78" s="113"/>
    </row>
    <row r="79" spans="1:16" x14ac:dyDescent="0.25">
      <c r="A79" t="s">
        <v>3206</v>
      </c>
      <c r="B79" s="11">
        <f ca="1">$E67*B$49/2000</f>
        <v>3.5159151693264676E-6</v>
      </c>
      <c r="C79" s="11">
        <f t="shared" ref="C79:H79" ca="1" si="12">$E67*C$49/2000</f>
        <v>5.508797545187161E-5</v>
      </c>
      <c r="D79" s="11">
        <f t="shared" ca="1" si="12"/>
        <v>1.4252316317906621E-4</v>
      </c>
      <c r="E79" s="11">
        <f t="shared" ca="1" si="12"/>
        <v>2.2515521301854892E-6</v>
      </c>
      <c r="F79" s="11">
        <f t="shared" ca="1" si="12"/>
        <v>2.2515521301854892E-6</v>
      </c>
      <c r="G79" s="11">
        <f t="shared" ca="1" si="12"/>
        <v>1.2079577178445149E-7</v>
      </c>
      <c r="H79" s="11">
        <f t="shared" ca="1" si="12"/>
        <v>2.2083973810236001E-6</v>
      </c>
      <c r="J79" s="499"/>
      <c r="K79" s="499"/>
      <c r="L79" s="499"/>
      <c r="M79" s="714"/>
      <c r="N79" s="715"/>
      <c r="O79" s="715"/>
      <c r="P79" s="499"/>
    </row>
    <row r="80" spans="1:16" x14ac:dyDescent="0.25">
      <c r="A80" t="s">
        <v>3368</v>
      </c>
      <c r="B80" s="11">
        <f t="shared" ref="B80:H80" ca="1" si="13">$E68*B$49/2000</f>
        <v>0</v>
      </c>
      <c r="C80" s="11">
        <f t="shared" ca="1" si="13"/>
        <v>0</v>
      </c>
      <c r="D80" s="11">
        <f t="shared" ca="1" si="13"/>
        <v>0</v>
      </c>
      <c r="E80" s="11">
        <f t="shared" ca="1" si="13"/>
        <v>0</v>
      </c>
      <c r="F80" s="11">
        <f t="shared" ca="1" si="13"/>
        <v>0</v>
      </c>
      <c r="G80" s="11">
        <f t="shared" ca="1" si="13"/>
        <v>0</v>
      </c>
      <c r="H80" s="11">
        <f t="shared" ca="1" si="13"/>
        <v>0</v>
      </c>
      <c r="J80" s="11"/>
      <c r="K80" s="11"/>
      <c r="M80" s="4"/>
      <c r="N80" s="113"/>
    </row>
    <row r="81" spans="1:14" x14ac:dyDescent="0.25">
      <c r="A81" t="s">
        <v>3369</v>
      </c>
      <c r="B81" s="11">
        <f t="shared" ref="B81:H81" ca="1" si="14">$E69*B$49/2000</f>
        <v>1.3675840362533688E-5</v>
      </c>
      <c r="C81" s="11">
        <f t="shared" ca="1" si="14"/>
        <v>2.142754651043791E-4</v>
      </c>
      <c r="D81" s="11">
        <f t="shared" ca="1" si="14"/>
        <v>5.5437174497405066E-4</v>
      </c>
      <c r="E81" s="11">
        <f t="shared" ca="1" si="14"/>
        <v>8.7578527971817108E-6</v>
      </c>
      <c r="F81" s="11">
        <f t="shared" ca="1" si="14"/>
        <v>8.7578527971817108E-6</v>
      </c>
      <c r="G81" s="11">
        <f t="shared" ca="1" si="14"/>
        <v>4.6985880256879877E-7</v>
      </c>
      <c r="H81" s="11">
        <f t="shared" ca="1" si="14"/>
        <v>8.5899939519023922E-6</v>
      </c>
      <c r="J81" s="11"/>
      <c r="K81" s="11"/>
      <c r="M81" s="4"/>
      <c r="N81" s="113"/>
    </row>
    <row r="82" spans="1:14" x14ac:dyDescent="0.25">
      <c r="A82" t="s">
        <v>3370</v>
      </c>
      <c r="B82" s="11">
        <f t="shared" ref="B82:H82" ca="1" si="15">$E70*B$49/2000</f>
        <v>5.8188567163297642E-5</v>
      </c>
      <c r="C82" s="11">
        <f t="shared" ca="1" si="15"/>
        <v>9.117086747247625E-4</v>
      </c>
      <c r="D82" s="11">
        <f t="shared" ca="1" si="15"/>
        <v>2.3587652868653905E-3</v>
      </c>
      <c r="E82" s="11">
        <f t="shared" ca="1" si="15"/>
        <v>3.7263297332074779E-5</v>
      </c>
      <c r="F82" s="11">
        <f t="shared" ca="1" si="15"/>
        <v>3.7263297332074779E-5</v>
      </c>
      <c r="G82" s="11">
        <f t="shared" ca="1" si="15"/>
        <v>1.9991759018658117E-6</v>
      </c>
      <c r="H82" s="11">
        <f t="shared" ca="1" si="15"/>
        <v>3.6549084133210007E-5</v>
      </c>
      <c r="J82" s="11"/>
      <c r="K82" s="11"/>
      <c r="M82" s="4"/>
      <c r="N82" s="113"/>
    </row>
    <row r="83" spans="1:14" x14ac:dyDescent="0.25">
      <c r="A83" t="s">
        <v>3371</v>
      </c>
      <c r="B83" s="11">
        <f t="shared" ref="B83:H83" ca="1" si="16">$E71*B$49/2000</f>
        <v>2.5344519034400833E-4</v>
      </c>
      <c r="C83" s="11">
        <f t="shared" ca="1" si="16"/>
        <v>3.9710236884754726E-3</v>
      </c>
      <c r="D83" s="11">
        <f t="shared" ca="1" si="16"/>
        <v>1.0273800271258628E-2</v>
      </c>
      <c r="E83" s="11">
        <f t="shared" ca="1" si="16"/>
        <v>1.6230342050989677E-4</v>
      </c>
      <c r="F83" s="11">
        <f t="shared" ca="1" si="16"/>
        <v>1.6230342050989677E-4</v>
      </c>
      <c r="G83" s="11">
        <f t="shared" ca="1" si="16"/>
        <v>8.707578510355961E-6</v>
      </c>
      <c r="H83" s="11">
        <f t="shared" ca="1" si="16"/>
        <v>1.5919260495012372E-4</v>
      </c>
      <c r="J83" s="11"/>
      <c r="K83" s="11"/>
      <c r="M83" s="4"/>
      <c r="N83" s="113"/>
    </row>
    <row r="84" spans="1:14" x14ac:dyDescent="0.25">
      <c r="A84" t="s">
        <v>3372</v>
      </c>
      <c r="B84" s="11">
        <f t="shared" ref="B84:H84" ca="1" si="17">$E72*B$49/2000</f>
        <v>2.0902845575050687E-5</v>
      </c>
      <c r="C84" s="11">
        <f t="shared" ca="1" si="17"/>
        <v>3.2750945015924362E-4</v>
      </c>
      <c r="D84" s="11">
        <f t="shared" ca="1" si="17"/>
        <v>8.4732979247917274E-4</v>
      </c>
      <c r="E84" s="11">
        <f t="shared" ca="1" si="17"/>
        <v>1.3385944829396885E-5</v>
      </c>
      <c r="F84" s="11">
        <f t="shared" ca="1" si="17"/>
        <v>1.3385944829396885E-5</v>
      </c>
      <c r="G84" s="11">
        <f t="shared" ca="1" si="17"/>
        <v>7.1815594009714272E-7</v>
      </c>
      <c r="H84" s="11">
        <f t="shared" ca="1" si="17"/>
        <v>1.3129380886833442E-5</v>
      </c>
      <c r="J84" s="11"/>
      <c r="K84" s="11"/>
      <c r="M84" s="4"/>
      <c r="N84" s="113"/>
    </row>
    <row r="85" spans="1:14" x14ac:dyDescent="0.25">
      <c r="A85" t="s">
        <v>3373</v>
      </c>
      <c r="B85" s="11">
        <f t="shared" ref="B85:H85" ca="1" si="18">$E73*B$49/2000</f>
        <v>4.1913437776776889E-6</v>
      </c>
      <c r="C85" s="11">
        <f t="shared" ca="1" si="18"/>
        <v>6.5670709336054507E-5</v>
      </c>
      <c r="D85" s="11">
        <f t="shared" ca="1" si="18"/>
        <v>1.6990272643010215E-4</v>
      </c>
      <c r="E85" s="11">
        <f t="shared" ca="1" si="18"/>
        <v>2.6840889374409216E-6</v>
      </c>
      <c r="F85" s="11">
        <f t="shared" ca="1" si="18"/>
        <v>2.6840889374409216E-6</v>
      </c>
      <c r="G85" s="11">
        <f t="shared" ca="1" si="18"/>
        <v>1.4400137149370542E-7</v>
      </c>
      <c r="H85" s="11">
        <f t="shared" ca="1" si="18"/>
        <v>2.6326438994733031E-6</v>
      </c>
      <c r="J85" s="11"/>
      <c r="K85" s="11"/>
      <c r="M85" s="4"/>
      <c r="N85" s="113"/>
    </row>
    <row r="86" spans="1:14" x14ac:dyDescent="0.25">
      <c r="A86" s="241" t="s">
        <v>2515</v>
      </c>
      <c r="B86" s="607">
        <f ca="1">SUM(B79:B85)</f>
        <v>3.539197023918945E-4</v>
      </c>
      <c r="C86" s="607">
        <f t="shared" ref="C86:H86" ca="1" si="19">SUM(C79:C85)</f>
        <v>5.5452759632517836E-3</v>
      </c>
      <c r="D86" s="607">
        <f t="shared" ca="1" si="19"/>
        <v>1.4346692985186411E-2</v>
      </c>
      <c r="E86" s="607">
        <f t="shared" ca="1" si="19"/>
        <v>2.2664615653617654E-4</v>
      </c>
      <c r="F86" s="607">
        <f t="shared" ca="1" si="19"/>
        <v>2.2664615653617654E-4</v>
      </c>
      <c r="G86" s="607">
        <f t="shared" ca="1" si="19"/>
        <v>1.2159566298165872E-5</v>
      </c>
      <c r="H86" s="607">
        <f t="shared" ca="1" si="19"/>
        <v>2.2230210520256645E-4</v>
      </c>
      <c r="M86" s="43"/>
    </row>
    <row r="87" spans="1:14" x14ac:dyDescent="0.25">
      <c r="M87" s="43"/>
    </row>
    <row r="89" spans="1:14" ht="15.75" x14ac:dyDescent="0.25">
      <c r="A89" s="424" t="s">
        <v>3181</v>
      </c>
    </row>
    <row r="90" spans="1:14" ht="15.75" x14ac:dyDescent="0.25">
      <c r="A90" s="424"/>
    </row>
    <row r="91" spans="1:14" ht="15.75" x14ac:dyDescent="0.25">
      <c r="A91" s="424"/>
      <c r="B91" s="917" t="s">
        <v>4174</v>
      </c>
      <c r="C91" s="917"/>
      <c r="D91" s="917"/>
      <c r="E91" s="917"/>
      <c r="F91" s="917"/>
      <c r="G91" s="917"/>
      <c r="H91" s="917"/>
      <c r="I91" s="2" t="s">
        <v>3188</v>
      </c>
    </row>
    <row r="92" spans="1:14" x14ac:dyDescent="0.25">
      <c r="A92" s="44" t="s">
        <v>3182</v>
      </c>
      <c r="B92" s="44" t="s">
        <v>2143</v>
      </c>
      <c r="C92" s="44" t="s">
        <v>2144</v>
      </c>
      <c r="D92" s="44" t="s">
        <v>2145</v>
      </c>
      <c r="E92" s="44" t="s">
        <v>2146</v>
      </c>
      <c r="F92" s="610" t="s">
        <v>2147</v>
      </c>
      <c r="G92" s="44" t="s">
        <v>2148</v>
      </c>
      <c r="H92" s="44" t="s">
        <v>2149</v>
      </c>
      <c r="I92" s="44" t="s">
        <v>21</v>
      </c>
      <c r="N92" s="413" t="s">
        <v>3244</v>
      </c>
    </row>
    <row r="93" spans="1:14" x14ac:dyDescent="0.25">
      <c r="A93" s="2">
        <f>$B$4+I93-1</f>
        <v>2019</v>
      </c>
      <c r="B93" s="608">
        <f t="shared" ref="B93:H99" ca="1" si="20">(B$60-B$86)*$I93*Ep2Ann*365</f>
        <v>42.87863207008435</v>
      </c>
      <c r="C93" s="608">
        <f t="shared" ca="1" si="20"/>
        <v>0.73985389315713568</v>
      </c>
      <c r="D93" s="608">
        <f t="shared" ca="1" si="20"/>
        <v>-2.1163148258917639</v>
      </c>
      <c r="E93" s="608">
        <f t="shared" ca="1" si="20"/>
        <v>11.69570227794366</v>
      </c>
      <c r="F93" s="611">
        <f t="shared" ca="1" si="20"/>
        <v>11.69570227794366</v>
      </c>
      <c r="G93" s="608">
        <f t="shared" ca="1" si="20"/>
        <v>0.4304435525887032</v>
      </c>
      <c r="H93" s="608">
        <f t="shared" ca="1" si="20"/>
        <v>129.54634532302836</v>
      </c>
      <c r="I93" s="2">
        <v>1</v>
      </c>
      <c r="N93" s="413" t="s">
        <v>3021</v>
      </c>
    </row>
    <row r="94" spans="1:14" x14ac:dyDescent="0.25">
      <c r="A94" s="2">
        <f t="shared" ref="A94:A99" si="21">$B$4+I94-1</f>
        <v>2020</v>
      </c>
      <c r="B94" s="608">
        <f t="shared" ca="1" si="20"/>
        <v>85.757264140168701</v>
      </c>
      <c r="C94" s="608">
        <f t="shared" ca="1" si="20"/>
        <v>1.4797077863142714</v>
      </c>
      <c r="D94" s="608">
        <f t="shared" ca="1" si="20"/>
        <v>-4.2326296517835278</v>
      </c>
      <c r="E94" s="608">
        <f t="shared" ca="1" si="20"/>
        <v>23.39140455588732</v>
      </c>
      <c r="F94" s="611">
        <f t="shared" ca="1" si="20"/>
        <v>23.39140455588732</v>
      </c>
      <c r="G94" s="608">
        <f t="shared" ca="1" si="20"/>
        <v>0.86088710517740641</v>
      </c>
      <c r="H94" s="608">
        <f t="shared" ca="1" si="20"/>
        <v>259.09269064605672</v>
      </c>
      <c r="I94" s="2">
        <v>2</v>
      </c>
      <c r="N94" s="413" t="s">
        <v>3022</v>
      </c>
    </row>
    <row r="95" spans="1:14" x14ac:dyDescent="0.25">
      <c r="A95" s="2">
        <f t="shared" si="21"/>
        <v>2021</v>
      </c>
      <c r="B95" s="608">
        <f t="shared" ca="1" si="20"/>
        <v>128.63589621025307</v>
      </c>
      <c r="C95" s="608">
        <f t="shared" ca="1" si="20"/>
        <v>2.2195616794714068</v>
      </c>
      <c r="D95" s="608">
        <f t="shared" ca="1" si="20"/>
        <v>-6.3489444776752926</v>
      </c>
      <c r="E95" s="608">
        <f t="shared" ca="1" si="20"/>
        <v>35.08710683383098</v>
      </c>
      <c r="F95" s="611">
        <f t="shared" ca="1" si="20"/>
        <v>35.08710683383098</v>
      </c>
      <c r="G95" s="608">
        <f t="shared" ca="1" si="20"/>
        <v>1.2913306577661097</v>
      </c>
      <c r="H95" s="608">
        <f t="shared" ca="1" si="20"/>
        <v>388.63903596908511</v>
      </c>
      <c r="I95" s="2">
        <v>3</v>
      </c>
      <c r="N95" s="413" t="s">
        <v>3023</v>
      </c>
    </row>
    <row r="96" spans="1:14" x14ac:dyDescent="0.25">
      <c r="A96" s="2">
        <f t="shared" si="21"/>
        <v>2022</v>
      </c>
      <c r="B96" s="608">
        <f t="shared" ca="1" si="20"/>
        <v>171.5145282803374</v>
      </c>
      <c r="C96" s="608">
        <f t="shared" ca="1" si="20"/>
        <v>2.9594155726285427</v>
      </c>
      <c r="D96" s="608">
        <f t="shared" ca="1" si="20"/>
        <v>-8.4652593035670556</v>
      </c>
      <c r="E96" s="608">
        <f t="shared" ca="1" si="20"/>
        <v>46.78280911177464</v>
      </c>
      <c r="F96" s="611">
        <f t="shared" ca="1" si="20"/>
        <v>46.78280911177464</v>
      </c>
      <c r="G96" s="608">
        <f t="shared" ca="1" si="20"/>
        <v>1.7217742103548128</v>
      </c>
      <c r="H96" s="608">
        <f t="shared" ca="1" si="20"/>
        <v>518.18538129211345</v>
      </c>
      <c r="I96" s="2">
        <v>4</v>
      </c>
      <c r="N96" s="413" t="s">
        <v>3024</v>
      </c>
    </row>
    <row r="97" spans="1:23" x14ac:dyDescent="0.25">
      <c r="A97" s="2">
        <f t="shared" si="21"/>
        <v>2023</v>
      </c>
      <c r="B97" s="608">
        <f t="shared" ca="1" si="20"/>
        <v>214.39316035042174</v>
      </c>
      <c r="C97" s="608">
        <f t="shared" ca="1" si="20"/>
        <v>3.6992694657856786</v>
      </c>
      <c r="D97" s="608">
        <f t="shared" ca="1" si="20"/>
        <v>-10.58157412945882</v>
      </c>
      <c r="E97" s="608">
        <f t="shared" ca="1" si="20"/>
        <v>58.478511389718292</v>
      </c>
      <c r="F97" s="611">
        <f t="shared" ca="1" si="20"/>
        <v>58.478511389718292</v>
      </c>
      <c r="G97" s="608">
        <f t="shared" ca="1" si="20"/>
        <v>2.1522177629435162</v>
      </c>
      <c r="H97" s="608">
        <f t="shared" ca="1" si="20"/>
        <v>647.73172661514184</v>
      </c>
      <c r="I97" s="2">
        <v>5</v>
      </c>
    </row>
    <row r="98" spans="1:23" x14ac:dyDescent="0.25">
      <c r="A98" s="2">
        <f t="shared" si="21"/>
        <v>2024</v>
      </c>
      <c r="B98" s="608">
        <f t="shared" ca="1" si="20"/>
        <v>257.27179242050613</v>
      </c>
      <c r="C98" s="608">
        <f t="shared" ca="1" si="20"/>
        <v>4.4391233589428136</v>
      </c>
      <c r="D98" s="608">
        <f t="shared" ca="1" si="20"/>
        <v>-12.697888955350585</v>
      </c>
      <c r="E98" s="608">
        <f t="shared" ca="1" si="20"/>
        <v>70.174213667661959</v>
      </c>
      <c r="F98" s="611">
        <f t="shared" ca="1" si="20"/>
        <v>70.174213667661959</v>
      </c>
      <c r="G98" s="608">
        <f t="shared" ca="1" si="20"/>
        <v>2.5826613155322193</v>
      </c>
      <c r="H98" s="608">
        <f t="shared" ca="1" si="20"/>
        <v>777.27807193817023</v>
      </c>
      <c r="I98" s="2">
        <v>6</v>
      </c>
    </row>
    <row r="99" spans="1:23" x14ac:dyDescent="0.25">
      <c r="A99" s="2">
        <f t="shared" si="21"/>
        <v>2025</v>
      </c>
      <c r="B99" s="608">
        <f t="shared" ca="1" si="20"/>
        <v>300.15042449059047</v>
      </c>
      <c r="C99" s="608">
        <f t="shared" ca="1" si="20"/>
        <v>5.1789772520999495</v>
      </c>
      <c r="D99" s="608">
        <f t="shared" ca="1" si="20"/>
        <v>-14.814203781242346</v>
      </c>
      <c r="E99" s="608">
        <f t="shared" ca="1" si="20"/>
        <v>81.869915945605626</v>
      </c>
      <c r="F99" s="611">
        <f t="shared" ca="1" si="20"/>
        <v>81.869915945605626</v>
      </c>
      <c r="G99" s="608">
        <f t="shared" ca="1" si="20"/>
        <v>3.013104868120922</v>
      </c>
      <c r="H99" s="608">
        <f t="shared" ca="1" si="20"/>
        <v>906.82441726119851</v>
      </c>
      <c r="I99" s="2">
        <v>7</v>
      </c>
    </row>
    <row r="102" spans="1:23" ht="15.75" x14ac:dyDescent="0.25">
      <c r="A102" s="424" t="s">
        <v>3248</v>
      </c>
    </row>
    <row r="103" spans="1:23" ht="15.75" thickBot="1" x14ac:dyDescent="0.3"/>
    <row r="104" spans="1:23" ht="16.5" thickBot="1" x14ac:dyDescent="0.3">
      <c r="A104" s="919" t="s">
        <v>2776</v>
      </c>
      <c r="B104" s="920"/>
      <c r="C104" s="921"/>
    </row>
    <row r="105" spans="1:23" ht="15.75" x14ac:dyDescent="0.25">
      <c r="A105" s="627"/>
      <c r="B105" s="627"/>
      <c r="C105" s="627"/>
    </row>
    <row r="106" spans="1:23" x14ac:dyDescent="0.25">
      <c r="A106" t="s">
        <v>3249</v>
      </c>
      <c r="H106" s="667"/>
    </row>
    <row r="107" spans="1:23" x14ac:dyDescent="0.25">
      <c r="A107" s="407" t="str">
        <f>"  - Assume capital recovery rate = "&amp;TEXT(CRR,"0.00%")</f>
        <v xml:space="preserve">  - Assume capital recovery rate = 5.50%</v>
      </c>
      <c r="I107" s="667"/>
      <c r="J107" s="917" t="s">
        <v>3359</v>
      </c>
      <c r="K107" s="917"/>
      <c r="N107" s="1"/>
      <c r="U107" s="1" t="s">
        <v>2783</v>
      </c>
      <c r="W107" s="1" t="s">
        <v>2462</v>
      </c>
    </row>
    <row r="108" spans="1:23" x14ac:dyDescent="0.25">
      <c r="E108" s="1" t="s">
        <v>3250</v>
      </c>
      <c r="F108" s="917" t="s">
        <v>3307</v>
      </c>
      <c r="G108" s="917"/>
      <c r="H108" s="1" t="s">
        <v>2783</v>
      </c>
      <c r="I108" s="1" t="s">
        <v>2783</v>
      </c>
      <c r="J108" s="917" t="s">
        <v>3376</v>
      </c>
      <c r="K108" s="917"/>
      <c r="N108" s="917" t="s">
        <v>3353</v>
      </c>
      <c r="O108" s="917"/>
      <c r="R108" s="917" t="s">
        <v>3289</v>
      </c>
      <c r="S108" s="917"/>
      <c r="T108" s="672" t="s">
        <v>2783</v>
      </c>
      <c r="U108" s="668" t="s">
        <v>2236</v>
      </c>
      <c r="V108" s="672" t="s">
        <v>3255</v>
      </c>
      <c r="W108" s="1" t="s">
        <v>2783</v>
      </c>
    </row>
    <row r="109" spans="1:23" x14ac:dyDescent="0.25">
      <c r="A109" s="40" t="s">
        <v>2463</v>
      </c>
      <c r="D109" s="665" t="s">
        <v>3251</v>
      </c>
      <c r="E109" s="665" t="s">
        <v>2794</v>
      </c>
      <c r="F109" s="665" t="s">
        <v>3308</v>
      </c>
      <c r="G109" s="665" t="s">
        <v>3281</v>
      </c>
      <c r="H109" s="665" t="s">
        <v>3252</v>
      </c>
      <c r="I109" s="665" t="s">
        <v>3253</v>
      </c>
      <c r="J109" s="665" t="s">
        <v>4175</v>
      </c>
      <c r="K109" s="665" t="s">
        <v>2783</v>
      </c>
      <c r="L109" s="916" t="s">
        <v>1889</v>
      </c>
      <c r="M109" s="916"/>
      <c r="N109" s="684" t="s">
        <v>2460</v>
      </c>
      <c r="O109" s="665" t="s">
        <v>2072</v>
      </c>
      <c r="P109" s="916" t="s">
        <v>3286</v>
      </c>
      <c r="Q109" s="916"/>
      <c r="R109" s="665" t="s">
        <v>3252</v>
      </c>
      <c r="S109" s="40" t="s">
        <v>2072</v>
      </c>
      <c r="T109" s="673" t="s">
        <v>3254</v>
      </c>
      <c r="U109" s="669" t="s">
        <v>3252</v>
      </c>
      <c r="V109" s="673" t="s">
        <v>2793</v>
      </c>
      <c r="W109" s="665" t="s">
        <v>3252</v>
      </c>
    </row>
    <row r="110" spans="1:23" x14ac:dyDescent="0.25">
      <c r="A110" t="s">
        <v>2879</v>
      </c>
      <c r="D110">
        <f>CostData!$E$55</f>
        <v>40</v>
      </c>
      <c r="E110" s="290">
        <f t="shared" ref="E110:E116" si="22">(CRR*(1+CRR)^D110)/((1+CRR)^D110-1)</f>
        <v>6.2320343360637943E-2</v>
      </c>
      <c r="F110" s="666">
        <f>CostData!$E$25</f>
        <v>2333</v>
      </c>
      <c r="G110" s="666">
        <f>CostData!$F$25</f>
        <v>9467</v>
      </c>
      <c r="H110" s="666">
        <f>(F110+G110)*E110</f>
        <v>735.38005165552772</v>
      </c>
      <c r="I110" s="664">
        <f>CostData!$E$42</f>
        <v>165</v>
      </c>
      <c r="J110" s="11">
        <f t="shared" ref="J110:J115" ca="1" si="23">D31</f>
        <v>0.72934591219963774</v>
      </c>
      <c r="K110" s="43">
        <f t="shared" ref="K110:K116" ca="1" si="24">J110*Ep2Ann*365</f>
        <v>128.47035974939092</v>
      </c>
      <c r="L110" s="917" t="s">
        <v>3285</v>
      </c>
      <c r="M110" s="917"/>
      <c r="N110" s="679">
        <f>CostData!$S$6</f>
        <v>12.10691595953868</v>
      </c>
      <c r="O110" s="411" t="s">
        <v>2584</v>
      </c>
      <c r="P110" s="107">
        <f ca="1">K110/N110</f>
        <v>10.611320023921776</v>
      </c>
      <c r="Q110" t="s">
        <v>3377</v>
      </c>
      <c r="R110" s="674">
        <f>CostData!$I$17</f>
        <v>97.493713954151573</v>
      </c>
      <c r="S110" s="411" t="s">
        <v>2584</v>
      </c>
      <c r="T110" s="664">
        <f ca="1">R110*P110</f>
        <v>1034.5369990881904</v>
      </c>
      <c r="U110" s="666">
        <f ca="1">H110+I110+T110</f>
        <v>1934.9170507437182</v>
      </c>
      <c r="V110">
        <f>D19</f>
        <v>21</v>
      </c>
      <c r="W110" s="664">
        <f ca="1">V110*U110</f>
        <v>40633.25806561808</v>
      </c>
    </row>
    <row r="111" spans="1:23" x14ac:dyDescent="0.25">
      <c r="A111" t="s">
        <v>3355</v>
      </c>
      <c r="D111">
        <f>CostData!$E$56</f>
        <v>20</v>
      </c>
      <c r="E111" s="290">
        <f t="shared" si="22"/>
        <v>8.3679330034933205E-2</v>
      </c>
      <c r="F111" s="666">
        <f>CostData!$E$25+CostData!$E$26</f>
        <v>4800</v>
      </c>
      <c r="G111" s="666">
        <f>CostData!$F$25+CostData!$F$26</f>
        <v>11234</v>
      </c>
      <c r="H111" s="666">
        <f t="shared" ref="H111:H116" si="25">(F111+G111)*E111</f>
        <v>1341.7143777801191</v>
      </c>
      <c r="I111" s="664">
        <f>CostData!$E$43</f>
        <v>100</v>
      </c>
      <c r="J111" s="11">
        <f t="shared" ca="1" si="23"/>
        <v>0.3610755081001325</v>
      </c>
      <c r="K111" s="43">
        <f t="shared" ca="1" si="24"/>
        <v>63.601508757919632</v>
      </c>
      <c r="L111" s="917" t="s">
        <v>3285</v>
      </c>
      <c r="M111" s="917"/>
      <c r="N111" s="679">
        <f>CostData!$S$6</f>
        <v>12.10691595953868</v>
      </c>
      <c r="O111" s="411" t="s">
        <v>2584</v>
      </c>
      <c r="P111" s="107">
        <f t="shared" ref="P111:P116" ca="1" si="26">K111/N111</f>
        <v>5.2533204137598632</v>
      </c>
      <c r="Q111" t="s">
        <v>3377</v>
      </c>
      <c r="R111" s="674">
        <f>CostData!$I$17</f>
        <v>97.493713954151573</v>
      </c>
      <c r="S111" s="411" t="s">
        <v>2584</v>
      </c>
      <c r="T111" s="664">
        <f t="shared" ref="T111:T116" ca="1" si="27">R111*P111</f>
        <v>512.16571772860925</v>
      </c>
      <c r="U111" s="666">
        <f t="shared" ref="U111:U116" ca="1" si="28">H111+I111+T111</f>
        <v>1953.8800955087283</v>
      </c>
      <c r="V111">
        <f>E20</f>
        <v>0</v>
      </c>
      <c r="W111" s="664">
        <f t="shared" ref="W111:W116" ca="1" si="29">V111*U111</f>
        <v>0</v>
      </c>
    </row>
    <row r="112" spans="1:23" x14ac:dyDescent="0.25">
      <c r="A112" t="s">
        <v>3374</v>
      </c>
      <c r="D112">
        <f>CostData!$E$57</f>
        <v>20</v>
      </c>
      <c r="E112" s="290">
        <f t="shared" si="22"/>
        <v>8.3679330034933205E-2</v>
      </c>
      <c r="F112" s="666">
        <f>CostData!$E$25+CostData!$E$27</f>
        <v>5726</v>
      </c>
      <c r="G112" s="666">
        <f>CostData!$F$25+CostData!$F$27</f>
        <v>12067</v>
      </c>
      <c r="H112" s="666">
        <f t="shared" si="25"/>
        <v>1488.9063193115664</v>
      </c>
      <c r="I112" s="664">
        <f>CostData!$E$44</f>
        <v>75</v>
      </c>
      <c r="J112" s="11">
        <f t="shared" ca="1" si="23"/>
        <v>0.3066391583278959</v>
      </c>
      <c r="K112" s="43">
        <f t="shared" ca="1" si="24"/>
        <v>54.012838523803552</v>
      </c>
      <c r="L112" s="917" t="s">
        <v>3285</v>
      </c>
      <c r="M112" s="917"/>
      <c r="N112" s="679">
        <f>CostData!$S$6</f>
        <v>12.10691595953868</v>
      </c>
      <c r="O112" s="411" t="s">
        <v>2584</v>
      </c>
      <c r="P112" s="107">
        <f t="shared" ca="1" si="26"/>
        <v>4.4613210089435231</v>
      </c>
      <c r="Q112" t="s">
        <v>3377</v>
      </c>
      <c r="R112" s="674">
        <f>CostData!$I$17</f>
        <v>97.493713954151573</v>
      </c>
      <c r="S112" s="411" t="s">
        <v>2584</v>
      </c>
      <c r="T112" s="664">
        <f t="shared" ca="1" si="27"/>
        <v>434.95075430358673</v>
      </c>
      <c r="U112" s="666">
        <f t="shared" ca="1" si="28"/>
        <v>1998.8570736151532</v>
      </c>
      <c r="V112">
        <f>F20</f>
        <v>20</v>
      </c>
      <c r="W112" s="664">
        <f t="shared" ca="1" si="29"/>
        <v>39977.141472303061</v>
      </c>
    </row>
    <row r="113" spans="1:28" x14ac:dyDescent="0.25">
      <c r="A113" t="s">
        <v>3356</v>
      </c>
      <c r="D113">
        <f>CostData!$E$60</f>
        <v>20</v>
      </c>
      <c r="E113" s="290">
        <f t="shared" si="22"/>
        <v>8.3679330034933205E-2</v>
      </c>
      <c r="F113" s="666">
        <f>CostData!$E$30</f>
        <v>3000</v>
      </c>
      <c r="G113" s="666">
        <f>CostData!$F$30</f>
        <v>2517</v>
      </c>
      <c r="H113" s="666">
        <f t="shared" si="25"/>
        <v>461.6588638027265</v>
      </c>
      <c r="I113" s="664">
        <f>CostData!$E$47</f>
        <v>75</v>
      </c>
      <c r="J113" s="11">
        <f t="shared" ca="1" si="23"/>
        <v>0.49786599897004863</v>
      </c>
      <c r="K113" s="43">
        <f t="shared" ca="1" si="24"/>
        <v>87.696418016208099</v>
      </c>
      <c r="L113" s="917" t="s">
        <v>3285</v>
      </c>
      <c r="M113" s="917"/>
      <c r="N113" s="679">
        <f>CostData!$S$6</f>
        <v>12.10691595953868</v>
      </c>
      <c r="O113" s="411" t="s">
        <v>2584</v>
      </c>
      <c r="P113" s="107">
        <f t="shared" ca="1" si="26"/>
        <v>7.2434977090193389</v>
      </c>
      <c r="Q113" t="s">
        <v>3377</v>
      </c>
      <c r="R113" s="674">
        <f>CostData!$I$17</f>
        <v>97.493713954151573</v>
      </c>
      <c r="S113" s="411" t="s">
        <v>2584</v>
      </c>
      <c r="T113" s="664">
        <f t="shared" ca="1" si="27"/>
        <v>706.19549367068362</v>
      </c>
      <c r="U113" s="666">
        <f t="shared" ca="1" si="28"/>
        <v>1242.8543574734101</v>
      </c>
      <c r="V113">
        <f>E21</f>
        <v>66</v>
      </c>
      <c r="W113" s="664">
        <f t="shared" ca="1" si="29"/>
        <v>82028.387593245061</v>
      </c>
    </row>
    <row r="114" spans="1:28" x14ac:dyDescent="0.25">
      <c r="A114" t="s">
        <v>3354</v>
      </c>
      <c r="D114">
        <f>CostData!$E$62</f>
        <v>20</v>
      </c>
      <c r="E114" s="290">
        <f t="shared" si="22"/>
        <v>8.3679330034933205E-2</v>
      </c>
      <c r="F114" s="666">
        <f>CostData!$E$30</f>
        <v>3000</v>
      </c>
      <c r="G114" s="666">
        <f>CostData!$F$30</f>
        <v>2517</v>
      </c>
      <c r="H114" s="666">
        <f t="shared" si="25"/>
        <v>461.6588638027265</v>
      </c>
      <c r="I114" s="664">
        <f>CostData!$E$49</f>
        <v>50</v>
      </c>
      <c r="J114" s="11">
        <f t="shared" ca="1" si="23"/>
        <v>0.42301718077379757</v>
      </c>
      <c r="K114" s="43">
        <f t="shared" ca="1" si="24"/>
        <v>74.512201254797006</v>
      </c>
      <c r="L114" s="917" t="s">
        <v>3285</v>
      </c>
      <c r="M114" s="917"/>
      <c r="N114" s="679">
        <f>CostData!$S$6</f>
        <v>12.10691595953868</v>
      </c>
      <c r="O114" s="411" t="s">
        <v>2584</v>
      </c>
      <c r="P114" s="107">
        <f t="shared" ca="1" si="26"/>
        <v>6.1545154442152583</v>
      </c>
      <c r="Q114" t="s">
        <v>3377</v>
      </c>
      <c r="R114" s="674">
        <f>CostData!$I$17</f>
        <v>97.493713954151573</v>
      </c>
      <c r="S114" s="411" t="s">
        <v>2584</v>
      </c>
      <c r="T114" s="664">
        <f t="shared" ca="1" si="27"/>
        <v>600.02656824473047</v>
      </c>
      <c r="U114" s="666">
        <f t="shared" ca="1" si="28"/>
        <v>1111.685432047457</v>
      </c>
      <c r="V114">
        <f>F21</f>
        <v>261</v>
      </c>
      <c r="W114" s="664">
        <f t="shared" ca="1" si="29"/>
        <v>290149.89776438626</v>
      </c>
    </row>
    <row r="115" spans="1:28" x14ac:dyDescent="0.25">
      <c r="A115" t="s">
        <v>3357</v>
      </c>
      <c r="D115">
        <f>CostData!$E$61</f>
        <v>30</v>
      </c>
      <c r="E115" s="290">
        <f t="shared" si="22"/>
        <v>6.8805389679389581E-2</v>
      </c>
      <c r="F115" s="666">
        <f>CostData!$E$31</f>
        <v>6250</v>
      </c>
      <c r="G115" s="666">
        <f>CostData!$F$31</f>
        <v>9000</v>
      </c>
      <c r="H115" s="666">
        <f t="shared" si="25"/>
        <v>1049.282192610691</v>
      </c>
      <c r="I115" s="664">
        <f>CostData!$E$48</f>
        <v>50</v>
      </c>
      <c r="J115" s="11">
        <f t="shared" ca="1" si="23"/>
        <v>1.4823455584471199</v>
      </c>
      <c r="K115" s="43">
        <f t="shared" ca="1" si="24"/>
        <v>261.10719753302249</v>
      </c>
      <c r="L115" s="917" t="s">
        <v>3285</v>
      </c>
      <c r="M115" s="917"/>
      <c r="N115" s="679">
        <f>CostData!$S$6</f>
        <v>12.10691595953868</v>
      </c>
      <c r="O115" s="411" t="s">
        <v>2584</v>
      </c>
      <c r="P115" s="107">
        <f t="shared" ca="1" si="26"/>
        <v>21.56678037624469</v>
      </c>
      <c r="Q115" t="s">
        <v>3377</v>
      </c>
      <c r="R115" s="674">
        <f>CostData!$I$17</f>
        <v>97.493713954151573</v>
      </c>
      <c r="S115" s="411" t="s">
        <v>2584</v>
      </c>
      <c r="T115" s="664">
        <f t="shared" ca="1" si="27"/>
        <v>2102.6255169136093</v>
      </c>
      <c r="U115" s="666">
        <f t="shared" ca="1" si="28"/>
        <v>3201.9077095243001</v>
      </c>
      <c r="V115">
        <f>E22</f>
        <v>10</v>
      </c>
      <c r="W115" s="664">
        <f t="shared" ca="1" si="29"/>
        <v>32019.077095243003</v>
      </c>
    </row>
    <row r="116" spans="1:28" x14ac:dyDescent="0.25">
      <c r="A116" t="s">
        <v>3375</v>
      </c>
      <c r="D116" s="9">
        <f>CostData!$E$62</f>
        <v>20</v>
      </c>
      <c r="E116" s="292">
        <f t="shared" si="22"/>
        <v>8.3679330034933205E-2</v>
      </c>
      <c r="F116" s="703">
        <f>CostData!$E$31</f>
        <v>6250</v>
      </c>
      <c r="G116" s="703">
        <f>CostData!$F$31</f>
        <v>9000</v>
      </c>
      <c r="H116" s="703">
        <f t="shared" si="25"/>
        <v>1276.1097830327315</v>
      </c>
      <c r="I116" s="704">
        <f>CostData!$E$48</f>
        <v>50</v>
      </c>
      <c r="J116" s="514">
        <f ca="1">D37</f>
        <v>1.4861660366905403</v>
      </c>
      <c r="K116" s="513">
        <f t="shared" ca="1" si="24"/>
        <v>261.78015422769522</v>
      </c>
      <c r="L116" s="918" t="s">
        <v>3285</v>
      </c>
      <c r="M116" s="918"/>
      <c r="N116" s="705">
        <f>CostData!$S$6</f>
        <v>12.10691595953868</v>
      </c>
      <c r="O116" s="706" t="s">
        <v>2584</v>
      </c>
      <c r="P116" s="639">
        <f t="shared" ca="1" si="26"/>
        <v>21.622364861750476</v>
      </c>
      <c r="Q116" s="9" t="s">
        <v>3377</v>
      </c>
      <c r="R116" s="707">
        <f>CostData!$I$17</f>
        <v>97.493713954151573</v>
      </c>
      <c r="S116" s="706" t="s">
        <v>2584</v>
      </c>
      <c r="T116" s="704">
        <f t="shared" ca="1" si="27"/>
        <v>2108.044654843799</v>
      </c>
      <c r="U116" s="703">
        <f t="shared" ca="1" si="28"/>
        <v>3434.1544378765302</v>
      </c>
      <c r="V116" s="9">
        <f>F22</f>
        <v>2</v>
      </c>
      <c r="W116" s="704">
        <f t="shared" ca="1" si="29"/>
        <v>6868.3088757530604</v>
      </c>
    </row>
    <row r="117" spans="1:28" x14ac:dyDescent="0.25">
      <c r="A117" s="1" t="s">
        <v>2462</v>
      </c>
      <c r="V117">
        <f>SUM(V110:V116)</f>
        <v>380</v>
      </c>
      <c r="W117" s="664">
        <f ca="1">SUM(W110:W115)</f>
        <v>484807.76199079549</v>
      </c>
    </row>
    <row r="118" spans="1:28" ht="15.75" thickBot="1" x14ac:dyDescent="0.3"/>
    <row r="119" spans="1:28" ht="16.5" thickBot="1" x14ac:dyDescent="0.3">
      <c r="A119" s="919" t="s">
        <v>2792</v>
      </c>
      <c r="B119" s="920"/>
      <c r="C119" s="921"/>
      <c r="Y119" s="2" t="s">
        <v>2783</v>
      </c>
      <c r="Z119" s="2" t="s">
        <v>2783</v>
      </c>
      <c r="AB119" s="1" t="s">
        <v>2462</v>
      </c>
    </row>
    <row r="120" spans="1:28" x14ac:dyDescent="0.25">
      <c r="Y120" s="2" t="s">
        <v>19</v>
      </c>
      <c r="Z120" s="2" t="s">
        <v>3281</v>
      </c>
      <c r="AB120" s="1" t="s">
        <v>4349</v>
      </c>
    </row>
    <row r="121" spans="1:28" x14ac:dyDescent="0.25">
      <c r="A121" s="407" t="str">
        <f>"  - Assume capital recovery rate = "&amp;TEXT(CRR,"0.00%")</f>
        <v xml:space="preserve">  - Assume capital recovery rate = 5.50%</v>
      </c>
      <c r="I121" s="667"/>
      <c r="J121" s="917" t="s">
        <v>3359</v>
      </c>
      <c r="K121" s="917"/>
      <c r="N121" s="1"/>
      <c r="U121" s="1" t="s">
        <v>2783</v>
      </c>
      <c r="W121" s="1" t="s">
        <v>2462</v>
      </c>
      <c r="Y121" s="520" t="s">
        <v>3252</v>
      </c>
      <c r="Z121" s="520" t="s">
        <v>3252</v>
      </c>
      <c r="AB121" s="665" t="s">
        <v>3252</v>
      </c>
    </row>
    <row r="122" spans="1:28" x14ac:dyDescent="0.25">
      <c r="E122" s="1" t="s">
        <v>3250</v>
      </c>
      <c r="F122" s="917" t="s">
        <v>3307</v>
      </c>
      <c r="G122" s="917"/>
      <c r="H122" s="1" t="s">
        <v>2783</v>
      </c>
      <c r="I122" s="1" t="s">
        <v>2783</v>
      </c>
      <c r="J122" s="917" t="s">
        <v>3352</v>
      </c>
      <c r="K122" s="917"/>
      <c r="N122" s="2" t="s">
        <v>3353</v>
      </c>
      <c r="O122" s="2"/>
      <c r="R122" s="917" t="s">
        <v>3289</v>
      </c>
      <c r="S122" s="917"/>
      <c r="T122" s="672" t="s">
        <v>2783</v>
      </c>
      <c r="U122" s="668" t="s">
        <v>2236</v>
      </c>
      <c r="V122" s="672" t="s">
        <v>3255</v>
      </c>
      <c r="W122" s="1" t="s">
        <v>2783</v>
      </c>
      <c r="Y122" s="2" t="s">
        <v>4348</v>
      </c>
      <c r="Z122" s="2" t="s">
        <v>4348</v>
      </c>
    </row>
    <row r="123" spans="1:28" ht="15.75" thickBot="1" x14ac:dyDescent="0.3">
      <c r="A123" s="40" t="s">
        <v>2463</v>
      </c>
      <c r="D123" s="665" t="s">
        <v>3251</v>
      </c>
      <c r="E123" s="665" t="s">
        <v>2794</v>
      </c>
      <c r="F123" s="665" t="s">
        <v>3308</v>
      </c>
      <c r="G123" s="665" t="s">
        <v>3281</v>
      </c>
      <c r="H123" s="665" t="s">
        <v>3252</v>
      </c>
      <c r="I123" s="665" t="s">
        <v>3253</v>
      </c>
      <c r="J123" s="665" t="s">
        <v>4175</v>
      </c>
      <c r="K123" s="665" t="s">
        <v>2783</v>
      </c>
      <c r="L123" s="916" t="s">
        <v>1889</v>
      </c>
      <c r="M123" s="916"/>
      <c r="N123" s="684" t="s">
        <v>2460</v>
      </c>
      <c r="O123" s="665" t="s">
        <v>2072</v>
      </c>
      <c r="P123" s="916" t="s">
        <v>3286</v>
      </c>
      <c r="Q123" s="916"/>
      <c r="R123" s="665" t="s">
        <v>3252</v>
      </c>
      <c r="S123" s="40" t="s">
        <v>2072</v>
      </c>
      <c r="T123" s="673" t="s">
        <v>3254</v>
      </c>
      <c r="U123" s="669" t="s">
        <v>3252</v>
      </c>
      <c r="V123" s="673" t="s">
        <v>2793</v>
      </c>
      <c r="W123" s="665" t="s">
        <v>3252</v>
      </c>
      <c r="Y123" s="169" t="s">
        <v>2623</v>
      </c>
      <c r="Z123" s="169" t="s">
        <v>2623</v>
      </c>
      <c r="AB123" s="118"/>
    </row>
    <row r="124" spans="1:28" ht="15.75" thickTop="1" x14ac:dyDescent="0.25">
      <c r="A124" t="s">
        <v>3379</v>
      </c>
      <c r="D124">
        <f>CostData!E63</f>
        <v>30</v>
      </c>
      <c r="E124" s="290">
        <f>(CRR*(1+CRR)^D124)/((1+CRR)^D124-1)</f>
        <v>6.8805389679389581E-2</v>
      </c>
      <c r="F124" s="666">
        <f>CostData!E33</f>
        <v>5860</v>
      </c>
      <c r="G124" s="666">
        <f>CostData!F33</f>
        <v>1969</v>
      </c>
      <c r="H124" s="666">
        <f>(F124+G124)*E124</f>
        <v>538.677395799941</v>
      </c>
      <c r="I124" s="699">
        <f>CostData!E50</f>
        <v>75</v>
      </c>
      <c r="J124" s="700">
        <f ca="1">E75</f>
        <v>0.35062963894650634</v>
      </c>
      <c r="K124" s="43">
        <f ca="1">J124*Ep2Ann*365</f>
        <v>61.761525088148836</v>
      </c>
      <c r="L124" s="117" t="s">
        <v>3380</v>
      </c>
      <c r="M124" s="2"/>
      <c r="N124" s="692">
        <f>CostData!$S$12/10^6</f>
        <v>0.13500000000000001</v>
      </c>
      <c r="O124" s="14" t="str">
        <f>CostData!$F$9</f>
        <v>/gal</v>
      </c>
      <c r="P124" s="107">
        <f ca="1">K124/N124</f>
        <v>457.49277843073207</v>
      </c>
      <c r="Q124" t="s">
        <v>3381</v>
      </c>
      <c r="R124" s="674">
        <f ca="1">HLOOKUP($B$4,CostData!$G$8:$L$9,2,FALSE)</f>
        <v>2.8910476436685228</v>
      </c>
      <c r="S124" s="674" t="str">
        <f>CostData!F9</f>
        <v>/gal</v>
      </c>
      <c r="T124" s="664">
        <f ca="1">R124*P124</f>
        <v>1322.6334190775335</v>
      </c>
      <c r="U124" s="666">
        <f ca="1">H124+I124+T124</f>
        <v>1936.3108148774745</v>
      </c>
      <c r="V124">
        <f>C74</f>
        <v>380</v>
      </c>
      <c r="W124" s="664">
        <f ca="1">V124*U124</f>
        <v>735798.1096534403</v>
      </c>
      <c r="Y124" s="666">
        <f>IF(Y123="Low",CostData!$W$11,IF(Y123="Medium",CostData!$W$12,IF(Y123="High",CostData!$W$13,0)))</f>
        <v>4183.9665017466605</v>
      </c>
      <c r="Z124" s="666">
        <f>IF(Z123="Low",CostData!$W$27,IF(Z123="Medium",CostData!$W$28,IF(Z123="High",CostData!$W$29,0)))</f>
        <v>35407.25</v>
      </c>
      <c r="AB124" s="664">
        <f ca="1">W124+Y124+Z124</f>
        <v>775389.32615518698</v>
      </c>
    </row>
    <row r="126" spans="1:28" x14ac:dyDescent="0.25">
      <c r="A126" s="241" t="s">
        <v>3256</v>
      </c>
      <c r="H126" s="667"/>
    </row>
    <row r="127" spans="1:28" x14ac:dyDescent="0.25">
      <c r="I127" s="667"/>
      <c r="M127" s="1"/>
      <c r="O127" s="1"/>
    </row>
    <row r="128" spans="1:28" x14ac:dyDescent="0.25">
      <c r="A128" t="s">
        <v>3304</v>
      </c>
      <c r="C128" s="676">
        <f ca="1">W117</f>
        <v>484807.76199079549</v>
      </c>
      <c r="D128" s="411" t="s">
        <v>3358</v>
      </c>
      <c r="F128" s="917"/>
      <c r="G128" s="917"/>
      <c r="H128" s="1"/>
      <c r="I128" s="1"/>
      <c r="J128" s="1"/>
      <c r="K128" s="1"/>
      <c r="L128" s="622"/>
      <c r="M128" s="668"/>
      <c r="N128" s="622"/>
      <c r="O128" s="1"/>
      <c r="Q128" s="407"/>
    </row>
    <row r="129" spans="1:26" x14ac:dyDescent="0.25">
      <c r="B129" s="411"/>
      <c r="C129" s="688"/>
      <c r="D129" s="411"/>
      <c r="F129" s="2"/>
      <c r="G129" s="2"/>
      <c r="H129" s="1"/>
      <c r="I129" s="1"/>
      <c r="J129" s="1"/>
      <c r="K129" s="1"/>
      <c r="L129" s="622"/>
      <c r="M129" s="668"/>
      <c r="N129" s="622"/>
      <c r="O129" s="1"/>
      <c r="Q129" s="407"/>
    </row>
    <row r="130" spans="1:26" x14ac:dyDescent="0.25">
      <c r="A130" t="s">
        <v>3303</v>
      </c>
      <c r="C130" s="676">
        <f ca="1">AB124</f>
        <v>775389.32615518698</v>
      </c>
      <c r="D130" s="411" t="s">
        <v>3358</v>
      </c>
      <c r="F130" s="665"/>
      <c r="G130" s="665"/>
      <c r="H130" s="665"/>
      <c r="I130" s="665"/>
      <c r="J130" s="665"/>
      <c r="L130" s="671"/>
      <c r="M130" s="669"/>
      <c r="N130" s="671"/>
      <c r="O130" s="665"/>
      <c r="Q130" s="407"/>
    </row>
    <row r="131" spans="1:26" x14ac:dyDescent="0.25">
      <c r="D131" s="411"/>
      <c r="F131" s="665"/>
      <c r="G131" s="665"/>
      <c r="H131" s="665"/>
      <c r="I131" s="665"/>
      <c r="J131" s="665"/>
      <c r="L131" s="671"/>
      <c r="M131" s="669"/>
      <c r="N131" s="671"/>
      <c r="O131" s="665"/>
      <c r="Q131" s="407"/>
      <c r="Y131" s="420"/>
    </row>
    <row r="132" spans="1:26" x14ac:dyDescent="0.25">
      <c r="A132" t="s">
        <v>3305</v>
      </c>
      <c r="C132" s="688">
        <f ca="1">C130-C128</f>
        <v>290581.56416439149</v>
      </c>
      <c r="D132" s="411" t="s">
        <v>3358</v>
      </c>
      <c r="F132" s="666"/>
      <c r="G132" s="666"/>
      <c r="H132" s="666"/>
      <c r="I132" s="664"/>
      <c r="J132" s="7"/>
      <c r="M132" s="666"/>
      <c r="Y132" s="420"/>
    </row>
    <row r="133" spans="1:26" x14ac:dyDescent="0.25">
      <c r="F133" s="666"/>
      <c r="G133" s="666"/>
      <c r="H133" s="666"/>
      <c r="I133" s="664"/>
      <c r="M133" s="666"/>
      <c r="Y133" s="420"/>
    </row>
    <row r="134" spans="1:26" x14ac:dyDescent="0.25">
      <c r="A134" t="s">
        <v>3270</v>
      </c>
      <c r="C134" s="689">
        <f ca="1">F$93</f>
        <v>11.69570227794366</v>
      </c>
      <c r="D134" t="str">
        <f>"tons/year - "&amp;$B$4</f>
        <v>tons/year - 2019</v>
      </c>
      <c r="F134" s="666"/>
      <c r="G134" s="666"/>
      <c r="H134" s="666"/>
      <c r="I134" s="664"/>
      <c r="M134" s="666"/>
      <c r="W134" s="411"/>
      <c r="Y134" s="420"/>
    </row>
    <row r="135" spans="1:26" x14ac:dyDescent="0.25">
      <c r="A135" t="s">
        <v>3547</v>
      </c>
      <c r="C135" s="689">
        <f ca="1">D$93</f>
        <v>-2.1163148258917639</v>
      </c>
      <c r="D135" t="str">
        <f>"tons/year - "&amp;$B$4</f>
        <v>tons/year - 2019</v>
      </c>
      <c r="F135" s="666"/>
      <c r="G135" s="666"/>
      <c r="H135" s="666"/>
      <c r="I135" s="664"/>
      <c r="M135" s="666"/>
      <c r="U135" s="917"/>
      <c r="V135" s="917"/>
      <c r="W135" s="3"/>
      <c r="Y135" s="420"/>
    </row>
    <row r="136" spans="1:26" x14ac:dyDescent="0.25">
      <c r="F136" s="666"/>
      <c r="G136" s="666"/>
      <c r="H136" s="666"/>
      <c r="I136" s="664"/>
      <c r="M136" s="666"/>
      <c r="U136" s="2"/>
      <c r="V136" s="2"/>
      <c r="W136" s="3"/>
      <c r="Y136" s="420"/>
    </row>
    <row r="137" spans="1:26" x14ac:dyDescent="0.25">
      <c r="A137" t="s">
        <v>3306</v>
      </c>
      <c r="C137" s="688">
        <f ca="1">C$132/C134</f>
        <v>24845.157414137047</v>
      </c>
      <c r="D137" s="411" t="s">
        <v>3271</v>
      </c>
      <c r="U137" s="520"/>
      <c r="V137" s="520"/>
    </row>
    <row r="138" spans="1:26" x14ac:dyDescent="0.25">
      <c r="C138" s="688">
        <f ca="1">C$132/C135</f>
        <v>-137305.45219894088</v>
      </c>
      <c r="D138" s="411" t="s">
        <v>3548</v>
      </c>
      <c r="U138" s="411"/>
      <c r="Z138" s="247"/>
    </row>
  </sheetData>
  <mergeCells count="37">
    <mergeCell ref="R108:S108"/>
    <mergeCell ref="C28:D28"/>
    <mergeCell ref="C29:D29"/>
    <mergeCell ref="D64:E64"/>
    <mergeCell ref="D65:E65"/>
    <mergeCell ref="P109:Q109"/>
    <mergeCell ref="J107:K107"/>
    <mergeCell ref="F128:G128"/>
    <mergeCell ref="F108:G108"/>
    <mergeCell ref="J108:K108"/>
    <mergeCell ref="N108:O108"/>
    <mergeCell ref="U135:V135"/>
    <mergeCell ref="L112:M112"/>
    <mergeCell ref="L114:M114"/>
    <mergeCell ref="L116:M116"/>
    <mergeCell ref="R122:S122"/>
    <mergeCell ref="L123:M123"/>
    <mergeCell ref="L115:M115"/>
    <mergeCell ref="P123:Q123"/>
    <mergeCell ref="A119:C119"/>
    <mergeCell ref="J121:K121"/>
    <mergeCell ref="F122:G122"/>
    <mergeCell ref="J122:K122"/>
    <mergeCell ref="L109:M109"/>
    <mergeCell ref="L110:M110"/>
    <mergeCell ref="L111:M111"/>
    <mergeCell ref="L113:M113"/>
    <mergeCell ref="A1:K1"/>
    <mergeCell ref="A24:C24"/>
    <mergeCell ref="A104:C104"/>
    <mergeCell ref="B77:H77"/>
    <mergeCell ref="B91:H91"/>
    <mergeCell ref="B40:H40"/>
    <mergeCell ref="B51:H51"/>
    <mergeCell ref="A62:C62"/>
    <mergeCell ref="J76:K76"/>
    <mergeCell ref="J77:K77"/>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showInputMessage="1" showErrorMessage="1">
          <x14:formula1>
            <xm:f>CostData!$AB$10:$AB$13</xm:f>
          </x14:formula1>
          <xm:sqref>Y123:Z123</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K63"/>
  <sheetViews>
    <sheetView zoomScale="90" zoomScaleNormal="90" workbookViewId="0">
      <selection sqref="A1:F1"/>
    </sheetView>
  </sheetViews>
  <sheetFormatPr defaultRowHeight="15" x14ac:dyDescent="0.25"/>
  <cols>
    <col min="1" max="1" width="48.5703125" customWidth="1"/>
    <col min="2" max="2" width="57.7109375" customWidth="1"/>
    <col min="3" max="3" width="17.5703125" customWidth="1"/>
    <col min="4" max="4" width="7.85546875" customWidth="1"/>
    <col min="5" max="5" width="13.7109375" customWidth="1"/>
    <col min="6" max="6" width="30.7109375" customWidth="1"/>
    <col min="7" max="7" width="13.85546875" customWidth="1"/>
    <col min="8" max="8" width="9.28515625" customWidth="1"/>
  </cols>
  <sheetData>
    <row r="1" spans="1:11" x14ac:dyDescent="0.25">
      <c r="A1" s="923" t="s">
        <v>1881</v>
      </c>
      <c r="B1" s="923"/>
      <c r="C1" s="923"/>
      <c r="D1" s="923"/>
      <c r="E1" s="923"/>
      <c r="F1" s="923"/>
    </row>
    <row r="2" spans="1:11" x14ac:dyDescent="0.25">
      <c r="A2" s="923" t="s">
        <v>1882</v>
      </c>
      <c r="B2" s="923"/>
      <c r="C2" s="923"/>
      <c r="D2" s="923"/>
      <c r="E2" s="923"/>
      <c r="F2" s="923"/>
    </row>
    <row r="4" spans="1:11" x14ac:dyDescent="0.25">
      <c r="G4" s="952" t="s">
        <v>1883</v>
      </c>
      <c r="H4" s="952"/>
      <c r="I4" s="952"/>
      <c r="J4" s="952"/>
      <c r="K4" s="952"/>
    </row>
    <row r="5" spans="1:11" ht="37.5" customHeight="1" thickBot="1" x14ac:dyDescent="0.3">
      <c r="A5" s="30" t="s">
        <v>1884</v>
      </c>
      <c r="B5" s="30" t="s">
        <v>1885</v>
      </c>
      <c r="C5" s="30" t="s">
        <v>1886</v>
      </c>
      <c r="D5" s="30" t="s">
        <v>1887</v>
      </c>
      <c r="E5" s="31" t="s">
        <v>1888</v>
      </c>
      <c r="F5" s="30" t="s">
        <v>1889</v>
      </c>
      <c r="G5" s="32" t="s">
        <v>1890</v>
      </c>
      <c r="H5" s="32" t="s">
        <v>1891</v>
      </c>
      <c r="I5" s="32" t="s">
        <v>47</v>
      </c>
      <c r="J5" s="32" t="s">
        <v>50</v>
      </c>
      <c r="K5" s="32" t="s">
        <v>1892</v>
      </c>
    </row>
    <row r="6" spans="1:11" ht="15.75" thickTop="1" x14ac:dyDescent="0.25">
      <c r="A6" t="s">
        <v>1893</v>
      </c>
      <c r="B6" t="s">
        <v>1894</v>
      </c>
      <c r="C6" s="33">
        <v>117022</v>
      </c>
      <c r="D6" s="903">
        <v>1.5</v>
      </c>
      <c r="E6" s="34">
        <v>0.04</v>
      </c>
      <c r="F6" s="903" t="s">
        <v>1895</v>
      </c>
      <c r="G6" s="35">
        <f>D6*10^6/(C6*453.6)</f>
        <v>2.8258603569228921E-2</v>
      </c>
      <c r="H6" s="907">
        <f>RANK(C6,C$6:C$42,1)</f>
        <v>24</v>
      </c>
      <c r="I6" s="907">
        <f>RANK(D6,D$6:D$42,1)</f>
        <v>5</v>
      </c>
      <c r="J6" s="907">
        <f>RANK(E6,E$6:E$42,1)</f>
        <v>1</v>
      </c>
      <c r="K6" s="907">
        <f>RANK(G6,G$6:G$42,1)</f>
        <v>7</v>
      </c>
    </row>
    <row r="7" spans="1:11" x14ac:dyDescent="0.25">
      <c r="A7" t="s">
        <v>1893</v>
      </c>
      <c r="B7" t="s">
        <v>1894</v>
      </c>
      <c r="C7" s="33">
        <v>110167</v>
      </c>
      <c r="D7" s="903">
        <v>1.3</v>
      </c>
      <c r="E7" s="34">
        <v>0.04</v>
      </c>
      <c r="F7" s="903" t="s">
        <v>1896</v>
      </c>
      <c r="G7" s="35">
        <f t="shared" ref="G7:G42" si="0">D7*10^6/(C7*453.6)</f>
        <v>2.6014697679836361E-2</v>
      </c>
      <c r="H7" s="907">
        <f t="shared" ref="H7:J42" si="1">RANK(C7,C$6:C$42,1)</f>
        <v>21</v>
      </c>
      <c r="I7" s="907">
        <f t="shared" si="1"/>
        <v>4</v>
      </c>
      <c r="J7" s="907">
        <f t="shared" si="1"/>
        <v>1</v>
      </c>
      <c r="K7" s="907">
        <f t="shared" ref="K7:K42" si="2">RANK(G7,G$6:G$42,1)</f>
        <v>4</v>
      </c>
    </row>
    <row r="8" spans="1:11" x14ac:dyDescent="0.25">
      <c r="A8" t="s">
        <v>1893</v>
      </c>
      <c r="B8" t="s">
        <v>1897</v>
      </c>
      <c r="C8" s="33">
        <v>219831</v>
      </c>
      <c r="D8" s="903">
        <v>2.6</v>
      </c>
      <c r="E8" s="34">
        <v>0.04</v>
      </c>
      <c r="F8" s="903" t="s">
        <v>1895</v>
      </c>
      <c r="G8" s="35">
        <f t="shared" si="0"/>
        <v>2.6074222464479827E-2</v>
      </c>
      <c r="H8" s="907">
        <f t="shared" si="1"/>
        <v>36</v>
      </c>
      <c r="I8" s="907">
        <f t="shared" si="1"/>
        <v>12</v>
      </c>
      <c r="J8" s="907">
        <f t="shared" si="1"/>
        <v>1</v>
      </c>
      <c r="K8" s="907">
        <f t="shared" si="2"/>
        <v>5</v>
      </c>
    </row>
    <row r="9" spans="1:11" x14ac:dyDescent="0.25">
      <c r="A9" t="s">
        <v>27</v>
      </c>
      <c r="B9" t="s">
        <v>1898</v>
      </c>
      <c r="C9" s="33">
        <v>212453</v>
      </c>
      <c r="D9" s="903">
        <v>1.6</v>
      </c>
      <c r="E9" s="34">
        <v>0.06</v>
      </c>
      <c r="F9" s="903" t="s">
        <v>1896</v>
      </c>
      <c r="G9" s="35">
        <f t="shared" si="0"/>
        <v>1.6602904457316176E-2</v>
      </c>
      <c r="H9" s="907">
        <f t="shared" si="1"/>
        <v>35</v>
      </c>
      <c r="I9" s="907">
        <f t="shared" si="1"/>
        <v>6</v>
      </c>
      <c r="J9" s="907">
        <f t="shared" si="1"/>
        <v>4</v>
      </c>
      <c r="K9" s="907">
        <f t="shared" si="2"/>
        <v>2</v>
      </c>
    </row>
    <row r="10" spans="1:11" x14ac:dyDescent="0.25">
      <c r="A10" t="s">
        <v>1899</v>
      </c>
      <c r="B10" t="s">
        <v>1900</v>
      </c>
      <c r="C10" s="33">
        <v>162793</v>
      </c>
      <c r="D10" s="903">
        <v>1.1000000000000001</v>
      </c>
      <c r="E10" s="34">
        <v>7.0000000000000007E-2</v>
      </c>
      <c r="F10" s="903" t="s">
        <v>1896</v>
      </c>
      <c r="G10" s="35">
        <f t="shared" si="0"/>
        <v>1.4896488741596742E-2</v>
      </c>
      <c r="H10" s="907">
        <f t="shared" si="1"/>
        <v>31</v>
      </c>
      <c r="I10" s="907">
        <f t="shared" si="1"/>
        <v>3</v>
      </c>
      <c r="J10" s="907">
        <f t="shared" si="1"/>
        <v>5</v>
      </c>
      <c r="K10" s="907">
        <f t="shared" si="2"/>
        <v>1</v>
      </c>
    </row>
    <row r="11" spans="1:11" x14ac:dyDescent="0.25">
      <c r="A11" t="s">
        <v>1901</v>
      </c>
      <c r="B11" t="s">
        <v>1902</v>
      </c>
      <c r="C11" s="33">
        <v>142533</v>
      </c>
      <c r="D11" s="903">
        <v>1.96</v>
      </c>
      <c r="E11" s="34">
        <v>0.08</v>
      </c>
      <c r="F11" s="903" t="s">
        <v>1895</v>
      </c>
      <c r="G11" s="35">
        <f t="shared" si="0"/>
        <v>3.031569990332756E-2</v>
      </c>
      <c r="H11" s="907">
        <f t="shared" si="1"/>
        <v>27</v>
      </c>
      <c r="I11" s="907">
        <f t="shared" si="1"/>
        <v>7</v>
      </c>
      <c r="J11" s="907">
        <f t="shared" si="1"/>
        <v>6</v>
      </c>
      <c r="K11" s="907">
        <f t="shared" si="2"/>
        <v>8</v>
      </c>
    </row>
    <row r="12" spans="1:11" x14ac:dyDescent="0.25">
      <c r="A12" t="s">
        <v>27</v>
      </c>
      <c r="B12" t="s">
        <v>1903</v>
      </c>
      <c r="C12" s="33">
        <v>261506</v>
      </c>
      <c r="D12" s="903">
        <v>3.3</v>
      </c>
      <c r="E12" s="34">
        <v>0.08</v>
      </c>
      <c r="F12" s="903" t="s">
        <v>1895</v>
      </c>
      <c r="G12" s="35">
        <f t="shared" si="0"/>
        <v>2.7820135198168588E-2</v>
      </c>
      <c r="H12" s="907">
        <f t="shared" si="1"/>
        <v>37</v>
      </c>
      <c r="I12" s="907">
        <f t="shared" si="1"/>
        <v>14</v>
      </c>
      <c r="J12" s="907">
        <f t="shared" si="1"/>
        <v>6</v>
      </c>
      <c r="K12" s="907">
        <f t="shared" si="2"/>
        <v>6</v>
      </c>
    </row>
    <row r="13" spans="1:11" x14ac:dyDescent="0.25">
      <c r="A13" t="s">
        <v>1893</v>
      </c>
      <c r="B13" t="s">
        <v>1897</v>
      </c>
      <c r="C13" s="33">
        <v>179458</v>
      </c>
      <c r="D13" s="903">
        <v>3.3</v>
      </c>
      <c r="E13" s="34">
        <v>0.11</v>
      </c>
      <c r="F13" s="903" t="s">
        <v>1896</v>
      </c>
      <c r="G13" s="35">
        <f t="shared" si="0"/>
        <v>4.0539470378207022E-2</v>
      </c>
      <c r="H13" s="907">
        <f t="shared" si="1"/>
        <v>33</v>
      </c>
      <c r="I13" s="907">
        <f t="shared" si="1"/>
        <v>14</v>
      </c>
      <c r="J13" s="907">
        <f t="shared" si="1"/>
        <v>8</v>
      </c>
      <c r="K13" s="907">
        <f t="shared" si="2"/>
        <v>11</v>
      </c>
    </row>
    <row r="14" spans="1:11" x14ac:dyDescent="0.25">
      <c r="A14" t="s">
        <v>27</v>
      </c>
      <c r="B14" t="s">
        <v>1904</v>
      </c>
      <c r="C14" s="33">
        <v>186453</v>
      </c>
      <c r="D14" s="903">
        <v>3.3</v>
      </c>
      <c r="E14" s="34">
        <v>0.12</v>
      </c>
      <c r="F14" s="903" t="s">
        <v>1895</v>
      </c>
      <c r="G14" s="35">
        <f t="shared" si="0"/>
        <v>3.9018585247393579E-2</v>
      </c>
      <c r="H14" s="907">
        <f t="shared" si="1"/>
        <v>34</v>
      </c>
      <c r="I14" s="907">
        <f t="shared" si="1"/>
        <v>14</v>
      </c>
      <c r="J14" s="907">
        <f t="shared" si="1"/>
        <v>9</v>
      </c>
      <c r="K14" s="907">
        <f t="shared" si="2"/>
        <v>10</v>
      </c>
    </row>
    <row r="15" spans="1:11" x14ac:dyDescent="0.25">
      <c r="A15" t="s">
        <v>1905</v>
      </c>
      <c r="B15" t="s">
        <v>1906</v>
      </c>
      <c r="C15" s="33">
        <v>85969</v>
      </c>
      <c r="D15" s="903">
        <v>0.7</v>
      </c>
      <c r="E15" s="34">
        <v>0.13</v>
      </c>
      <c r="F15" s="903" t="s">
        <v>1896</v>
      </c>
      <c r="G15" s="35">
        <f t="shared" si="0"/>
        <v>1.7950771516979491E-2</v>
      </c>
      <c r="H15" s="907">
        <f t="shared" si="1"/>
        <v>16</v>
      </c>
      <c r="I15" s="907">
        <f t="shared" si="1"/>
        <v>1</v>
      </c>
      <c r="J15" s="907">
        <f t="shared" si="1"/>
        <v>10</v>
      </c>
      <c r="K15" s="907">
        <f t="shared" si="2"/>
        <v>3</v>
      </c>
    </row>
    <row r="16" spans="1:11" x14ac:dyDescent="0.25">
      <c r="A16" t="s">
        <v>1907</v>
      </c>
      <c r="B16" t="s">
        <v>1908</v>
      </c>
      <c r="C16" s="33">
        <v>76887</v>
      </c>
      <c r="D16" s="903">
        <v>2.2000000000000002</v>
      </c>
      <c r="E16" s="34">
        <v>0.14000000000000001</v>
      </c>
      <c r="F16" s="903" t="s">
        <v>1895</v>
      </c>
      <c r="G16" s="35">
        <f t="shared" si="0"/>
        <v>6.3080731247434754E-2</v>
      </c>
      <c r="H16" s="907">
        <f t="shared" si="1"/>
        <v>11</v>
      </c>
      <c r="I16" s="907">
        <f t="shared" si="1"/>
        <v>8</v>
      </c>
      <c r="J16" s="907">
        <f t="shared" si="1"/>
        <v>11</v>
      </c>
      <c r="K16" s="907">
        <f t="shared" si="2"/>
        <v>14</v>
      </c>
    </row>
    <row r="17" spans="1:11" x14ac:dyDescent="0.25">
      <c r="A17" t="s">
        <v>27</v>
      </c>
      <c r="B17" t="s">
        <v>1909</v>
      </c>
      <c r="C17" s="33">
        <v>120529</v>
      </c>
      <c r="D17" s="903">
        <v>4.7</v>
      </c>
      <c r="E17" s="34">
        <v>0.18</v>
      </c>
      <c r="F17" s="903" t="s">
        <v>1895</v>
      </c>
      <c r="G17" s="35">
        <f t="shared" si="0"/>
        <v>8.5967294412288273E-2</v>
      </c>
      <c r="H17" s="907">
        <f t="shared" si="1"/>
        <v>26</v>
      </c>
      <c r="I17" s="907">
        <f t="shared" si="1"/>
        <v>24</v>
      </c>
      <c r="J17" s="907">
        <f t="shared" si="1"/>
        <v>12</v>
      </c>
      <c r="K17" s="907">
        <f t="shared" si="2"/>
        <v>17</v>
      </c>
    </row>
    <row r="18" spans="1:11" x14ac:dyDescent="0.25">
      <c r="A18" t="s">
        <v>1899</v>
      </c>
      <c r="B18" t="s">
        <v>1910</v>
      </c>
      <c r="C18" s="33">
        <v>66842</v>
      </c>
      <c r="D18" s="903">
        <v>3.7</v>
      </c>
      <c r="E18" s="34">
        <v>0.18</v>
      </c>
      <c r="F18" s="903" t="s">
        <v>1895</v>
      </c>
      <c r="G18" s="35">
        <f t="shared" si="0"/>
        <v>0.12203354912031092</v>
      </c>
      <c r="H18" s="907">
        <f t="shared" si="1"/>
        <v>8</v>
      </c>
      <c r="I18" s="907">
        <f t="shared" si="1"/>
        <v>19</v>
      </c>
      <c r="J18" s="907">
        <f t="shared" si="1"/>
        <v>12</v>
      </c>
      <c r="K18" s="907">
        <f t="shared" si="2"/>
        <v>26</v>
      </c>
    </row>
    <row r="19" spans="1:11" x14ac:dyDescent="0.25">
      <c r="A19" t="s">
        <v>1911</v>
      </c>
      <c r="B19" t="s">
        <v>1912</v>
      </c>
      <c r="C19" s="33">
        <v>82594</v>
      </c>
      <c r="D19" s="903">
        <v>2.44</v>
      </c>
      <c r="E19" s="34">
        <v>0.18</v>
      </c>
      <c r="F19" s="903" t="s">
        <v>1895</v>
      </c>
      <c r="G19" s="35">
        <f t="shared" si="0"/>
        <v>6.5128080883866207E-2</v>
      </c>
      <c r="H19" s="907">
        <f t="shared" si="1"/>
        <v>15</v>
      </c>
      <c r="I19" s="907">
        <f t="shared" si="1"/>
        <v>9</v>
      </c>
      <c r="J19" s="907">
        <f t="shared" si="1"/>
        <v>12</v>
      </c>
      <c r="K19" s="907">
        <f t="shared" si="2"/>
        <v>15</v>
      </c>
    </row>
    <row r="20" spans="1:11" x14ac:dyDescent="0.25">
      <c r="A20" t="s">
        <v>1913</v>
      </c>
      <c r="B20" t="s">
        <v>1914</v>
      </c>
      <c r="C20" s="33">
        <v>87577</v>
      </c>
      <c r="D20" s="903">
        <v>3.56</v>
      </c>
      <c r="E20" s="34">
        <v>0.19</v>
      </c>
      <c r="F20" s="903" t="s">
        <v>1895</v>
      </c>
      <c r="G20" s="35">
        <f t="shared" si="0"/>
        <v>8.9616274992191797E-2</v>
      </c>
      <c r="H20" s="907">
        <f t="shared" si="1"/>
        <v>17</v>
      </c>
      <c r="I20" s="907">
        <f t="shared" si="1"/>
        <v>18</v>
      </c>
      <c r="J20" s="907">
        <f t="shared" si="1"/>
        <v>15</v>
      </c>
      <c r="K20" s="907">
        <f t="shared" si="2"/>
        <v>19</v>
      </c>
    </row>
    <row r="21" spans="1:11" x14ac:dyDescent="0.25">
      <c r="A21" t="s">
        <v>1901</v>
      </c>
      <c r="B21" t="s">
        <v>1915</v>
      </c>
      <c r="C21" s="33">
        <v>66897</v>
      </c>
      <c r="D21" s="903">
        <v>3.53</v>
      </c>
      <c r="E21" s="34">
        <v>0.19</v>
      </c>
      <c r="F21" s="903" t="s">
        <v>1895</v>
      </c>
      <c r="G21" s="35">
        <f t="shared" si="0"/>
        <v>0.11633088103881511</v>
      </c>
      <c r="H21" s="907">
        <f t="shared" si="1"/>
        <v>9</v>
      </c>
      <c r="I21" s="907">
        <f t="shared" si="1"/>
        <v>17</v>
      </c>
      <c r="J21" s="907">
        <f t="shared" si="1"/>
        <v>15</v>
      </c>
      <c r="K21" s="907">
        <f t="shared" si="2"/>
        <v>23</v>
      </c>
    </row>
    <row r="22" spans="1:11" x14ac:dyDescent="0.25">
      <c r="A22" t="s">
        <v>1893</v>
      </c>
      <c r="B22" t="s">
        <v>1916</v>
      </c>
      <c r="C22" s="33">
        <v>107069</v>
      </c>
      <c r="D22" s="903">
        <v>2.4900000000000002</v>
      </c>
      <c r="E22" s="34">
        <v>0.2</v>
      </c>
      <c r="F22" s="903" t="s">
        <v>1896</v>
      </c>
      <c r="G22" s="35">
        <f t="shared" si="0"/>
        <v>5.1269909959166415E-2</v>
      </c>
      <c r="H22" s="907">
        <f t="shared" si="1"/>
        <v>19</v>
      </c>
      <c r="I22" s="907">
        <f t="shared" si="1"/>
        <v>10</v>
      </c>
      <c r="J22" s="907">
        <f t="shared" si="1"/>
        <v>17</v>
      </c>
      <c r="K22" s="907">
        <f t="shared" si="2"/>
        <v>12</v>
      </c>
    </row>
    <row r="23" spans="1:11" x14ac:dyDescent="0.25">
      <c r="A23" t="s">
        <v>1917</v>
      </c>
      <c r="B23" t="s">
        <v>1918</v>
      </c>
      <c r="C23" s="33">
        <v>120000</v>
      </c>
      <c r="D23" s="903">
        <v>2.96</v>
      </c>
      <c r="E23" s="34">
        <v>0.2</v>
      </c>
      <c r="F23" s="903" t="s">
        <v>1896</v>
      </c>
      <c r="G23" s="35">
        <f t="shared" si="0"/>
        <v>5.4379776601998824E-2</v>
      </c>
      <c r="H23" s="907">
        <f t="shared" si="1"/>
        <v>25</v>
      </c>
      <c r="I23" s="907">
        <f t="shared" si="1"/>
        <v>13</v>
      </c>
      <c r="J23" s="907">
        <f t="shared" si="1"/>
        <v>17</v>
      </c>
      <c r="K23" s="907">
        <f t="shared" si="2"/>
        <v>13</v>
      </c>
    </row>
    <row r="24" spans="1:11" x14ac:dyDescent="0.25">
      <c r="A24" t="s">
        <v>1905</v>
      </c>
      <c r="B24" t="s">
        <v>1919</v>
      </c>
      <c r="C24" s="33">
        <v>45506</v>
      </c>
      <c r="D24" s="903">
        <v>0.7</v>
      </c>
      <c r="E24" s="34">
        <v>0.21</v>
      </c>
      <c r="F24" s="903" t="s">
        <v>1896</v>
      </c>
      <c r="G24" s="35">
        <f t="shared" si="0"/>
        <v>3.3912228641128854E-2</v>
      </c>
      <c r="H24" s="907">
        <f t="shared" si="1"/>
        <v>2</v>
      </c>
      <c r="I24" s="907">
        <f t="shared" si="1"/>
        <v>1</v>
      </c>
      <c r="J24" s="907">
        <f t="shared" si="1"/>
        <v>19</v>
      </c>
      <c r="K24" s="907">
        <f t="shared" si="2"/>
        <v>9</v>
      </c>
    </row>
    <row r="25" spans="1:11" x14ac:dyDescent="0.25">
      <c r="A25" s="36" t="s">
        <v>1920</v>
      </c>
      <c r="B25" s="36" t="s">
        <v>1921</v>
      </c>
      <c r="C25" s="37">
        <v>100959</v>
      </c>
      <c r="D25" s="38">
        <v>5.7</v>
      </c>
      <c r="E25" s="39">
        <v>0.22</v>
      </c>
      <c r="F25" s="38" t="s">
        <v>1895</v>
      </c>
      <c r="G25" s="35">
        <f t="shared" si="0"/>
        <v>0.12446773012943436</v>
      </c>
      <c r="H25" s="907">
        <f t="shared" si="1"/>
        <v>18</v>
      </c>
      <c r="I25" s="907">
        <f t="shared" si="1"/>
        <v>29</v>
      </c>
      <c r="J25" s="907">
        <f t="shared" si="1"/>
        <v>20</v>
      </c>
      <c r="K25" s="907">
        <f t="shared" si="2"/>
        <v>27</v>
      </c>
    </row>
    <row r="26" spans="1:11" x14ac:dyDescent="0.25">
      <c r="A26" t="s">
        <v>1922</v>
      </c>
      <c r="B26" t="s">
        <v>1923</v>
      </c>
      <c r="C26" s="33">
        <v>78252</v>
      </c>
      <c r="D26" s="903">
        <v>4.7</v>
      </c>
      <c r="E26" s="34">
        <v>0.23</v>
      </c>
      <c r="F26" s="903" t="s">
        <v>1895</v>
      </c>
      <c r="G26" s="35">
        <f t="shared" si="0"/>
        <v>0.13241261601260917</v>
      </c>
      <c r="H26" s="907">
        <f t="shared" si="1"/>
        <v>13</v>
      </c>
      <c r="I26" s="907">
        <f t="shared" si="1"/>
        <v>24</v>
      </c>
      <c r="J26" s="907">
        <f t="shared" si="1"/>
        <v>21</v>
      </c>
      <c r="K26" s="907">
        <f t="shared" si="2"/>
        <v>30</v>
      </c>
    </row>
    <row r="27" spans="1:11" x14ac:dyDescent="0.25">
      <c r="A27" t="s">
        <v>1924</v>
      </c>
      <c r="B27" t="s">
        <v>1925</v>
      </c>
      <c r="C27" s="33">
        <v>116597</v>
      </c>
      <c r="D27" s="903">
        <v>8.0399999999999991</v>
      </c>
      <c r="E27" s="34">
        <v>0.23</v>
      </c>
      <c r="F27" s="903" t="s">
        <v>1895</v>
      </c>
      <c r="G27" s="35">
        <f t="shared" si="0"/>
        <v>0.15201821423250789</v>
      </c>
      <c r="H27" s="907">
        <f t="shared" si="1"/>
        <v>23</v>
      </c>
      <c r="I27" s="907">
        <f t="shared" si="1"/>
        <v>35</v>
      </c>
      <c r="J27" s="907">
        <f t="shared" si="1"/>
        <v>21</v>
      </c>
      <c r="K27" s="907">
        <f t="shared" si="2"/>
        <v>32</v>
      </c>
    </row>
    <row r="28" spans="1:11" x14ac:dyDescent="0.25">
      <c r="A28" t="s">
        <v>1926</v>
      </c>
      <c r="B28" t="s">
        <v>1927</v>
      </c>
      <c r="C28" s="33">
        <v>48721</v>
      </c>
      <c r="D28" s="903">
        <v>2.5</v>
      </c>
      <c r="E28" s="34">
        <v>0.24</v>
      </c>
      <c r="F28" s="903" t="s">
        <v>1895</v>
      </c>
      <c r="G28" s="35">
        <f t="shared" si="0"/>
        <v>0.11312296227083142</v>
      </c>
      <c r="H28" s="907">
        <f t="shared" si="1"/>
        <v>4</v>
      </c>
      <c r="I28" s="907">
        <f t="shared" si="1"/>
        <v>11</v>
      </c>
      <c r="J28" s="907">
        <f t="shared" si="1"/>
        <v>23</v>
      </c>
      <c r="K28" s="907">
        <f t="shared" si="2"/>
        <v>22</v>
      </c>
    </row>
    <row r="29" spans="1:11" x14ac:dyDescent="0.25">
      <c r="A29" t="s">
        <v>1928</v>
      </c>
      <c r="B29" t="s">
        <v>1929</v>
      </c>
      <c r="C29" s="33">
        <v>65336</v>
      </c>
      <c r="D29" s="903">
        <v>3.75</v>
      </c>
      <c r="E29" s="34">
        <v>0.26</v>
      </c>
      <c r="F29" s="903" t="s">
        <v>1895</v>
      </c>
      <c r="G29" s="35">
        <f t="shared" si="0"/>
        <v>0.12653354608784997</v>
      </c>
      <c r="H29" s="907">
        <f t="shared" si="1"/>
        <v>6</v>
      </c>
      <c r="I29" s="907">
        <f t="shared" si="1"/>
        <v>20</v>
      </c>
      <c r="J29" s="907">
        <f t="shared" si="1"/>
        <v>24</v>
      </c>
      <c r="K29" s="907">
        <f t="shared" si="2"/>
        <v>28</v>
      </c>
    </row>
    <row r="30" spans="1:11" x14ac:dyDescent="0.25">
      <c r="A30" t="s">
        <v>1930</v>
      </c>
      <c r="B30" t="s">
        <v>1931</v>
      </c>
      <c r="C30" s="33">
        <v>112655</v>
      </c>
      <c r="D30" s="903">
        <v>6.1</v>
      </c>
      <c r="E30" s="34">
        <v>0.26</v>
      </c>
      <c r="F30" s="903" t="s">
        <v>1895</v>
      </c>
      <c r="G30" s="35">
        <f t="shared" si="0"/>
        <v>0.11937305739918437</v>
      </c>
      <c r="H30" s="907">
        <f t="shared" si="1"/>
        <v>22</v>
      </c>
      <c r="I30" s="907">
        <f t="shared" si="1"/>
        <v>31</v>
      </c>
      <c r="J30" s="907">
        <f t="shared" si="1"/>
        <v>24</v>
      </c>
      <c r="K30" s="907">
        <f t="shared" si="2"/>
        <v>25</v>
      </c>
    </row>
    <row r="31" spans="1:11" x14ac:dyDescent="0.25">
      <c r="A31" t="s">
        <v>1932</v>
      </c>
      <c r="B31" t="s">
        <v>1933</v>
      </c>
      <c r="C31" s="33">
        <v>80368</v>
      </c>
      <c r="D31" s="903">
        <v>5.6</v>
      </c>
      <c r="E31" s="34">
        <v>0.27</v>
      </c>
      <c r="F31" s="903" t="s">
        <v>1895</v>
      </c>
      <c r="G31" s="35">
        <f t="shared" si="0"/>
        <v>0.15361436159100236</v>
      </c>
      <c r="H31" s="907">
        <f t="shared" si="1"/>
        <v>14</v>
      </c>
      <c r="I31" s="907">
        <f t="shared" si="1"/>
        <v>28</v>
      </c>
      <c r="J31" s="907">
        <f t="shared" si="1"/>
        <v>26</v>
      </c>
      <c r="K31" s="907">
        <f t="shared" si="2"/>
        <v>33</v>
      </c>
    </row>
    <row r="32" spans="1:11" x14ac:dyDescent="0.25">
      <c r="A32" t="s">
        <v>1934</v>
      </c>
      <c r="B32" t="s">
        <v>1935</v>
      </c>
      <c r="C32" s="33">
        <v>66290</v>
      </c>
      <c r="D32" s="903">
        <v>8.4</v>
      </c>
      <c r="E32" s="34">
        <v>0.27</v>
      </c>
      <c r="F32" s="903" t="s">
        <v>1895</v>
      </c>
      <c r="G32" s="35">
        <f t="shared" si="0"/>
        <v>0.27935613996860037</v>
      </c>
      <c r="H32" s="907">
        <f t="shared" si="1"/>
        <v>7</v>
      </c>
      <c r="I32" s="907">
        <f t="shared" si="1"/>
        <v>36</v>
      </c>
      <c r="J32" s="907">
        <f t="shared" si="1"/>
        <v>26</v>
      </c>
      <c r="K32" s="907">
        <f t="shared" si="2"/>
        <v>37</v>
      </c>
    </row>
    <row r="33" spans="1:11" x14ac:dyDescent="0.25">
      <c r="A33" t="s">
        <v>27</v>
      </c>
      <c r="B33" t="s">
        <v>1936</v>
      </c>
      <c r="C33" s="33">
        <v>107459</v>
      </c>
      <c r="D33" s="903">
        <v>5.5</v>
      </c>
      <c r="E33" s="34">
        <v>0.27</v>
      </c>
      <c r="F33" s="903" t="s">
        <v>1895</v>
      </c>
      <c r="G33" s="35">
        <f t="shared" si="0"/>
        <v>0.11283578349467044</v>
      </c>
      <c r="H33" s="907">
        <f t="shared" si="1"/>
        <v>20</v>
      </c>
      <c r="I33" s="907">
        <f t="shared" si="1"/>
        <v>27</v>
      </c>
      <c r="J33" s="907">
        <f t="shared" si="1"/>
        <v>26</v>
      </c>
      <c r="K33" s="907">
        <f t="shared" si="2"/>
        <v>21</v>
      </c>
    </row>
    <row r="34" spans="1:11" x14ac:dyDescent="0.25">
      <c r="A34" t="s">
        <v>1899</v>
      </c>
      <c r="B34" t="s">
        <v>1937</v>
      </c>
      <c r="C34" s="33">
        <v>160599</v>
      </c>
      <c r="D34" s="903">
        <v>10.7</v>
      </c>
      <c r="E34" s="34">
        <v>0.28000000000000003</v>
      </c>
      <c r="F34" s="903" t="s">
        <v>1895</v>
      </c>
      <c r="G34" s="35">
        <f t="shared" si="0"/>
        <v>0.14688176922478921</v>
      </c>
      <c r="H34" s="907">
        <f t="shared" si="1"/>
        <v>30</v>
      </c>
      <c r="I34" s="907">
        <f t="shared" si="1"/>
        <v>37</v>
      </c>
      <c r="J34" s="907">
        <f t="shared" si="1"/>
        <v>29</v>
      </c>
      <c r="K34" s="907">
        <f t="shared" si="2"/>
        <v>31</v>
      </c>
    </row>
    <row r="35" spans="1:11" x14ac:dyDescent="0.25">
      <c r="A35" s="36" t="s">
        <v>1938</v>
      </c>
      <c r="B35" s="36" t="s">
        <v>1939</v>
      </c>
      <c r="C35" s="37">
        <v>45786</v>
      </c>
      <c r="D35" s="38">
        <v>5.0999999999999996</v>
      </c>
      <c r="E35" s="39">
        <v>0.28999999999999998</v>
      </c>
      <c r="F35" s="38" t="s">
        <v>1895</v>
      </c>
      <c r="G35" s="35">
        <f t="shared" si="0"/>
        <v>0.24556384579098944</v>
      </c>
      <c r="H35" s="907">
        <f t="shared" si="1"/>
        <v>3</v>
      </c>
      <c r="I35" s="907">
        <f t="shared" si="1"/>
        <v>26</v>
      </c>
      <c r="J35" s="907">
        <f t="shared" si="1"/>
        <v>30</v>
      </c>
      <c r="K35" s="907">
        <f t="shared" si="2"/>
        <v>36</v>
      </c>
    </row>
    <row r="36" spans="1:11" x14ac:dyDescent="0.25">
      <c r="A36" t="s">
        <v>1922</v>
      </c>
      <c r="B36" t="s">
        <v>1940</v>
      </c>
      <c r="C36" s="33">
        <v>160421</v>
      </c>
      <c r="D36" s="903">
        <v>7.3</v>
      </c>
      <c r="E36" s="34">
        <v>0.3</v>
      </c>
      <c r="F36" s="903" t="s">
        <v>1895</v>
      </c>
      <c r="G36" s="35">
        <f t="shared" si="0"/>
        <v>0.1003202475162713</v>
      </c>
      <c r="H36" s="907">
        <f t="shared" si="1"/>
        <v>29</v>
      </c>
      <c r="I36" s="907">
        <f t="shared" si="1"/>
        <v>34</v>
      </c>
      <c r="J36" s="907">
        <f t="shared" si="1"/>
        <v>31</v>
      </c>
      <c r="K36" s="907">
        <f t="shared" si="2"/>
        <v>20</v>
      </c>
    </row>
    <row r="37" spans="1:11" x14ac:dyDescent="0.25">
      <c r="A37" t="s">
        <v>1917</v>
      </c>
      <c r="B37" t="s">
        <v>1941</v>
      </c>
      <c r="C37" s="33">
        <v>73573</v>
      </c>
      <c r="D37" s="903">
        <v>3.9</v>
      </c>
      <c r="E37" s="34">
        <v>0.31</v>
      </c>
      <c r="F37" s="903" t="s">
        <v>1895</v>
      </c>
      <c r="G37" s="35">
        <f t="shared" si="0"/>
        <v>0.11686194117248988</v>
      </c>
      <c r="H37" s="907">
        <f t="shared" si="1"/>
        <v>10</v>
      </c>
      <c r="I37" s="907">
        <f t="shared" si="1"/>
        <v>21</v>
      </c>
      <c r="J37" s="907">
        <f t="shared" si="1"/>
        <v>32</v>
      </c>
      <c r="K37" s="907">
        <f t="shared" si="2"/>
        <v>24</v>
      </c>
    </row>
    <row r="38" spans="1:11" x14ac:dyDescent="0.25">
      <c r="A38" t="s">
        <v>1917</v>
      </c>
      <c r="B38" t="s">
        <v>1942</v>
      </c>
      <c r="C38" s="33">
        <v>77135</v>
      </c>
      <c r="D38" s="903">
        <v>4.5</v>
      </c>
      <c r="E38" s="34">
        <v>0.31</v>
      </c>
      <c r="F38" s="903" t="s">
        <v>1895</v>
      </c>
      <c r="G38" s="35">
        <f t="shared" si="0"/>
        <v>0.1286139226114594</v>
      </c>
      <c r="H38" s="907">
        <f t="shared" si="1"/>
        <v>12</v>
      </c>
      <c r="I38" s="907">
        <f t="shared" si="1"/>
        <v>23</v>
      </c>
      <c r="J38" s="907">
        <f t="shared" si="1"/>
        <v>32</v>
      </c>
      <c r="K38" s="907">
        <f t="shared" si="2"/>
        <v>29</v>
      </c>
    </row>
    <row r="39" spans="1:11" x14ac:dyDescent="0.25">
      <c r="A39" t="s">
        <v>27</v>
      </c>
      <c r="B39" t="s">
        <v>1943</v>
      </c>
      <c r="C39" s="33">
        <v>160000</v>
      </c>
      <c r="D39" s="903">
        <v>6.4</v>
      </c>
      <c r="E39" s="34">
        <v>0.31</v>
      </c>
      <c r="F39" s="903" t="s">
        <v>1895</v>
      </c>
      <c r="G39" s="35">
        <f t="shared" si="0"/>
        <v>8.8183421516754845E-2</v>
      </c>
      <c r="H39" s="907">
        <f t="shared" si="1"/>
        <v>28</v>
      </c>
      <c r="I39" s="907">
        <f t="shared" si="1"/>
        <v>33</v>
      </c>
      <c r="J39" s="907">
        <f t="shared" si="1"/>
        <v>32</v>
      </c>
      <c r="K39" s="907">
        <f t="shared" si="2"/>
        <v>18</v>
      </c>
    </row>
    <row r="40" spans="1:11" x14ac:dyDescent="0.25">
      <c r="A40" t="s">
        <v>1934</v>
      </c>
      <c r="B40" t="s">
        <v>1944</v>
      </c>
      <c r="C40" s="33">
        <v>64047</v>
      </c>
      <c r="D40" s="903">
        <v>5.96</v>
      </c>
      <c r="E40" s="34">
        <v>0.31</v>
      </c>
      <c r="F40" s="903" t="s">
        <v>1895</v>
      </c>
      <c r="G40" s="35">
        <f t="shared" si="0"/>
        <v>0.20515137018121804</v>
      </c>
      <c r="H40" s="907">
        <f t="shared" si="1"/>
        <v>5</v>
      </c>
      <c r="I40" s="907">
        <f t="shared" si="1"/>
        <v>30</v>
      </c>
      <c r="J40" s="907">
        <f t="shared" si="1"/>
        <v>32</v>
      </c>
      <c r="K40" s="907">
        <f t="shared" si="2"/>
        <v>34</v>
      </c>
    </row>
    <row r="41" spans="1:11" x14ac:dyDescent="0.25">
      <c r="A41" t="s">
        <v>1934</v>
      </c>
      <c r="B41" t="s">
        <v>1945</v>
      </c>
      <c r="C41" s="33">
        <v>177333</v>
      </c>
      <c r="D41" s="903">
        <v>6.1</v>
      </c>
      <c r="E41" s="34">
        <v>0.31</v>
      </c>
      <c r="F41" s="903" t="s">
        <v>1895</v>
      </c>
      <c r="G41" s="35">
        <f t="shared" si="0"/>
        <v>7.5834569884370734E-2</v>
      </c>
      <c r="H41" s="907">
        <f t="shared" si="1"/>
        <v>32</v>
      </c>
      <c r="I41" s="907">
        <f t="shared" si="1"/>
        <v>31</v>
      </c>
      <c r="J41" s="907">
        <f t="shared" si="1"/>
        <v>32</v>
      </c>
      <c r="K41" s="907">
        <f t="shared" si="2"/>
        <v>16</v>
      </c>
    </row>
    <row r="42" spans="1:11" x14ac:dyDescent="0.25">
      <c r="A42" t="s">
        <v>1930</v>
      </c>
      <c r="B42" t="s">
        <v>1946</v>
      </c>
      <c r="C42" s="33">
        <v>44502</v>
      </c>
      <c r="D42" s="903">
        <v>4.2</v>
      </c>
      <c r="E42" s="34">
        <v>0.32</v>
      </c>
      <c r="F42" s="903" t="s">
        <v>1895</v>
      </c>
      <c r="G42" s="35">
        <f t="shared" si="0"/>
        <v>0.20806389059501279</v>
      </c>
      <c r="H42" s="907">
        <f t="shared" si="1"/>
        <v>1</v>
      </c>
      <c r="I42" s="907">
        <f t="shared" si="1"/>
        <v>22</v>
      </c>
      <c r="J42" s="907">
        <f t="shared" si="1"/>
        <v>37</v>
      </c>
      <c r="K42" s="907">
        <f t="shared" si="2"/>
        <v>35</v>
      </c>
    </row>
    <row r="43" spans="1:11" x14ac:dyDescent="0.25">
      <c r="C43" s="2"/>
      <c r="D43" s="2"/>
      <c r="E43" s="2"/>
    </row>
    <row r="44" spans="1:11" x14ac:dyDescent="0.25">
      <c r="A44" s="40" t="s">
        <v>1947</v>
      </c>
    </row>
    <row r="45" spans="1:11" x14ac:dyDescent="0.25">
      <c r="A45" s="953" t="s">
        <v>1948</v>
      </c>
      <c r="B45" s="953"/>
      <c r="C45" s="953"/>
      <c r="D45" s="953"/>
      <c r="E45" s="953"/>
      <c r="F45" s="953"/>
    </row>
    <row r="46" spans="1:11" ht="30" customHeight="1" x14ac:dyDescent="0.25">
      <c r="A46" s="954" t="s">
        <v>1949</v>
      </c>
      <c r="B46" s="954"/>
      <c r="C46" s="954"/>
      <c r="D46" s="954"/>
      <c r="E46" s="954"/>
      <c r="F46" s="954"/>
    </row>
    <row r="47" spans="1:11" x14ac:dyDescent="0.25">
      <c r="A47" s="40" t="s">
        <v>1950</v>
      </c>
    </row>
    <row r="48" spans="1:11" x14ac:dyDescent="0.25">
      <c r="A48" s="41" t="s">
        <v>1951</v>
      </c>
    </row>
    <row r="49" spans="3:11" x14ac:dyDescent="0.25">
      <c r="H49" s="917" t="s">
        <v>1952</v>
      </c>
      <c r="I49" s="917"/>
      <c r="J49" s="917"/>
      <c r="K49" s="917"/>
    </row>
    <row r="50" spans="3:11" x14ac:dyDescent="0.25">
      <c r="C50" s="923" t="s">
        <v>1953</v>
      </c>
      <c r="D50" s="923"/>
      <c r="E50" s="923"/>
      <c r="F50" s="923"/>
      <c r="H50" s="918" t="s">
        <v>1954</v>
      </c>
      <c r="I50" s="918"/>
      <c r="J50" s="918"/>
      <c r="K50" s="918"/>
    </row>
    <row r="51" spans="3:11" x14ac:dyDescent="0.25">
      <c r="H51" s="1" t="s">
        <v>1955</v>
      </c>
      <c r="I51" s="11">
        <f t="array" ref="I51:J55">LINEST($D$6:$D$42,$E$6:$E$42,FALSE,TRUE)</f>
        <v>19.873801648259231</v>
      </c>
      <c r="J51">
        <v>0</v>
      </c>
      <c r="K51" s="6" t="s">
        <v>1956</v>
      </c>
    </row>
    <row r="52" spans="3:11" x14ac:dyDescent="0.25">
      <c r="H52" s="1" t="s">
        <v>1957</v>
      </c>
      <c r="I52" s="11">
        <v>1.2703262730638791</v>
      </c>
      <c r="J52" t="e">
        <v>#N/A</v>
      </c>
      <c r="K52" s="6"/>
    </row>
    <row r="53" spans="3:11" x14ac:dyDescent="0.25">
      <c r="H53" s="1" t="s">
        <v>1958</v>
      </c>
      <c r="I53" s="11">
        <v>0.87177426329221841</v>
      </c>
      <c r="J53" s="11">
        <v>1.6965872014054759</v>
      </c>
      <c r="K53" s="6" t="s">
        <v>1959</v>
      </c>
    </row>
    <row r="54" spans="3:11" x14ac:dyDescent="0.25">
      <c r="H54" s="1" t="s">
        <v>1960</v>
      </c>
      <c r="I54" s="42">
        <v>244.75486968767999</v>
      </c>
      <c r="J54">
        <v>36</v>
      </c>
      <c r="K54" s="6" t="s">
        <v>1961</v>
      </c>
    </row>
    <row r="55" spans="3:11" x14ac:dyDescent="0.25">
      <c r="H55" s="1" t="s">
        <v>1962</v>
      </c>
      <c r="I55" s="42">
        <v>704.50440724897692</v>
      </c>
      <c r="J55" s="43">
        <v>103.62269275102314</v>
      </c>
      <c r="K55" s="6" t="s">
        <v>1963</v>
      </c>
    </row>
    <row r="59" spans="3:11" x14ac:dyDescent="0.25">
      <c r="C59" s="631"/>
    </row>
    <row r="60" spans="3:11" x14ac:dyDescent="0.25">
      <c r="C60" s="629"/>
    </row>
    <row r="61" spans="3:11" x14ac:dyDescent="0.25">
      <c r="H61" s="2" t="s">
        <v>1964</v>
      </c>
      <c r="I61" s="2" t="s">
        <v>1965</v>
      </c>
    </row>
    <row r="62" spans="3:11" x14ac:dyDescent="0.25">
      <c r="H62" s="44" t="s">
        <v>33</v>
      </c>
      <c r="I62" s="45" t="s">
        <v>34</v>
      </c>
    </row>
    <row r="63" spans="3:11" x14ac:dyDescent="0.25">
      <c r="H63" s="46">
        <f>[8]CalcsMid!$K$5</f>
        <v>1.5</v>
      </c>
      <c r="I63" s="47">
        <f>IF(H63="-","-",H63/I51)</f>
        <v>7.5476248910403443E-2</v>
      </c>
    </row>
  </sheetData>
  <mergeCells count="8">
    <mergeCell ref="C50:F50"/>
    <mergeCell ref="H50:K50"/>
    <mergeCell ref="A1:F1"/>
    <mergeCell ref="A2:F2"/>
    <mergeCell ref="G4:K4"/>
    <mergeCell ref="A45:F45"/>
    <mergeCell ref="A46:F46"/>
    <mergeCell ref="H49:K49"/>
  </mergeCells>
  <hyperlinks>
    <hyperlink ref="A48" r:id="rId1"/>
  </hyperlinks>
  <pageMargins left="0.7" right="0.7" top="0.75" bottom="0.75" header="0.3" footer="0.3"/>
  <pageSetup orientation="portrait" r:id="rId2"/>
  <drawing r:id="rId3"/>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44"/>
  <sheetViews>
    <sheetView workbookViewId="0">
      <selection sqref="A1:G1"/>
    </sheetView>
  </sheetViews>
  <sheetFormatPr defaultRowHeight="15" x14ac:dyDescent="0.25"/>
  <cols>
    <col min="1" max="1" width="28.42578125" customWidth="1"/>
    <col min="2" max="2" width="23.28515625" customWidth="1"/>
    <col min="3" max="3" width="17.28515625" customWidth="1"/>
    <col min="4" max="4" width="36" customWidth="1"/>
    <col min="5" max="5" width="21" customWidth="1"/>
    <col min="6" max="6" width="19.7109375" customWidth="1"/>
    <col min="7" max="7" width="11.7109375" customWidth="1"/>
  </cols>
  <sheetData>
    <row r="1" spans="1:7" x14ac:dyDescent="0.25">
      <c r="A1" s="923" t="s">
        <v>1881</v>
      </c>
      <c r="B1" s="923"/>
      <c r="C1" s="923"/>
      <c r="D1" s="923"/>
      <c r="E1" s="923"/>
      <c r="F1" s="923"/>
      <c r="G1" s="923"/>
    </row>
    <row r="2" spans="1:7" x14ac:dyDescent="0.25">
      <c r="A2" s="923" t="s">
        <v>1966</v>
      </c>
      <c r="B2" s="923"/>
      <c r="C2" s="923"/>
      <c r="D2" s="923"/>
      <c r="E2" s="923"/>
      <c r="F2" s="923"/>
      <c r="G2" s="923"/>
    </row>
    <row r="4" spans="1:7" s="48" customFormat="1" ht="15" customHeight="1" x14ac:dyDescent="0.35">
      <c r="A4" s="955" t="s">
        <v>1967</v>
      </c>
      <c r="B4" s="955"/>
      <c r="C4" s="955"/>
      <c r="D4" s="955"/>
      <c r="E4" s="955"/>
      <c r="F4" s="955"/>
      <c r="G4" s="955"/>
    </row>
    <row r="5" spans="1:7" ht="48" customHeight="1" thickBot="1" x14ac:dyDescent="0.3">
      <c r="A5" s="30" t="s">
        <v>1884</v>
      </c>
      <c r="B5" s="30" t="s">
        <v>1885</v>
      </c>
      <c r="C5" s="30" t="s">
        <v>1886</v>
      </c>
      <c r="D5" s="30" t="s">
        <v>1968</v>
      </c>
      <c r="E5" s="30" t="s">
        <v>1969</v>
      </c>
      <c r="F5" s="30" t="s">
        <v>1970</v>
      </c>
      <c r="G5" s="30" t="s">
        <v>1971</v>
      </c>
    </row>
    <row r="6" spans="1:7" ht="15" customHeight="1" thickTop="1" x14ac:dyDescent="0.25">
      <c r="A6" s="908" t="s">
        <v>1972</v>
      </c>
      <c r="B6" s="908" t="s">
        <v>1973</v>
      </c>
      <c r="C6" s="50">
        <v>66290</v>
      </c>
      <c r="D6" s="51" t="s">
        <v>1974</v>
      </c>
      <c r="E6" s="51">
        <v>0.182</v>
      </c>
      <c r="F6" s="51">
        <v>0.27</v>
      </c>
      <c r="G6" s="51">
        <v>18.023</v>
      </c>
    </row>
    <row r="7" spans="1:7" ht="15" customHeight="1" x14ac:dyDescent="0.25">
      <c r="A7" s="908" t="s">
        <v>27</v>
      </c>
      <c r="B7" s="908" t="s">
        <v>1943</v>
      </c>
      <c r="C7" s="50">
        <v>160001</v>
      </c>
      <c r="D7" s="51" t="s">
        <v>1975</v>
      </c>
      <c r="E7" s="51">
        <v>0.2</v>
      </c>
      <c r="F7" s="51">
        <v>0.31</v>
      </c>
      <c r="G7" s="51">
        <v>17.600000000000001</v>
      </c>
    </row>
    <row r="8" spans="1:7" ht="15" customHeight="1" x14ac:dyDescent="0.25">
      <c r="A8" s="908" t="s">
        <v>1976</v>
      </c>
      <c r="B8" s="908" t="s">
        <v>1923</v>
      </c>
      <c r="C8" s="50">
        <v>44519</v>
      </c>
      <c r="D8" s="51" t="s">
        <v>1977</v>
      </c>
      <c r="E8" s="51">
        <v>0.19900000000000001</v>
      </c>
      <c r="F8" s="51">
        <v>0.35</v>
      </c>
      <c r="G8" s="51">
        <v>8.31</v>
      </c>
    </row>
    <row r="9" spans="1:7" ht="15" customHeight="1" x14ac:dyDescent="0.25">
      <c r="A9" s="908" t="s">
        <v>1978</v>
      </c>
      <c r="B9" s="908" t="s">
        <v>1979</v>
      </c>
      <c r="C9" s="50">
        <v>109528</v>
      </c>
      <c r="D9" s="51" t="s">
        <v>1980</v>
      </c>
      <c r="E9" s="51">
        <v>0.28000000000000003</v>
      </c>
      <c r="F9" s="51">
        <v>0.56000000000000005</v>
      </c>
      <c r="G9" s="51">
        <v>19.100000000000001</v>
      </c>
    </row>
    <row r="10" spans="1:7" ht="15" customHeight="1" x14ac:dyDescent="0.25">
      <c r="A10" s="908" t="s">
        <v>27</v>
      </c>
      <c r="B10" s="908" t="s">
        <v>1981</v>
      </c>
      <c r="C10" s="50">
        <v>89613</v>
      </c>
      <c r="D10" s="51" t="s">
        <v>1982</v>
      </c>
      <c r="E10" s="51">
        <v>0.33</v>
      </c>
      <c r="F10" s="51">
        <v>0.59</v>
      </c>
      <c r="G10" s="51">
        <v>19.940000000000001</v>
      </c>
    </row>
    <row r="11" spans="1:7" ht="15" customHeight="1" x14ac:dyDescent="0.25">
      <c r="A11" s="908" t="s">
        <v>1930</v>
      </c>
      <c r="B11" s="908" t="s">
        <v>1983</v>
      </c>
      <c r="C11" s="50">
        <v>87858</v>
      </c>
      <c r="D11" s="51" t="s">
        <v>1984</v>
      </c>
      <c r="E11" s="51">
        <v>0.3</v>
      </c>
      <c r="F11" s="51">
        <v>0.66</v>
      </c>
      <c r="G11" s="51">
        <v>41.5</v>
      </c>
    </row>
    <row r="12" spans="1:7" ht="15" customHeight="1" x14ac:dyDescent="0.25">
      <c r="A12" s="908" t="s">
        <v>1899</v>
      </c>
      <c r="B12" s="908" t="s">
        <v>1985</v>
      </c>
      <c r="C12" s="50">
        <v>157784</v>
      </c>
      <c r="D12" s="51" t="s">
        <v>1986</v>
      </c>
      <c r="E12" s="51">
        <v>0.41</v>
      </c>
      <c r="F12" s="51">
        <v>0.68</v>
      </c>
      <c r="G12" s="51">
        <v>47.6</v>
      </c>
    </row>
    <row r="13" spans="1:7" ht="15" customHeight="1" x14ac:dyDescent="0.25">
      <c r="A13" s="908" t="s">
        <v>1899</v>
      </c>
      <c r="B13" s="908" t="s">
        <v>1987</v>
      </c>
      <c r="C13" s="50">
        <v>71923</v>
      </c>
      <c r="D13" s="51" t="s">
        <v>1988</v>
      </c>
      <c r="E13" s="51">
        <v>0.35</v>
      </c>
      <c r="F13" s="51">
        <v>0.76</v>
      </c>
      <c r="G13" s="51">
        <v>33.4</v>
      </c>
    </row>
    <row r="14" spans="1:7" ht="15" customHeight="1" x14ac:dyDescent="0.25">
      <c r="A14" s="908" t="s">
        <v>1989</v>
      </c>
      <c r="B14" s="908" t="s">
        <v>1990</v>
      </c>
      <c r="C14" s="50">
        <v>73067</v>
      </c>
      <c r="D14" s="51" t="s">
        <v>1991</v>
      </c>
      <c r="E14" s="51">
        <v>0.40200000000000002</v>
      </c>
      <c r="F14" s="51">
        <v>0.77</v>
      </c>
      <c r="G14" s="51">
        <v>71.602000000000004</v>
      </c>
    </row>
    <row r="15" spans="1:7" ht="15" customHeight="1" x14ac:dyDescent="0.25">
      <c r="A15" s="908" t="s">
        <v>17</v>
      </c>
      <c r="B15" s="908" t="s">
        <v>1992</v>
      </c>
      <c r="C15" s="50">
        <v>66681</v>
      </c>
      <c r="D15" s="51" t="s">
        <v>1993</v>
      </c>
      <c r="E15" s="51">
        <v>0.54</v>
      </c>
      <c r="F15" s="51">
        <v>0.87</v>
      </c>
      <c r="G15" s="51">
        <v>42.7</v>
      </c>
    </row>
    <row r="16" spans="1:7" ht="15" customHeight="1" x14ac:dyDescent="0.25">
      <c r="A16" s="908" t="s">
        <v>1994</v>
      </c>
      <c r="B16" s="52">
        <v>100</v>
      </c>
      <c r="C16" s="50">
        <v>18248</v>
      </c>
      <c r="D16" s="51" t="s">
        <v>1995</v>
      </c>
      <c r="E16" s="51">
        <v>0.56399999999999995</v>
      </c>
      <c r="F16" s="51">
        <v>2.0459999999999998</v>
      </c>
      <c r="G16" s="51">
        <v>17.8</v>
      </c>
    </row>
    <row r="17" spans="1:7" ht="15" customHeight="1" x14ac:dyDescent="0.25">
      <c r="A17" s="908" t="s">
        <v>1978</v>
      </c>
      <c r="B17" s="908" t="s">
        <v>1996</v>
      </c>
      <c r="C17" s="50">
        <v>101020</v>
      </c>
      <c r="D17" s="51" t="s">
        <v>1997</v>
      </c>
      <c r="E17" s="51">
        <v>0.48799999999999999</v>
      </c>
      <c r="F17" s="51">
        <v>2.37</v>
      </c>
      <c r="G17" s="51">
        <v>34.770000000000003</v>
      </c>
    </row>
    <row r="18" spans="1:7" ht="15" customHeight="1" x14ac:dyDescent="0.25">
      <c r="A18" s="908"/>
      <c r="B18" s="908"/>
      <c r="C18" s="50"/>
      <c r="D18" s="51"/>
      <c r="E18" s="51"/>
      <c r="F18" s="51"/>
      <c r="G18" s="51"/>
    </row>
    <row r="19" spans="1:7" x14ac:dyDescent="0.25">
      <c r="A19" s="53" t="s">
        <v>1947</v>
      </c>
      <c r="B19" s="908"/>
      <c r="C19" s="51"/>
      <c r="D19" s="51"/>
      <c r="E19" s="51"/>
      <c r="F19" s="51"/>
      <c r="G19" s="51"/>
    </row>
    <row r="20" spans="1:7" ht="14.45" customHeight="1" x14ac:dyDescent="0.25">
      <c r="A20" s="954" t="s">
        <v>1948</v>
      </c>
      <c r="B20" s="953"/>
      <c r="C20" s="953"/>
      <c r="D20" s="953"/>
      <c r="E20" s="953"/>
      <c r="F20" s="953"/>
      <c r="G20" s="953"/>
    </row>
    <row r="21" spans="1:7" ht="14.45" customHeight="1" x14ac:dyDescent="0.25">
      <c r="A21" s="954" t="s">
        <v>1998</v>
      </c>
      <c r="B21" s="953"/>
      <c r="C21" s="953"/>
      <c r="D21" s="953"/>
      <c r="E21" s="953"/>
      <c r="F21" s="953"/>
      <c r="G21" s="953"/>
    </row>
    <row r="22" spans="1:7" ht="14.45" customHeight="1" x14ac:dyDescent="0.25">
      <c r="A22" s="954" t="s">
        <v>1999</v>
      </c>
      <c r="B22" s="953"/>
      <c r="C22" s="953"/>
      <c r="D22" s="953"/>
      <c r="E22" s="953"/>
      <c r="F22" s="953"/>
      <c r="G22" s="953"/>
    </row>
    <row r="24" spans="1:7" s="48" customFormat="1" ht="15" customHeight="1" x14ac:dyDescent="0.35">
      <c r="A24" s="955" t="s">
        <v>2000</v>
      </c>
      <c r="B24" s="955"/>
      <c r="C24" s="955"/>
      <c r="D24" s="955"/>
      <c r="E24" s="955"/>
      <c r="F24" s="955"/>
      <c r="G24" s="955"/>
    </row>
    <row r="25" spans="1:7" ht="48" customHeight="1" thickBot="1" x14ac:dyDescent="0.3">
      <c r="A25" s="30" t="s">
        <v>1884</v>
      </c>
      <c r="B25" s="30" t="s">
        <v>1885</v>
      </c>
      <c r="C25" s="30" t="s">
        <v>1886</v>
      </c>
      <c r="D25" s="30" t="s">
        <v>1968</v>
      </c>
      <c r="E25" s="30" t="s">
        <v>1969</v>
      </c>
      <c r="F25" s="30" t="s">
        <v>1970</v>
      </c>
      <c r="G25" s="30" t="s">
        <v>1971</v>
      </c>
    </row>
    <row r="26" spans="1:7" ht="15" customHeight="1" thickTop="1" x14ac:dyDescent="0.25">
      <c r="A26" s="908" t="s">
        <v>1934</v>
      </c>
      <c r="B26" s="908" t="s">
        <v>1973</v>
      </c>
      <c r="C26" s="50">
        <v>66290</v>
      </c>
      <c r="D26" s="51" t="s">
        <v>2001</v>
      </c>
      <c r="E26" s="51">
        <v>0.186</v>
      </c>
      <c r="F26" s="51">
        <v>0.28000000000000003</v>
      </c>
      <c r="G26" s="51">
        <v>18.023</v>
      </c>
    </row>
    <row r="27" spans="1:7" ht="15" customHeight="1" x14ac:dyDescent="0.25">
      <c r="A27" s="908" t="s">
        <v>1976</v>
      </c>
      <c r="B27" s="908" t="s">
        <v>1923</v>
      </c>
      <c r="C27" s="50">
        <v>44519</v>
      </c>
      <c r="D27" s="51" t="s">
        <v>2002</v>
      </c>
      <c r="E27" s="51">
        <v>0.20100000000000001</v>
      </c>
      <c r="F27" s="51">
        <v>0.32</v>
      </c>
      <c r="G27" s="51">
        <v>8.31</v>
      </c>
    </row>
    <row r="28" spans="1:7" ht="15" customHeight="1" x14ac:dyDescent="0.25">
      <c r="A28" s="908" t="s">
        <v>27</v>
      </c>
      <c r="B28" s="908" t="s">
        <v>1943</v>
      </c>
      <c r="C28" s="50">
        <v>160001</v>
      </c>
      <c r="D28" s="51" t="s">
        <v>2003</v>
      </c>
      <c r="E28" s="51">
        <v>0.21</v>
      </c>
      <c r="F28" s="51">
        <v>0.32</v>
      </c>
      <c r="G28" s="51">
        <v>17.600000000000001</v>
      </c>
    </row>
    <row r="29" spans="1:7" ht="15" customHeight="1" x14ac:dyDescent="0.25">
      <c r="A29" s="908" t="s">
        <v>2004</v>
      </c>
      <c r="B29" s="908" t="s">
        <v>1979</v>
      </c>
      <c r="C29" s="50">
        <v>109528</v>
      </c>
      <c r="D29" s="51" t="s">
        <v>2005</v>
      </c>
      <c r="E29" s="51">
        <v>0.2</v>
      </c>
      <c r="F29" s="51">
        <v>0.39</v>
      </c>
      <c r="G29" s="51">
        <v>19.100000000000001</v>
      </c>
    </row>
    <row r="30" spans="1:7" ht="15" customHeight="1" x14ac:dyDescent="0.25">
      <c r="A30" s="908" t="s">
        <v>27</v>
      </c>
      <c r="B30" s="908" t="s">
        <v>1981</v>
      </c>
      <c r="C30" s="50">
        <v>89613</v>
      </c>
      <c r="D30" s="51" t="s">
        <v>2006</v>
      </c>
      <c r="E30" s="51">
        <v>0.31</v>
      </c>
      <c r="F30" s="51">
        <v>0.51</v>
      </c>
      <c r="G30" s="51">
        <v>19.940000000000001</v>
      </c>
    </row>
    <row r="31" spans="1:7" ht="15" customHeight="1" x14ac:dyDescent="0.25">
      <c r="A31" s="908" t="s">
        <v>1930</v>
      </c>
      <c r="B31" s="908" t="s">
        <v>1983</v>
      </c>
      <c r="C31" s="50">
        <v>87858</v>
      </c>
      <c r="D31" s="51" t="s">
        <v>2007</v>
      </c>
      <c r="E31" s="51">
        <v>0.3</v>
      </c>
      <c r="F31" s="51">
        <v>0.65</v>
      </c>
      <c r="G31" s="51">
        <v>41.5</v>
      </c>
    </row>
    <row r="32" spans="1:7" ht="15" customHeight="1" x14ac:dyDescent="0.25">
      <c r="A32" s="908" t="s">
        <v>2008</v>
      </c>
      <c r="B32" s="908" t="s">
        <v>2009</v>
      </c>
      <c r="C32" s="50">
        <v>27441</v>
      </c>
      <c r="D32" s="51" t="s">
        <v>2010</v>
      </c>
      <c r="E32" s="51">
        <v>0.434</v>
      </c>
      <c r="F32" s="51">
        <v>0.8</v>
      </c>
      <c r="G32" s="51">
        <v>24.05</v>
      </c>
    </row>
    <row r="33" spans="1:7" ht="15" customHeight="1" x14ac:dyDescent="0.25">
      <c r="A33" s="908" t="s">
        <v>2011</v>
      </c>
      <c r="B33" s="908" t="s">
        <v>1990</v>
      </c>
      <c r="C33" s="50">
        <v>73067</v>
      </c>
      <c r="D33" s="51" t="s">
        <v>2012</v>
      </c>
      <c r="E33" s="51">
        <v>0.47899999999999998</v>
      </c>
      <c r="F33" s="51">
        <v>0.9</v>
      </c>
      <c r="G33" s="51">
        <v>71.602000000000004</v>
      </c>
    </row>
    <row r="34" spans="1:7" ht="15" customHeight="1" x14ac:dyDescent="0.25">
      <c r="A34" s="908" t="s">
        <v>1905</v>
      </c>
      <c r="B34" s="908" t="s">
        <v>2013</v>
      </c>
      <c r="C34" s="50">
        <v>63807</v>
      </c>
      <c r="D34" s="51" t="s">
        <v>2014</v>
      </c>
      <c r="E34" s="51">
        <v>0.55100000000000005</v>
      </c>
      <c r="F34" s="51">
        <v>1.17</v>
      </c>
      <c r="G34" s="51">
        <v>26.988</v>
      </c>
    </row>
    <row r="35" spans="1:7" ht="15" customHeight="1" x14ac:dyDescent="0.25">
      <c r="A35" s="908" t="s">
        <v>1994</v>
      </c>
      <c r="B35" s="52">
        <v>100</v>
      </c>
      <c r="C35" s="50">
        <v>18248</v>
      </c>
      <c r="D35" s="51" t="s">
        <v>2015</v>
      </c>
      <c r="E35" s="51">
        <v>0.41799999999999998</v>
      </c>
      <c r="F35" s="51">
        <v>1.3620000000000001</v>
      </c>
      <c r="G35" s="51">
        <v>17.8</v>
      </c>
    </row>
    <row r="36" spans="1:7" ht="15" customHeight="1" x14ac:dyDescent="0.25">
      <c r="A36" s="908" t="s">
        <v>2004</v>
      </c>
      <c r="B36" s="52" t="s">
        <v>1996</v>
      </c>
      <c r="C36" s="50">
        <v>101020</v>
      </c>
      <c r="D36" s="51" t="s">
        <v>2016</v>
      </c>
      <c r="E36" s="51">
        <v>0.37</v>
      </c>
      <c r="F36" s="51">
        <v>1.48</v>
      </c>
      <c r="G36" s="51">
        <v>34.770000000000003</v>
      </c>
    </row>
    <row r="37" spans="1:7" ht="15" customHeight="1" x14ac:dyDescent="0.25">
      <c r="A37" s="908"/>
      <c r="B37" s="52"/>
      <c r="C37" s="50"/>
      <c r="D37" s="51"/>
      <c r="E37" s="51"/>
      <c r="F37" s="51"/>
      <c r="G37" s="51"/>
    </row>
    <row r="38" spans="1:7" x14ac:dyDescent="0.25">
      <c r="A38" s="53" t="s">
        <v>1947</v>
      </c>
      <c r="B38" s="52"/>
      <c r="C38" s="51"/>
      <c r="D38" s="51"/>
      <c r="E38" s="51"/>
      <c r="F38" s="51"/>
      <c r="G38" s="51"/>
    </row>
    <row r="39" spans="1:7" ht="14.45" customHeight="1" x14ac:dyDescent="0.25">
      <c r="A39" s="954" t="s">
        <v>1948</v>
      </c>
      <c r="B39" s="953"/>
      <c r="C39" s="953"/>
      <c r="D39" s="953"/>
      <c r="E39" s="953"/>
      <c r="F39" s="953"/>
      <c r="G39" s="953"/>
    </row>
    <row r="40" spans="1:7" ht="14.45" customHeight="1" x14ac:dyDescent="0.25">
      <c r="A40" s="954" t="s">
        <v>1998</v>
      </c>
      <c r="B40" s="953"/>
      <c r="C40" s="953"/>
      <c r="D40" s="953"/>
      <c r="E40" s="953"/>
      <c r="F40" s="953"/>
      <c r="G40" s="953"/>
    </row>
    <row r="41" spans="1:7" ht="14.45" customHeight="1" x14ac:dyDescent="0.25">
      <c r="A41" s="954" t="s">
        <v>1999</v>
      </c>
      <c r="B41" s="953"/>
      <c r="C41" s="953"/>
      <c r="D41" s="953"/>
      <c r="E41" s="953"/>
      <c r="F41" s="953"/>
      <c r="G41" s="953"/>
    </row>
    <row r="43" spans="1:7" x14ac:dyDescent="0.25">
      <c r="A43" s="40" t="s">
        <v>1950</v>
      </c>
    </row>
    <row r="44" spans="1:7" x14ac:dyDescent="0.25">
      <c r="A44" s="41" t="s">
        <v>2017</v>
      </c>
    </row>
  </sheetData>
  <mergeCells count="10">
    <mergeCell ref="A24:G24"/>
    <mergeCell ref="A39:G39"/>
    <mergeCell ref="A40:G40"/>
    <mergeCell ref="A41:G41"/>
    <mergeCell ref="A1:G1"/>
    <mergeCell ref="A2:G2"/>
    <mergeCell ref="A4:G4"/>
    <mergeCell ref="A20:G20"/>
    <mergeCell ref="A21:G21"/>
    <mergeCell ref="A22:G22"/>
  </mergeCells>
  <hyperlinks>
    <hyperlink ref="A44" r:id="rId1"/>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57"/>
  <sheetViews>
    <sheetView workbookViewId="0">
      <selection sqref="A1:E1"/>
    </sheetView>
  </sheetViews>
  <sheetFormatPr defaultColWidth="9.140625" defaultRowHeight="15" x14ac:dyDescent="0.25"/>
  <cols>
    <col min="1" max="1" width="44.42578125" customWidth="1"/>
    <col min="2" max="2" width="30.85546875" customWidth="1"/>
    <col min="3" max="3" width="11.140625" customWidth="1"/>
    <col min="4" max="4" width="9.140625" customWidth="1"/>
    <col min="5" max="5" width="14.140625" customWidth="1"/>
    <col min="6" max="6" width="13.42578125" customWidth="1"/>
  </cols>
  <sheetData>
    <row r="1" spans="1:5" ht="15.75" x14ac:dyDescent="0.25">
      <c r="A1" s="924" t="s">
        <v>2018</v>
      </c>
      <c r="B1" s="924"/>
      <c r="C1" s="924"/>
      <c r="D1" s="924"/>
      <c r="E1" s="924"/>
    </row>
    <row r="2" spans="1:5" x14ac:dyDescent="0.25">
      <c r="A2" s="923" t="s">
        <v>2019</v>
      </c>
      <c r="B2" s="923"/>
      <c r="C2" s="923"/>
      <c r="D2" s="923"/>
      <c r="E2" s="923"/>
    </row>
    <row r="4" spans="1:5" ht="15.75" thickBot="1" x14ac:dyDescent="0.3"/>
    <row r="5" spans="1:5" ht="33" customHeight="1" thickTop="1" thickBot="1" x14ac:dyDescent="0.3">
      <c r="A5" s="54" t="s">
        <v>1884</v>
      </c>
      <c r="B5" s="55" t="s">
        <v>2020</v>
      </c>
      <c r="C5" s="55" t="s">
        <v>72</v>
      </c>
      <c r="D5" s="55" t="s">
        <v>2021</v>
      </c>
      <c r="E5" s="56" t="s">
        <v>1889</v>
      </c>
    </row>
    <row r="6" spans="1:5" ht="15" customHeight="1" thickTop="1" thickBot="1" x14ac:dyDescent="0.3">
      <c r="A6" s="57" t="s">
        <v>2022</v>
      </c>
      <c r="B6" s="58" t="s">
        <v>2023</v>
      </c>
      <c r="C6" s="59" t="s">
        <v>12</v>
      </c>
      <c r="D6" s="59">
        <v>4.8</v>
      </c>
      <c r="E6" s="60" t="s">
        <v>2024</v>
      </c>
    </row>
    <row r="7" spans="1:5" ht="15" customHeight="1" thickBot="1" x14ac:dyDescent="0.3">
      <c r="A7" s="61" t="s">
        <v>2022</v>
      </c>
      <c r="B7" s="62" t="s">
        <v>2025</v>
      </c>
      <c r="C7" s="63" t="s">
        <v>12</v>
      </c>
      <c r="D7" s="63">
        <v>4.8</v>
      </c>
      <c r="E7" s="64" t="s">
        <v>2024</v>
      </c>
    </row>
    <row r="8" spans="1:5" ht="15" customHeight="1" thickBot="1" x14ac:dyDescent="0.3">
      <c r="A8" s="57" t="s">
        <v>2022</v>
      </c>
      <c r="B8" s="58" t="s">
        <v>2026</v>
      </c>
      <c r="C8" s="59" t="s">
        <v>12</v>
      </c>
      <c r="D8" s="59">
        <v>4.8</v>
      </c>
      <c r="E8" s="60" t="s">
        <v>2024</v>
      </c>
    </row>
    <row r="9" spans="1:5" ht="15" customHeight="1" thickBot="1" x14ac:dyDescent="0.3">
      <c r="A9" s="57" t="s">
        <v>2022</v>
      </c>
      <c r="B9" s="58" t="s">
        <v>2027</v>
      </c>
      <c r="C9" s="59" t="s">
        <v>12</v>
      </c>
      <c r="D9" s="59">
        <v>4.8</v>
      </c>
      <c r="E9" s="60" t="s">
        <v>2024</v>
      </c>
    </row>
    <row r="10" spans="1:5" ht="15" customHeight="1" thickBot="1" x14ac:dyDescent="0.3">
      <c r="A10" s="57" t="s">
        <v>2022</v>
      </c>
      <c r="B10" s="58" t="s">
        <v>2028</v>
      </c>
      <c r="C10" s="59" t="s">
        <v>12</v>
      </c>
      <c r="D10" s="59">
        <v>4.8</v>
      </c>
      <c r="E10" s="60" t="s">
        <v>2024</v>
      </c>
    </row>
    <row r="11" spans="1:5" ht="15" customHeight="1" thickBot="1" x14ac:dyDescent="0.3">
      <c r="A11" s="61" t="s">
        <v>2022</v>
      </c>
      <c r="B11" s="62" t="s">
        <v>2029</v>
      </c>
      <c r="C11" s="63" t="s">
        <v>12</v>
      </c>
      <c r="D11" s="63">
        <v>4.8</v>
      </c>
      <c r="E11" s="64" t="s">
        <v>2024</v>
      </c>
    </row>
    <row r="12" spans="1:5" ht="15" customHeight="1" thickBot="1" x14ac:dyDescent="0.3">
      <c r="A12" s="57" t="s">
        <v>2022</v>
      </c>
      <c r="B12" s="58" t="s">
        <v>2030</v>
      </c>
      <c r="C12" s="59" t="s">
        <v>12</v>
      </c>
      <c r="D12" s="59">
        <v>2.9</v>
      </c>
      <c r="E12" s="60" t="s">
        <v>2024</v>
      </c>
    </row>
    <row r="13" spans="1:5" ht="15" customHeight="1" thickBot="1" x14ac:dyDescent="0.3">
      <c r="A13" s="61" t="s">
        <v>2031</v>
      </c>
      <c r="B13" s="62" t="s">
        <v>2032</v>
      </c>
      <c r="C13" s="63" t="s">
        <v>2033</v>
      </c>
      <c r="D13" s="63">
        <v>4.8</v>
      </c>
      <c r="E13" s="64" t="s">
        <v>2024</v>
      </c>
    </row>
    <row r="14" spans="1:5" ht="15" customHeight="1" thickBot="1" x14ac:dyDescent="0.3">
      <c r="A14" s="57" t="s">
        <v>2031</v>
      </c>
      <c r="B14" s="58" t="s">
        <v>2034</v>
      </c>
      <c r="C14" s="59" t="s">
        <v>2033</v>
      </c>
      <c r="D14" s="59">
        <v>4.4000000000000004</v>
      </c>
      <c r="E14" s="60" t="s">
        <v>2024</v>
      </c>
    </row>
    <row r="15" spans="1:5" ht="15" customHeight="1" thickBot="1" x14ac:dyDescent="0.3">
      <c r="A15" s="61" t="s">
        <v>2031</v>
      </c>
      <c r="B15" s="62" t="s">
        <v>2035</v>
      </c>
      <c r="C15" s="63" t="s">
        <v>2033</v>
      </c>
      <c r="D15" s="63">
        <v>4.4000000000000004</v>
      </c>
      <c r="E15" s="64" t="s">
        <v>2024</v>
      </c>
    </row>
    <row r="16" spans="1:5" ht="15" customHeight="1" thickBot="1" x14ac:dyDescent="0.3">
      <c r="A16" s="57" t="s">
        <v>2036</v>
      </c>
      <c r="B16" s="58" t="s">
        <v>2037</v>
      </c>
      <c r="C16" s="59" t="s">
        <v>2033</v>
      </c>
      <c r="D16" s="59">
        <v>3</v>
      </c>
      <c r="E16" s="60" t="s">
        <v>2024</v>
      </c>
    </row>
    <row r="17" spans="1:5" ht="15" customHeight="1" thickBot="1" x14ac:dyDescent="0.3">
      <c r="A17" s="61" t="s">
        <v>2036</v>
      </c>
      <c r="B17" s="62" t="s">
        <v>2038</v>
      </c>
      <c r="C17" s="63" t="s">
        <v>2033</v>
      </c>
      <c r="D17" s="63">
        <v>0.94</v>
      </c>
      <c r="E17" s="64" t="s">
        <v>2024</v>
      </c>
    </row>
    <row r="18" spans="1:5" ht="15" customHeight="1" thickBot="1" x14ac:dyDescent="0.3">
      <c r="A18" s="61" t="s">
        <v>2036</v>
      </c>
      <c r="B18" s="62" t="s">
        <v>2039</v>
      </c>
      <c r="C18" s="63" t="s">
        <v>2033</v>
      </c>
      <c r="D18" s="63">
        <v>3.4</v>
      </c>
      <c r="E18" s="64" t="s">
        <v>2024</v>
      </c>
    </row>
    <row r="19" spans="1:5" ht="15" customHeight="1" thickBot="1" x14ac:dyDescent="0.3">
      <c r="A19" s="57" t="s">
        <v>2036</v>
      </c>
      <c r="B19" s="58" t="s">
        <v>2040</v>
      </c>
      <c r="C19" s="59" t="s">
        <v>2033</v>
      </c>
      <c r="D19" s="59">
        <v>3.4</v>
      </c>
      <c r="E19" s="60" t="s">
        <v>2024</v>
      </c>
    </row>
    <row r="20" spans="1:5" ht="15" customHeight="1" thickBot="1" x14ac:dyDescent="0.3">
      <c r="A20" s="57" t="s">
        <v>2036</v>
      </c>
      <c r="B20" s="58" t="s">
        <v>2041</v>
      </c>
      <c r="C20" s="59" t="s">
        <v>2033</v>
      </c>
      <c r="D20" s="59">
        <v>0.68</v>
      </c>
      <c r="E20" s="60" t="s">
        <v>2024</v>
      </c>
    </row>
    <row r="21" spans="1:5" ht="15" customHeight="1" thickBot="1" x14ac:dyDescent="0.3">
      <c r="A21" s="61" t="s">
        <v>1017</v>
      </c>
      <c r="B21" s="62" t="s">
        <v>2042</v>
      </c>
      <c r="C21" s="63" t="s">
        <v>2033</v>
      </c>
      <c r="D21" s="63">
        <v>3.9</v>
      </c>
      <c r="E21" s="64" t="s">
        <v>2024</v>
      </c>
    </row>
    <row r="22" spans="1:5" ht="15" customHeight="1" thickBot="1" x14ac:dyDescent="0.3">
      <c r="A22" s="57" t="s">
        <v>2043</v>
      </c>
      <c r="B22" s="58" t="s">
        <v>2044</v>
      </c>
      <c r="C22" s="59" t="s">
        <v>2033</v>
      </c>
      <c r="D22" s="59">
        <v>3.9</v>
      </c>
      <c r="E22" s="60" t="s">
        <v>2024</v>
      </c>
    </row>
    <row r="23" spans="1:5" ht="15" customHeight="1" thickBot="1" x14ac:dyDescent="0.3">
      <c r="A23" s="61" t="s">
        <v>1532</v>
      </c>
      <c r="B23" s="62" t="s">
        <v>2045</v>
      </c>
      <c r="C23" s="63" t="s">
        <v>2033</v>
      </c>
      <c r="D23" s="63">
        <v>4</v>
      </c>
      <c r="E23" s="64" t="s">
        <v>2024</v>
      </c>
    </row>
    <row r="24" spans="1:5" ht="15" customHeight="1" thickBot="1" x14ac:dyDescent="0.3">
      <c r="A24" s="61" t="s">
        <v>1532</v>
      </c>
      <c r="B24" s="62" t="s">
        <v>2046</v>
      </c>
      <c r="C24" s="63" t="s">
        <v>2033</v>
      </c>
      <c r="D24" s="63">
        <v>2.9</v>
      </c>
      <c r="E24" s="64" t="s">
        <v>2024</v>
      </c>
    </row>
    <row r="25" spans="1:5" ht="15" customHeight="1" thickBot="1" x14ac:dyDescent="0.3">
      <c r="A25" s="57" t="s">
        <v>1532</v>
      </c>
      <c r="B25" s="58" t="s">
        <v>2047</v>
      </c>
      <c r="C25" s="59" t="s">
        <v>2033</v>
      </c>
      <c r="D25" s="59">
        <v>4.2</v>
      </c>
      <c r="E25" s="60" t="s">
        <v>2024</v>
      </c>
    </row>
    <row r="26" spans="1:5" ht="15" customHeight="1" thickBot="1" x14ac:dyDescent="0.3">
      <c r="A26" s="65" t="s">
        <v>2048</v>
      </c>
      <c r="B26" s="66" t="s">
        <v>2049</v>
      </c>
      <c r="C26" s="67" t="s">
        <v>12</v>
      </c>
      <c r="D26" s="67">
        <v>4.3</v>
      </c>
      <c r="E26" s="68" t="s">
        <v>2024</v>
      </c>
    </row>
    <row r="27" spans="1:5" ht="15" customHeight="1" thickTop="1" x14ac:dyDescent="0.25">
      <c r="A27" s="69"/>
    </row>
    <row r="28" spans="1:5" ht="15" customHeight="1" x14ac:dyDescent="0.25">
      <c r="A28" s="70" t="s">
        <v>2050</v>
      </c>
    </row>
    <row r="29" spans="1:5" ht="15" customHeight="1" x14ac:dyDescent="0.25">
      <c r="A29" s="70" t="s">
        <v>2051</v>
      </c>
    </row>
    <row r="30" spans="1:5" ht="15" customHeight="1" x14ac:dyDescent="0.25">
      <c r="A30" s="70" t="s">
        <v>2052</v>
      </c>
    </row>
    <row r="31" spans="1:5" ht="15" customHeight="1" x14ac:dyDescent="0.25">
      <c r="A31" s="70" t="s">
        <v>2053</v>
      </c>
    </row>
    <row r="32" spans="1:5" ht="15" customHeight="1" x14ac:dyDescent="0.25"/>
    <row r="33" spans="1:6" ht="15" customHeight="1" x14ac:dyDescent="0.25"/>
    <row r="34" spans="1:6" ht="15" customHeight="1" x14ac:dyDescent="0.25"/>
    <row r="35" spans="1:6" ht="15.75" x14ac:dyDescent="0.25">
      <c r="A35" s="924" t="s">
        <v>2054</v>
      </c>
      <c r="B35" s="924"/>
      <c r="C35" s="924"/>
      <c r="D35" s="924"/>
      <c r="E35" s="924"/>
      <c r="F35" s="924"/>
    </row>
    <row r="36" spans="1:6" x14ac:dyDescent="0.25">
      <c r="A36" s="923" t="s">
        <v>2019</v>
      </c>
      <c r="B36" s="923"/>
      <c r="C36" s="923"/>
      <c r="D36" s="923"/>
      <c r="E36" s="923"/>
      <c r="F36" s="923"/>
    </row>
    <row r="37" spans="1:6" x14ac:dyDescent="0.25">
      <c r="A37" s="905"/>
      <c r="B37" s="905"/>
      <c r="C37" s="905"/>
      <c r="D37" s="905"/>
      <c r="E37" s="905"/>
    </row>
    <row r="38" spans="1:6" ht="15.75" thickBot="1" x14ac:dyDescent="0.3"/>
    <row r="39" spans="1:6" ht="33.75" thickTop="1" thickBot="1" x14ac:dyDescent="0.3">
      <c r="A39" s="72" t="s">
        <v>1884</v>
      </c>
      <c r="B39" s="73" t="s">
        <v>61</v>
      </c>
      <c r="C39" s="73" t="s">
        <v>72</v>
      </c>
      <c r="D39" s="55" t="s">
        <v>2021</v>
      </c>
      <c r="E39" s="73" t="s">
        <v>2055</v>
      </c>
      <c r="F39" s="74" t="s">
        <v>1889</v>
      </c>
    </row>
    <row r="40" spans="1:6" ht="15" customHeight="1" thickTop="1" thickBot="1" x14ac:dyDescent="0.3">
      <c r="A40" s="75" t="s">
        <v>2056</v>
      </c>
      <c r="B40" s="58" t="s">
        <v>2057</v>
      </c>
      <c r="C40" s="59" t="s">
        <v>2058</v>
      </c>
      <c r="D40" s="59">
        <v>3.4</v>
      </c>
      <c r="E40" s="59" t="s">
        <v>2059</v>
      </c>
      <c r="F40" s="76" t="s">
        <v>2060</v>
      </c>
    </row>
    <row r="41" spans="1:6" ht="15" customHeight="1" thickBot="1" x14ac:dyDescent="0.3">
      <c r="A41" s="77" t="s">
        <v>2031</v>
      </c>
      <c r="B41" s="78" t="s">
        <v>2061</v>
      </c>
      <c r="C41" s="79" t="s">
        <v>2058</v>
      </c>
      <c r="D41" s="79">
        <v>4.8</v>
      </c>
      <c r="E41" s="79" t="s">
        <v>2062</v>
      </c>
      <c r="F41" s="80" t="s">
        <v>2063</v>
      </c>
    </row>
    <row r="42" spans="1:6" ht="15" customHeight="1" x14ac:dyDescent="0.25"/>
    <row r="43" spans="1:6" ht="15" customHeight="1" x14ac:dyDescent="0.25">
      <c r="A43" s="81" t="s">
        <v>2064</v>
      </c>
    </row>
    <row r="44" spans="1:6" ht="15" customHeight="1" x14ac:dyDescent="0.25">
      <c r="A44" s="81" t="s">
        <v>2065</v>
      </c>
    </row>
    <row r="45" spans="1:6" ht="15" customHeight="1" x14ac:dyDescent="0.25">
      <c r="A45" s="81" t="s">
        <v>2066</v>
      </c>
    </row>
    <row r="46" spans="1:6" ht="15" customHeight="1" x14ac:dyDescent="0.25">
      <c r="A46" s="81" t="s">
        <v>2067</v>
      </c>
    </row>
    <row r="47" spans="1:6" ht="15" customHeight="1" x14ac:dyDescent="0.25"/>
    <row r="48" spans="1:6" ht="15" customHeight="1" x14ac:dyDescent="0.25">
      <c r="A48" s="82" t="s">
        <v>2068</v>
      </c>
    </row>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sheetData>
  <mergeCells count="4">
    <mergeCell ref="A1:E1"/>
    <mergeCell ref="A2:E2"/>
    <mergeCell ref="A35:F35"/>
    <mergeCell ref="A36:F36"/>
  </mergeCells>
  <hyperlinks>
    <hyperlink ref="A48" r:id="rId1" display="http://www.epa.gov/burnwise/whereyoulive.html"/>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N129"/>
  <sheetViews>
    <sheetView workbookViewId="0">
      <selection sqref="A1:K1"/>
    </sheetView>
  </sheetViews>
  <sheetFormatPr defaultColWidth="8.85546875" defaultRowHeight="15" x14ac:dyDescent="0.25"/>
  <cols>
    <col min="1" max="1" width="65.7109375" customWidth="1"/>
    <col min="2" max="2" width="19" customWidth="1"/>
    <col min="3" max="3" width="30.28515625" customWidth="1"/>
    <col min="4" max="11" width="19" customWidth="1"/>
  </cols>
  <sheetData>
    <row r="1" spans="1:14" ht="23.25" x14ac:dyDescent="0.35">
      <c r="A1" s="956" t="s">
        <v>2281</v>
      </c>
      <c r="B1" s="956"/>
      <c r="C1" s="956"/>
      <c r="D1" s="956"/>
      <c r="E1" s="956"/>
      <c r="F1" s="956"/>
      <c r="G1" s="956"/>
      <c r="H1" s="956"/>
      <c r="I1" s="956"/>
      <c r="J1" s="956"/>
      <c r="K1" s="956"/>
    </row>
    <row r="2" spans="1:14" ht="78.599999999999994" customHeight="1" x14ac:dyDescent="0.25">
      <c r="A2" s="171" t="s">
        <v>1884</v>
      </c>
      <c r="B2" s="171" t="s">
        <v>61</v>
      </c>
      <c r="C2" s="171" t="s">
        <v>2282</v>
      </c>
      <c r="D2" s="171" t="s">
        <v>2283</v>
      </c>
      <c r="E2" s="172" t="s">
        <v>2284</v>
      </c>
      <c r="F2" s="173" t="s">
        <v>2285</v>
      </c>
      <c r="G2" s="174" t="s">
        <v>2286</v>
      </c>
      <c r="H2" s="175" t="s">
        <v>2287</v>
      </c>
      <c r="I2" s="176" t="s">
        <v>2288</v>
      </c>
      <c r="J2" s="176" t="s">
        <v>2289</v>
      </c>
      <c r="K2" s="177" t="s">
        <v>2290</v>
      </c>
    </row>
    <row r="3" spans="1:14" ht="65.45" customHeight="1" x14ac:dyDescent="0.25">
      <c r="A3" s="178" t="s">
        <v>2291</v>
      </c>
      <c r="B3" s="179"/>
      <c r="C3" s="179"/>
      <c r="D3" s="179"/>
      <c r="E3" s="180"/>
      <c r="F3" s="181"/>
      <c r="G3" s="181"/>
      <c r="H3" s="182"/>
      <c r="I3" s="183" t="s">
        <v>2292</v>
      </c>
      <c r="J3" s="184"/>
      <c r="K3" s="185"/>
      <c r="N3" s="240" t="s">
        <v>2459</v>
      </c>
    </row>
    <row r="4" spans="1:14" ht="14.45" customHeight="1" x14ac:dyDescent="0.25">
      <c r="A4" s="186" t="s">
        <v>2293</v>
      </c>
      <c r="B4" s="187"/>
      <c r="C4" s="188" t="s">
        <v>2294</v>
      </c>
      <c r="D4" s="187" t="s">
        <v>2295</v>
      </c>
      <c r="E4" s="188">
        <v>0.03</v>
      </c>
      <c r="F4" s="189">
        <v>532000</v>
      </c>
      <c r="G4" s="189">
        <v>532000</v>
      </c>
      <c r="H4" s="190">
        <v>88</v>
      </c>
      <c r="I4" s="188" t="s">
        <v>2296</v>
      </c>
      <c r="J4" s="188"/>
      <c r="K4" s="188" t="s">
        <v>77</v>
      </c>
      <c r="N4" s="240"/>
    </row>
    <row r="5" spans="1:14" ht="14.45" customHeight="1" x14ac:dyDescent="0.25">
      <c r="A5" s="186" t="s">
        <v>2293</v>
      </c>
      <c r="B5" s="187"/>
      <c r="C5" s="188" t="s">
        <v>2297</v>
      </c>
      <c r="D5" s="187" t="s">
        <v>2295</v>
      </c>
      <c r="E5" s="188">
        <v>0.02</v>
      </c>
      <c r="F5" s="189">
        <v>840000</v>
      </c>
      <c r="G5" s="189">
        <v>840000</v>
      </c>
      <c r="H5" s="190">
        <v>88</v>
      </c>
      <c r="I5" s="188" t="s">
        <v>2298</v>
      </c>
      <c r="J5" s="188"/>
      <c r="K5" s="188" t="s">
        <v>77</v>
      </c>
      <c r="N5" s="240"/>
    </row>
    <row r="6" spans="1:14" ht="14.45" customHeight="1" x14ac:dyDescent="0.25">
      <c r="A6" s="186" t="s">
        <v>2293</v>
      </c>
      <c r="B6" s="187"/>
      <c r="C6" s="188" t="s">
        <v>2299</v>
      </c>
      <c r="D6" s="187" t="s">
        <v>2295</v>
      </c>
      <c r="E6" s="188">
        <v>0.03</v>
      </c>
      <c r="F6" s="189">
        <v>1030000</v>
      </c>
      <c r="G6" s="189">
        <v>1030000</v>
      </c>
      <c r="H6" s="190">
        <v>87</v>
      </c>
      <c r="I6" s="188" t="s">
        <v>2298</v>
      </c>
      <c r="J6" s="188"/>
      <c r="K6" s="188" t="s">
        <v>77</v>
      </c>
      <c r="N6" s="240"/>
    </row>
    <row r="7" spans="1:14" ht="14.45" customHeight="1" x14ac:dyDescent="0.25">
      <c r="A7" s="186" t="s">
        <v>2293</v>
      </c>
      <c r="B7" s="187"/>
      <c r="C7" s="188" t="s">
        <v>2300</v>
      </c>
      <c r="D7" s="187" t="s">
        <v>2295</v>
      </c>
      <c r="E7" s="188">
        <v>0.01</v>
      </c>
      <c r="F7" s="189">
        <v>1650000</v>
      </c>
      <c r="G7" s="189">
        <v>1650000</v>
      </c>
      <c r="H7" s="190">
        <v>89</v>
      </c>
      <c r="I7" s="188" t="s">
        <v>2298</v>
      </c>
      <c r="J7" s="188"/>
      <c r="K7" s="188" t="s">
        <v>77</v>
      </c>
      <c r="N7" s="240"/>
    </row>
    <row r="8" spans="1:14" ht="14.45" customHeight="1" x14ac:dyDescent="0.25">
      <c r="A8" s="186" t="s">
        <v>2301</v>
      </c>
      <c r="B8" s="191" t="s">
        <v>2302</v>
      </c>
      <c r="C8" s="191" t="s">
        <v>2303</v>
      </c>
      <c r="D8" s="192" t="s">
        <v>2304</v>
      </c>
      <c r="E8" s="193">
        <v>0.32</v>
      </c>
      <c r="F8" s="194">
        <v>147632</v>
      </c>
      <c r="G8" s="194"/>
      <c r="H8" s="195">
        <v>53</v>
      </c>
      <c r="I8" s="196">
        <v>5.09</v>
      </c>
      <c r="J8" s="196"/>
      <c r="K8" s="197"/>
      <c r="N8" s="240">
        <f>I8/E8</f>
        <v>15.90625</v>
      </c>
    </row>
    <row r="9" spans="1:14" ht="14.45" customHeight="1" x14ac:dyDescent="0.25">
      <c r="A9" s="186" t="s">
        <v>27</v>
      </c>
      <c r="B9" s="191" t="s">
        <v>2305</v>
      </c>
      <c r="C9" s="191">
        <v>1450</v>
      </c>
      <c r="D9" s="186" t="s">
        <v>2304</v>
      </c>
      <c r="E9" s="188">
        <v>0.18</v>
      </c>
      <c r="F9" s="198">
        <v>214000</v>
      </c>
      <c r="G9" s="198">
        <v>120529</v>
      </c>
      <c r="H9" s="199">
        <v>78</v>
      </c>
      <c r="I9" s="200">
        <v>4.7</v>
      </c>
      <c r="J9" s="200"/>
      <c r="K9" s="197"/>
      <c r="N9" s="240">
        <f>I9/E9</f>
        <v>26.111111111111114</v>
      </c>
    </row>
    <row r="10" spans="1:14" ht="14.45" customHeight="1" x14ac:dyDescent="0.25">
      <c r="A10" s="186" t="s">
        <v>27</v>
      </c>
      <c r="B10" s="191" t="s">
        <v>2306</v>
      </c>
      <c r="C10" s="191" t="s">
        <v>2307</v>
      </c>
      <c r="D10" s="192" t="s">
        <v>2304</v>
      </c>
      <c r="E10" s="193">
        <v>0.18</v>
      </c>
      <c r="F10" s="194">
        <v>245000</v>
      </c>
      <c r="G10" s="194">
        <v>244174</v>
      </c>
      <c r="H10" s="195">
        <v>69</v>
      </c>
      <c r="I10" s="200">
        <v>3.81</v>
      </c>
      <c r="J10" s="200"/>
      <c r="K10" s="197"/>
      <c r="N10" s="240">
        <f>I10/E10</f>
        <v>21.166666666666668</v>
      </c>
    </row>
    <row r="11" spans="1:14" ht="14.45" customHeight="1" x14ac:dyDescent="0.25">
      <c r="A11" s="186" t="s">
        <v>27</v>
      </c>
      <c r="B11" s="191" t="s">
        <v>2308</v>
      </c>
      <c r="C11" s="191" t="s">
        <v>2309</v>
      </c>
      <c r="D11" s="192" t="s">
        <v>2295</v>
      </c>
      <c r="E11" s="193">
        <v>0.04</v>
      </c>
      <c r="F11" s="194">
        <v>165215</v>
      </c>
      <c r="G11" s="194">
        <v>165215</v>
      </c>
      <c r="H11" s="195">
        <v>82</v>
      </c>
      <c r="I11" s="200">
        <v>0.8</v>
      </c>
      <c r="J11" s="200"/>
      <c r="K11" s="197"/>
      <c r="M11" s="43"/>
      <c r="N11" s="240">
        <f>I11/E11</f>
        <v>20</v>
      </c>
    </row>
    <row r="12" spans="1:14" ht="14.45" customHeight="1" x14ac:dyDescent="0.3">
      <c r="A12" s="192" t="s">
        <v>27</v>
      </c>
      <c r="B12" s="201" t="s">
        <v>2310</v>
      </c>
      <c r="C12" s="191">
        <v>350</v>
      </c>
      <c r="D12" s="192" t="s">
        <v>2304</v>
      </c>
      <c r="E12" s="202">
        <v>0.18</v>
      </c>
      <c r="F12" s="194">
        <v>177802</v>
      </c>
      <c r="G12" s="194">
        <v>67702</v>
      </c>
      <c r="H12" s="195">
        <v>79</v>
      </c>
      <c r="I12" s="196">
        <v>3.6</v>
      </c>
      <c r="J12" s="196"/>
      <c r="K12" s="197"/>
      <c r="N12" s="240">
        <f t="shared" ref="N12:N20" si="0">I12/E12</f>
        <v>20</v>
      </c>
    </row>
    <row r="13" spans="1:14" ht="14.45" customHeight="1" x14ac:dyDescent="0.3">
      <c r="A13" s="192" t="s">
        <v>27</v>
      </c>
      <c r="B13" s="201" t="s">
        <v>2310</v>
      </c>
      <c r="C13" s="191">
        <v>550</v>
      </c>
      <c r="D13" s="192" t="s">
        <v>2304</v>
      </c>
      <c r="E13" s="202">
        <v>0.31</v>
      </c>
      <c r="F13" s="194">
        <v>162170</v>
      </c>
      <c r="G13" s="194">
        <v>81168</v>
      </c>
      <c r="H13" s="195">
        <v>70</v>
      </c>
      <c r="I13" s="196">
        <v>5.2</v>
      </c>
      <c r="J13" s="196"/>
      <c r="K13" s="197"/>
      <c r="N13" s="240">
        <f t="shared" si="0"/>
        <v>16.774193548387096</v>
      </c>
    </row>
    <row r="14" spans="1:14" ht="14.45" customHeight="1" x14ac:dyDescent="0.25">
      <c r="A14" s="186" t="s">
        <v>27</v>
      </c>
      <c r="B14" s="191" t="s">
        <v>2310</v>
      </c>
      <c r="C14" s="191">
        <v>750</v>
      </c>
      <c r="D14" s="186" t="s">
        <v>2304</v>
      </c>
      <c r="E14" s="188">
        <v>0.18</v>
      </c>
      <c r="F14" s="198">
        <v>240362</v>
      </c>
      <c r="G14" s="198">
        <v>186669</v>
      </c>
      <c r="H14" s="199">
        <v>72.3</v>
      </c>
      <c r="I14" s="200">
        <v>4.5999999999999996</v>
      </c>
      <c r="J14" s="200"/>
      <c r="K14" s="197"/>
      <c r="N14" s="240">
        <f t="shared" si="0"/>
        <v>25.555555555555554</v>
      </c>
    </row>
    <row r="15" spans="1:14" ht="14.45" customHeight="1" x14ac:dyDescent="0.3">
      <c r="A15" s="192" t="s">
        <v>2311</v>
      </c>
      <c r="B15" s="201" t="s">
        <v>2312</v>
      </c>
      <c r="C15" s="191" t="s">
        <v>2313</v>
      </c>
      <c r="D15" s="192" t="s">
        <v>2304</v>
      </c>
      <c r="E15" s="202">
        <v>7.0999999999999994E-2</v>
      </c>
      <c r="F15" s="194">
        <v>200000</v>
      </c>
      <c r="G15" s="194">
        <v>105050</v>
      </c>
      <c r="H15" s="195">
        <v>74</v>
      </c>
      <c r="I15" s="196">
        <v>1.69</v>
      </c>
      <c r="J15" s="196"/>
      <c r="K15" s="197"/>
      <c r="N15" s="240">
        <f t="shared" si="0"/>
        <v>23.802816901408452</v>
      </c>
    </row>
    <row r="16" spans="1:14" ht="14.45" customHeight="1" x14ac:dyDescent="0.3">
      <c r="A16" s="192" t="s">
        <v>2311</v>
      </c>
      <c r="B16" s="201" t="s">
        <v>2312</v>
      </c>
      <c r="C16" s="191" t="s">
        <v>2314</v>
      </c>
      <c r="D16" s="192" t="s">
        <v>2304</v>
      </c>
      <c r="E16" s="202">
        <v>7.0000000000000007E-2</v>
      </c>
      <c r="F16" s="194">
        <v>200000</v>
      </c>
      <c r="G16" s="194">
        <v>105050</v>
      </c>
      <c r="H16" s="195">
        <v>74</v>
      </c>
      <c r="I16" s="196">
        <v>1.69</v>
      </c>
      <c r="J16" s="196"/>
      <c r="K16" s="197"/>
      <c r="N16" s="240">
        <f t="shared" si="0"/>
        <v>24.142857142857139</v>
      </c>
    </row>
    <row r="17" spans="1:14" ht="14.45" customHeight="1" x14ac:dyDescent="0.3">
      <c r="A17" s="192" t="s">
        <v>2311</v>
      </c>
      <c r="B17" s="201" t="s">
        <v>2312</v>
      </c>
      <c r="C17" s="191" t="s">
        <v>2315</v>
      </c>
      <c r="D17" s="192" t="s">
        <v>2304</v>
      </c>
      <c r="E17" s="202">
        <v>0.14000000000000001</v>
      </c>
      <c r="F17" s="194">
        <v>177000</v>
      </c>
      <c r="G17" s="194">
        <v>87179</v>
      </c>
      <c r="H17" s="195">
        <v>65</v>
      </c>
      <c r="I17" s="196">
        <v>2.88</v>
      </c>
      <c r="J17" s="196"/>
      <c r="K17" s="197"/>
      <c r="N17" s="240">
        <f t="shared" si="0"/>
        <v>20.571428571428569</v>
      </c>
    </row>
    <row r="18" spans="1:14" ht="14.45" customHeight="1" x14ac:dyDescent="0.3">
      <c r="A18" s="192" t="s">
        <v>2311</v>
      </c>
      <c r="B18" s="201" t="s">
        <v>2312</v>
      </c>
      <c r="C18" s="191" t="s">
        <v>2316</v>
      </c>
      <c r="D18" s="192" t="s">
        <v>2304</v>
      </c>
      <c r="E18" s="202">
        <v>0.14000000000000001</v>
      </c>
      <c r="F18" s="194">
        <v>177000</v>
      </c>
      <c r="G18" s="194">
        <v>87179</v>
      </c>
      <c r="H18" s="195">
        <v>65</v>
      </c>
      <c r="I18" s="196">
        <v>2.88</v>
      </c>
      <c r="J18" s="196"/>
      <c r="K18" s="197"/>
      <c r="N18" s="240">
        <f t="shared" si="0"/>
        <v>20.571428571428569</v>
      </c>
    </row>
    <row r="19" spans="1:14" ht="14.45" customHeight="1" x14ac:dyDescent="0.25">
      <c r="A19" s="203" t="s">
        <v>2311</v>
      </c>
      <c r="B19" s="201" t="s">
        <v>2312</v>
      </c>
      <c r="C19" s="204" t="s">
        <v>2317</v>
      </c>
      <c r="D19" s="192" t="s">
        <v>2304</v>
      </c>
      <c r="E19" s="205">
        <v>0.2</v>
      </c>
      <c r="F19" s="206">
        <v>160000</v>
      </c>
      <c r="G19" s="206">
        <v>160000</v>
      </c>
      <c r="H19" s="205">
        <v>77</v>
      </c>
      <c r="I19" s="205" t="s">
        <v>2298</v>
      </c>
      <c r="J19" s="196">
        <v>0.47</v>
      </c>
      <c r="K19" s="197"/>
      <c r="N19" s="240"/>
    </row>
    <row r="20" spans="1:14" ht="14.45" customHeight="1" x14ac:dyDescent="0.25">
      <c r="A20" s="186" t="s">
        <v>2318</v>
      </c>
      <c r="B20" s="191" t="s">
        <v>2319</v>
      </c>
      <c r="C20" s="191">
        <v>400</v>
      </c>
      <c r="D20" s="186" t="s">
        <v>2304</v>
      </c>
      <c r="E20" s="188">
        <v>0.3</v>
      </c>
      <c r="F20" s="198">
        <v>70770</v>
      </c>
      <c r="G20" s="198">
        <v>45786</v>
      </c>
      <c r="H20" s="199">
        <v>47</v>
      </c>
      <c r="I20" s="200">
        <v>5.0999999999999996</v>
      </c>
      <c r="J20" s="200"/>
      <c r="K20" s="197"/>
      <c r="N20" s="240">
        <f t="shared" si="0"/>
        <v>17</v>
      </c>
    </row>
    <row r="21" spans="1:14" ht="14.45" customHeight="1" x14ac:dyDescent="0.25">
      <c r="A21" s="186" t="s">
        <v>2320</v>
      </c>
      <c r="B21" s="191" t="s">
        <v>2321</v>
      </c>
      <c r="C21" s="191" t="s">
        <v>2322</v>
      </c>
      <c r="D21" s="186" t="s">
        <v>2304</v>
      </c>
      <c r="E21" s="188">
        <v>0.16</v>
      </c>
      <c r="F21" s="198">
        <v>171638</v>
      </c>
      <c r="G21" s="198"/>
      <c r="H21" s="199">
        <v>60</v>
      </c>
      <c r="I21" s="196" t="s">
        <v>2298</v>
      </c>
      <c r="J21" s="196"/>
      <c r="K21" s="197" t="s">
        <v>29</v>
      </c>
    </row>
    <row r="22" spans="1:14" ht="14.45" customHeight="1" x14ac:dyDescent="0.25">
      <c r="A22" s="186" t="s">
        <v>2323</v>
      </c>
      <c r="B22" s="191"/>
      <c r="C22" s="191" t="s">
        <v>2324</v>
      </c>
      <c r="D22" s="186" t="s">
        <v>2325</v>
      </c>
      <c r="E22" s="188">
        <v>0.02</v>
      </c>
      <c r="F22" s="198">
        <v>68000</v>
      </c>
      <c r="G22" s="198">
        <v>68000</v>
      </c>
      <c r="H22" s="199">
        <v>85</v>
      </c>
      <c r="I22" s="200" t="s">
        <v>2298</v>
      </c>
      <c r="J22" s="200"/>
      <c r="K22" s="197" t="s">
        <v>77</v>
      </c>
    </row>
    <row r="23" spans="1:14" ht="14.45" customHeight="1" x14ac:dyDescent="0.25">
      <c r="A23" s="186" t="s">
        <v>2323</v>
      </c>
      <c r="B23" s="191"/>
      <c r="C23" s="191" t="s">
        <v>2326</v>
      </c>
      <c r="D23" s="186" t="s">
        <v>2325</v>
      </c>
      <c r="E23" s="188">
        <v>0.02</v>
      </c>
      <c r="F23" s="198">
        <v>85000</v>
      </c>
      <c r="G23" s="198">
        <v>85000</v>
      </c>
      <c r="H23" s="199">
        <v>86</v>
      </c>
      <c r="I23" s="200" t="s">
        <v>2298</v>
      </c>
      <c r="J23" s="200"/>
      <c r="K23" s="197" t="s">
        <v>77</v>
      </c>
    </row>
    <row r="24" spans="1:14" ht="14.45" customHeight="1" x14ac:dyDescent="0.25">
      <c r="A24" s="186" t="s">
        <v>2323</v>
      </c>
      <c r="B24" s="191"/>
      <c r="C24" s="191" t="s">
        <v>2327</v>
      </c>
      <c r="D24" s="186" t="s">
        <v>2325</v>
      </c>
      <c r="E24" s="188">
        <v>0.02</v>
      </c>
      <c r="F24" s="198">
        <v>120000</v>
      </c>
      <c r="G24" s="198">
        <v>120000</v>
      </c>
      <c r="H24" s="199">
        <v>85</v>
      </c>
      <c r="I24" s="200" t="s">
        <v>2298</v>
      </c>
      <c r="J24" s="200"/>
      <c r="K24" s="197" t="s">
        <v>77</v>
      </c>
    </row>
    <row r="25" spans="1:14" ht="14.45" customHeight="1" x14ac:dyDescent="0.25">
      <c r="A25" s="207" t="s">
        <v>2323</v>
      </c>
      <c r="B25" s="208"/>
      <c r="C25" s="208" t="s">
        <v>2328</v>
      </c>
      <c r="D25" s="207" t="s">
        <v>2329</v>
      </c>
      <c r="E25" s="209">
        <v>0.04</v>
      </c>
      <c r="F25" s="210">
        <v>183573</v>
      </c>
      <c r="G25" s="210">
        <v>183573</v>
      </c>
      <c r="H25" s="211">
        <v>83</v>
      </c>
      <c r="I25" s="212" t="s">
        <v>2298</v>
      </c>
      <c r="J25" s="212">
        <v>0.64</v>
      </c>
      <c r="K25" s="213" t="s">
        <v>29</v>
      </c>
    </row>
    <row r="26" spans="1:14" ht="14.45" customHeight="1" x14ac:dyDescent="0.25">
      <c r="A26" s="207" t="s">
        <v>2323</v>
      </c>
      <c r="B26" s="208"/>
      <c r="C26" s="208" t="s">
        <v>2330</v>
      </c>
      <c r="D26" s="207" t="s">
        <v>2329</v>
      </c>
      <c r="E26" s="209">
        <v>7.0000000000000007E-2</v>
      </c>
      <c r="F26" s="210">
        <v>142600</v>
      </c>
      <c r="G26" s="210">
        <v>142600</v>
      </c>
      <c r="H26" s="211">
        <v>75</v>
      </c>
      <c r="I26" s="212" t="s">
        <v>2298</v>
      </c>
      <c r="J26" s="212">
        <v>0.4</v>
      </c>
      <c r="K26" s="213" t="s">
        <v>77</v>
      </c>
    </row>
    <row r="27" spans="1:14" ht="14.45" customHeight="1" x14ac:dyDescent="0.3">
      <c r="A27" s="192" t="s">
        <v>2331</v>
      </c>
      <c r="B27" s="201" t="s">
        <v>2332</v>
      </c>
      <c r="C27" s="191" t="s">
        <v>2333</v>
      </c>
      <c r="D27" s="192" t="s">
        <v>2304</v>
      </c>
      <c r="E27" s="202">
        <v>0.2</v>
      </c>
      <c r="F27" s="194">
        <v>350367</v>
      </c>
      <c r="G27" s="194"/>
      <c r="H27" s="195">
        <v>61</v>
      </c>
      <c r="I27" s="196">
        <v>7.55</v>
      </c>
      <c r="J27" s="196"/>
      <c r="K27" s="197"/>
    </row>
    <row r="28" spans="1:14" ht="14.45" customHeight="1" x14ac:dyDescent="0.25">
      <c r="A28" s="214" t="s">
        <v>2334</v>
      </c>
      <c r="B28" s="215"/>
      <c r="C28" s="188" t="s">
        <v>2335</v>
      </c>
      <c r="D28" s="187" t="s">
        <v>2295</v>
      </c>
      <c r="E28" s="216">
        <v>0.01</v>
      </c>
      <c r="F28" s="217">
        <v>47800</v>
      </c>
      <c r="G28" s="217">
        <v>47800</v>
      </c>
      <c r="H28" s="218">
        <v>88</v>
      </c>
      <c r="I28" s="216" t="s">
        <v>2298</v>
      </c>
      <c r="J28" s="216"/>
      <c r="K28" s="188" t="s">
        <v>77</v>
      </c>
    </row>
    <row r="29" spans="1:14" ht="14.45" customHeight="1" x14ac:dyDescent="0.25">
      <c r="A29" s="214" t="s">
        <v>2334</v>
      </c>
      <c r="B29" s="215"/>
      <c r="C29" s="188" t="s">
        <v>2336</v>
      </c>
      <c r="D29" s="187" t="s">
        <v>2295</v>
      </c>
      <c r="E29" s="216">
        <v>0.02</v>
      </c>
      <c r="F29" s="217">
        <v>94200</v>
      </c>
      <c r="G29" s="217">
        <v>94200</v>
      </c>
      <c r="H29" s="218">
        <v>85</v>
      </c>
      <c r="I29" s="216" t="s">
        <v>2298</v>
      </c>
      <c r="J29" s="216"/>
      <c r="K29" s="188" t="s">
        <v>77</v>
      </c>
    </row>
    <row r="30" spans="1:14" ht="14.45" customHeight="1" x14ac:dyDescent="0.25">
      <c r="A30" s="214" t="s">
        <v>2334</v>
      </c>
      <c r="B30" s="215"/>
      <c r="C30" s="188" t="s">
        <v>2337</v>
      </c>
      <c r="D30" s="187" t="s">
        <v>2295</v>
      </c>
      <c r="E30" s="216">
        <v>0.01</v>
      </c>
      <c r="F30" s="217">
        <v>163000</v>
      </c>
      <c r="G30" s="217">
        <v>163000</v>
      </c>
      <c r="H30" s="218">
        <v>90</v>
      </c>
      <c r="I30" s="216" t="s">
        <v>2298</v>
      </c>
      <c r="J30" s="216"/>
      <c r="K30" s="188" t="s">
        <v>77</v>
      </c>
    </row>
    <row r="31" spans="1:14" ht="14.45" customHeight="1" x14ac:dyDescent="0.25">
      <c r="A31" s="214" t="s">
        <v>2334</v>
      </c>
      <c r="B31" s="215"/>
      <c r="C31" s="188" t="s">
        <v>2338</v>
      </c>
      <c r="D31" s="187" t="s">
        <v>2295</v>
      </c>
      <c r="E31" s="216">
        <v>0.02</v>
      </c>
      <c r="F31" s="217">
        <v>360000</v>
      </c>
      <c r="G31" s="217">
        <v>360000</v>
      </c>
      <c r="H31" s="218">
        <v>88</v>
      </c>
      <c r="I31" s="216" t="s">
        <v>2298</v>
      </c>
      <c r="J31" s="216"/>
      <c r="K31" s="188" t="s">
        <v>77</v>
      </c>
    </row>
    <row r="32" spans="1:14" ht="14.45" customHeight="1" x14ac:dyDescent="0.25">
      <c r="A32" s="214" t="s">
        <v>2334</v>
      </c>
      <c r="B32" s="215"/>
      <c r="C32" s="188" t="s">
        <v>2339</v>
      </c>
      <c r="D32" s="187" t="s">
        <v>2295</v>
      </c>
      <c r="E32" s="216">
        <v>0.02</v>
      </c>
      <c r="F32" s="217">
        <v>699000</v>
      </c>
      <c r="G32" s="217">
        <v>699000</v>
      </c>
      <c r="H32" s="218">
        <v>86</v>
      </c>
      <c r="I32" s="216" t="s">
        <v>2298</v>
      </c>
      <c r="J32" s="216"/>
      <c r="K32" s="188" t="s">
        <v>77</v>
      </c>
    </row>
    <row r="33" spans="1:11" ht="14.45" customHeight="1" x14ac:dyDescent="0.25">
      <c r="A33" s="214" t="s">
        <v>2340</v>
      </c>
      <c r="B33" s="215"/>
      <c r="C33" s="216" t="s">
        <v>2341</v>
      </c>
      <c r="D33" s="187" t="s">
        <v>2295</v>
      </c>
      <c r="E33" s="216">
        <v>0.04</v>
      </c>
      <c r="F33" s="217">
        <v>35800</v>
      </c>
      <c r="G33" s="217">
        <v>35800</v>
      </c>
      <c r="H33" s="218">
        <v>88</v>
      </c>
      <c r="I33" s="188" t="s">
        <v>2298</v>
      </c>
      <c r="J33" s="188"/>
      <c r="K33" s="216" t="s">
        <v>77</v>
      </c>
    </row>
    <row r="34" spans="1:11" ht="14.45" customHeight="1" x14ac:dyDescent="0.25">
      <c r="A34" s="214" t="s">
        <v>2340</v>
      </c>
      <c r="B34" s="215"/>
      <c r="C34" s="216" t="s">
        <v>2342</v>
      </c>
      <c r="D34" s="187" t="s">
        <v>2295</v>
      </c>
      <c r="E34" s="216">
        <v>0.03</v>
      </c>
      <c r="F34" s="217">
        <v>50800</v>
      </c>
      <c r="G34" s="217">
        <v>50800</v>
      </c>
      <c r="H34" s="218">
        <v>87</v>
      </c>
      <c r="I34" s="188" t="s">
        <v>2298</v>
      </c>
      <c r="J34" s="188"/>
      <c r="K34" s="216" t="s">
        <v>77</v>
      </c>
    </row>
    <row r="35" spans="1:11" ht="14.45" customHeight="1" x14ac:dyDescent="0.25">
      <c r="A35" s="214" t="s">
        <v>2340</v>
      </c>
      <c r="B35" s="215"/>
      <c r="C35" s="216" t="s">
        <v>2343</v>
      </c>
      <c r="D35" s="187" t="s">
        <v>2295</v>
      </c>
      <c r="E35" s="216">
        <v>0.03</v>
      </c>
      <c r="F35" s="217">
        <v>68200</v>
      </c>
      <c r="G35" s="217">
        <v>68200</v>
      </c>
      <c r="H35" s="218">
        <v>87</v>
      </c>
      <c r="I35" s="188" t="s">
        <v>2298</v>
      </c>
      <c r="J35" s="188"/>
      <c r="K35" s="216" t="s">
        <v>77</v>
      </c>
    </row>
    <row r="36" spans="1:11" ht="14.45" customHeight="1" x14ac:dyDescent="0.25">
      <c r="A36" s="219" t="s">
        <v>2340</v>
      </c>
      <c r="B36" s="215"/>
      <c r="C36" s="216" t="s">
        <v>2346</v>
      </c>
      <c r="D36" s="187" t="s">
        <v>2295</v>
      </c>
      <c r="E36" s="216">
        <v>0.03</v>
      </c>
      <c r="F36" s="217">
        <v>85300</v>
      </c>
      <c r="G36" s="217">
        <v>85300</v>
      </c>
      <c r="H36" s="218">
        <v>87</v>
      </c>
      <c r="I36" s="188" t="s">
        <v>2298</v>
      </c>
      <c r="J36" s="188"/>
      <c r="K36" s="216" t="s">
        <v>77</v>
      </c>
    </row>
    <row r="37" spans="1:11" ht="14.45" customHeight="1" x14ac:dyDescent="0.25">
      <c r="A37" s="214" t="s">
        <v>2340</v>
      </c>
      <c r="B37" s="215"/>
      <c r="C37" s="216" t="s">
        <v>2347</v>
      </c>
      <c r="D37" s="187" t="s">
        <v>2295</v>
      </c>
      <c r="E37" s="216">
        <v>0.03</v>
      </c>
      <c r="F37" s="217">
        <v>109000</v>
      </c>
      <c r="G37" s="217">
        <v>109000</v>
      </c>
      <c r="H37" s="218">
        <v>87</v>
      </c>
      <c r="I37" s="216" t="s">
        <v>2298</v>
      </c>
      <c r="J37" s="216"/>
      <c r="K37" s="216" t="s">
        <v>77</v>
      </c>
    </row>
    <row r="38" spans="1:11" ht="14.45" customHeight="1" x14ac:dyDescent="0.25">
      <c r="A38" s="214" t="s">
        <v>2340</v>
      </c>
      <c r="B38" s="215"/>
      <c r="C38" s="216" t="s">
        <v>2348</v>
      </c>
      <c r="D38" s="187" t="s">
        <v>2295</v>
      </c>
      <c r="E38" s="216">
        <v>0.02</v>
      </c>
      <c r="F38" s="217">
        <v>130000</v>
      </c>
      <c r="G38" s="217">
        <v>130000</v>
      </c>
      <c r="H38" s="218">
        <v>86</v>
      </c>
      <c r="I38" s="216" t="s">
        <v>2298</v>
      </c>
      <c r="J38" s="216"/>
      <c r="K38" s="216" t="s">
        <v>77</v>
      </c>
    </row>
    <row r="39" spans="1:11" ht="14.45" customHeight="1" x14ac:dyDescent="0.25">
      <c r="A39" s="214" t="s">
        <v>2340</v>
      </c>
      <c r="B39" s="215"/>
      <c r="C39" s="216" t="s">
        <v>2349</v>
      </c>
      <c r="D39" s="187" t="s">
        <v>2295</v>
      </c>
      <c r="E39" s="216">
        <v>0.03</v>
      </c>
      <c r="F39" s="217">
        <v>164000</v>
      </c>
      <c r="G39" s="217">
        <v>164000</v>
      </c>
      <c r="H39" s="218">
        <v>86</v>
      </c>
      <c r="I39" s="216" t="s">
        <v>2298</v>
      </c>
      <c r="J39" s="216"/>
      <c r="K39" s="216" t="s">
        <v>77</v>
      </c>
    </row>
    <row r="40" spans="1:11" ht="14.45" customHeight="1" x14ac:dyDescent="0.25">
      <c r="A40" s="214" t="s">
        <v>2340</v>
      </c>
      <c r="B40" s="215"/>
      <c r="C40" s="216" t="s">
        <v>2350</v>
      </c>
      <c r="D40" s="187" t="s">
        <v>2295</v>
      </c>
      <c r="E40" s="216">
        <v>0.03</v>
      </c>
      <c r="F40" s="217">
        <v>200000</v>
      </c>
      <c r="G40" s="217">
        <v>200000</v>
      </c>
      <c r="H40" s="218">
        <v>86</v>
      </c>
      <c r="I40" s="216" t="s">
        <v>2298</v>
      </c>
      <c r="J40" s="216"/>
      <c r="K40" s="216" t="s">
        <v>77</v>
      </c>
    </row>
    <row r="41" spans="1:11" ht="14.45" customHeight="1" x14ac:dyDescent="0.25">
      <c r="A41" s="214" t="s">
        <v>2340</v>
      </c>
      <c r="B41" s="215"/>
      <c r="C41" s="216" t="s">
        <v>2351</v>
      </c>
      <c r="D41" s="187" t="s">
        <v>2295</v>
      </c>
      <c r="E41" s="216">
        <v>0.03</v>
      </c>
      <c r="F41" s="217">
        <v>273000</v>
      </c>
      <c r="G41" s="217">
        <v>273000</v>
      </c>
      <c r="H41" s="218">
        <v>87</v>
      </c>
      <c r="I41" s="216" t="s">
        <v>2298</v>
      </c>
      <c r="J41" s="216"/>
      <c r="K41" s="216" t="s">
        <v>77</v>
      </c>
    </row>
    <row r="42" spans="1:11" ht="14.45" customHeight="1" x14ac:dyDescent="0.25">
      <c r="A42" s="214" t="s">
        <v>2340</v>
      </c>
      <c r="B42" s="215"/>
      <c r="C42" s="216" t="s">
        <v>2352</v>
      </c>
      <c r="D42" s="187" t="s">
        <v>2295</v>
      </c>
      <c r="E42" s="216">
        <v>0.03</v>
      </c>
      <c r="F42" s="217">
        <v>341000</v>
      </c>
      <c r="G42" s="217">
        <v>341000</v>
      </c>
      <c r="H42" s="218">
        <v>88</v>
      </c>
      <c r="I42" s="188" t="s">
        <v>2298</v>
      </c>
      <c r="J42" s="188"/>
      <c r="K42" s="216" t="s">
        <v>77</v>
      </c>
    </row>
    <row r="43" spans="1:11" ht="14.45" customHeight="1" x14ac:dyDescent="0.25">
      <c r="A43" s="214" t="s">
        <v>2340</v>
      </c>
      <c r="B43" s="215"/>
      <c r="C43" s="216" t="s">
        <v>2353</v>
      </c>
      <c r="D43" s="187" t="s">
        <v>2295</v>
      </c>
      <c r="E43" s="216">
        <v>0.02</v>
      </c>
      <c r="F43" s="217">
        <v>444000</v>
      </c>
      <c r="G43" s="217">
        <v>444000</v>
      </c>
      <c r="H43" s="218">
        <v>85</v>
      </c>
      <c r="I43" s="188" t="s">
        <v>2298</v>
      </c>
      <c r="J43" s="188"/>
      <c r="K43" s="216" t="s">
        <v>77</v>
      </c>
    </row>
    <row r="44" spans="1:11" ht="14.45" customHeight="1" x14ac:dyDescent="0.25">
      <c r="A44" s="214" t="s">
        <v>2340</v>
      </c>
      <c r="B44" s="215"/>
      <c r="C44" s="216" t="s">
        <v>2354</v>
      </c>
      <c r="D44" s="187" t="s">
        <v>2304</v>
      </c>
      <c r="E44" s="216">
        <v>0.12</v>
      </c>
      <c r="F44" s="217">
        <v>166194</v>
      </c>
      <c r="G44" s="217">
        <v>166194</v>
      </c>
      <c r="H44" s="218">
        <v>73</v>
      </c>
      <c r="I44" s="188" t="s">
        <v>2298</v>
      </c>
      <c r="J44" s="188"/>
      <c r="K44" s="216" t="s">
        <v>77</v>
      </c>
    </row>
    <row r="45" spans="1:11" ht="14.45" customHeight="1" x14ac:dyDescent="0.25">
      <c r="A45" s="214" t="s">
        <v>2340</v>
      </c>
      <c r="B45" s="215"/>
      <c r="C45" s="216" t="s">
        <v>2355</v>
      </c>
      <c r="D45" s="187" t="s">
        <v>2295</v>
      </c>
      <c r="E45" s="216">
        <v>0.02</v>
      </c>
      <c r="F45" s="217">
        <v>512000</v>
      </c>
      <c r="G45" s="217">
        <v>512000</v>
      </c>
      <c r="H45" s="218">
        <v>85</v>
      </c>
      <c r="I45" s="188" t="s">
        <v>2298</v>
      </c>
      <c r="J45" s="188"/>
      <c r="K45" s="216" t="s">
        <v>77</v>
      </c>
    </row>
    <row r="46" spans="1:11" ht="14.45" customHeight="1" x14ac:dyDescent="0.25">
      <c r="A46" s="186" t="s">
        <v>2356</v>
      </c>
      <c r="B46" s="191" t="s">
        <v>11</v>
      </c>
      <c r="C46" s="191" t="s">
        <v>2357</v>
      </c>
      <c r="D46" s="186" t="s">
        <v>2304</v>
      </c>
      <c r="E46" s="193">
        <v>0.24</v>
      </c>
      <c r="F46" s="198">
        <v>296192</v>
      </c>
      <c r="G46" s="198">
        <v>116597</v>
      </c>
      <c r="H46" s="199">
        <v>61</v>
      </c>
      <c r="I46" s="200">
        <v>8</v>
      </c>
      <c r="J46" s="200"/>
      <c r="K46" s="197"/>
    </row>
    <row r="47" spans="1:11" ht="14.45" customHeight="1" x14ac:dyDescent="0.25">
      <c r="A47" s="186" t="s">
        <v>2356</v>
      </c>
      <c r="B47" s="191" t="s">
        <v>11</v>
      </c>
      <c r="C47" s="191" t="s">
        <v>2358</v>
      </c>
      <c r="D47" s="186" t="s">
        <v>2304</v>
      </c>
      <c r="E47" s="193">
        <v>0.13</v>
      </c>
      <c r="F47" s="198">
        <v>184508</v>
      </c>
      <c r="G47" s="198">
        <v>184508</v>
      </c>
      <c r="H47" s="199">
        <v>60</v>
      </c>
      <c r="I47" s="200">
        <v>2.46</v>
      </c>
      <c r="J47" s="200"/>
      <c r="K47" s="197"/>
    </row>
    <row r="48" spans="1:11" ht="14.45" customHeight="1" x14ac:dyDescent="0.25">
      <c r="A48" s="186" t="s">
        <v>2356</v>
      </c>
      <c r="B48" s="191" t="s">
        <v>11</v>
      </c>
      <c r="C48" s="191" t="s">
        <v>2359</v>
      </c>
      <c r="D48" s="186" t="s">
        <v>2304</v>
      </c>
      <c r="E48" s="188">
        <v>0.28999999999999998</v>
      </c>
      <c r="F48" s="198">
        <v>189599</v>
      </c>
      <c r="G48" s="198">
        <v>60612</v>
      </c>
      <c r="H48" s="199">
        <v>54</v>
      </c>
      <c r="I48" s="200">
        <v>6.2</v>
      </c>
      <c r="J48" s="200"/>
      <c r="K48" s="197"/>
    </row>
    <row r="49" spans="1:11" ht="14.45" customHeight="1" x14ac:dyDescent="0.25">
      <c r="A49" s="186" t="s">
        <v>2360</v>
      </c>
      <c r="B49" s="191" t="s">
        <v>2361</v>
      </c>
      <c r="C49" s="191">
        <v>125</v>
      </c>
      <c r="D49" s="186" t="s">
        <v>2304</v>
      </c>
      <c r="E49" s="188">
        <v>0.3</v>
      </c>
      <c r="F49" s="198">
        <v>119457</v>
      </c>
      <c r="G49" s="198">
        <v>60261</v>
      </c>
      <c r="H49" s="199">
        <v>61</v>
      </c>
      <c r="I49" s="200">
        <v>4.0999999999999996</v>
      </c>
      <c r="J49" s="200"/>
      <c r="K49" s="197"/>
    </row>
    <row r="50" spans="1:11" ht="14.45" customHeight="1" x14ac:dyDescent="0.25">
      <c r="A50" s="186" t="s">
        <v>2360</v>
      </c>
      <c r="B50" s="191" t="s">
        <v>2361</v>
      </c>
      <c r="C50" s="191">
        <v>165</v>
      </c>
      <c r="D50" s="186" t="s">
        <v>2304</v>
      </c>
      <c r="E50" s="193">
        <v>0.31</v>
      </c>
      <c r="F50" s="198">
        <v>150000</v>
      </c>
      <c r="G50" s="198">
        <v>73573</v>
      </c>
      <c r="H50" s="199">
        <v>57</v>
      </c>
      <c r="I50" s="200">
        <v>3.9</v>
      </c>
      <c r="J50" s="200"/>
      <c r="K50" s="197"/>
    </row>
    <row r="51" spans="1:11" ht="14.45" customHeight="1" x14ac:dyDescent="0.25">
      <c r="A51" s="186" t="s">
        <v>1907</v>
      </c>
      <c r="B51" s="191" t="s">
        <v>2362</v>
      </c>
      <c r="C51" s="191" t="s">
        <v>2363</v>
      </c>
      <c r="D51" s="186" t="s">
        <v>2304</v>
      </c>
      <c r="E51" s="188">
        <v>0.14000000000000001</v>
      </c>
      <c r="F51" s="198">
        <v>144870</v>
      </c>
      <c r="G51" s="198">
        <v>76887</v>
      </c>
      <c r="H51" s="199">
        <v>64</v>
      </c>
      <c r="I51" s="200">
        <v>2.2000000000000002</v>
      </c>
      <c r="J51" s="200"/>
      <c r="K51" s="197"/>
    </row>
    <row r="52" spans="1:11" ht="14.45" customHeight="1" x14ac:dyDescent="0.3">
      <c r="A52" s="192" t="s">
        <v>1907</v>
      </c>
      <c r="B52" s="201" t="s">
        <v>2362</v>
      </c>
      <c r="C52" s="191" t="s">
        <v>2364</v>
      </c>
      <c r="D52" s="192" t="s">
        <v>2304</v>
      </c>
      <c r="E52" s="202">
        <v>0.18</v>
      </c>
      <c r="F52" s="194">
        <v>176116</v>
      </c>
      <c r="G52" s="194">
        <v>73234</v>
      </c>
      <c r="H52" s="195">
        <v>70</v>
      </c>
      <c r="I52" s="196">
        <v>3.7</v>
      </c>
      <c r="J52" s="196"/>
      <c r="K52" s="197"/>
    </row>
    <row r="53" spans="1:11" ht="14.45" customHeight="1" x14ac:dyDescent="0.3">
      <c r="A53" s="192" t="s">
        <v>1907</v>
      </c>
      <c r="B53" s="201" t="s">
        <v>2362</v>
      </c>
      <c r="C53" s="191" t="s">
        <v>2365</v>
      </c>
      <c r="D53" s="192" t="s">
        <v>2304</v>
      </c>
      <c r="E53" s="202">
        <v>0.17</v>
      </c>
      <c r="F53" s="194">
        <v>242090</v>
      </c>
      <c r="G53" s="194">
        <v>104865</v>
      </c>
      <c r="H53" s="195">
        <v>67</v>
      </c>
      <c r="I53" s="196">
        <v>4.9000000000000004</v>
      </c>
      <c r="J53" s="196"/>
      <c r="K53" s="197"/>
    </row>
    <row r="54" spans="1:11" ht="14.45" customHeight="1" x14ac:dyDescent="0.25">
      <c r="A54" s="186" t="s">
        <v>1899</v>
      </c>
      <c r="B54" s="191"/>
      <c r="C54" s="191" t="s">
        <v>2366</v>
      </c>
      <c r="D54" s="186" t="s">
        <v>2304</v>
      </c>
      <c r="E54" s="188">
        <v>0.28000000000000003</v>
      </c>
      <c r="F54" s="198">
        <v>400000</v>
      </c>
      <c r="G54" s="198">
        <v>160599</v>
      </c>
      <c r="H54" s="199">
        <v>76</v>
      </c>
      <c r="I54" s="200">
        <v>10.7</v>
      </c>
      <c r="J54" s="200"/>
      <c r="K54" s="197"/>
    </row>
    <row r="55" spans="1:11" ht="14.45" customHeight="1" x14ac:dyDescent="0.25">
      <c r="A55" s="186" t="s">
        <v>1899</v>
      </c>
      <c r="B55" s="191" t="s">
        <v>2367</v>
      </c>
      <c r="C55" s="191" t="s">
        <v>2368</v>
      </c>
      <c r="D55" s="186" t="s">
        <v>2304</v>
      </c>
      <c r="E55" s="188">
        <v>0.3</v>
      </c>
      <c r="F55" s="198">
        <v>184459</v>
      </c>
      <c r="G55" s="198">
        <v>54019</v>
      </c>
      <c r="H55" s="199">
        <v>62</v>
      </c>
      <c r="I55" s="200">
        <v>8.1</v>
      </c>
      <c r="J55" s="200"/>
      <c r="K55" s="197"/>
    </row>
    <row r="56" spans="1:11" ht="14.45" customHeight="1" x14ac:dyDescent="0.3">
      <c r="A56" s="192" t="s">
        <v>1899</v>
      </c>
      <c r="B56" s="201"/>
      <c r="C56" s="191" t="s">
        <v>2369</v>
      </c>
      <c r="D56" s="192" t="s">
        <v>2304</v>
      </c>
      <c r="E56" s="202">
        <v>0.31</v>
      </c>
      <c r="F56" s="194">
        <v>255582</v>
      </c>
      <c r="G56" s="194">
        <v>89753</v>
      </c>
      <c r="H56" s="195">
        <v>58</v>
      </c>
      <c r="I56" s="196">
        <v>9.1999999999999993</v>
      </c>
      <c r="J56" s="196"/>
      <c r="K56" s="197"/>
    </row>
    <row r="57" spans="1:11" ht="14.45" customHeight="1" x14ac:dyDescent="0.25">
      <c r="A57" s="186" t="s">
        <v>1899</v>
      </c>
      <c r="B57" s="191" t="s">
        <v>1900</v>
      </c>
      <c r="C57" s="191" t="s">
        <v>1900</v>
      </c>
      <c r="D57" s="186" t="s">
        <v>2304</v>
      </c>
      <c r="E57" s="188">
        <v>0.32</v>
      </c>
      <c r="F57" s="198">
        <v>180000</v>
      </c>
      <c r="G57" s="198">
        <v>162793</v>
      </c>
      <c r="H57" s="199">
        <v>69</v>
      </c>
      <c r="I57" s="196" t="s">
        <v>2298</v>
      </c>
      <c r="J57" s="196"/>
      <c r="K57" s="197"/>
    </row>
    <row r="58" spans="1:11" ht="14.45" customHeight="1" x14ac:dyDescent="0.25">
      <c r="A58" s="214" t="s">
        <v>2370</v>
      </c>
      <c r="B58" s="215"/>
      <c r="C58" s="216" t="s">
        <v>2344</v>
      </c>
      <c r="D58" s="187" t="s">
        <v>2325</v>
      </c>
      <c r="E58" s="216">
        <v>0.04</v>
      </c>
      <c r="F58" s="217">
        <v>142000</v>
      </c>
      <c r="G58" s="217">
        <v>142000</v>
      </c>
      <c r="H58" s="218">
        <v>86</v>
      </c>
      <c r="I58" s="188" t="s">
        <v>2298</v>
      </c>
      <c r="J58" s="188"/>
      <c r="K58" s="216" t="s">
        <v>77</v>
      </c>
    </row>
    <row r="59" spans="1:11" ht="14.45" customHeight="1" x14ac:dyDescent="0.25">
      <c r="A59" s="186" t="s">
        <v>2371</v>
      </c>
      <c r="B59" s="191" t="s">
        <v>2372</v>
      </c>
      <c r="C59" s="191" t="s">
        <v>2373</v>
      </c>
      <c r="D59" s="186" t="s">
        <v>2304</v>
      </c>
      <c r="E59" s="193">
        <v>0.32</v>
      </c>
      <c r="F59" s="198">
        <v>115000</v>
      </c>
      <c r="G59" s="198"/>
      <c r="H59" s="199">
        <v>60</v>
      </c>
      <c r="I59" s="200" t="s">
        <v>2298</v>
      </c>
      <c r="J59" s="200"/>
      <c r="K59" s="197" t="s">
        <v>29</v>
      </c>
    </row>
    <row r="60" spans="1:11" ht="14.45" customHeight="1" x14ac:dyDescent="0.25">
      <c r="A60" s="186" t="s">
        <v>2374</v>
      </c>
      <c r="B60" s="191"/>
      <c r="C60" s="191" t="s">
        <v>2375</v>
      </c>
      <c r="D60" s="186" t="s">
        <v>2325</v>
      </c>
      <c r="E60" s="193">
        <v>0.99</v>
      </c>
      <c r="F60" s="198">
        <v>77771</v>
      </c>
      <c r="G60" s="198"/>
      <c r="H60" s="199">
        <v>54</v>
      </c>
      <c r="I60" s="200"/>
      <c r="J60" s="200">
        <v>0.47</v>
      </c>
      <c r="K60" s="197"/>
    </row>
    <row r="61" spans="1:11" ht="14.45" customHeight="1" x14ac:dyDescent="0.25">
      <c r="A61" s="186" t="s">
        <v>2376</v>
      </c>
      <c r="B61" s="191" t="s">
        <v>2377</v>
      </c>
      <c r="C61" s="191" t="s">
        <v>2378</v>
      </c>
      <c r="D61" s="186" t="s">
        <v>2304</v>
      </c>
      <c r="E61" s="193">
        <v>0.18</v>
      </c>
      <c r="F61" s="198">
        <v>110000</v>
      </c>
      <c r="G61" s="198">
        <v>82594</v>
      </c>
      <c r="H61" s="199">
        <v>54</v>
      </c>
      <c r="I61" s="200">
        <v>2.4</v>
      </c>
      <c r="J61" s="200"/>
      <c r="K61" s="197"/>
    </row>
    <row r="62" spans="1:11" ht="14.45" customHeight="1" x14ac:dyDescent="0.3">
      <c r="A62" s="192" t="s">
        <v>2379</v>
      </c>
      <c r="B62" s="201"/>
      <c r="C62" s="191" t="s">
        <v>2380</v>
      </c>
      <c r="D62" s="192" t="s">
        <v>2325</v>
      </c>
      <c r="E62" s="202">
        <v>2.3E-2</v>
      </c>
      <c r="F62" s="194">
        <v>57000</v>
      </c>
      <c r="G62" s="194">
        <v>57000</v>
      </c>
      <c r="H62" s="195">
        <v>86</v>
      </c>
      <c r="I62" s="196" t="s">
        <v>2298</v>
      </c>
      <c r="J62" s="196"/>
      <c r="K62" s="197" t="s">
        <v>29</v>
      </c>
    </row>
    <row r="63" spans="1:11" ht="14.45" customHeight="1" x14ac:dyDescent="0.3">
      <c r="A63" s="192" t="s">
        <v>2379</v>
      </c>
      <c r="B63" s="201"/>
      <c r="C63" s="191" t="s">
        <v>2381</v>
      </c>
      <c r="D63" s="192" t="s">
        <v>2325</v>
      </c>
      <c r="E63" s="202">
        <v>1.9E-2</v>
      </c>
      <c r="F63" s="194">
        <v>109000</v>
      </c>
      <c r="G63" s="194">
        <v>109000</v>
      </c>
      <c r="H63" s="195">
        <v>85</v>
      </c>
      <c r="I63" s="196" t="s">
        <v>2298</v>
      </c>
      <c r="J63" s="196"/>
      <c r="K63" s="197" t="s">
        <v>29</v>
      </c>
    </row>
    <row r="64" spans="1:11" ht="14.45" customHeight="1" x14ac:dyDescent="0.3">
      <c r="A64" s="192" t="s">
        <v>2379</v>
      </c>
      <c r="B64" s="201"/>
      <c r="C64" s="191" t="s">
        <v>2382</v>
      </c>
      <c r="D64" s="192" t="s">
        <v>2325</v>
      </c>
      <c r="E64" s="202">
        <v>2.1000000000000001E-2</v>
      </c>
      <c r="F64" s="194">
        <v>229000</v>
      </c>
      <c r="G64" s="194">
        <v>229000</v>
      </c>
      <c r="H64" s="195">
        <v>87</v>
      </c>
      <c r="I64" s="196" t="s">
        <v>2298</v>
      </c>
      <c r="J64" s="196"/>
      <c r="K64" s="197" t="s">
        <v>29</v>
      </c>
    </row>
    <row r="65" spans="1:11" ht="14.45" customHeight="1" x14ac:dyDescent="0.3">
      <c r="A65" s="192" t="s">
        <v>2379</v>
      </c>
      <c r="B65" s="201" t="s">
        <v>2383</v>
      </c>
      <c r="C65" s="220" t="s">
        <v>2384</v>
      </c>
      <c r="D65" s="192" t="s">
        <v>2325</v>
      </c>
      <c r="E65" s="202">
        <v>7.0000000000000007E-2</v>
      </c>
      <c r="F65" s="194">
        <v>67694</v>
      </c>
      <c r="G65" s="194"/>
      <c r="H65" s="195">
        <v>75</v>
      </c>
      <c r="I65" s="196">
        <v>0.7</v>
      </c>
      <c r="J65" s="196"/>
      <c r="K65" s="197"/>
    </row>
    <row r="66" spans="1:11" ht="14.45" customHeight="1" x14ac:dyDescent="0.3">
      <c r="A66" s="192" t="s">
        <v>2379</v>
      </c>
      <c r="B66" s="201" t="s">
        <v>2385</v>
      </c>
      <c r="C66" s="191" t="s">
        <v>2386</v>
      </c>
      <c r="D66" s="192" t="s">
        <v>2325</v>
      </c>
      <c r="E66" s="202">
        <v>0.06</v>
      </c>
      <c r="F66" s="194">
        <v>99797</v>
      </c>
      <c r="G66" s="194"/>
      <c r="H66" s="195">
        <v>81</v>
      </c>
      <c r="I66" s="196">
        <v>0.8</v>
      </c>
      <c r="J66" s="196"/>
      <c r="K66" s="197"/>
    </row>
    <row r="67" spans="1:11" ht="14.45" customHeight="1" x14ac:dyDescent="0.3">
      <c r="A67" s="192" t="s">
        <v>2379</v>
      </c>
      <c r="B67" s="201" t="s">
        <v>2383</v>
      </c>
      <c r="C67" s="191" t="s">
        <v>2387</v>
      </c>
      <c r="D67" s="192" t="s">
        <v>2325</v>
      </c>
      <c r="E67" s="202">
        <v>7.0000000000000007E-2</v>
      </c>
      <c r="F67" s="194">
        <v>199408</v>
      </c>
      <c r="G67" s="194"/>
      <c r="H67" s="195">
        <v>86</v>
      </c>
      <c r="I67" s="196">
        <v>1.7</v>
      </c>
      <c r="J67" s="196"/>
      <c r="K67" s="197"/>
    </row>
    <row r="68" spans="1:11" ht="14.45" customHeight="1" x14ac:dyDescent="0.3">
      <c r="A68" s="192" t="s">
        <v>2379</v>
      </c>
      <c r="B68" s="201" t="s">
        <v>2388</v>
      </c>
      <c r="C68" s="191" t="s">
        <v>2389</v>
      </c>
      <c r="D68" s="192" t="s">
        <v>2325</v>
      </c>
      <c r="E68" s="202">
        <v>0.1</v>
      </c>
      <c r="F68" s="194">
        <v>68000</v>
      </c>
      <c r="G68" s="194"/>
      <c r="H68" s="195">
        <v>75</v>
      </c>
      <c r="I68" s="196" t="s">
        <v>2298</v>
      </c>
      <c r="J68" s="196"/>
      <c r="K68" s="197"/>
    </row>
    <row r="69" spans="1:11" ht="14.45" customHeight="1" x14ac:dyDescent="0.25">
      <c r="A69" s="186" t="s">
        <v>1928</v>
      </c>
      <c r="B69" s="201" t="s">
        <v>2390</v>
      </c>
      <c r="C69" s="191" t="s">
        <v>2391</v>
      </c>
      <c r="D69" s="186" t="s">
        <v>2304</v>
      </c>
      <c r="E69" s="193">
        <v>0.26</v>
      </c>
      <c r="F69" s="194">
        <v>139576</v>
      </c>
      <c r="G69" s="194">
        <v>65336</v>
      </c>
      <c r="H69" s="195">
        <v>39</v>
      </c>
      <c r="I69" s="196">
        <v>3.75</v>
      </c>
      <c r="J69" s="196"/>
      <c r="K69" s="197"/>
    </row>
    <row r="70" spans="1:11" ht="14.45" customHeight="1" x14ac:dyDescent="0.25">
      <c r="A70" s="186" t="s">
        <v>2392</v>
      </c>
      <c r="B70" s="191" t="s">
        <v>2393</v>
      </c>
      <c r="C70" s="191" t="s">
        <v>1921</v>
      </c>
      <c r="D70" s="186" t="s">
        <v>2304</v>
      </c>
      <c r="E70" s="193">
        <v>0.22</v>
      </c>
      <c r="F70" s="198">
        <v>250000</v>
      </c>
      <c r="G70" s="198">
        <v>100959</v>
      </c>
      <c r="H70" s="199">
        <v>73</v>
      </c>
      <c r="I70" s="200">
        <v>5.7</v>
      </c>
      <c r="J70" s="200"/>
      <c r="K70" s="197"/>
    </row>
    <row r="71" spans="1:11" ht="14.45" customHeight="1" x14ac:dyDescent="0.25">
      <c r="A71" s="186" t="s">
        <v>2394</v>
      </c>
      <c r="B71" s="191" t="s">
        <v>2395</v>
      </c>
      <c r="C71" s="191" t="s">
        <v>2396</v>
      </c>
      <c r="D71" s="186" t="s">
        <v>2325</v>
      </c>
      <c r="E71" s="193">
        <v>0.08</v>
      </c>
      <c r="F71" s="198">
        <v>60000</v>
      </c>
      <c r="G71" s="198"/>
      <c r="H71" s="199">
        <v>70</v>
      </c>
      <c r="I71" s="200">
        <v>0.68</v>
      </c>
      <c r="J71" s="200"/>
      <c r="K71" s="197"/>
    </row>
    <row r="72" spans="1:11" ht="14.45" customHeight="1" x14ac:dyDescent="0.25">
      <c r="A72" s="186" t="s">
        <v>2394</v>
      </c>
      <c r="B72" s="191" t="s">
        <v>2395</v>
      </c>
      <c r="C72" s="191" t="s">
        <v>2397</v>
      </c>
      <c r="D72" s="186" t="s">
        <v>2325</v>
      </c>
      <c r="E72" s="193">
        <v>7.0000000000000007E-2</v>
      </c>
      <c r="F72" s="198">
        <v>87379</v>
      </c>
      <c r="G72" s="198"/>
      <c r="H72" s="199">
        <v>73</v>
      </c>
      <c r="I72" s="200">
        <v>0.87</v>
      </c>
      <c r="J72" s="200"/>
      <c r="K72" s="197"/>
    </row>
    <row r="73" spans="1:11" ht="14.45" customHeight="1" x14ac:dyDescent="0.25">
      <c r="A73" s="186" t="s">
        <v>2394</v>
      </c>
      <c r="B73" s="191" t="s">
        <v>2395</v>
      </c>
      <c r="C73" s="191" t="s">
        <v>2398</v>
      </c>
      <c r="D73" s="186" t="s">
        <v>2325</v>
      </c>
      <c r="E73" s="193">
        <v>0.08</v>
      </c>
      <c r="F73" s="198">
        <v>162000</v>
      </c>
      <c r="G73" s="198"/>
      <c r="H73" s="199">
        <v>79</v>
      </c>
      <c r="I73" s="200">
        <v>1.76</v>
      </c>
      <c r="J73" s="200"/>
      <c r="K73" s="197"/>
    </row>
    <row r="74" spans="1:11" ht="14.45" customHeight="1" x14ac:dyDescent="0.3">
      <c r="A74" s="192" t="s">
        <v>2399</v>
      </c>
      <c r="B74" s="201" t="s">
        <v>2395</v>
      </c>
      <c r="C74" s="191" t="s">
        <v>2400</v>
      </c>
      <c r="D74" s="192" t="s">
        <v>2325</v>
      </c>
      <c r="E74" s="202">
        <v>0.03</v>
      </c>
      <c r="F74" s="194">
        <v>58000</v>
      </c>
      <c r="G74" s="194">
        <v>58000</v>
      </c>
      <c r="H74" s="195">
        <v>85</v>
      </c>
      <c r="I74" s="196" t="s">
        <v>2298</v>
      </c>
      <c r="J74" s="196"/>
      <c r="K74" s="197" t="s">
        <v>29</v>
      </c>
    </row>
    <row r="75" spans="1:11" ht="14.45" customHeight="1" x14ac:dyDescent="0.3">
      <c r="A75" s="192" t="s">
        <v>2399</v>
      </c>
      <c r="B75" s="201" t="s">
        <v>2395</v>
      </c>
      <c r="C75" s="191" t="s">
        <v>2397</v>
      </c>
      <c r="D75" s="192" t="s">
        <v>2325</v>
      </c>
      <c r="E75" s="202">
        <v>3.6999999999999998E-2</v>
      </c>
      <c r="F75" s="194">
        <v>86000</v>
      </c>
      <c r="G75" s="194">
        <v>86000</v>
      </c>
      <c r="H75" s="195">
        <v>85</v>
      </c>
      <c r="I75" s="196" t="s">
        <v>2298</v>
      </c>
      <c r="J75" s="196"/>
      <c r="K75" s="197" t="s">
        <v>29</v>
      </c>
    </row>
    <row r="76" spans="1:11" ht="14.45" customHeight="1" x14ac:dyDescent="0.3">
      <c r="A76" s="192" t="s">
        <v>2399</v>
      </c>
      <c r="B76" s="201" t="s">
        <v>2395</v>
      </c>
      <c r="C76" s="191" t="s">
        <v>2398</v>
      </c>
      <c r="D76" s="192" t="s">
        <v>2325</v>
      </c>
      <c r="E76" s="202">
        <v>4.2000000000000003E-2</v>
      </c>
      <c r="F76" s="194">
        <v>156000</v>
      </c>
      <c r="G76" s="194">
        <v>156000</v>
      </c>
      <c r="H76" s="195">
        <v>86</v>
      </c>
      <c r="I76" s="196" t="s">
        <v>2298</v>
      </c>
      <c r="J76" s="196"/>
      <c r="K76" s="197" t="s">
        <v>29</v>
      </c>
    </row>
    <row r="77" spans="1:11" ht="14.45" customHeight="1" x14ac:dyDescent="0.3">
      <c r="A77" s="221" t="s">
        <v>2401</v>
      </c>
      <c r="B77" s="222" t="s">
        <v>2402</v>
      </c>
      <c r="C77" s="191" t="s">
        <v>2403</v>
      </c>
      <c r="D77" s="192" t="s">
        <v>2325</v>
      </c>
      <c r="E77" s="202">
        <v>0.09</v>
      </c>
      <c r="F77" s="194">
        <v>102716</v>
      </c>
      <c r="G77" s="194">
        <v>102716</v>
      </c>
      <c r="H77" s="195">
        <v>59</v>
      </c>
      <c r="I77" s="196">
        <v>1.6</v>
      </c>
      <c r="J77" s="223"/>
      <c r="K77" s="224"/>
    </row>
    <row r="78" spans="1:11" ht="14.45" customHeight="1" x14ac:dyDescent="0.3">
      <c r="A78" s="221" t="s">
        <v>2401</v>
      </c>
      <c r="B78" s="222" t="s">
        <v>2402</v>
      </c>
      <c r="C78" s="191" t="s">
        <v>2404</v>
      </c>
      <c r="D78" s="192" t="s">
        <v>2304</v>
      </c>
      <c r="E78" s="202">
        <v>7.0000000000000007E-2</v>
      </c>
      <c r="F78" s="194">
        <v>102408</v>
      </c>
      <c r="G78" s="194">
        <v>102408</v>
      </c>
      <c r="H78" s="195">
        <v>67</v>
      </c>
      <c r="I78" s="196">
        <v>1.04</v>
      </c>
      <c r="J78" s="223"/>
      <c r="K78" s="224"/>
    </row>
    <row r="79" spans="1:11" ht="14.45" customHeight="1" x14ac:dyDescent="0.3">
      <c r="A79" s="221" t="s">
        <v>2401</v>
      </c>
      <c r="B79" s="222" t="s">
        <v>2402</v>
      </c>
      <c r="C79" s="201" t="s">
        <v>2405</v>
      </c>
      <c r="D79" s="192" t="s">
        <v>2325</v>
      </c>
      <c r="E79" s="202">
        <v>0.11</v>
      </c>
      <c r="F79" s="194">
        <v>101577</v>
      </c>
      <c r="G79" s="194">
        <v>101577</v>
      </c>
      <c r="H79" s="195">
        <v>65</v>
      </c>
      <c r="I79" s="196">
        <v>1.4</v>
      </c>
      <c r="J79" s="223"/>
      <c r="K79" s="224"/>
    </row>
    <row r="80" spans="1:11" ht="14.45" customHeight="1" x14ac:dyDescent="0.3">
      <c r="A80" s="192" t="s">
        <v>2406</v>
      </c>
      <c r="B80" s="201"/>
      <c r="C80" s="191" t="s">
        <v>2407</v>
      </c>
      <c r="D80" s="192" t="s">
        <v>2325</v>
      </c>
      <c r="E80" s="202">
        <v>1.6E-2</v>
      </c>
      <c r="F80" s="194">
        <v>51900</v>
      </c>
      <c r="G80" s="194">
        <v>51900</v>
      </c>
      <c r="H80" s="195">
        <v>86</v>
      </c>
      <c r="I80" s="196" t="s">
        <v>2298</v>
      </c>
      <c r="J80" s="196"/>
      <c r="K80" s="197" t="s">
        <v>29</v>
      </c>
    </row>
    <row r="81" spans="1:11" ht="14.45" customHeight="1" x14ac:dyDescent="0.3">
      <c r="A81" s="192" t="s">
        <v>2406</v>
      </c>
      <c r="B81" s="201"/>
      <c r="C81" s="191" t="s">
        <v>2408</v>
      </c>
      <c r="D81" s="192" t="s">
        <v>2325</v>
      </c>
      <c r="E81" s="202">
        <v>1.4E-2</v>
      </c>
      <c r="F81" s="194">
        <v>88400</v>
      </c>
      <c r="G81" s="194">
        <v>88400</v>
      </c>
      <c r="H81" s="195">
        <v>86</v>
      </c>
      <c r="I81" s="196" t="s">
        <v>2298</v>
      </c>
      <c r="J81" s="196"/>
      <c r="K81" s="197" t="s">
        <v>29</v>
      </c>
    </row>
    <row r="82" spans="1:11" ht="14.45" customHeight="1" x14ac:dyDescent="0.25">
      <c r="A82" s="186" t="s">
        <v>2409</v>
      </c>
      <c r="B82" s="191" t="s">
        <v>2410</v>
      </c>
      <c r="C82" s="191" t="s">
        <v>2411</v>
      </c>
      <c r="D82" s="186" t="s">
        <v>2304</v>
      </c>
      <c r="E82" s="193">
        <v>0.3</v>
      </c>
      <c r="F82" s="198">
        <v>400000</v>
      </c>
      <c r="G82" s="198">
        <v>160421</v>
      </c>
      <c r="H82" s="199">
        <v>65</v>
      </c>
      <c r="I82" s="200">
        <v>7.3</v>
      </c>
      <c r="J82" s="200"/>
      <c r="K82" s="197"/>
    </row>
    <row r="83" spans="1:11" ht="14.45" customHeight="1" x14ac:dyDescent="0.25">
      <c r="A83" s="186" t="s">
        <v>2409</v>
      </c>
      <c r="B83" s="191" t="s">
        <v>2412</v>
      </c>
      <c r="C83" s="191">
        <v>500</v>
      </c>
      <c r="D83" s="186" t="s">
        <v>2345</v>
      </c>
      <c r="E83" s="193">
        <v>0.19</v>
      </c>
      <c r="F83" s="194">
        <v>280000</v>
      </c>
      <c r="G83" s="194"/>
      <c r="H83" s="195">
        <v>73</v>
      </c>
      <c r="I83" s="196">
        <v>5.4</v>
      </c>
      <c r="J83" s="196"/>
      <c r="K83" s="197"/>
    </row>
    <row r="84" spans="1:11" ht="14.45" customHeight="1" x14ac:dyDescent="0.25">
      <c r="A84" s="186" t="s">
        <v>2413</v>
      </c>
      <c r="B84" s="191" t="s">
        <v>1902</v>
      </c>
      <c r="C84" s="191" t="s">
        <v>1902</v>
      </c>
      <c r="D84" s="186" t="s">
        <v>2304</v>
      </c>
      <c r="E84" s="188">
        <v>0.08</v>
      </c>
      <c r="F84" s="198">
        <v>200000</v>
      </c>
      <c r="G84" s="198">
        <v>142533</v>
      </c>
      <c r="H84" s="199">
        <v>72</v>
      </c>
      <c r="I84" s="200">
        <v>1.96</v>
      </c>
      <c r="J84" s="200"/>
      <c r="K84" s="197"/>
    </row>
    <row r="85" spans="1:11" ht="14.45" customHeight="1" x14ac:dyDescent="0.25">
      <c r="A85" s="186" t="s">
        <v>2413</v>
      </c>
      <c r="B85" s="191"/>
      <c r="C85" s="191" t="s">
        <v>2414</v>
      </c>
      <c r="D85" s="186" t="s">
        <v>2304</v>
      </c>
      <c r="E85" s="188">
        <v>7.0000000000000007E-2</v>
      </c>
      <c r="F85" s="198">
        <v>183307</v>
      </c>
      <c r="G85" s="198">
        <v>183307</v>
      </c>
      <c r="H85" s="199">
        <v>73</v>
      </c>
      <c r="I85" s="200" t="s">
        <v>2298</v>
      </c>
      <c r="J85" s="200">
        <v>1.7</v>
      </c>
      <c r="K85" s="197"/>
    </row>
    <row r="86" spans="1:11" ht="14.45" customHeight="1" x14ac:dyDescent="0.25">
      <c r="A86" s="186" t="s">
        <v>2413</v>
      </c>
      <c r="B86" s="191" t="s">
        <v>1915</v>
      </c>
      <c r="C86" s="191" t="s">
        <v>1915</v>
      </c>
      <c r="D86" s="186" t="s">
        <v>2304</v>
      </c>
      <c r="E86" s="188">
        <v>0.19</v>
      </c>
      <c r="F86" s="198">
        <v>200000</v>
      </c>
      <c r="G86" s="194">
        <v>66897</v>
      </c>
      <c r="H86" s="195">
        <v>67</v>
      </c>
      <c r="I86" s="196">
        <v>3.53</v>
      </c>
      <c r="J86" s="196"/>
      <c r="K86" s="197"/>
    </row>
    <row r="87" spans="1:11" ht="14.45" customHeight="1" x14ac:dyDescent="0.25">
      <c r="A87" s="225" t="s">
        <v>2415</v>
      </c>
      <c r="B87" s="191" t="s">
        <v>2416</v>
      </c>
      <c r="C87" s="191" t="s">
        <v>2417</v>
      </c>
      <c r="D87" s="186" t="s">
        <v>2304</v>
      </c>
      <c r="E87" s="193">
        <v>0.31</v>
      </c>
      <c r="F87" s="198">
        <v>185983</v>
      </c>
      <c r="G87" s="194">
        <v>64047</v>
      </c>
      <c r="H87" s="195">
        <v>61</v>
      </c>
      <c r="I87" s="196">
        <v>5.96</v>
      </c>
      <c r="J87" s="223"/>
      <c r="K87" s="224"/>
    </row>
    <row r="88" spans="1:11" ht="14.45" customHeight="1" x14ac:dyDescent="0.3">
      <c r="A88" s="222" t="s">
        <v>2418</v>
      </c>
      <c r="B88" s="201"/>
      <c r="C88" s="191" t="s">
        <v>2419</v>
      </c>
      <c r="D88" s="192" t="s">
        <v>2325</v>
      </c>
      <c r="E88" s="202">
        <v>0.03</v>
      </c>
      <c r="F88" s="194">
        <v>83100</v>
      </c>
      <c r="G88" s="194">
        <v>83100</v>
      </c>
      <c r="H88" s="195">
        <v>85</v>
      </c>
      <c r="I88" s="196" t="s">
        <v>2298</v>
      </c>
      <c r="J88" s="223"/>
      <c r="K88" s="224" t="s">
        <v>29</v>
      </c>
    </row>
    <row r="89" spans="1:11" ht="14.45" customHeight="1" x14ac:dyDescent="0.25">
      <c r="A89" s="225" t="s">
        <v>2420</v>
      </c>
      <c r="B89" s="191" t="s">
        <v>2421</v>
      </c>
      <c r="C89" s="191" t="s">
        <v>2422</v>
      </c>
      <c r="D89" s="186" t="s">
        <v>2304</v>
      </c>
      <c r="E89" s="188">
        <v>7.0000000000000007E-2</v>
      </c>
      <c r="F89" s="198">
        <v>232000</v>
      </c>
      <c r="G89" s="198">
        <v>111315</v>
      </c>
      <c r="H89" s="199">
        <v>75</v>
      </c>
      <c r="I89" s="200">
        <v>1.7</v>
      </c>
      <c r="J89" s="226"/>
      <c r="K89" s="224"/>
    </row>
    <row r="90" spans="1:11" ht="14.45" customHeight="1" x14ac:dyDescent="0.25">
      <c r="A90" s="225" t="s">
        <v>2420</v>
      </c>
      <c r="B90" s="191" t="s">
        <v>2421</v>
      </c>
      <c r="C90" s="191" t="s">
        <v>2423</v>
      </c>
      <c r="D90" s="186" t="s">
        <v>2304</v>
      </c>
      <c r="E90" s="193">
        <v>7.0000000000000007E-2</v>
      </c>
      <c r="F90" s="198">
        <v>125000</v>
      </c>
      <c r="G90" s="198"/>
      <c r="H90" s="199">
        <v>68</v>
      </c>
      <c r="I90" s="200">
        <v>1</v>
      </c>
      <c r="J90" s="226"/>
      <c r="K90" s="224"/>
    </row>
    <row r="91" spans="1:11" ht="14.45" customHeight="1" x14ac:dyDescent="0.25">
      <c r="A91" s="225" t="s">
        <v>2420</v>
      </c>
      <c r="B91" s="191" t="s">
        <v>2421</v>
      </c>
      <c r="C91" s="191" t="s">
        <v>2424</v>
      </c>
      <c r="D91" s="186" t="s">
        <v>2304</v>
      </c>
      <c r="E91" s="188">
        <v>0.23</v>
      </c>
      <c r="F91" s="198">
        <v>350000</v>
      </c>
      <c r="G91" s="198">
        <v>180409</v>
      </c>
      <c r="H91" s="199">
        <v>74</v>
      </c>
      <c r="I91" s="200">
        <v>9</v>
      </c>
      <c r="J91" s="226"/>
      <c r="K91" s="224"/>
    </row>
    <row r="92" spans="1:11" ht="14.45" customHeight="1" x14ac:dyDescent="0.25">
      <c r="A92" s="225" t="s">
        <v>2425</v>
      </c>
      <c r="B92" s="191" t="s">
        <v>2426</v>
      </c>
      <c r="C92" s="191" t="s">
        <v>2427</v>
      </c>
      <c r="D92" s="186" t="s">
        <v>2304</v>
      </c>
      <c r="E92" s="188">
        <v>0.18</v>
      </c>
      <c r="F92" s="198">
        <v>70000</v>
      </c>
      <c r="G92" s="198"/>
      <c r="H92" s="199">
        <v>69</v>
      </c>
      <c r="I92" s="196" t="s">
        <v>2298</v>
      </c>
      <c r="J92" s="223"/>
      <c r="K92" s="224" t="s">
        <v>29</v>
      </c>
    </row>
    <row r="93" spans="1:11" ht="14.45" customHeight="1" x14ac:dyDescent="0.3">
      <c r="A93" s="222" t="s">
        <v>2428</v>
      </c>
      <c r="B93" s="201"/>
      <c r="C93" s="191" t="s">
        <v>2341</v>
      </c>
      <c r="D93" s="192" t="s">
        <v>2325</v>
      </c>
      <c r="E93" s="202">
        <v>3.5000000000000003E-2</v>
      </c>
      <c r="F93" s="194">
        <v>35800</v>
      </c>
      <c r="G93" s="194">
        <v>35800</v>
      </c>
      <c r="H93" s="195">
        <v>88</v>
      </c>
      <c r="I93" s="196" t="s">
        <v>2298</v>
      </c>
      <c r="J93" s="223"/>
      <c r="K93" s="224" t="s">
        <v>29</v>
      </c>
    </row>
    <row r="94" spans="1:11" ht="14.45" customHeight="1" x14ac:dyDescent="0.3">
      <c r="A94" s="222" t="s">
        <v>2428</v>
      </c>
      <c r="B94" s="201"/>
      <c r="C94" s="191" t="s">
        <v>2342</v>
      </c>
      <c r="D94" s="192" t="s">
        <v>2325</v>
      </c>
      <c r="E94" s="202">
        <v>0.03</v>
      </c>
      <c r="F94" s="194">
        <v>50800</v>
      </c>
      <c r="G94" s="194">
        <v>50800</v>
      </c>
      <c r="H94" s="195">
        <v>87</v>
      </c>
      <c r="I94" s="196" t="s">
        <v>2298</v>
      </c>
      <c r="J94" s="223"/>
      <c r="K94" s="224" t="s">
        <v>29</v>
      </c>
    </row>
    <row r="95" spans="1:11" ht="14.45" customHeight="1" x14ac:dyDescent="0.3">
      <c r="A95" s="222" t="s">
        <v>2428</v>
      </c>
      <c r="B95" s="201"/>
      <c r="C95" s="191" t="s">
        <v>2343</v>
      </c>
      <c r="D95" s="192" t="s">
        <v>2325</v>
      </c>
      <c r="E95" s="202">
        <v>2.8000000000000001E-2</v>
      </c>
      <c r="F95" s="194">
        <v>68200</v>
      </c>
      <c r="G95" s="194">
        <v>68200</v>
      </c>
      <c r="H95" s="195">
        <v>87</v>
      </c>
      <c r="I95" s="196" t="s">
        <v>2298</v>
      </c>
      <c r="J95" s="223"/>
      <c r="K95" s="224" t="s">
        <v>29</v>
      </c>
    </row>
    <row r="96" spans="1:11" ht="14.45" customHeight="1" x14ac:dyDescent="0.3">
      <c r="A96" s="222" t="s">
        <v>2428</v>
      </c>
      <c r="B96" s="201"/>
      <c r="C96" s="191" t="s">
        <v>2346</v>
      </c>
      <c r="D96" s="192" t="s">
        <v>2325</v>
      </c>
      <c r="E96" s="202">
        <v>2.8000000000000001E-2</v>
      </c>
      <c r="F96" s="194">
        <v>85300</v>
      </c>
      <c r="G96" s="194">
        <v>85300</v>
      </c>
      <c r="H96" s="195">
        <v>87</v>
      </c>
      <c r="I96" s="196" t="s">
        <v>2298</v>
      </c>
      <c r="J96" s="223"/>
      <c r="K96" s="224" t="s">
        <v>29</v>
      </c>
    </row>
    <row r="97" spans="1:11" ht="14.45" customHeight="1" x14ac:dyDescent="0.3">
      <c r="A97" s="222" t="s">
        <v>2428</v>
      </c>
      <c r="B97" s="201"/>
      <c r="C97" s="191" t="s">
        <v>2347</v>
      </c>
      <c r="D97" s="192" t="s">
        <v>2325</v>
      </c>
      <c r="E97" s="202">
        <v>2.5999999999999999E-2</v>
      </c>
      <c r="F97" s="194">
        <v>109000</v>
      </c>
      <c r="G97" s="194">
        <v>109000</v>
      </c>
      <c r="H97" s="195">
        <v>87</v>
      </c>
      <c r="I97" s="196" t="s">
        <v>2298</v>
      </c>
      <c r="J97" s="223"/>
      <c r="K97" s="224" t="s">
        <v>29</v>
      </c>
    </row>
    <row r="98" spans="1:11" ht="14.45" customHeight="1" x14ac:dyDescent="0.3">
      <c r="A98" s="222" t="s">
        <v>2428</v>
      </c>
      <c r="B98" s="201"/>
      <c r="C98" s="191" t="s">
        <v>2348</v>
      </c>
      <c r="D98" s="192" t="s">
        <v>2325</v>
      </c>
      <c r="E98" s="202">
        <v>2.3E-2</v>
      </c>
      <c r="F98" s="194">
        <v>130000</v>
      </c>
      <c r="G98" s="194">
        <v>130000</v>
      </c>
      <c r="H98" s="195">
        <v>86</v>
      </c>
      <c r="I98" s="196" t="s">
        <v>2298</v>
      </c>
      <c r="J98" s="223"/>
      <c r="K98" s="224" t="s">
        <v>29</v>
      </c>
    </row>
    <row r="99" spans="1:11" ht="14.45" customHeight="1" x14ac:dyDescent="0.3">
      <c r="A99" s="222" t="s">
        <v>2428</v>
      </c>
      <c r="B99" s="201"/>
      <c r="C99" s="191" t="s">
        <v>2349</v>
      </c>
      <c r="D99" s="192" t="s">
        <v>2325</v>
      </c>
      <c r="E99" s="202">
        <v>2.7E-2</v>
      </c>
      <c r="F99" s="194">
        <v>164000</v>
      </c>
      <c r="G99" s="194">
        <v>164000</v>
      </c>
      <c r="H99" s="195">
        <v>86</v>
      </c>
      <c r="I99" s="196" t="s">
        <v>2298</v>
      </c>
      <c r="J99" s="223"/>
      <c r="K99" s="224" t="s">
        <v>29</v>
      </c>
    </row>
    <row r="100" spans="1:11" ht="14.45" customHeight="1" x14ac:dyDescent="0.3">
      <c r="A100" s="222" t="s">
        <v>2428</v>
      </c>
      <c r="B100" s="201"/>
      <c r="C100" s="191" t="s">
        <v>2350</v>
      </c>
      <c r="D100" s="192" t="s">
        <v>2325</v>
      </c>
      <c r="E100" s="202">
        <v>0.03</v>
      </c>
      <c r="F100" s="194">
        <v>200000</v>
      </c>
      <c r="G100" s="194">
        <v>200000</v>
      </c>
      <c r="H100" s="195">
        <v>86</v>
      </c>
      <c r="I100" s="196" t="s">
        <v>2298</v>
      </c>
      <c r="J100" s="223"/>
      <c r="K100" s="224" t="s">
        <v>29</v>
      </c>
    </row>
    <row r="101" spans="1:11" ht="14.45" customHeight="1" x14ac:dyDescent="0.3">
      <c r="A101" s="222" t="s">
        <v>2428</v>
      </c>
      <c r="B101" s="201"/>
      <c r="C101" s="191" t="s">
        <v>2351</v>
      </c>
      <c r="D101" s="192" t="s">
        <v>2325</v>
      </c>
      <c r="E101" s="202">
        <v>3.3000000000000002E-2</v>
      </c>
      <c r="F101" s="194">
        <v>273000</v>
      </c>
      <c r="G101" s="194">
        <v>273000</v>
      </c>
      <c r="H101" s="195">
        <v>87</v>
      </c>
      <c r="I101" s="196" t="s">
        <v>2298</v>
      </c>
      <c r="J101" s="223"/>
      <c r="K101" s="224" t="s">
        <v>29</v>
      </c>
    </row>
    <row r="102" spans="1:11" ht="14.45" customHeight="1" x14ac:dyDescent="0.3">
      <c r="A102" s="222" t="s">
        <v>2428</v>
      </c>
      <c r="B102" s="201"/>
      <c r="C102" s="191" t="s">
        <v>2352</v>
      </c>
      <c r="D102" s="192" t="s">
        <v>2325</v>
      </c>
      <c r="E102" s="202">
        <v>3.3000000000000002E-2</v>
      </c>
      <c r="F102" s="194">
        <v>341000</v>
      </c>
      <c r="G102" s="194">
        <v>341000</v>
      </c>
      <c r="H102" s="195">
        <v>88</v>
      </c>
      <c r="I102" s="196" t="s">
        <v>2298</v>
      </c>
      <c r="J102" s="223"/>
      <c r="K102" s="224" t="s">
        <v>29</v>
      </c>
    </row>
    <row r="103" spans="1:11" ht="14.45" customHeight="1" x14ac:dyDescent="0.3">
      <c r="A103" s="222" t="s">
        <v>2428</v>
      </c>
      <c r="B103" s="201"/>
      <c r="C103" s="191" t="s">
        <v>2353</v>
      </c>
      <c r="D103" s="192" t="s">
        <v>2325</v>
      </c>
      <c r="E103" s="202">
        <v>2.1000000000000001E-2</v>
      </c>
      <c r="F103" s="194">
        <v>444000</v>
      </c>
      <c r="G103" s="194">
        <v>444000</v>
      </c>
      <c r="H103" s="195">
        <v>85</v>
      </c>
      <c r="I103" s="196" t="s">
        <v>2298</v>
      </c>
      <c r="J103" s="223"/>
      <c r="K103" s="224" t="s">
        <v>29</v>
      </c>
    </row>
    <row r="104" spans="1:11" ht="14.45" customHeight="1" x14ac:dyDescent="0.3">
      <c r="A104" s="222" t="s">
        <v>2428</v>
      </c>
      <c r="B104" s="201"/>
      <c r="C104" s="191" t="s">
        <v>2355</v>
      </c>
      <c r="D104" s="192" t="s">
        <v>2325</v>
      </c>
      <c r="E104" s="202">
        <v>2.1000000000000001E-2</v>
      </c>
      <c r="F104" s="194">
        <v>512000</v>
      </c>
      <c r="G104" s="194">
        <v>512000</v>
      </c>
      <c r="H104" s="195">
        <v>85</v>
      </c>
      <c r="I104" s="196" t="s">
        <v>2298</v>
      </c>
      <c r="J104" s="223"/>
      <c r="K104" s="224" t="s">
        <v>29</v>
      </c>
    </row>
    <row r="105" spans="1:11" ht="14.45" customHeight="1" x14ac:dyDescent="0.25">
      <c r="A105" s="227" t="s">
        <v>2429</v>
      </c>
      <c r="B105" s="215" t="s">
        <v>2430</v>
      </c>
      <c r="C105" s="216" t="s">
        <v>2431</v>
      </c>
      <c r="D105" s="187" t="s">
        <v>2295</v>
      </c>
      <c r="E105" s="216">
        <v>0.03</v>
      </c>
      <c r="F105" s="217">
        <v>83100</v>
      </c>
      <c r="G105" s="217">
        <v>83100</v>
      </c>
      <c r="H105" s="218">
        <v>85</v>
      </c>
      <c r="I105" s="188" t="s">
        <v>2298</v>
      </c>
      <c r="J105" s="228"/>
      <c r="K105" s="229" t="s">
        <v>77</v>
      </c>
    </row>
    <row r="106" spans="1:11" ht="14.45" customHeight="1" x14ac:dyDescent="0.25">
      <c r="A106" s="227" t="s">
        <v>2432</v>
      </c>
      <c r="B106" s="215" t="s">
        <v>2433</v>
      </c>
      <c r="C106" s="216">
        <v>30</v>
      </c>
      <c r="D106" s="187" t="s">
        <v>2304</v>
      </c>
      <c r="E106" s="216">
        <v>0.19</v>
      </c>
      <c r="F106" s="217">
        <v>109529</v>
      </c>
      <c r="G106" s="217">
        <v>109529</v>
      </c>
      <c r="H106" s="218">
        <v>62</v>
      </c>
      <c r="I106" s="188" t="s">
        <v>2298</v>
      </c>
      <c r="J106" s="228">
        <v>0.13</v>
      </c>
      <c r="K106" s="229" t="s">
        <v>29</v>
      </c>
    </row>
    <row r="107" spans="1:11" ht="14.45" customHeight="1" x14ac:dyDescent="0.25">
      <c r="A107" s="227" t="s">
        <v>2432</v>
      </c>
      <c r="B107" s="215" t="s">
        <v>2433</v>
      </c>
      <c r="C107" s="216">
        <v>37</v>
      </c>
      <c r="D107" s="187" t="s">
        <v>2304</v>
      </c>
      <c r="E107" s="216">
        <v>0.11</v>
      </c>
      <c r="F107" s="217">
        <v>132119</v>
      </c>
      <c r="G107" s="217">
        <v>132119</v>
      </c>
      <c r="H107" s="218">
        <v>69</v>
      </c>
      <c r="I107" s="188" t="s">
        <v>2298</v>
      </c>
      <c r="J107" s="228">
        <v>0.1</v>
      </c>
      <c r="K107" s="229" t="s">
        <v>29</v>
      </c>
    </row>
    <row r="108" spans="1:11" ht="14.45" customHeight="1" x14ac:dyDescent="0.25">
      <c r="A108" s="227" t="s">
        <v>2432</v>
      </c>
      <c r="B108" s="215" t="s">
        <v>2433</v>
      </c>
      <c r="C108" s="216">
        <v>55</v>
      </c>
      <c r="D108" s="187" t="s">
        <v>2304</v>
      </c>
      <c r="E108" s="216">
        <v>0.11</v>
      </c>
      <c r="F108" s="217">
        <v>170418</v>
      </c>
      <c r="G108" s="217">
        <v>170418</v>
      </c>
      <c r="H108" s="218">
        <v>67</v>
      </c>
      <c r="I108" s="188" t="s">
        <v>2298</v>
      </c>
      <c r="J108" s="228">
        <v>0.12</v>
      </c>
      <c r="K108" s="229" t="s">
        <v>29</v>
      </c>
    </row>
    <row r="109" spans="1:11" ht="14.45" customHeight="1" x14ac:dyDescent="0.25">
      <c r="A109" s="227" t="s">
        <v>2432</v>
      </c>
      <c r="B109" s="215" t="s">
        <v>2433</v>
      </c>
      <c r="C109" s="216">
        <v>450</v>
      </c>
      <c r="D109" s="187" t="s">
        <v>2304</v>
      </c>
      <c r="E109" s="216">
        <v>0.04</v>
      </c>
      <c r="F109" s="217">
        <v>130731</v>
      </c>
      <c r="G109" s="217">
        <v>130731</v>
      </c>
      <c r="H109" s="218">
        <v>75</v>
      </c>
      <c r="I109" s="188" t="s">
        <v>2298</v>
      </c>
      <c r="J109" s="228">
        <v>0.04</v>
      </c>
      <c r="K109" s="229" t="s">
        <v>29</v>
      </c>
    </row>
    <row r="110" spans="1:11" ht="14.45" customHeight="1" x14ac:dyDescent="0.25">
      <c r="A110" s="230" t="s">
        <v>2432</v>
      </c>
      <c r="B110" s="231" t="s">
        <v>2433</v>
      </c>
      <c r="C110" s="232">
        <v>650</v>
      </c>
      <c r="D110" s="233" t="s">
        <v>2304</v>
      </c>
      <c r="E110" s="232">
        <v>0.08</v>
      </c>
      <c r="F110" s="234">
        <v>201743</v>
      </c>
      <c r="G110" s="234"/>
      <c r="H110" s="235">
        <v>73</v>
      </c>
      <c r="I110" s="236"/>
      <c r="J110" s="237">
        <v>0.46</v>
      </c>
      <c r="K110" s="238" t="s">
        <v>29</v>
      </c>
    </row>
    <row r="111" spans="1:11" ht="14.45" customHeight="1" x14ac:dyDescent="0.25">
      <c r="A111" s="227" t="s">
        <v>2432</v>
      </c>
      <c r="B111" s="215" t="s">
        <v>2433</v>
      </c>
      <c r="C111" s="216">
        <v>350</v>
      </c>
      <c r="D111" s="187" t="s">
        <v>2304</v>
      </c>
      <c r="E111" s="216">
        <v>0.08</v>
      </c>
      <c r="F111" s="217">
        <v>118724</v>
      </c>
      <c r="G111" s="217">
        <v>118724</v>
      </c>
      <c r="H111" s="218">
        <v>74</v>
      </c>
      <c r="I111" s="188" t="s">
        <v>2298</v>
      </c>
      <c r="J111" s="228">
        <v>7.0000000000000007E-2</v>
      </c>
      <c r="K111" s="229" t="s">
        <v>29</v>
      </c>
    </row>
    <row r="112" spans="1:11" ht="14.45" customHeight="1" x14ac:dyDescent="0.25">
      <c r="A112" s="227" t="s">
        <v>2434</v>
      </c>
      <c r="B112" s="215"/>
      <c r="C112" s="216" t="s">
        <v>2435</v>
      </c>
      <c r="D112" s="187" t="s">
        <v>2295</v>
      </c>
      <c r="E112" s="216">
        <v>0.01</v>
      </c>
      <c r="F112" s="217">
        <v>494000</v>
      </c>
      <c r="G112" s="217">
        <v>494000</v>
      </c>
      <c r="H112" s="218">
        <v>85</v>
      </c>
      <c r="I112" s="216" t="s">
        <v>2298</v>
      </c>
      <c r="J112" s="239"/>
      <c r="K112" s="229" t="s">
        <v>77</v>
      </c>
    </row>
    <row r="113" spans="1:11" ht="14.45" customHeight="1" x14ac:dyDescent="0.25">
      <c r="A113" s="227" t="s">
        <v>2434</v>
      </c>
      <c r="B113" s="215"/>
      <c r="C113" s="216" t="s">
        <v>2436</v>
      </c>
      <c r="D113" s="187" t="s">
        <v>2295</v>
      </c>
      <c r="E113" s="216">
        <v>0.02</v>
      </c>
      <c r="F113" s="217">
        <v>1700000</v>
      </c>
      <c r="G113" s="217">
        <v>1700000</v>
      </c>
      <c r="H113" s="218">
        <v>88</v>
      </c>
      <c r="I113" s="216" t="s">
        <v>2298</v>
      </c>
      <c r="J113" s="239" t="s">
        <v>2437</v>
      </c>
      <c r="K113" s="229" t="s">
        <v>77</v>
      </c>
    </row>
    <row r="114" spans="1:11" ht="14.45" customHeight="1" x14ac:dyDescent="0.25">
      <c r="A114" s="227" t="s">
        <v>2434</v>
      </c>
      <c r="B114" s="215"/>
      <c r="C114" s="188" t="s">
        <v>2438</v>
      </c>
      <c r="D114" s="187" t="s">
        <v>2295</v>
      </c>
      <c r="E114" s="216">
        <v>0.04</v>
      </c>
      <c r="F114" s="189">
        <v>1430000</v>
      </c>
      <c r="G114" s="189">
        <v>1430000</v>
      </c>
      <c r="H114" s="218">
        <v>86</v>
      </c>
      <c r="I114" s="216" t="s">
        <v>2298</v>
      </c>
      <c r="J114" s="239"/>
      <c r="K114" s="229" t="s">
        <v>77</v>
      </c>
    </row>
    <row r="115" spans="1:11" ht="14.45" customHeight="1" x14ac:dyDescent="0.25">
      <c r="A115" s="227" t="s">
        <v>2434</v>
      </c>
      <c r="B115" s="215"/>
      <c r="C115" s="216" t="s">
        <v>2439</v>
      </c>
      <c r="D115" s="187" t="s">
        <v>2295</v>
      </c>
      <c r="E115" s="216">
        <v>0.06</v>
      </c>
      <c r="F115" s="217">
        <v>1860000</v>
      </c>
      <c r="G115" s="217">
        <v>1860000</v>
      </c>
      <c r="H115" s="218">
        <v>87</v>
      </c>
      <c r="I115" s="216" t="s">
        <v>2298</v>
      </c>
      <c r="J115" s="239"/>
      <c r="K115" s="229" t="s">
        <v>77</v>
      </c>
    </row>
    <row r="116" spans="1:11" ht="14.45" customHeight="1" x14ac:dyDescent="0.25">
      <c r="A116" s="227" t="s">
        <v>2434</v>
      </c>
      <c r="B116" s="215"/>
      <c r="C116" s="216" t="s">
        <v>2440</v>
      </c>
      <c r="D116" s="187" t="s">
        <v>2295</v>
      </c>
      <c r="E116" s="216">
        <v>0.06</v>
      </c>
      <c r="F116" s="217">
        <v>2470000</v>
      </c>
      <c r="G116" s="217">
        <v>2470000</v>
      </c>
      <c r="H116" s="218">
        <v>85</v>
      </c>
      <c r="I116" s="216" t="s">
        <v>2298</v>
      </c>
      <c r="J116" s="239"/>
      <c r="K116" s="229" t="s">
        <v>77</v>
      </c>
    </row>
    <row r="117" spans="1:11" ht="14.45" customHeight="1" x14ac:dyDescent="0.25">
      <c r="A117" s="225" t="s">
        <v>2441</v>
      </c>
      <c r="B117" s="191" t="s">
        <v>2442</v>
      </c>
      <c r="C117" s="191"/>
      <c r="D117" s="192" t="s">
        <v>2325</v>
      </c>
      <c r="E117" s="193">
        <v>0.19</v>
      </c>
      <c r="F117" s="194">
        <v>153000</v>
      </c>
      <c r="G117" s="194"/>
      <c r="H117" s="195">
        <v>72</v>
      </c>
      <c r="I117" s="196">
        <v>3.3</v>
      </c>
      <c r="J117" s="223"/>
      <c r="K117" s="224"/>
    </row>
    <row r="118" spans="1:11" ht="14.45" customHeight="1" x14ac:dyDescent="0.3">
      <c r="A118" s="222" t="s">
        <v>2443</v>
      </c>
      <c r="B118" s="201"/>
      <c r="C118" s="191" t="s">
        <v>2444</v>
      </c>
      <c r="D118" s="192" t="s">
        <v>2325</v>
      </c>
      <c r="E118" s="202">
        <v>0.02</v>
      </c>
      <c r="F118" s="194">
        <v>55000</v>
      </c>
      <c r="G118" s="194">
        <v>55000</v>
      </c>
      <c r="H118" s="195">
        <v>87</v>
      </c>
      <c r="I118" s="196" t="s">
        <v>2298</v>
      </c>
      <c r="J118" s="223"/>
      <c r="K118" s="224" t="s">
        <v>77</v>
      </c>
    </row>
    <row r="119" spans="1:11" ht="14.45" customHeight="1" x14ac:dyDescent="0.25">
      <c r="A119" s="227" t="s">
        <v>2443</v>
      </c>
      <c r="B119" s="215"/>
      <c r="C119" s="216" t="s">
        <v>2445</v>
      </c>
      <c r="D119" s="187" t="s">
        <v>2295</v>
      </c>
      <c r="E119" s="216">
        <v>0.02</v>
      </c>
      <c r="F119" s="217">
        <v>36900</v>
      </c>
      <c r="G119" s="217">
        <v>36900</v>
      </c>
      <c r="H119" s="218">
        <v>88</v>
      </c>
      <c r="I119" s="216" t="s">
        <v>2298</v>
      </c>
      <c r="J119" s="239"/>
      <c r="K119" s="229" t="s">
        <v>77</v>
      </c>
    </row>
    <row r="120" spans="1:11" ht="14.45" customHeight="1" x14ac:dyDescent="0.25">
      <c r="A120" s="227" t="s">
        <v>2443</v>
      </c>
      <c r="B120" s="215"/>
      <c r="C120" s="216" t="s">
        <v>2446</v>
      </c>
      <c r="D120" s="187" t="s">
        <v>2295</v>
      </c>
      <c r="E120" s="216">
        <v>0.02</v>
      </c>
      <c r="F120" s="217">
        <v>94500</v>
      </c>
      <c r="G120" s="217">
        <v>94500</v>
      </c>
      <c r="H120" s="218">
        <v>87</v>
      </c>
      <c r="I120" s="216" t="s">
        <v>2298</v>
      </c>
      <c r="J120" s="239"/>
      <c r="K120" s="229" t="s">
        <v>77</v>
      </c>
    </row>
    <row r="121" spans="1:11" ht="14.45" customHeight="1" x14ac:dyDescent="0.3">
      <c r="A121" s="222" t="s">
        <v>2447</v>
      </c>
      <c r="B121" s="201"/>
      <c r="C121" s="191" t="s">
        <v>2448</v>
      </c>
      <c r="D121" s="192" t="s">
        <v>2325</v>
      </c>
      <c r="E121" s="202">
        <v>1.6E-2</v>
      </c>
      <c r="F121" s="194">
        <v>34800</v>
      </c>
      <c r="G121" s="194">
        <v>34800</v>
      </c>
      <c r="H121" s="195">
        <v>87</v>
      </c>
      <c r="I121" s="196" t="s">
        <v>2298</v>
      </c>
      <c r="J121" s="223"/>
      <c r="K121" s="224" t="s">
        <v>29</v>
      </c>
    </row>
    <row r="122" spans="1:11" ht="14.45" customHeight="1" x14ac:dyDescent="0.3">
      <c r="A122" s="222" t="s">
        <v>2447</v>
      </c>
      <c r="B122" s="201"/>
      <c r="C122" s="191" t="s">
        <v>2449</v>
      </c>
      <c r="D122" s="192" t="s">
        <v>2325</v>
      </c>
      <c r="E122" s="202">
        <v>1.6E-2</v>
      </c>
      <c r="F122" s="194">
        <v>51900</v>
      </c>
      <c r="G122" s="194">
        <v>51900</v>
      </c>
      <c r="H122" s="195">
        <v>86</v>
      </c>
      <c r="I122" s="196" t="s">
        <v>2298</v>
      </c>
      <c r="J122" s="223"/>
      <c r="K122" s="224" t="s">
        <v>29</v>
      </c>
    </row>
    <row r="123" spans="1:11" ht="14.45" customHeight="1" x14ac:dyDescent="0.3">
      <c r="A123" s="222" t="s">
        <v>2447</v>
      </c>
      <c r="B123" s="201"/>
      <c r="C123" s="191" t="s">
        <v>2450</v>
      </c>
      <c r="D123" s="192" t="s">
        <v>2325</v>
      </c>
      <c r="E123" s="202">
        <v>1.4E-2</v>
      </c>
      <c r="F123" s="194">
        <v>88400</v>
      </c>
      <c r="G123" s="194">
        <v>88400</v>
      </c>
      <c r="H123" s="195">
        <v>86</v>
      </c>
      <c r="I123" s="196" t="s">
        <v>2298</v>
      </c>
      <c r="J123" s="223"/>
      <c r="K123" s="224" t="s">
        <v>29</v>
      </c>
    </row>
    <row r="124" spans="1:11" ht="14.45" customHeight="1" x14ac:dyDescent="0.3">
      <c r="A124" s="222" t="s">
        <v>2447</v>
      </c>
      <c r="B124" s="201"/>
      <c r="C124" s="191" t="s">
        <v>2451</v>
      </c>
      <c r="D124" s="192" t="s">
        <v>2325</v>
      </c>
      <c r="E124" s="202">
        <v>1.6E-2</v>
      </c>
      <c r="F124" s="194">
        <v>119000</v>
      </c>
      <c r="G124" s="194">
        <v>119000</v>
      </c>
      <c r="H124" s="195">
        <v>85</v>
      </c>
      <c r="I124" s="196" t="s">
        <v>2298</v>
      </c>
      <c r="J124" s="223"/>
      <c r="K124" s="224" t="s">
        <v>29</v>
      </c>
    </row>
    <row r="125" spans="1:11" ht="14.45" customHeight="1" x14ac:dyDescent="0.3">
      <c r="A125" s="222" t="s">
        <v>2447</v>
      </c>
      <c r="B125" s="201"/>
      <c r="C125" s="191" t="s">
        <v>2452</v>
      </c>
      <c r="D125" s="192" t="s">
        <v>2325</v>
      </c>
      <c r="E125" s="202">
        <v>2.1000000000000001E-2</v>
      </c>
      <c r="F125" s="194">
        <v>202000</v>
      </c>
      <c r="G125" s="194">
        <v>202000</v>
      </c>
      <c r="H125" s="195">
        <v>85</v>
      </c>
      <c r="I125" s="196" t="s">
        <v>2298</v>
      </c>
      <c r="J125" s="223"/>
      <c r="K125" s="224" t="s">
        <v>29</v>
      </c>
    </row>
    <row r="126" spans="1:11" ht="14.45" customHeight="1" x14ac:dyDescent="0.3">
      <c r="A126" s="222" t="s">
        <v>2453</v>
      </c>
      <c r="B126" s="201" t="s">
        <v>2454</v>
      </c>
      <c r="C126" s="191">
        <v>35</v>
      </c>
      <c r="D126" s="192" t="s">
        <v>15</v>
      </c>
      <c r="E126" s="202">
        <v>0.1</v>
      </c>
      <c r="F126" s="194">
        <v>429452</v>
      </c>
      <c r="G126" s="194">
        <v>429452</v>
      </c>
      <c r="H126" s="195">
        <v>67</v>
      </c>
      <c r="I126" s="196" t="s">
        <v>2298</v>
      </c>
      <c r="J126" s="223"/>
      <c r="K126" s="224"/>
    </row>
    <row r="127" spans="1:11" ht="14.45" customHeight="1" x14ac:dyDescent="0.25">
      <c r="A127" s="225" t="s">
        <v>2453</v>
      </c>
      <c r="B127" s="201"/>
      <c r="C127" s="191" t="s">
        <v>2455</v>
      </c>
      <c r="D127" s="186" t="s">
        <v>2304</v>
      </c>
      <c r="E127" s="193">
        <v>0.25</v>
      </c>
      <c r="F127" s="194">
        <v>161455</v>
      </c>
      <c r="G127" s="194">
        <v>77308</v>
      </c>
      <c r="H127" s="195">
        <v>61</v>
      </c>
      <c r="I127" s="196">
        <v>4.5</v>
      </c>
      <c r="J127" s="223"/>
      <c r="K127" s="224"/>
    </row>
    <row r="128" spans="1:11" ht="14.45" customHeight="1" x14ac:dyDescent="0.3">
      <c r="A128" s="222" t="s">
        <v>2453</v>
      </c>
      <c r="B128" s="201"/>
      <c r="C128" s="191" t="s">
        <v>2456</v>
      </c>
      <c r="D128" s="192" t="s">
        <v>2304</v>
      </c>
      <c r="E128" s="202">
        <v>0.27</v>
      </c>
      <c r="F128" s="194">
        <v>166109</v>
      </c>
      <c r="G128" s="194">
        <v>60000</v>
      </c>
      <c r="H128" s="195">
        <v>58</v>
      </c>
      <c r="I128" s="196">
        <v>5.3</v>
      </c>
      <c r="J128" s="223"/>
      <c r="K128" s="224"/>
    </row>
    <row r="129" spans="1:11" x14ac:dyDescent="0.25">
      <c r="A129" s="957" t="s">
        <v>2457</v>
      </c>
      <c r="B129" s="957"/>
      <c r="C129" s="957"/>
      <c r="D129" s="957"/>
      <c r="E129" s="957"/>
      <c r="F129" s="957"/>
      <c r="G129" s="957"/>
      <c r="H129" s="957"/>
      <c r="I129" s="957"/>
      <c r="J129" s="957"/>
      <c r="K129" s="957"/>
    </row>
  </sheetData>
  <mergeCells count="2">
    <mergeCell ref="A1:K1"/>
    <mergeCell ref="A129:K12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2" tint="-0.249977111117893"/>
  </sheetPr>
  <dimension ref="A1:W231"/>
  <sheetViews>
    <sheetView zoomScaleNormal="100" workbookViewId="0">
      <selection sqref="A1:I1"/>
    </sheetView>
  </sheetViews>
  <sheetFormatPr defaultRowHeight="15" x14ac:dyDescent="0.25"/>
  <cols>
    <col min="1" max="1" width="27.7109375" customWidth="1"/>
    <col min="3" max="3" width="12.28515625" customWidth="1"/>
    <col min="7" max="7" width="10.140625" customWidth="1"/>
    <col min="16" max="16" width="11.85546875" bestFit="1" customWidth="1"/>
    <col min="21" max="22" width="10.28515625" customWidth="1"/>
    <col min="23" max="23" width="12.5703125" customWidth="1"/>
  </cols>
  <sheetData>
    <row r="1" spans="1:9" ht="18.75" x14ac:dyDescent="0.3">
      <c r="A1" s="912" t="s">
        <v>4374</v>
      </c>
      <c r="B1" s="912"/>
      <c r="C1" s="912"/>
      <c r="D1" s="912"/>
      <c r="E1" s="912"/>
      <c r="F1" s="912"/>
      <c r="G1" s="912"/>
      <c r="H1" s="912"/>
      <c r="I1" s="912"/>
    </row>
    <row r="3" spans="1:9" x14ac:dyDescent="0.25">
      <c r="A3" s="405" t="s">
        <v>2748</v>
      </c>
      <c r="B3" s="241" t="s">
        <v>4375</v>
      </c>
    </row>
    <row r="4" spans="1:9" x14ac:dyDescent="0.25">
      <c r="A4" s="405" t="s">
        <v>3183</v>
      </c>
      <c r="B4" s="519">
        <v>2019</v>
      </c>
    </row>
    <row r="6" spans="1:9" ht="15.75" x14ac:dyDescent="0.25">
      <c r="A6" s="924" t="s">
        <v>2749</v>
      </c>
      <c r="B6" s="924"/>
      <c r="C6" s="924"/>
      <c r="D6" s="924"/>
      <c r="E6" s="924"/>
      <c r="F6" s="924"/>
      <c r="G6" s="924"/>
      <c r="H6" s="924"/>
    </row>
    <row r="7" spans="1:9" x14ac:dyDescent="0.25">
      <c r="A7" s="2"/>
      <c r="B7" s="2"/>
      <c r="C7" s="2"/>
      <c r="D7" s="2"/>
      <c r="E7" s="2"/>
      <c r="F7" s="2"/>
      <c r="G7" s="2"/>
      <c r="H7" s="2"/>
    </row>
    <row r="8" spans="1:9" x14ac:dyDescent="0.25">
      <c r="A8" s="406" t="s">
        <v>2750</v>
      </c>
      <c r="B8" s="2"/>
      <c r="C8" s="2"/>
      <c r="D8" s="2"/>
      <c r="E8" s="2"/>
      <c r="F8" s="2"/>
      <c r="G8" s="2"/>
      <c r="H8" s="2"/>
    </row>
    <row r="9" spans="1:9" x14ac:dyDescent="0.25">
      <c r="A9" s="407" t="s">
        <v>2751</v>
      </c>
      <c r="B9" s="2"/>
      <c r="C9" s="2"/>
      <c r="D9" s="2"/>
      <c r="E9" s="2"/>
      <c r="F9" s="2"/>
      <c r="G9" s="2"/>
      <c r="H9" s="2"/>
    </row>
    <row r="10" spans="1:9" x14ac:dyDescent="0.25">
      <c r="A10" s="407" t="s">
        <v>2752</v>
      </c>
      <c r="B10" s="2"/>
      <c r="C10" s="2"/>
      <c r="D10" s="2"/>
      <c r="E10" s="2"/>
      <c r="F10" s="2"/>
      <c r="G10" s="2"/>
      <c r="H10" s="2"/>
    </row>
    <row r="11" spans="1:9" x14ac:dyDescent="0.25">
      <c r="A11" s="407" t="s">
        <v>2753</v>
      </c>
      <c r="B11" s="2"/>
      <c r="C11" s="2"/>
      <c r="D11" s="2"/>
      <c r="E11" s="2"/>
      <c r="F11" s="2"/>
      <c r="G11" s="2"/>
      <c r="H11" s="2"/>
    </row>
    <row r="12" spans="1:9" x14ac:dyDescent="0.25">
      <c r="A12" s="407" t="s">
        <v>2754</v>
      </c>
      <c r="B12" s="2"/>
      <c r="C12" s="2"/>
      <c r="D12" s="2"/>
      <c r="E12" s="2"/>
      <c r="F12" s="2"/>
      <c r="G12" s="2"/>
      <c r="H12" s="2"/>
    </row>
    <row r="13" spans="1:9" x14ac:dyDescent="0.25">
      <c r="A13" s="407" t="s">
        <v>2755</v>
      </c>
      <c r="B13" s="2"/>
      <c r="C13" s="2"/>
      <c r="D13" s="2"/>
      <c r="E13" s="2"/>
      <c r="F13" s="2"/>
      <c r="G13" s="2"/>
      <c r="H13" s="2"/>
    </row>
    <row r="14" spans="1:9" x14ac:dyDescent="0.25">
      <c r="A14" s="2"/>
      <c r="B14" s="2"/>
      <c r="C14" s="2"/>
      <c r="D14" s="2"/>
      <c r="E14" s="2"/>
      <c r="F14" s="2"/>
      <c r="G14" s="2"/>
      <c r="H14" s="2"/>
    </row>
    <row r="15" spans="1:9" x14ac:dyDescent="0.25">
      <c r="A15" s="241"/>
      <c r="B15" s="917" t="s">
        <v>2756</v>
      </c>
      <c r="C15" s="917"/>
      <c r="D15" s="2" t="s">
        <v>2757</v>
      </c>
      <c r="F15" s="917" t="s">
        <v>2758</v>
      </c>
      <c r="G15" s="917"/>
      <c r="H15" t="s">
        <v>2759</v>
      </c>
    </row>
    <row r="16" spans="1:9" x14ac:dyDescent="0.25">
      <c r="A16" s="9" t="s">
        <v>2760</v>
      </c>
      <c r="B16" s="44" t="s">
        <v>2554</v>
      </c>
      <c r="C16" s="44" t="s">
        <v>2546</v>
      </c>
      <c r="D16" s="44" t="s">
        <v>2761</v>
      </c>
      <c r="F16" s="918" t="s">
        <v>2762</v>
      </c>
      <c r="G16" s="918"/>
      <c r="H16" s="44" t="s">
        <v>2763</v>
      </c>
    </row>
    <row r="17" spans="1:8" x14ac:dyDescent="0.25">
      <c r="A17" t="s">
        <v>2764</v>
      </c>
      <c r="B17" s="408">
        <v>0.31772881708698097</v>
      </c>
      <c r="C17" s="408">
        <v>0.68227118291301903</v>
      </c>
      <c r="D17" s="409">
        <f>SUMPRODUCT(B17:C17,B$19:C$19)</f>
        <v>2035.3928754647418</v>
      </c>
      <c r="G17" s="1" t="s">
        <v>2765</v>
      </c>
      <c r="H17" s="408">
        <v>0.78390298205494036</v>
      </c>
    </row>
    <row r="18" spans="1:8" x14ac:dyDescent="0.25">
      <c r="A18" t="s">
        <v>2766</v>
      </c>
      <c r="B18" s="335">
        <v>1</v>
      </c>
      <c r="C18" s="335">
        <v>0</v>
      </c>
      <c r="D18" s="409">
        <f>SUMPRODUCT(B18:C18,B$19:C$19)</f>
        <v>896</v>
      </c>
      <c r="G18" s="1" t="s">
        <v>2767</v>
      </c>
      <c r="H18" s="335">
        <v>0.89751772975716571</v>
      </c>
    </row>
    <row r="19" spans="1:8" x14ac:dyDescent="0.25">
      <c r="A19" t="s">
        <v>2768</v>
      </c>
      <c r="B19" s="410">
        <v>896</v>
      </c>
      <c r="C19" s="410">
        <v>2566</v>
      </c>
      <c r="G19" s="411"/>
    </row>
    <row r="21" spans="1:8" x14ac:dyDescent="0.25">
      <c r="B21" s="922" t="str">
        <f>$B$4&amp;" Baseline Space Heating Emission Factors (lb/mmBTU)"</f>
        <v>2019 Baseline Space Heating Emission Factors (lb/mmBTU)</v>
      </c>
      <c r="C21" s="922"/>
      <c r="D21" s="922"/>
      <c r="E21" s="922"/>
      <c r="F21" s="922"/>
      <c r="G21" s="922"/>
      <c r="H21" s="922"/>
    </row>
    <row r="22" spans="1:8" x14ac:dyDescent="0.25">
      <c r="A22" s="9" t="s">
        <v>2769</v>
      </c>
      <c r="B22" s="44" t="s">
        <v>2143</v>
      </c>
      <c r="C22" s="44" t="s">
        <v>2144</v>
      </c>
      <c r="D22" s="44" t="s">
        <v>2145</v>
      </c>
      <c r="E22" s="44" t="s">
        <v>2146</v>
      </c>
      <c r="F22" s="44" t="s">
        <v>2147</v>
      </c>
      <c r="G22" s="44" t="s">
        <v>2148</v>
      </c>
      <c r="H22" s="44" t="s">
        <v>2149</v>
      </c>
    </row>
    <row r="23" spans="1:8" x14ac:dyDescent="0.25">
      <c r="A23" t="s">
        <v>2770</v>
      </c>
      <c r="B23" s="290">
        <f ca="1">INDIRECT("'DevSumOut-"&amp;$B$4&amp;"PB'!Y76")</f>
        <v>5.3201428459336026E-3</v>
      </c>
      <c r="C23" s="290">
        <f ca="1">INDIRECT("'DevSumOut-"&amp;$B$4&amp;"PB'!Z76")</f>
        <v>8.3693292692388663E-2</v>
      </c>
      <c r="D23" s="290">
        <f ca="1">INDIRECT("'DevSumOut-"&amp;$B$4&amp;"PB'!AA76")</f>
        <v>0.21566037587652909</v>
      </c>
      <c r="E23" s="290">
        <f ca="1">INDIRECT("'DevSumOut-"&amp;$B$4&amp;"PB'!AB76")</f>
        <v>3.404171185950607E-3</v>
      </c>
      <c r="F23" s="290">
        <f ca="1">INDIRECT("'DevSumOut-"&amp;$B$4&amp;"PB'!AC76")</f>
        <v>3.404171185950607E-3</v>
      </c>
      <c r="G23" s="290">
        <f ca="1">INDIRECT("'DevSumOut-"&amp;$B$4&amp;"PB'!AD76")</f>
        <v>1.8278335230744155E-4</v>
      </c>
      <c r="H23" s="290">
        <f ca="1">INDIRECT("'DevSumOut-"&amp;$B$4&amp;"PB'!AE76")</f>
        <v>3.3416589882860927E-3</v>
      </c>
    </row>
    <row r="24" spans="1:8" x14ac:dyDescent="0.25">
      <c r="A24" t="s">
        <v>2771</v>
      </c>
      <c r="B24" s="290">
        <f ca="1">INDIRECT("'DevSumOut-"&amp;$B$4&amp;"PB'!Y78")</f>
        <v>5.1480144404332118E-3</v>
      </c>
      <c r="C24" s="290">
        <f ca="1">INDIRECT("'DevSumOut-"&amp;$B$4&amp;"PB'!Z78")</f>
        <v>0.12996389891696752</v>
      </c>
      <c r="D24" s="290">
        <f ca="1">INDIRECT("'DevSumOut-"&amp;$B$4&amp;"PB'!AA78")</f>
        <v>9.1864259927797801E-2</v>
      </c>
      <c r="E24" s="290">
        <f ca="1">INDIRECT("'DevSumOut-"&amp;$B$4&amp;"PB'!AB78")</f>
        <v>3.2967299611507727E-3</v>
      </c>
      <c r="F24" s="290">
        <f ca="1">INDIRECT("'DevSumOut-"&amp;$B$4&amp;"PB'!AC78")</f>
        <v>3.2967299611507727E-3</v>
      </c>
      <c r="G24" s="290">
        <f ca="1">INDIRECT("'DevSumOut-"&amp;$B$4&amp;"PB'!AD78")</f>
        <v>1.7686956241573897E-4</v>
      </c>
      <c r="H24" s="290">
        <f ca="1">INDIRECT("'DevSumOut-"&amp;$B$4&amp;"PB'!AE78")</f>
        <v>3.2335426368953818E-3</v>
      </c>
    </row>
    <row r="25" spans="1:8" x14ac:dyDescent="0.25">
      <c r="A25" t="s">
        <v>2772</v>
      </c>
      <c r="B25" s="290">
        <f ca="1">INDIRECT("'DevSumOut-"&amp;$B$4&amp;"PB'!Y79")</f>
        <v>2.5539276619417253</v>
      </c>
      <c r="C25" s="290">
        <f ca="1">INDIRECT("'DevSumOut-"&amp;$B$4&amp;"PB'!Z79")</f>
        <v>0.11968919875245596</v>
      </c>
      <c r="D25" s="290">
        <f ca="1">INDIRECT("'DevSumOut-"&amp;$B$4&amp;"PB'!AA79")</f>
        <v>2.4514402691133284E-2</v>
      </c>
      <c r="E25" s="290">
        <f ca="1">INDIRECT("'DevSumOut-"&amp;$B$4&amp;"PB'!AB79")</f>
        <v>0.69366943612609944</v>
      </c>
      <c r="F25" s="290">
        <f ca="1">INDIRECT("'DevSumOut-"&amp;$B$4&amp;"PB'!AC79")</f>
        <v>0.69366943612609944</v>
      </c>
      <c r="G25" s="290">
        <f ca="1">INDIRECT("'DevSumOut-"&amp;$B$4&amp;"PB'!AD79")</f>
        <v>2.6123869323514026E-2</v>
      </c>
      <c r="H25" s="290">
        <f ca="1">INDIRECT("'DevSumOut-"&amp;$B$4&amp;"PB'!AE79")</f>
        <v>7.3677330063651363</v>
      </c>
    </row>
    <row r="26" spans="1:8" x14ac:dyDescent="0.25">
      <c r="A26" s="413"/>
    </row>
    <row r="27" spans="1:8" ht="15.75" x14ac:dyDescent="0.25">
      <c r="A27" s="924" t="s">
        <v>3450</v>
      </c>
      <c r="B27" s="924"/>
      <c r="C27" s="924"/>
      <c r="D27" s="924"/>
      <c r="E27" s="924"/>
      <c r="F27" s="924"/>
      <c r="G27" s="924"/>
      <c r="H27" s="924"/>
    </row>
    <row r="28" spans="1:8" x14ac:dyDescent="0.25">
      <c r="A28" s="413"/>
    </row>
    <row r="29" spans="1:8" x14ac:dyDescent="0.25">
      <c r="A29" s="406" t="s">
        <v>2750</v>
      </c>
    </row>
    <row r="30" spans="1:8" ht="18" x14ac:dyDescent="0.35">
      <c r="A30" s="407" t="s">
        <v>3491</v>
      </c>
    </row>
    <row r="31" spans="1:8" ht="18" x14ac:dyDescent="0.35">
      <c r="A31" s="407" t="s">
        <v>3185</v>
      </c>
    </row>
    <row r="32" spans="1:8" x14ac:dyDescent="0.25">
      <c r="A32" s="407" t="s">
        <v>3451</v>
      </c>
    </row>
    <row r="33" spans="1:7" x14ac:dyDescent="0.25">
      <c r="A33" s="407" t="s">
        <v>3452</v>
      </c>
    </row>
    <row r="34" spans="1:7" x14ac:dyDescent="0.25">
      <c r="A34" s="407" t="s">
        <v>3453</v>
      </c>
    </row>
    <row r="35" spans="1:7" x14ac:dyDescent="0.25">
      <c r="A35" s="407" t="s">
        <v>3454</v>
      </c>
    </row>
    <row r="36" spans="1:7" x14ac:dyDescent="0.25">
      <c r="A36" s="407"/>
    </row>
    <row r="37" spans="1:7" x14ac:dyDescent="0.25">
      <c r="A37" s="923" t="s">
        <v>2773</v>
      </c>
      <c r="B37" s="923"/>
      <c r="C37" s="923"/>
      <c r="D37" s="923"/>
      <c r="E37" s="923"/>
      <c r="F37" s="923"/>
      <c r="G37" s="923"/>
    </row>
    <row r="51" spans="1:8" x14ac:dyDescent="0.25">
      <c r="A51" s="413" t="s">
        <v>3492</v>
      </c>
    </row>
    <row r="52" spans="1:8" x14ac:dyDescent="0.25">
      <c r="A52" s="413"/>
    </row>
    <row r="53" spans="1:8" x14ac:dyDescent="0.25">
      <c r="A53" s="413"/>
      <c r="B53" s="327" t="s">
        <v>3455</v>
      </c>
    </row>
    <row r="54" spans="1:8" x14ac:dyDescent="0.25">
      <c r="A54" s="413"/>
      <c r="B54" s="414" t="s">
        <v>3456</v>
      </c>
      <c r="C54" s="415">
        <f>ULSEFs!$O$69</f>
        <v>1.942443864412639E-6</v>
      </c>
      <c r="D54" s="416" t="s">
        <v>2774</v>
      </c>
      <c r="E54" s="415">
        <f>ULSEFs!$Q$69</f>
        <v>5.9763082405351123E-4</v>
      </c>
    </row>
    <row r="56" spans="1:8" x14ac:dyDescent="0.25">
      <c r="E56" t="s">
        <v>2775</v>
      </c>
    </row>
    <row r="57" spans="1:8" x14ac:dyDescent="0.25">
      <c r="C57" s="2" t="s">
        <v>2757</v>
      </c>
      <c r="E57" s="2" t="s">
        <v>2135</v>
      </c>
    </row>
    <row r="58" spans="1:8" x14ac:dyDescent="0.25">
      <c r="A58" s="9" t="s">
        <v>3457</v>
      </c>
      <c r="B58" s="9"/>
      <c r="C58" s="44" t="s">
        <v>2761</v>
      </c>
      <c r="D58" s="9"/>
      <c r="E58" s="9" t="s">
        <v>2251</v>
      </c>
      <c r="F58" s="9"/>
    </row>
    <row r="59" spans="1:8" x14ac:dyDescent="0.25">
      <c r="A59" t="s">
        <v>3458</v>
      </c>
      <c r="C59" s="42">
        <f>D17</f>
        <v>2035.3928754647418</v>
      </c>
      <c r="E59" s="729">
        <f>C59*C$54+E$54</f>
        <v>4.5512672266691976E-3</v>
      </c>
    </row>
    <row r="60" spans="1:8" x14ac:dyDescent="0.25">
      <c r="A60" s="9" t="s">
        <v>3508</v>
      </c>
      <c r="B60" s="9"/>
      <c r="C60" s="741">
        <f>B19</f>
        <v>896</v>
      </c>
      <c r="D60" s="9"/>
      <c r="E60" s="730">
        <f>C60*C$54+E$54</f>
        <v>2.3380605265672359E-3</v>
      </c>
      <c r="F60" s="9"/>
    </row>
    <row r="61" spans="1:8" x14ac:dyDescent="0.25">
      <c r="D61" s="405" t="s">
        <v>3460</v>
      </c>
      <c r="E61" s="731">
        <f>1-E60/E59</f>
        <v>0.48628361945727283</v>
      </c>
    </row>
    <row r="63" spans="1:8" x14ac:dyDescent="0.25">
      <c r="A63" s="917" t="s">
        <v>3504</v>
      </c>
      <c r="B63" s="917"/>
      <c r="C63" s="917"/>
      <c r="D63" s="917"/>
      <c r="E63" s="917"/>
      <c r="F63" s="917"/>
      <c r="G63" s="917"/>
      <c r="H63" s="917"/>
    </row>
    <row r="65" spans="1:8" x14ac:dyDescent="0.25">
      <c r="A65" s="1" t="s">
        <v>3505</v>
      </c>
      <c r="B65" s="114">
        <v>130116.60120120121</v>
      </c>
      <c r="C65" t="s">
        <v>2095</v>
      </c>
      <c r="D65" t="s">
        <v>4368</v>
      </c>
    </row>
    <row r="66" spans="1:8" x14ac:dyDescent="0.25">
      <c r="A66" s="1" t="s">
        <v>3506</v>
      </c>
      <c r="B66" s="114">
        <v>125684.61323191733</v>
      </c>
      <c r="C66" t="s">
        <v>2095</v>
      </c>
      <c r="D66" t="s">
        <v>4368</v>
      </c>
    </row>
    <row r="67" spans="1:8" x14ac:dyDescent="0.25">
      <c r="A67" s="1" t="s">
        <v>3507</v>
      </c>
      <c r="B67" s="412">
        <f>1-B66/B65</f>
        <v>3.406166414100098E-2</v>
      </c>
    </row>
    <row r="69" spans="1:8" x14ac:dyDescent="0.25">
      <c r="B69" s="922" t="s">
        <v>3509</v>
      </c>
      <c r="C69" s="922"/>
      <c r="D69" s="922"/>
      <c r="E69" s="922"/>
      <c r="F69" s="922"/>
      <c r="G69" s="922"/>
      <c r="H69" s="922"/>
    </row>
    <row r="70" spans="1:8" x14ac:dyDescent="0.25">
      <c r="A70" s="413"/>
      <c r="B70" s="44" t="s">
        <v>2143</v>
      </c>
      <c r="C70" s="44" t="s">
        <v>2144</v>
      </c>
      <c r="D70" s="44" t="s">
        <v>2145</v>
      </c>
      <c r="E70" s="44" t="s">
        <v>2146</v>
      </c>
      <c r="F70" s="44" t="s">
        <v>2147</v>
      </c>
      <c r="G70" s="44" t="s">
        <v>2148</v>
      </c>
      <c r="H70" s="44" t="s">
        <v>2149</v>
      </c>
    </row>
    <row r="71" spans="1:8" x14ac:dyDescent="0.25">
      <c r="A71" t="s">
        <v>3508</v>
      </c>
      <c r="B71" s="290">
        <f ca="1">B23</f>
        <v>5.3201428459336026E-3</v>
      </c>
      <c r="C71" s="290">
        <f ca="1">AVERAGE(C23:C24)*(1-25%)</f>
        <v>8.0121446853508582E-2</v>
      </c>
      <c r="D71" s="290">
        <f ca="1">D23*C60/D17</f>
        <v>9.4935822520872987E-2</v>
      </c>
      <c r="E71" s="290">
        <f ca="1">F71</f>
        <v>1.7487785003943888E-3</v>
      </c>
      <c r="F71" s="290">
        <f ca="1">F23*(1-E61)</f>
        <v>1.7487785003943888E-3</v>
      </c>
      <c r="G71" s="290">
        <f ca="1">G23</f>
        <v>1.8278335230744155E-4</v>
      </c>
      <c r="H71" s="290">
        <f ca="1">H23</f>
        <v>3.3416589882860927E-3</v>
      </c>
    </row>
    <row r="72" spans="1:8" x14ac:dyDescent="0.25">
      <c r="A72" s="413"/>
    </row>
    <row r="73" spans="1:8" ht="15.75" thickBot="1" x14ac:dyDescent="0.3">
      <c r="A73" s="413"/>
    </row>
    <row r="74" spans="1:8" ht="16.5" thickBot="1" x14ac:dyDescent="0.3">
      <c r="A74" s="919" t="s">
        <v>2776</v>
      </c>
      <c r="B74" s="920"/>
      <c r="C74" s="921"/>
    </row>
    <row r="76" spans="1:8" x14ac:dyDescent="0.25">
      <c r="A76" s="406" t="s">
        <v>2750</v>
      </c>
    </row>
    <row r="77" spans="1:8" x14ac:dyDescent="0.25">
      <c r="A77" s="407" t="s">
        <v>2777</v>
      </c>
    </row>
    <row r="78" spans="1:8" x14ac:dyDescent="0.25">
      <c r="A78" s="407" t="s">
        <v>2778</v>
      </c>
    </row>
    <row r="79" spans="1:8" x14ac:dyDescent="0.25">
      <c r="A79" s="407" t="s">
        <v>2779</v>
      </c>
    </row>
    <row r="80" spans="1:8" x14ac:dyDescent="0.25">
      <c r="A80" s="407" t="s">
        <v>2780</v>
      </c>
    </row>
    <row r="82" spans="1:8" x14ac:dyDescent="0.25">
      <c r="B82" s="917" t="str">
        <f>$B$4&amp;" Nonattainment Area Heating Energy by"</f>
        <v>2019 Nonattainment Area Heating Energy by</v>
      </c>
      <c r="C82" s="917"/>
      <c r="D82" s="917"/>
      <c r="E82" s="917"/>
      <c r="F82" s="917"/>
    </row>
    <row r="83" spans="1:8" x14ac:dyDescent="0.25">
      <c r="B83" s="917" t="s">
        <v>2781</v>
      </c>
      <c r="C83" s="917"/>
      <c r="D83" s="917"/>
      <c r="E83" s="917"/>
      <c r="F83" s="917"/>
    </row>
    <row r="84" spans="1:8" x14ac:dyDescent="0.25">
      <c r="C84" s="2"/>
      <c r="D84" s="2" t="s">
        <v>2782</v>
      </c>
      <c r="E84" s="2" t="s">
        <v>2783</v>
      </c>
    </row>
    <row r="85" spans="1:8" x14ac:dyDescent="0.25">
      <c r="A85" s="9" t="s">
        <v>2769</v>
      </c>
      <c r="B85" s="9"/>
      <c r="C85" s="44" t="s">
        <v>3186</v>
      </c>
      <c r="D85" s="44" t="s">
        <v>2784</v>
      </c>
      <c r="E85" s="44" t="s">
        <v>2785</v>
      </c>
      <c r="F85" s="9"/>
    </row>
    <row r="86" spans="1:8" x14ac:dyDescent="0.25">
      <c r="A86" t="s">
        <v>2786</v>
      </c>
      <c r="C86" s="114">
        <f ca="1">INDIRECT("'DevSumOut-"&amp;$B$4&amp;"PB'!U76")</f>
        <v>30171.778094171383</v>
      </c>
      <c r="D86" s="925">
        <f>H$17</f>
        <v>0.78390298205494036</v>
      </c>
      <c r="E86" s="114">
        <f ca="1">C86/D86/2</f>
        <v>19244.586884386143</v>
      </c>
    </row>
    <row r="87" spans="1:8" x14ac:dyDescent="0.25">
      <c r="A87" t="s">
        <v>2787</v>
      </c>
      <c r="C87" s="114">
        <f ca="1">INDIRECT("'DevSumOut-"&amp;$B$4&amp;"PB'!U78")</f>
        <v>9271.8845460458488</v>
      </c>
      <c r="D87" s="926"/>
      <c r="E87" s="114">
        <f ca="1">C87/D86/2</f>
        <v>5913.9235073071977</v>
      </c>
    </row>
    <row r="88" spans="1:8" x14ac:dyDescent="0.25">
      <c r="A88" s="9" t="s">
        <v>2788</v>
      </c>
      <c r="B88" s="9"/>
      <c r="C88" s="245">
        <f ca="1">INDIRECT("'DevSumOut-"&amp;$B$4&amp;"PB'!U79")</f>
        <v>6693.1314228901792</v>
      </c>
      <c r="D88" s="417">
        <f>H$18</f>
        <v>0.89751772975716571</v>
      </c>
      <c r="E88" s="245">
        <f ca="1">C88/D88/2</f>
        <v>3728.6903650923346</v>
      </c>
      <c r="F88" s="9"/>
    </row>
    <row r="89" spans="1:8" x14ac:dyDescent="0.25">
      <c r="A89" s="241" t="s">
        <v>2515</v>
      </c>
      <c r="C89" s="244">
        <f ca="1">SUM(C86:C88)</f>
        <v>46136.794063107416</v>
      </c>
      <c r="D89" s="241"/>
      <c r="E89" s="244">
        <f ca="1">SUM(E86:E88)</f>
        <v>28887.200756785674</v>
      </c>
    </row>
    <row r="91" spans="1:8" x14ac:dyDescent="0.25">
      <c r="B91" s="922" t="s">
        <v>2789</v>
      </c>
      <c r="C91" s="922"/>
      <c r="D91" s="922"/>
      <c r="E91" s="922"/>
      <c r="F91" s="922"/>
      <c r="G91" s="922"/>
      <c r="H91" s="922"/>
    </row>
    <row r="92" spans="1:8" x14ac:dyDescent="0.25">
      <c r="A92" s="9" t="s">
        <v>2769</v>
      </c>
      <c r="B92" s="44" t="s">
        <v>2143</v>
      </c>
      <c r="C92" s="44" t="s">
        <v>2144</v>
      </c>
      <c r="D92" s="44" t="s">
        <v>2145</v>
      </c>
      <c r="E92" s="44" t="s">
        <v>2146</v>
      </c>
      <c r="F92" s="44" t="s">
        <v>2147</v>
      </c>
      <c r="G92" s="44" t="s">
        <v>2148</v>
      </c>
      <c r="H92" s="44" t="s">
        <v>2149</v>
      </c>
    </row>
    <row r="93" spans="1:8" x14ac:dyDescent="0.25">
      <c r="A93" t="s">
        <v>2790</v>
      </c>
      <c r="B93" s="290">
        <f ca="1">B23</f>
        <v>5.3201428459336026E-3</v>
      </c>
      <c r="C93" s="290">
        <f t="shared" ref="C93:H93" ca="1" si="0">C23</f>
        <v>8.3693292692388663E-2</v>
      </c>
      <c r="D93" s="290">
        <f t="shared" ca="1" si="0"/>
        <v>0.21566037587652909</v>
      </c>
      <c r="E93" s="290">
        <f t="shared" ca="1" si="0"/>
        <v>3.404171185950607E-3</v>
      </c>
      <c r="F93" s="290">
        <f t="shared" ca="1" si="0"/>
        <v>3.404171185950607E-3</v>
      </c>
      <c r="G93" s="290">
        <f t="shared" ca="1" si="0"/>
        <v>1.8278335230744155E-4</v>
      </c>
      <c r="H93" s="290">
        <f t="shared" ca="1" si="0"/>
        <v>3.3416589882860927E-3</v>
      </c>
    </row>
    <row r="94" spans="1:8" x14ac:dyDescent="0.25">
      <c r="A94" t="s">
        <v>2791</v>
      </c>
      <c r="B94" s="290">
        <f ca="1">B24</f>
        <v>5.1480144404332118E-3</v>
      </c>
      <c r="C94" s="290">
        <f t="shared" ref="C94:H95" ca="1" si="1">C24</f>
        <v>0.12996389891696752</v>
      </c>
      <c r="D94" s="290">
        <f t="shared" ca="1" si="1"/>
        <v>9.1864259927797801E-2</v>
      </c>
      <c r="E94" s="290">
        <f t="shared" ca="1" si="1"/>
        <v>3.2967299611507727E-3</v>
      </c>
      <c r="F94" s="290">
        <f t="shared" ca="1" si="1"/>
        <v>3.2967299611507727E-3</v>
      </c>
      <c r="G94" s="290">
        <f t="shared" ca="1" si="1"/>
        <v>1.7686956241573897E-4</v>
      </c>
      <c r="H94" s="290">
        <f t="shared" ca="1" si="1"/>
        <v>3.2335426368953818E-3</v>
      </c>
    </row>
    <row r="95" spans="1:8" x14ac:dyDescent="0.25">
      <c r="A95" s="9" t="s">
        <v>2788</v>
      </c>
      <c r="B95" s="292">
        <f ca="1">B25</f>
        <v>2.5539276619417253</v>
      </c>
      <c r="C95" s="292">
        <f t="shared" ca="1" si="1"/>
        <v>0.11968919875245596</v>
      </c>
      <c r="D95" s="292">
        <f t="shared" ca="1" si="1"/>
        <v>2.4514402691133284E-2</v>
      </c>
      <c r="E95" s="292">
        <f t="shared" ca="1" si="1"/>
        <v>0.69366943612609944</v>
      </c>
      <c r="F95" s="292">
        <f t="shared" ca="1" si="1"/>
        <v>0.69366943612609944</v>
      </c>
      <c r="G95" s="292">
        <f t="shared" ca="1" si="1"/>
        <v>2.6123869323514026E-2</v>
      </c>
      <c r="H95" s="292">
        <f t="shared" ca="1" si="1"/>
        <v>7.3677330063651363</v>
      </c>
    </row>
    <row r="96" spans="1:8" x14ac:dyDescent="0.25">
      <c r="B96" s="11"/>
      <c r="C96" s="11"/>
      <c r="D96" s="11"/>
      <c r="E96" s="11"/>
      <c r="F96" s="11"/>
      <c r="G96" s="11"/>
      <c r="H96" s="11"/>
    </row>
    <row r="97" spans="1:8" x14ac:dyDescent="0.25">
      <c r="B97" s="917" t="str">
        <f>$B$4&amp;" Baseline Emissions by Affected Fuel Type (tons/year)"</f>
        <v>2019 Baseline Emissions by Affected Fuel Type (tons/year)</v>
      </c>
      <c r="C97" s="917"/>
      <c r="D97" s="917"/>
      <c r="E97" s="917"/>
      <c r="F97" s="917"/>
      <c r="G97" s="917"/>
      <c r="H97" s="917"/>
    </row>
    <row r="98" spans="1:8" x14ac:dyDescent="0.25">
      <c r="A98" s="9" t="s">
        <v>1889</v>
      </c>
      <c r="B98" s="44" t="s">
        <v>2143</v>
      </c>
      <c r="C98" s="44" t="s">
        <v>2144</v>
      </c>
      <c r="D98" s="612" t="s">
        <v>2145</v>
      </c>
      <c r="E98" s="44" t="s">
        <v>2146</v>
      </c>
      <c r="F98" s="609" t="s">
        <v>2147</v>
      </c>
      <c r="G98" s="44" t="s">
        <v>2148</v>
      </c>
      <c r="H98" s="44" t="s">
        <v>2149</v>
      </c>
    </row>
    <row r="99" spans="1:8" x14ac:dyDescent="0.25">
      <c r="A99" t="s">
        <v>2790</v>
      </c>
      <c r="B99" s="890">
        <f ca="1">B93*$E86*365/2000</f>
        <v>18.68507110055441</v>
      </c>
      <c r="C99" s="890">
        <f t="shared" ref="C99:H99" ca="1" si="2">C93*$E86*365/2000</f>
        <v>293.9423188217736</v>
      </c>
      <c r="D99" s="891">
        <f t="shared" ca="1" si="2"/>
        <v>757.42880849623077</v>
      </c>
      <c r="E99" s="890">
        <f t="shared" ca="1" si="2"/>
        <v>11.955915938716425</v>
      </c>
      <c r="F99" s="892">
        <f t="shared" ca="1" si="2"/>
        <v>11.955915938716425</v>
      </c>
      <c r="G99" s="890">
        <f t="shared" ca="1" si="2"/>
        <v>0.64196019407123561</v>
      </c>
      <c r="H99" s="890">
        <f t="shared" ca="1" si="2"/>
        <v>11.736364529696242</v>
      </c>
    </row>
    <row r="100" spans="1:8" x14ac:dyDescent="0.25">
      <c r="A100" t="s">
        <v>2791</v>
      </c>
      <c r="B100" s="43">
        <f t="shared" ref="B100:H101" ca="1" si="3">B94*$E87*365/2000</f>
        <v>5.5562058597803654</v>
      </c>
      <c r="C100" s="43">
        <f t="shared" ca="1" si="3"/>
        <v>140.26887163540897</v>
      </c>
      <c r="D100" s="613">
        <f t="shared" ca="1" si="3"/>
        <v>99.148272643979723</v>
      </c>
      <c r="E100" s="43">
        <f t="shared" ca="1" si="3"/>
        <v>3.5581311086450635</v>
      </c>
      <c r="F100" s="893">
        <f t="shared" ca="1" si="3"/>
        <v>3.5581311086450635</v>
      </c>
      <c r="G100" s="43">
        <f t="shared" ca="1" si="3"/>
        <v>0.19089373397880768</v>
      </c>
      <c r="H100" s="43">
        <f t="shared" ca="1" si="3"/>
        <v>3.4899335957293651</v>
      </c>
    </row>
    <row r="101" spans="1:8" x14ac:dyDescent="0.25">
      <c r="A101" s="9" t="s">
        <v>2788</v>
      </c>
      <c r="B101" s="513">
        <f t="shared" ca="1" si="3"/>
        <v>1737.9119975860449</v>
      </c>
      <c r="C101" s="513">
        <f t="shared" ca="1" si="3"/>
        <v>81.446823100387476</v>
      </c>
      <c r="D101" s="806">
        <f t="shared" ca="1" si="3"/>
        <v>16.681707624477067</v>
      </c>
      <c r="E101" s="513">
        <f t="shared" ca="1" si="3"/>
        <v>472.0323341052416</v>
      </c>
      <c r="F101" s="894">
        <f t="shared" ca="1" si="3"/>
        <v>472.0323341052416</v>
      </c>
      <c r="G101" s="513">
        <f t="shared" ca="1" si="3"/>
        <v>17.776927121807024</v>
      </c>
      <c r="H101" s="513">
        <f t="shared" ca="1" si="3"/>
        <v>5013.6391008966802</v>
      </c>
    </row>
    <row r="102" spans="1:8" x14ac:dyDescent="0.25">
      <c r="A102" s="241" t="s">
        <v>2515</v>
      </c>
      <c r="B102" s="824">
        <f ca="1">SUM(B99:B101)</f>
        <v>1762.1532745463796</v>
      </c>
      <c r="C102" s="824">
        <f t="shared" ref="C102:H102" ca="1" si="4">SUM(C99:C101)</f>
        <v>515.65801355757003</v>
      </c>
      <c r="D102" s="895">
        <f t="shared" ca="1" si="4"/>
        <v>873.25878876468755</v>
      </c>
      <c r="E102" s="824">
        <f t="shared" ca="1" si="4"/>
        <v>487.54638115260309</v>
      </c>
      <c r="F102" s="896">
        <f t="shared" ca="1" si="4"/>
        <v>487.54638115260309</v>
      </c>
      <c r="G102" s="824">
        <f t="shared" ca="1" si="4"/>
        <v>18.609781049857066</v>
      </c>
      <c r="H102" s="824">
        <f t="shared" ca="1" si="4"/>
        <v>5028.8653990221055</v>
      </c>
    </row>
    <row r="103" spans="1:8" x14ac:dyDescent="0.25">
      <c r="A103" s="241"/>
      <c r="B103" s="418"/>
      <c r="C103" s="418"/>
      <c r="D103" s="418"/>
      <c r="E103" s="418"/>
      <c r="F103" s="418"/>
      <c r="G103" s="418"/>
      <c r="H103" s="418"/>
    </row>
    <row r="104" spans="1:8" ht="15.75" thickBot="1" x14ac:dyDescent="0.3"/>
    <row r="105" spans="1:8" ht="16.5" thickBot="1" x14ac:dyDescent="0.3">
      <c r="A105" s="919" t="s">
        <v>2792</v>
      </c>
      <c r="B105" s="920"/>
      <c r="C105" s="921"/>
      <c r="H105" s="411"/>
    </row>
    <row r="107" spans="1:8" x14ac:dyDescent="0.25">
      <c r="A107" s="406" t="s">
        <v>2750</v>
      </c>
    </row>
    <row r="108" spans="1:8" ht="18" x14ac:dyDescent="0.35">
      <c r="A108" s="407" t="s">
        <v>3493</v>
      </c>
    </row>
    <row r="109" spans="1:8" x14ac:dyDescent="0.25">
      <c r="A109" s="407" t="s">
        <v>3461</v>
      </c>
    </row>
    <row r="110" spans="1:8" x14ac:dyDescent="0.25">
      <c r="A110" s="407" t="s">
        <v>3462</v>
      </c>
    </row>
    <row r="111" spans="1:8" x14ac:dyDescent="0.25">
      <c r="A111" s="407" t="s">
        <v>3463</v>
      </c>
    </row>
    <row r="112" spans="1:8" x14ac:dyDescent="0.25">
      <c r="A112" s="407" t="s">
        <v>3464</v>
      </c>
    </row>
    <row r="114" spans="2:8" x14ac:dyDescent="0.25">
      <c r="B114" s="923" t="s">
        <v>3465</v>
      </c>
      <c r="C114" s="923"/>
      <c r="D114" s="923"/>
      <c r="E114" s="923"/>
      <c r="F114" s="923"/>
      <c r="G114" s="923"/>
      <c r="H114" s="923"/>
    </row>
    <row r="115" spans="2:8" x14ac:dyDescent="0.25">
      <c r="B115" s="1"/>
      <c r="D115" s="136"/>
      <c r="E115" s="136"/>
      <c r="F115" s="419"/>
    </row>
    <row r="116" spans="2:8" x14ac:dyDescent="0.25">
      <c r="B116" s="1"/>
      <c r="C116" s="732" t="s">
        <v>3466</v>
      </c>
      <c r="D116" s="136">
        <f>D135</f>
        <v>0.81</v>
      </c>
      <c r="E116" s="419"/>
    </row>
    <row r="117" spans="2:8" x14ac:dyDescent="0.25">
      <c r="B117" s="1"/>
      <c r="C117" s="732" t="s">
        <v>3467</v>
      </c>
      <c r="D117" s="136">
        <v>7.6799999999999993E-2</v>
      </c>
      <c r="E117" s="43" t="s">
        <v>4372</v>
      </c>
    </row>
    <row r="118" spans="2:8" x14ac:dyDescent="0.25">
      <c r="B118" s="1"/>
      <c r="C118" s="732" t="s">
        <v>3469</v>
      </c>
      <c r="D118" s="136">
        <f>1-1/(1+D117)</f>
        <v>7.1322436849925674E-2</v>
      </c>
      <c r="F118" s="419"/>
    </row>
    <row r="119" spans="2:8" x14ac:dyDescent="0.25">
      <c r="B119" s="1"/>
      <c r="D119" s="732"/>
      <c r="E119" s="136"/>
      <c r="F119" s="419"/>
    </row>
    <row r="120" spans="2:8" x14ac:dyDescent="0.25">
      <c r="B120" s="923" t="s">
        <v>3470</v>
      </c>
      <c r="C120" s="923"/>
      <c r="D120" s="923"/>
      <c r="E120" s="923"/>
      <c r="F120" s="923"/>
      <c r="G120" s="923"/>
      <c r="H120" s="923"/>
    </row>
    <row r="121" spans="2:8" x14ac:dyDescent="0.25">
      <c r="B121" s="1"/>
      <c r="D121" s="136"/>
      <c r="E121" s="732"/>
      <c r="F121" s="419"/>
    </row>
    <row r="122" spans="2:8" x14ac:dyDescent="0.25">
      <c r="B122" s="1"/>
      <c r="C122" s="732" t="s">
        <v>3471</v>
      </c>
      <c r="D122" s="733">
        <v>-0.29399999999999998</v>
      </c>
      <c r="E122" s="420" t="str">
        <f>"("&amp;TEXT(-D122,"0%")&amp;" decrease in oil demand per 100% increase in oil price -- UAF estimate)"</f>
        <v>(29% decrease in oil demand per 100% increase in oil price -- UAF estimate)</v>
      </c>
      <c r="F122" s="419"/>
    </row>
    <row r="123" spans="2:8" x14ac:dyDescent="0.25">
      <c r="B123" s="1"/>
      <c r="C123" s="732" t="s">
        <v>3510</v>
      </c>
      <c r="D123" s="734">
        <v>7.0000000000000007E-2</v>
      </c>
      <c r="E123" s="136"/>
      <c r="F123" s="1" t="s">
        <v>3511</v>
      </c>
      <c r="G123" s="861">
        <f ca="1">HLOOKUP($B$4,CostData!$G$8:$L$9,2,FALSE)</f>
        <v>2.8910476436685228</v>
      </c>
      <c r="H123" t="s">
        <v>3512</v>
      </c>
    </row>
    <row r="124" spans="2:8" x14ac:dyDescent="0.25">
      <c r="B124" s="1"/>
      <c r="C124" s="732" t="s">
        <v>3513</v>
      </c>
      <c r="D124" s="742">
        <f ca="1">D123/G123</f>
        <v>2.4212676035727746E-2</v>
      </c>
      <c r="E124" s="136"/>
      <c r="F124" s="419"/>
    </row>
    <row r="125" spans="2:8" x14ac:dyDescent="0.25">
      <c r="B125" s="1"/>
      <c r="C125" s="732" t="s">
        <v>3472</v>
      </c>
      <c r="D125" s="735">
        <f ca="1">-D122*D124</f>
        <v>7.1185267545039567E-3</v>
      </c>
      <c r="E125" s="420"/>
      <c r="F125" s="419"/>
    </row>
    <row r="126" spans="2:8" x14ac:dyDescent="0.25">
      <c r="B126" s="1"/>
      <c r="C126" s="732" t="s">
        <v>3473</v>
      </c>
      <c r="D126" s="733">
        <v>0.318</v>
      </c>
      <c r="E126" s="420" t="str">
        <f>"("&amp;TEXT(D126,"0%")&amp;" wood use increase per 100% increase in oil price)"</f>
        <v>(32% wood use increase per 100% increase in oil price)</v>
      </c>
      <c r="F126" s="419"/>
    </row>
    <row r="127" spans="2:8" x14ac:dyDescent="0.25">
      <c r="B127" s="1"/>
      <c r="C127" s="732" t="s">
        <v>3474</v>
      </c>
      <c r="D127" s="735">
        <f ca="1">D124*D126</f>
        <v>7.6996309793614234E-3</v>
      </c>
      <c r="E127" s="420"/>
      <c r="F127" s="419"/>
    </row>
    <row r="128" spans="2:8" x14ac:dyDescent="0.25">
      <c r="B128" s="1"/>
      <c r="D128" s="136"/>
      <c r="E128" s="420"/>
      <c r="F128" s="419"/>
    </row>
    <row r="129" spans="1:9" x14ac:dyDescent="0.25">
      <c r="B129" s="923" t="s">
        <v>3475</v>
      </c>
      <c r="C129" s="923"/>
      <c r="D129" s="923"/>
      <c r="E129" s="923"/>
      <c r="F129" s="923"/>
      <c r="G129" s="923"/>
      <c r="H129" s="923"/>
    </row>
    <row r="130" spans="1:9" x14ac:dyDescent="0.25">
      <c r="B130" s="917" t="s">
        <v>3476</v>
      </c>
      <c r="C130" s="917"/>
      <c r="D130" s="917"/>
      <c r="E130" s="917"/>
      <c r="F130" s="917"/>
      <c r="G130" s="917"/>
      <c r="H130" s="917"/>
    </row>
    <row r="131" spans="1:9" x14ac:dyDescent="0.25">
      <c r="B131" s="2"/>
      <c r="C131" s="2"/>
      <c r="D131" s="2"/>
      <c r="E131" s="2"/>
      <c r="F131" s="2"/>
      <c r="G131" s="2"/>
      <c r="H131" s="2"/>
    </row>
    <row r="132" spans="1:9" x14ac:dyDescent="0.25">
      <c r="D132" s="917" t="s">
        <v>3477</v>
      </c>
      <c r="E132" s="917"/>
      <c r="F132" s="2" t="s">
        <v>3478</v>
      </c>
    </row>
    <row r="133" spans="1:9" x14ac:dyDescent="0.25">
      <c r="D133" s="2" t="s">
        <v>14</v>
      </c>
      <c r="E133" s="2" t="s">
        <v>18</v>
      </c>
      <c r="F133" s="2" t="s">
        <v>3479</v>
      </c>
    </row>
    <row r="134" spans="1:9" x14ac:dyDescent="0.25">
      <c r="D134" s="44" t="s">
        <v>2793</v>
      </c>
      <c r="E134" s="44" t="s">
        <v>2793</v>
      </c>
      <c r="F134" s="44" t="s">
        <v>2794</v>
      </c>
    </row>
    <row r="135" spans="1:9" x14ac:dyDescent="0.25">
      <c r="B135" s="1"/>
      <c r="D135" s="136">
        <f>'EFs-BTU'!D54</f>
        <v>0.81</v>
      </c>
      <c r="E135" s="136">
        <v>0.6</v>
      </c>
      <c r="F135" s="419">
        <f>E135/D135</f>
        <v>0.7407407407407407</v>
      </c>
    </row>
    <row r="136" spans="1:9" x14ac:dyDescent="0.25">
      <c r="B136" s="1"/>
      <c r="D136" s="136"/>
      <c r="E136" s="420"/>
      <c r="F136" s="419"/>
    </row>
    <row r="137" spans="1:9" x14ac:dyDescent="0.25">
      <c r="B137" s="917" t="str">
        <f>$B$4&amp;" Nonattainment Area Heating Energy by"</f>
        <v>2019 Nonattainment Area Heating Energy by</v>
      </c>
      <c r="C137" s="917"/>
      <c r="D137" s="917"/>
      <c r="E137" s="917"/>
      <c r="F137" s="917"/>
      <c r="G137" s="917"/>
      <c r="H137" s="917"/>
      <c r="I137" s="917"/>
    </row>
    <row r="138" spans="1:9" x14ac:dyDescent="0.25">
      <c r="B138" s="917" t="s">
        <v>4366</v>
      </c>
      <c r="C138" s="917"/>
      <c r="D138" s="917"/>
      <c r="E138" s="917"/>
      <c r="F138" s="917"/>
      <c r="G138" s="917"/>
      <c r="H138" s="917"/>
      <c r="I138" s="917"/>
    </row>
    <row r="139" spans="1:9" x14ac:dyDescent="0.25">
      <c r="B139" s="2" t="s">
        <v>2783</v>
      </c>
      <c r="C139" s="2" t="s">
        <v>2809</v>
      </c>
      <c r="D139" s="2" t="s">
        <v>3481</v>
      </c>
      <c r="E139" s="2" t="s">
        <v>3482</v>
      </c>
      <c r="F139" s="2" t="s">
        <v>3479</v>
      </c>
      <c r="G139" s="2" t="s">
        <v>2979</v>
      </c>
      <c r="H139" s="2" t="s">
        <v>2783</v>
      </c>
    </row>
    <row r="140" spans="1:9" x14ac:dyDescent="0.25">
      <c r="B140" s="2" t="s">
        <v>4363</v>
      </c>
      <c r="C140" s="2" t="s">
        <v>3483</v>
      </c>
      <c r="D140" s="2" t="s">
        <v>3483</v>
      </c>
      <c r="E140" s="2" t="s">
        <v>3484</v>
      </c>
      <c r="F140" s="2" t="s">
        <v>2140</v>
      </c>
      <c r="G140" s="2" t="s">
        <v>2975</v>
      </c>
      <c r="H140" s="2" t="s">
        <v>4363</v>
      </c>
    </row>
    <row r="141" spans="1:9" x14ac:dyDescent="0.25">
      <c r="A141" s="9" t="s">
        <v>2769</v>
      </c>
      <c r="B141" s="44" t="s">
        <v>2466</v>
      </c>
      <c r="C141" s="44" t="s">
        <v>3485</v>
      </c>
      <c r="D141" s="44" t="s">
        <v>3485</v>
      </c>
      <c r="E141" s="44" t="s">
        <v>3486</v>
      </c>
      <c r="F141" s="44" t="s">
        <v>3487</v>
      </c>
      <c r="G141" s="44" t="s">
        <v>3487</v>
      </c>
      <c r="H141" s="44" t="s">
        <v>4365</v>
      </c>
      <c r="I141" s="9" t="s">
        <v>4367</v>
      </c>
    </row>
    <row r="142" spans="1:9" x14ac:dyDescent="0.25">
      <c r="A142" t="s">
        <v>2786</v>
      </c>
      <c r="B142" s="114">
        <f ca="1">E86</f>
        <v>19244.586884386143</v>
      </c>
      <c r="C142" s="114">
        <f ca="1">-B142*$D$118</f>
        <v>-1372.5708327645386</v>
      </c>
      <c r="D142" s="114">
        <f ca="1">B142+C142</f>
        <v>17872.016051621606</v>
      </c>
      <c r="E142" s="736">
        <f ca="1">-D142*$D$125</f>
        <v>-127.22242442039257</v>
      </c>
      <c r="F142" s="737"/>
      <c r="G142" s="736">
        <f ca="1">B142*$B$67</f>
        <v>655.50265498827321</v>
      </c>
      <c r="H142" s="114">
        <f ca="1">SUM(D142:G142)</f>
        <v>18400.296282189483</v>
      </c>
      <c r="I142" s="897">
        <f ca="1">H142/B142-1</f>
        <v>-4.3871588788516158E-2</v>
      </c>
    </row>
    <row r="143" spans="1:9" x14ac:dyDescent="0.25">
      <c r="A143" t="s">
        <v>2787</v>
      </c>
      <c r="B143" s="114">
        <f t="shared" ref="B143:B144" ca="1" si="5">E87</f>
        <v>5913.9235073071977</v>
      </c>
      <c r="C143" s="114">
        <f ca="1">-B143*$D$118</f>
        <v>-421.79543588520858</v>
      </c>
      <c r="D143" s="114">
        <f ca="1">B143+C143</f>
        <v>5492.1280714219893</v>
      </c>
      <c r="E143" s="736">
        <f ca="1">-D143*$D$125</f>
        <v>-39.095860615579646</v>
      </c>
      <c r="F143" s="737"/>
      <c r="H143" s="114">
        <f ca="1">SUM(D143:G143)</f>
        <v>5453.0322108064092</v>
      </c>
      <c r="I143" s="897">
        <f t="shared" ref="I143:I145" ca="1" si="6">H143/B143-1</f>
        <v>-7.7933252929517027E-2</v>
      </c>
    </row>
    <row r="144" spans="1:9" x14ac:dyDescent="0.25">
      <c r="A144" s="9" t="s">
        <v>2788</v>
      </c>
      <c r="B144" s="245">
        <f t="shared" ca="1" si="5"/>
        <v>3728.6903650923346</v>
      </c>
      <c r="C144" s="738"/>
      <c r="D144" s="245">
        <f ca="1">B144+C144</f>
        <v>3728.6903650923346</v>
      </c>
      <c r="E144" s="739">
        <f ca="1">D144*D127</f>
        <v>28.709539847511394</v>
      </c>
      <c r="F144" s="739">
        <f ca="1">E144/F135</f>
        <v>38.757878794140382</v>
      </c>
      <c r="G144" s="9"/>
      <c r="H144" s="245">
        <f ca="1">SUM(D144:G144)</f>
        <v>3796.157783733986</v>
      </c>
      <c r="I144" s="898">
        <f t="shared" ca="1" si="6"/>
        <v>1.8094132801499185E-2</v>
      </c>
    </row>
    <row r="145" spans="1:9" x14ac:dyDescent="0.25">
      <c r="A145" t="s">
        <v>2515</v>
      </c>
      <c r="B145" s="244">
        <f ca="1">SUM(B142:B144)</f>
        <v>28887.200756785674</v>
      </c>
      <c r="C145" s="244">
        <f ca="1">SUM(C142:C144)</f>
        <v>-1794.3662686497473</v>
      </c>
      <c r="D145" s="244">
        <f ca="1">SUM(D142:D144)</f>
        <v>27092.83448813593</v>
      </c>
      <c r="E145" s="244">
        <f ca="1">SUM(E142:E144)</f>
        <v>-137.60874518846083</v>
      </c>
      <c r="F145" s="244">
        <f ca="1">SUM(F142:F144)</f>
        <v>38.757878794140382</v>
      </c>
      <c r="H145" s="244">
        <f ca="1">SUM(H142:H144)</f>
        <v>27649.48627672988</v>
      </c>
      <c r="I145" s="899">
        <f t="shared" ca="1" si="6"/>
        <v>-4.2846466519088078E-2</v>
      </c>
    </row>
    <row r="146" spans="1:9" x14ac:dyDescent="0.25">
      <c r="B146" s="1"/>
      <c r="D146" s="136"/>
      <c r="E146" s="420"/>
      <c r="F146" s="419"/>
    </row>
    <row r="147" spans="1:9" x14ac:dyDescent="0.25">
      <c r="B147" s="922" t="s">
        <v>2789</v>
      </c>
      <c r="C147" s="922"/>
      <c r="D147" s="922"/>
      <c r="E147" s="922"/>
      <c r="F147" s="922"/>
      <c r="G147" s="922"/>
      <c r="H147" s="922"/>
    </row>
    <row r="148" spans="1:9" x14ac:dyDescent="0.25">
      <c r="A148" s="9" t="s">
        <v>2769</v>
      </c>
      <c r="B148" s="44" t="s">
        <v>2143</v>
      </c>
      <c r="C148" s="44" t="s">
        <v>2144</v>
      </c>
      <c r="D148" s="44" t="s">
        <v>2145</v>
      </c>
      <c r="E148" s="44" t="s">
        <v>2146</v>
      </c>
      <c r="F148" s="44" t="s">
        <v>2147</v>
      </c>
      <c r="G148" s="44" t="s">
        <v>2148</v>
      </c>
      <c r="H148" s="44" t="s">
        <v>2149</v>
      </c>
    </row>
    <row r="149" spans="1:9" x14ac:dyDescent="0.25">
      <c r="A149" t="s">
        <v>3489</v>
      </c>
      <c r="B149" s="290">
        <f ca="1">B$71</f>
        <v>5.3201428459336026E-3</v>
      </c>
      <c r="C149" s="290">
        <f t="shared" ref="C149:H150" ca="1" si="7">C$71</f>
        <v>8.0121446853508582E-2</v>
      </c>
      <c r="D149" s="290">
        <f t="shared" ca="1" si="7"/>
        <v>9.4935822520872987E-2</v>
      </c>
      <c r="E149" s="290">
        <f t="shared" ca="1" si="7"/>
        <v>1.7487785003943888E-3</v>
      </c>
      <c r="F149" s="290">
        <f t="shared" ca="1" si="7"/>
        <v>1.7487785003943888E-3</v>
      </c>
      <c r="G149" s="290">
        <f t="shared" ca="1" si="7"/>
        <v>1.8278335230744155E-4</v>
      </c>
      <c r="H149" s="290">
        <f t="shared" ca="1" si="7"/>
        <v>3.3416589882860927E-3</v>
      </c>
    </row>
    <row r="150" spans="1:9" x14ac:dyDescent="0.25">
      <c r="A150" t="s">
        <v>3490</v>
      </c>
      <c r="B150" s="290">
        <f ca="1">B$71</f>
        <v>5.3201428459336026E-3</v>
      </c>
      <c r="C150" s="290">
        <f t="shared" ca="1" si="7"/>
        <v>8.0121446853508582E-2</v>
      </c>
      <c r="D150" s="290">
        <f t="shared" ca="1" si="7"/>
        <v>9.4935822520872987E-2</v>
      </c>
      <c r="E150" s="290">
        <f t="shared" ca="1" si="7"/>
        <v>1.7487785003943888E-3</v>
      </c>
      <c r="F150" s="290">
        <f t="shared" ca="1" si="7"/>
        <v>1.7487785003943888E-3</v>
      </c>
      <c r="G150" s="290">
        <f t="shared" ca="1" si="7"/>
        <v>1.8278335230744155E-4</v>
      </c>
      <c r="H150" s="290">
        <f t="shared" ca="1" si="7"/>
        <v>3.3416589882860927E-3</v>
      </c>
    </row>
    <row r="151" spans="1:9" x14ac:dyDescent="0.25">
      <c r="A151" s="9" t="s">
        <v>2788</v>
      </c>
      <c r="B151" s="292">
        <f t="shared" ref="B151:H151" ca="1" si="8">B25</f>
        <v>2.5539276619417253</v>
      </c>
      <c r="C151" s="292">
        <f t="shared" ca="1" si="8"/>
        <v>0.11968919875245596</v>
      </c>
      <c r="D151" s="292">
        <f t="shared" ca="1" si="8"/>
        <v>2.4514402691133284E-2</v>
      </c>
      <c r="E151" s="292">
        <f t="shared" ca="1" si="8"/>
        <v>0.69366943612609944</v>
      </c>
      <c r="F151" s="292">
        <f t="shared" ca="1" si="8"/>
        <v>0.69366943612609944</v>
      </c>
      <c r="G151" s="292">
        <f t="shared" ca="1" si="8"/>
        <v>2.6123869323514026E-2</v>
      </c>
      <c r="H151" s="292">
        <f t="shared" ca="1" si="8"/>
        <v>7.3677330063651363</v>
      </c>
    </row>
    <row r="152" spans="1:9" x14ac:dyDescent="0.25">
      <c r="B152" s="1"/>
      <c r="D152" s="136"/>
      <c r="E152" s="420"/>
      <c r="F152" s="419"/>
    </row>
    <row r="153" spans="1:9" x14ac:dyDescent="0.25">
      <c r="B153" s="917" t="str">
        <f>$B$4&amp;" #1 Emissions by Fuel Type (tons/year), with EC Adjustment"</f>
        <v>2019 #1 Emissions by Fuel Type (tons/year), with EC Adjustment</v>
      </c>
      <c r="C153" s="917"/>
      <c r="D153" s="917"/>
      <c r="E153" s="917"/>
      <c r="F153" s="917"/>
      <c r="G153" s="917"/>
      <c r="H153" s="917"/>
    </row>
    <row r="154" spans="1:9" x14ac:dyDescent="0.25">
      <c r="A154" s="9" t="s">
        <v>1889</v>
      </c>
      <c r="B154" s="44" t="s">
        <v>2143</v>
      </c>
      <c r="C154" s="44" t="s">
        <v>2144</v>
      </c>
      <c r="D154" s="612" t="s">
        <v>2145</v>
      </c>
      <c r="E154" s="44" t="s">
        <v>2146</v>
      </c>
      <c r="F154" s="609" t="s">
        <v>2147</v>
      </c>
      <c r="G154" s="44" t="s">
        <v>2148</v>
      </c>
      <c r="H154" s="44" t="s">
        <v>2149</v>
      </c>
    </row>
    <row r="155" spans="1:9" x14ac:dyDescent="0.25">
      <c r="A155" t="s">
        <v>3489</v>
      </c>
      <c r="B155" s="890">
        <f ca="1">B149*$H142*365/2000</f>
        <v>17.865327344746699</v>
      </c>
      <c r="C155" s="890">
        <f t="shared" ref="C155:H155" ca="1" si="9">C149*$H142*365/2000</f>
        <v>269.05215082086181</v>
      </c>
      <c r="D155" s="891">
        <f t="shared" ca="1" si="9"/>
        <v>318.79962534737911</v>
      </c>
      <c r="E155" s="890">
        <f t="shared" ca="1" si="9"/>
        <v>5.8724927634003077</v>
      </c>
      <c r="F155" s="892">
        <f t="shared" ca="1" si="9"/>
        <v>5.8724927634003077</v>
      </c>
      <c r="G155" s="890">
        <f t="shared" ca="1" si="9"/>
        <v>0.61379638041834639</v>
      </c>
      <c r="H155" s="890">
        <f t="shared" ca="1" si="9"/>
        <v>11.221471571177284</v>
      </c>
    </row>
    <row r="156" spans="1:9" x14ac:dyDescent="0.25">
      <c r="A156" t="s">
        <v>3490</v>
      </c>
      <c r="B156" s="43">
        <f t="shared" ref="B156:H157" ca="1" si="10">B150*$H143*365/2000</f>
        <v>5.2944911306565166</v>
      </c>
      <c r="C156" s="43">
        <f t="shared" ca="1" si="10"/>
        <v>79.735131560518781</v>
      </c>
      <c r="D156" s="613">
        <f t="shared" ca="1" si="10"/>
        <v>94.478077915244072</v>
      </c>
      <c r="E156" s="43">
        <f t="shared" ca="1" si="10"/>
        <v>1.7403465523294803</v>
      </c>
      <c r="F156" s="893">
        <f t="shared" ca="1" si="10"/>
        <v>1.7403465523294803</v>
      </c>
      <c r="G156" s="43">
        <f t="shared" ca="1" si="10"/>
        <v>0.18190204016102701</v>
      </c>
      <c r="H156" s="43">
        <f t="shared" ca="1" si="10"/>
        <v>3.325546773369505</v>
      </c>
    </row>
    <row r="157" spans="1:9" x14ac:dyDescent="0.25">
      <c r="A157" s="9" t="s">
        <v>2788</v>
      </c>
      <c r="B157" s="513">
        <f t="shared" ca="1" si="10"/>
        <v>1769.3580080676859</v>
      </c>
      <c r="C157" s="513">
        <f t="shared" ca="1" si="10"/>
        <v>82.920532733826107</v>
      </c>
      <c r="D157" s="806">
        <f t="shared" ca="1" si="10"/>
        <v>16.983548657590138</v>
      </c>
      <c r="E157" s="513">
        <f t="shared" ca="1" si="10"/>
        <v>480.57334984514353</v>
      </c>
      <c r="F157" s="894">
        <f t="shared" ca="1" si="10"/>
        <v>480.57334984514353</v>
      </c>
      <c r="G157" s="513">
        <f t="shared" ca="1" si="10"/>
        <v>18.098585201951572</v>
      </c>
      <c r="H157" s="513">
        <f t="shared" ca="1" si="10"/>
        <v>5104.3565526070943</v>
      </c>
    </row>
    <row r="158" spans="1:9" x14ac:dyDescent="0.25">
      <c r="A158" s="241" t="s">
        <v>2515</v>
      </c>
      <c r="B158" s="824">
        <f ca="1">SUM(B155:B157)</f>
        <v>1792.5178265430891</v>
      </c>
      <c r="C158" s="824">
        <f t="shared" ref="C158:H158" ca="1" si="11">SUM(C155:C157)</f>
        <v>431.7078151152067</v>
      </c>
      <c r="D158" s="895">
        <f t="shared" ca="1" si="11"/>
        <v>430.26125192021328</v>
      </c>
      <c r="E158" s="824">
        <f t="shared" ca="1" si="11"/>
        <v>488.18618916087331</v>
      </c>
      <c r="F158" s="896">
        <f t="shared" ca="1" si="11"/>
        <v>488.18618916087331</v>
      </c>
      <c r="G158" s="824">
        <f t="shared" ca="1" si="11"/>
        <v>18.894283622530946</v>
      </c>
      <c r="H158" s="824">
        <f t="shared" ca="1" si="11"/>
        <v>5118.9035709516411</v>
      </c>
    </row>
    <row r="159" spans="1:9" x14ac:dyDescent="0.25">
      <c r="B159" s="1"/>
      <c r="D159" s="136"/>
      <c r="E159" s="420"/>
      <c r="F159" s="419"/>
    </row>
    <row r="160" spans="1:9" ht="15.75" thickBot="1" x14ac:dyDescent="0.3"/>
    <row r="161" spans="1:12" ht="16.5" thickBot="1" x14ac:dyDescent="0.3">
      <c r="A161" s="421" t="s">
        <v>3187</v>
      </c>
      <c r="B161" s="422"/>
      <c r="C161" s="423"/>
    </row>
    <row r="162" spans="1:12" ht="15.75" x14ac:dyDescent="0.25">
      <c r="A162" s="424"/>
    </row>
    <row r="163" spans="1:12" ht="15.75" x14ac:dyDescent="0.25">
      <c r="A163" s="424"/>
      <c r="B163" s="917" t="s">
        <v>4174</v>
      </c>
      <c r="C163" s="917"/>
      <c r="D163" s="917"/>
      <c r="E163" s="917"/>
      <c r="F163" s="917"/>
      <c r="G163" s="917"/>
      <c r="H163" s="917"/>
      <c r="I163" s="2" t="s">
        <v>3188</v>
      </c>
    </row>
    <row r="164" spans="1:12" x14ac:dyDescent="0.25">
      <c r="A164" s="44" t="s">
        <v>3182</v>
      </c>
      <c r="B164" s="44" t="s">
        <v>2143</v>
      </c>
      <c r="C164" s="44" t="s">
        <v>2144</v>
      </c>
      <c r="D164" s="517" t="s">
        <v>2145</v>
      </c>
      <c r="E164" s="44" t="s">
        <v>2146</v>
      </c>
      <c r="F164" s="610" t="s">
        <v>2147</v>
      </c>
      <c r="G164" s="44" t="s">
        <v>2148</v>
      </c>
      <c r="H164" s="44" t="s">
        <v>2149</v>
      </c>
      <c r="I164" s="44" t="s">
        <v>21</v>
      </c>
    </row>
    <row r="165" spans="1:12" x14ac:dyDescent="0.25">
      <c r="A165" s="2">
        <f>$B$4+I165-1</f>
        <v>2019</v>
      </c>
      <c r="B165" s="808">
        <f ca="1">(B$102-B$158)*$I165</f>
        <v>-30.364551996709451</v>
      </c>
      <c r="C165" s="808">
        <f t="shared" ref="C165:H165" ca="1" si="12">(C$102-C$158)*$I165</f>
        <v>83.95019844236333</v>
      </c>
      <c r="D165" s="888">
        <f t="shared" ca="1" si="12"/>
        <v>442.99753684447427</v>
      </c>
      <c r="E165" s="808">
        <f t="shared" ca="1" si="12"/>
        <v>-0.63980800827022222</v>
      </c>
      <c r="F165" s="889">
        <f t="shared" ca="1" si="12"/>
        <v>-0.63980800827022222</v>
      </c>
      <c r="G165" s="808">
        <f t="shared" ca="1" si="12"/>
        <v>-0.28450257267387968</v>
      </c>
      <c r="H165" s="808">
        <f t="shared" ca="1" si="12"/>
        <v>-90.038171929535565</v>
      </c>
      <c r="I165" s="2">
        <v>1</v>
      </c>
      <c r="L165" s="413" t="s">
        <v>3242</v>
      </c>
    </row>
    <row r="166" spans="1:12" x14ac:dyDescent="0.25">
      <c r="A166" s="2">
        <f t="shared" ref="A166:A171" si="13">$B$4+I166-1</f>
        <v>2020</v>
      </c>
      <c r="B166" s="808">
        <f t="shared" ref="B166:H171" ca="1" si="14">B165</f>
        <v>-30.364551996709451</v>
      </c>
      <c r="C166" s="808">
        <f t="shared" ca="1" si="14"/>
        <v>83.95019844236333</v>
      </c>
      <c r="D166" s="888">
        <f t="shared" ca="1" si="14"/>
        <v>442.99753684447427</v>
      </c>
      <c r="E166" s="808">
        <f t="shared" ca="1" si="14"/>
        <v>-0.63980800827022222</v>
      </c>
      <c r="F166" s="889">
        <f t="shared" ca="1" si="14"/>
        <v>-0.63980800827022222</v>
      </c>
      <c r="G166" s="808">
        <f t="shared" ca="1" si="14"/>
        <v>-0.28450257267387968</v>
      </c>
      <c r="H166" s="808">
        <f t="shared" ca="1" si="14"/>
        <v>-90.038171929535565</v>
      </c>
      <c r="I166" s="2">
        <v>2</v>
      </c>
    </row>
    <row r="167" spans="1:12" x14ac:dyDescent="0.25">
      <c r="A167" s="2">
        <f t="shared" si="13"/>
        <v>2021</v>
      </c>
      <c r="B167" s="808">
        <f t="shared" ca="1" si="14"/>
        <v>-30.364551996709451</v>
      </c>
      <c r="C167" s="808">
        <f t="shared" ca="1" si="14"/>
        <v>83.95019844236333</v>
      </c>
      <c r="D167" s="888">
        <f t="shared" ca="1" si="14"/>
        <v>442.99753684447427</v>
      </c>
      <c r="E167" s="808">
        <f t="shared" ca="1" si="14"/>
        <v>-0.63980800827022222</v>
      </c>
      <c r="F167" s="889">
        <f t="shared" ca="1" si="14"/>
        <v>-0.63980800827022222</v>
      </c>
      <c r="G167" s="808">
        <f t="shared" ca="1" si="14"/>
        <v>-0.28450257267387968</v>
      </c>
      <c r="H167" s="808">
        <f t="shared" ca="1" si="14"/>
        <v>-90.038171929535565</v>
      </c>
      <c r="I167" s="2">
        <v>3</v>
      </c>
    </row>
    <row r="168" spans="1:12" x14ac:dyDescent="0.25">
      <c r="A168" s="2">
        <f t="shared" si="13"/>
        <v>2022</v>
      </c>
      <c r="B168" s="808">
        <f t="shared" ca="1" si="14"/>
        <v>-30.364551996709451</v>
      </c>
      <c r="C168" s="808">
        <f t="shared" ca="1" si="14"/>
        <v>83.95019844236333</v>
      </c>
      <c r="D168" s="888">
        <f t="shared" ca="1" si="14"/>
        <v>442.99753684447427</v>
      </c>
      <c r="E168" s="808">
        <f t="shared" ca="1" si="14"/>
        <v>-0.63980800827022222</v>
      </c>
      <c r="F168" s="889">
        <f t="shared" ca="1" si="14"/>
        <v>-0.63980800827022222</v>
      </c>
      <c r="G168" s="808">
        <f t="shared" ca="1" si="14"/>
        <v>-0.28450257267387968</v>
      </c>
      <c r="H168" s="808">
        <f t="shared" ca="1" si="14"/>
        <v>-90.038171929535565</v>
      </c>
      <c r="I168" s="2">
        <v>4</v>
      </c>
    </row>
    <row r="169" spans="1:12" x14ac:dyDescent="0.25">
      <c r="A169" s="2">
        <f t="shared" si="13"/>
        <v>2023</v>
      </c>
      <c r="B169" s="808">
        <f t="shared" ca="1" si="14"/>
        <v>-30.364551996709451</v>
      </c>
      <c r="C169" s="808">
        <f t="shared" ca="1" si="14"/>
        <v>83.95019844236333</v>
      </c>
      <c r="D169" s="888">
        <f t="shared" ca="1" si="14"/>
        <v>442.99753684447427</v>
      </c>
      <c r="E169" s="808">
        <f t="shared" ca="1" si="14"/>
        <v>-0.63980800827022222</v>
      </c>
      <c r="F169" s="889">
        <f t="shared" ca="1" si="14"/>
        <v>-0.63980800827022222</v>
      </c>
      <c r="G169" s="808">
        <f t="shared" ca="1" si="14"/>
        <v>-0.28450257267387968</v>
      </c>
      <c r="H169" s="808">
        <f t="shared" ca="1" si="14"/>
        <v>-90.038171929535565</v>
      </c>
      <c r="I169" s="2">
        <v>5</v>
      </c>
    </row>
    <row r="170" spans="1:12" x14ac:dyDescent="0.25">
      <c r="A170" s="2">
        <f t="shared" si="13"/>
        <v>2024</v>
      </c>
      <c r="B170" s="808">
        <f t="shared" ca="1" si="14"/>
        <v>-30.364551996709451</v>
      </c>
      <c r="C170" s="808">
        <f t="shared" ca="1" si="14"/>
        <v>83.95019844236333</v>
      </c>
      <c r="D170" s="888">
        <f t="shared" ca="1" si="14"/>
        <v>442.99753684447427</v>
      </c>
      <c r="E170" s="808">
        <f t="shared" ca="1" si="14"/>
        <v>-0.63980800827022222</v>
      </c>
      <c r="F170" s="889">
        <f t="shared" ca="1" si="14"/>
        <v>-0.63980800827022222</v>
      </c>
      <c r="G170" s="808">
        <f t="shared" ca="1" si="14"/>
        <v>-0.28450257267387968</v>
      </c>
      <c r="H170" s="808">
        <f t="shared" ca="1" si="14"/>
        <v>-90.038171929535565</v>
      </c>
      <c r="I170" s="2">
        <v>6</v>
      </c>
    </row>
    <row r="171" spans="1:12" x14ac:dyDescent="0.25">
      <c r="A171" s="2">
        <f t="shared" si="13"/>
        <v>2025</v>
      </c>
      <c r="B171" s="808">
        <f t="shared" ca="1" si="14"/>
        <v>-30.364551996709451</v>
      </c>
      <c r="C171" s="808">
        <f t="shared" ca="1" si="14"/>
        <v>83.95019844236333</v>
      </c>
      <c r="D171" s="888">
        <f t="shared" ca="1" si="14"/>
        <v>442.99753684447427</v>
      </c>
      <c r="E171" s="808">
        <f t="shared" ca="1" si="14"/>
        <v>-0.63980800827022222</v>
      </c>
      <c r="F171" s="889">
        <f t="shared" ca="1" si="14"/>
        <v>-0.63980800827022222</v>
      </c>
      <c r="G171" s="808">
        <f t="shared" ca="1" si="14"/>
        <v>-0.28450257267387968</v>
      </c>
      <c r="H171" s="808">
        <f t="shared" ca="1" si="14"/>
        <v>-90.038171929535565</v>
      </c>
      <c r="I171" s="2">
        <v>7</v>
      </c>
    </row>
    <row r="174" spans="1:12" ht="15.75" x14ac:dyDescent="0.25">
      <c r="A174" s="424" t="s">
        <v>3248</v>
      </c>
    </row>
    <row r="175" spans="1:12" ht="15.75" thickBot="1" x14ac:dyDescent="0.3"/>
    <row r="176" spans="1:12" ht="16.5" thickBot="1" x14ac:dyDescent="0.3">
      <c r="A176" s="919" t="s">
        <v>3514</v>
      </c>
      <c r="B176" s="920"/>
      <c r="C176" s="920"/>
      <c r="D176" s="921"/>
    </row>
    <row r="178" spans="1:23" x14ac:dyDescent="0.25">
      <c r="A178" s="682" t="s">
        <v>3515</v>
      </c>
    </row>
    <row r="179" spans="1:23" x14ac:dyDescent="0.25">
      <c r="A179" s="682" t="s">
        <v>3516</v>
      </c>
    </row>
    <row r="180" spans="1:23" x14ac:dyDescent="0.25">
      <c r="A180" s="682"/>
      <c r="C180" s="1" t="s">
        <v>3517</v>
      </c>
      <c r="D180" s="412">
        <f>[4]UnifiedDataGIS!$HZ$6</f>
        <v>0.89669891861126916</v>
      </c>
    </row>
    <row r="181" spans="1:23" x14ac:dyDescent="0.25">
      <c r="A181" s="682"/>
      <c r="C181" s="1" t="s">
        <v>3518</v>
      </c>
      <c r="D181" s="412">
        <f>[4]UnifiedDataGIS!$IA$6</f>
        <v>0.38844621513944222</v>
      </c>
    </row>
    <row r="182" spans="1:23" x14ac:dyDescent="0.25">
      <c r="A182" s="682" t="s">
        <v>3519</v>
      </c>
    </row>
    <row r="183" spans="1:23" x14ac:dyDescent="0.25">
      <c r="A183" s="682"/>
    </row>
    <row r="184" spans="1:23" x14ac:dyDescent="0.25">
      <c r="A184" s="670"/>
      <c r="E184" s="917" t="s">
        <v>4190</v>
      </c>
      <c r="F184" s="917"/>
      <c r="L184" s="917" t="s">
        <v>3520</v>
      </c>
      <c r="M184" s="917"/>
      <c r="P184" s="917" t="s">
        <v>3362</v>
      </c>
      <c r="Q184" s="917"/>
      <c r="R184" s="917" t="s">
        <v>3521</v>
      </c>
      <c r="S184" s="917"/>
      <c r="T184" s="917"/>
      <c r="U184" s="917"/>
      <c r="V184" s="917" t="s">
        <v>3522</v>
      </c>
      <c r="W184" s="917"/>
    </row>
    <row r="185" spans="1:23" x14ac:dyDescent="0.25">
      <c r="B185" s="917" t="s">
        <v>3523</v>
      </c>
      <c r="C185" s="917"/>
      <c r="D185" s="917"/>
      <c r="E185" s="917" t="s">
        <v>4191</v>
      </c>
      <c r="F185" s="917"/>
      <c r="G185" s="917" t="s">
        <v>4192</v>
      </c>
      <c r="H185" s="917"/>
      <c r="I185" s="917"/>
      <c r="L185" s="917" t="s">
        <v>3353</v>
      </c>
      <c r="M185" s="917"/>
      <c r="N185" s="917" t="s">
        <v>3524</v>
      </c>
      <c r="O185" s="917"/>
      <c r="P185" s="917" t="s">
        <v>4193</v>
      </c>
      <c r="Q185" s="917"/>
      <c r="R185" s="2" t="s">
        <v>3525</v>
      </c>
      <c r="S185" s="2" t="s">
        <v>3526</v>
      </c>
      <c r="T185" s="917" t="s">
        <v>4188</v>
      </c>
      <c r="U185" s="917"/>
      <c r="V185" s="917" t="s">
        <v>4193</v>
      </c>
      <c r="W185" s="917"/>
    </row>
    <row r="186" spans="1:23" x14ac:dyDescent="0.25">
      <c r="A186" s="9" t="s">
        <v>2463</v>
      </c>
      <c r="B186" s="44" t="s">
        <v>3527</v>
      </c>
      <c r="C186" s="918" t="s">
        <v>2072</v>
      </c>
      <c r="D186" s="918"/>
      <c r="E186" s="44" t="s">
        <v>2462</v>
      </c>
      <c r="F186" s="44" t="s">
        <v>3528</v>
      </c>
      <c r="G186" s="44" t="s">
        <v>2462</v>
      </c>
      <c r="H186" s="44" t="s">
        <v>3528</v>
      </c>
      <c r="I186" s="44" t="s">
        <v>2072</v>
      </c>
      <c r="J186" s="918" t="s">
        <v>1889</v>
      </c>
      <c r="K186" s="918"/>
      <c r="L186" s="44" t="s">
        <v>2460</v>
      </c>
      <c r="M186" s="44" t="s">
        <v>2072</v>
      </c>
      <c r="N186" s="743" t="s">
        <v>3252</v>
      </c>
      <c r="O186" s="744" t="s">
        <v>2548</v>
      </c>
      <c r="P186" s="44" t="s">
        <v>2462</v>
      </c>
      <c r="Q186" s="44" t="s">
        <v>3528</v>
      </c>
      <c r="R186" s="44" t="s">
        <v>3529</v>
      </c>
      <c r="S186" s="44" t="s">
        <v>3530</v>
      </c>
      <c r="T186" s="44" t="s">
        <v>3528</v>
      </c>
      <c r="U186" s="44" t="s">
        <v>2462</v>
      </c>
      <c r="V186" s="44" t="s">
        <v>3528</v>
      </c>
      <c r="W186" s="44" t="s">
        <v>2462</v>
      </c>
    </row>
    <row r="187" spans="1:23" x14ac:dyDescent="0.25">
      <c r="A187" t="s">
        <v>3531</v>
      </c>
      <c r="B187" s="114">
        <f ca="1">OFFSET(BuildSizeG3C!$BG$462,0,MATCH($B$4,BuildSizeG3C!$BH$2:$BV$2,0))*D180</f>
        <v>34952.98774428566</v>
      </c>
      <c r="C187" t="s">
        <v>3532</v>
      </c>
      <c r="E187" s="114">
        <f ca="1">B142</f>
        <v>19244.586884386143</v>
      </c>
      <c r="F187" s="11">
        <f ca="1">E187/B187</f>
        <v>0.55058488919970427</v>
      </c>
      <c r="G187" s="695">
        <f ca="1">INDIRECT("'DevSumOut-"&amp;$B$4&amp;"PB'!V76")*10^3*Ep2Ann</f>
        <v>108645.36191392496</v>
      </c>
      <c r="H187" s="43">
        <f ca="1">G187/B187</f>
        <v>3.1083283268591826</v>
      </c>
      <c r="I187" t="s">
        <v>3533</v>
      </c>
      <c r="J187" s="917" t="s">
        <v>3534</v>
      </c>
      <c r="K187" s="917"/>
      <c r="L187" s="290">
        <f ca="1">E187/G187</f>
        <v>0.17713215313906175</v>
      </c>
      <c r="M187" t="s">
        <v>3535</v>
      </c>
      <c r="N187" s="680">
        <f ca="1">HLOOKUP($B$4,CostData!$G$8:$L$9,2,FALSE)</f>
        <v>2.8910476436685228</v>
      </c>
      <c r="O187" s="692" t="str">
        <f>CostData!$F$9</f>
        <v>/gal</v>
      </c>
      <c r="P187" s="666">
        <f ca="1">G187*$N187*365</f>
        <v>114646104.90821983</v>
      </c>
      <c r="Q187" s="666">
        <f ca="1">H187*$N187*365</f>
        <v>3280.008729066742</v>
      </c>
      <c r="R187">
        <v>1.5</v>
      </c>
      <c r="S187" s="723">
        <v>100</v>
      </c>
      <c r="T187" s="745">
        <f>S187/R187</f>
        <v>66.666666666666671</v>
      </c>
      <c r="U187" s="666">
        <f ca="1">T187*B187</f>
        <v>2330199.1829523775</v>
      </c>
      <c r="V187" s="680">
        <f ca="1">Q187+T187</f>
        <v>3346.6753957334085</v>
      </c>
      <c r="W187" s="666">
        <f ca="1">P187+U187</f>
        <v>116976304.0911722</v>
      </c>
    </row>
    <row r="188" spans="1:23" x14ac:dyDescent="0.25">
      <c r="A188" t="s">
        <v>3536</v>
      </c>
      <c r="B188" s="114">
        <f ca="1">ROUND(OFFSET(BuildSizeG3C!$CK$462,0,MATCH($B$4,BuildSizeG3C!$CL$2:$CZ$2,0))*98%,0)</f>
        <v>1869</v>
      </c>
      <c r="C188" t="s">
        <v>3537</v>
      </c>
      <c r="E188" s="114">
        <f ca="1">B143</f>
        <v>5913.9235073071977</v>
      </c>
      <c r="F188" s="11">
        <f ca="1">E188/B188</f>
        <v>3.164218034942321</v>
      </c>
      <c r="G188" s="114">
        <f ca="1">INDIRECT("'DevSumOut-"&amp;$B$4&amp;"PB'!V78")*10^3*Ep2Ann</f>
        <v>33339.380259817335</v>
      </c>
      <c r="H188" s="43">
        <f ca="1">G188/B188</f>
        <v>17.838084676199752</v>
      </c>
      <c r="I188" t="s">
        <v>3533</v>
      </c>
      <c r="J188" s="917" t="s">
        <v>3538</v>
      </c>
      <c r="K188" s="917"/>
      <c r="L188" s="290">
        <f ca="1">E188/G188</f>
        <v>0.17738552610214597</v>
      </c>
      <c r="M188" t="s">
        <v>3535</v>
      </c>
      <c r="N188" s="680">
        <f ca="1">OFFSET(Lookup!$AC$15,MATCH($B$4,Lookup!$U$16:$U$42,0),0)</f>
        <v>2.9400815595766203</v>
      </c>
      <c r="O188" s="692" t="str">
        <f>CostData!$F$9</f>
        <v>/gal</v>
      </c>
      <c r="P188" s="666">
        <f t="shared" ref="P188:P189" ca="1" si="15">G188*$N188*365</f>
        <v>35777481.445004635</v>
      </c>
      <c r="Q188" s="666">
        <f t="shared" ref="Q188:Q189" ca="1" si="16">H188*$N188*365</f>
        <v>19142.579692351334</v>
      </c>
      <c r="R188">
        <v>1.5</v>
      </c>
      <c r="S188" s="723">
        <v>100</v>
      </c>
      <c r="T188" s="745">
        <f>S188/R188</f>
        <v>66.666666666666671</v>
      </c>
      <c r="U188" s="666">
        <f ca="1">T188*B188</f>
        <v>124600.00000000001</v>
      </c>
      <c r="V188" s="680">
        <f ca="1">Q188+T188</f>
        <v>19209.246359018001</v>
      </c>
      <c r="W188" s="666">
        <f ca="1">P188+U188</f>
        <v>35902081.445004635</v>
      </c>
    </row>
    <row r="189" spans="1:23" x14ac:dyDescent="0.25">
      <c r="A189" s="9" t="s">
        <v>2788</v>
      </c>
      <c r="B189" s="245">
        <f ca="1">OFFSET(BuildSizeG3C!$BG$462,0,MATCH($B$4,BuildSizeG3C!$BH$2:$BV$2,0))*D181</f>
        <v>15141.48786764517</v>
      </c>
      <c r="C189" s="9" t="s">
        <v>3539</v>
      </c>
      <c r="D189" s="9"/>
      <c r="E189" s="245">
        <f ca="1">B144</f>
        <v>3728.6903650923346</v>
      </c>
      <c r="F189" s="514">
        <f ca="1">E189/B189</f>
        <v>0.24625653685328527</v>
      </c>
      <c r="G189" s="245">
        <f ca="1">INDIRECT("'DevSumOut-"&amp;$B$4&amp;"PB'!V79")*Ep2Ann</f>
        <v>287.30803390730892</v>
      </c>
      <c r="H189" s="514">
        <f ca="1">G189/B189</f>
        <v>1.8974887832604495E-2</v>
      </c>
      <c r="I189" s="9" t="s">
        <v>2531</v>
      </c>
      <c r="J189" s="918" t="s">
        <v>18</v>
      </c>
      <c r="K189" s="918"/>
      <c r="L189" s="513">
        <f ca="1">E189/G189</f>
        <v>12.978023323549948</v>
      </c>
      <c r="M189" s="9" t="s">
        <v>2584</v>
      </c>
      <c r="N189" s="707">
        <f>CostData!$I$17</f>
        <v>97.493713954151573</v>
      </c>
      <c r="O189" s="747" t="s">
        <v>2584</v>
      </c>
      <c r="P189" s="703">
        <f t="shared" ca="1" si="15"/>
        <v>10223915.455188433</v>
      </c>
      <c r="Q189" s="703">
        <f t="shared" ca="1" si="16"/>
        <v>675.22528463237961</v>
      </c>
      <c r="R189" s="648"/>
      <c r="S189" s="748"/>
      <c r="T189" s="749"/>
      <c r="U189" s="748"/>
      <c r="V189" s="746">
        <f ca="1">Q189+T189</f>
        <v>675.22528463237961</v>
      </c>
      <c r="W189" s="703">
        <f ca="1">P189+U189</f>
        <v>10223915.455188433</v>
      </c>
    </row>
    <row r="190" spans="1:23" x14ac:dyDescent="0.25">
      <c r="A190" s="241" t="s">
        <v>2515</v>
      </c>
      <c r="B190" s="244"/>
      <c r="E190" s="244">
        <f ca="1">SUM(E187:E189)</f>
        <v>28887.200756785674</v>
      </c>
      <c r="G190" s="244">
        <f ca="1">G187*365</f>
        <v>39655557.09858261</v>
      </c>
      <c r="H190" s="750" t="s">
        <v>4371</v>
      </c>
      <c r="P190" s="667">
        <f ca="1">SUM(P187:P189)</f>
        <v>160647501.80841288</v>
      </c>
      <c r="Q190" s="681"/>
      <c r="T190" s="681"/>
      <c r="U190" s="667">
        <f ca="1">SUM(U187:U189)</f>
        <v>2454799.1829523775</v>
      </c>
      <c r="V190" s="681"/>
      <c r="W190" s="751">
        <f ca="1">SUM(W187:W189)</f>
        <v>163102300.99136525</v>
      </c>
    </row>
    <row r="191" spans="1:23" x14ac:dyDescent="0.25">
      <c r="A191" s="241"/>
      <c r="B191" s="244"/>
      <c r="E191" s="244"/>
      <c r="G191" s="244">
        <f ca="1">G188*365</f>
        <v>12168873.794833327</v>
      </c>
      <c r="H191" s="750" t="s">
        <v>4370</v>
      </c>
      <c r="P191" s="667"/>
      <c r="Q191" s="681"/>
      <c r="T191" s="681"/>
      <c r="U191" s="667"/>
      <c r="V191" s="681"/>
      <c r="W191" s="681"/>
    </row>
    <row r="192" spans="1:23" x14ac:dyDescent="0.25">
      <c r="A192" s="241"/>
      <c r="B192" s="244"/>
      <c r="E192" s="244"/>
      <c r="G192" s="244">
        <f ca="1">G189*365</f>
        <v>104867.43237616775</v>
      </c>
      <c r="H192" s="750" t="s">
        <v>4369</v>
      </c>
      <c r="P192" s="667"/>
      <c r="Q192" s="681"/>
      <c r="T192" s="681"/>
      <c r="U192" s="667"/>
      <c r="V192" s="681"/>
      <c r="W192" s="681"/>
    </row>
    <row r="193" spans="1:23" ht="15.75" thickBot="1" x14ac:dyDescent="0.3"/>
    <row r="194" spans="1:23" ht="16.5" thickBot="1" x14ac:dyDescent="0.3">
      <c r="A194" s="919" t="s">
        <v>3540</v>
      </c>
      <c r="B194" s="920"/>
      <c r="C194" s="920"/>
      <c r="D194" s="921"/>
    </row>
    <row r="196" spans="1:23" x14ac:dyDescent="0.25">
      <c r="A196" s="682" t="s">
        <v>3515</v>
      </c>
    </row>
    <row r="197" spans="1:23" x14ac:dyDescent="0.25">
      <c r="A197" s="682" t="s">
        <v>3541</v>
      </c>
    </row>
    <row r="198" spans="1:23" x14ac:dyDescent="0.25">
      <c r="A198" s="682" t="s">
        <v>3542</v>
      </c>
    </row>
    <row r="199" spans="1:23" x14ac:dyDescent="0.25">
      <c r="A199" s="682" t="s">
        <v>3543</v>
      </c>
    </row>
    <row r="200" spans="1:23" x14ac:dyDescent="0.25">
      <c r="A200" s="682" t="s">
        <v>3544</v>
      </c>
    </row>
    <row r="202" spans="1:23" x14ac:dyDescent="0.25">
      <c r="A202" s="670"/>
      <c r="E202" s="917" t="s">
        <v>4190</v>
      </c>
      <c r="F202" s="917"/>
      <c r="L202" s="927" t="s">
        <v>3545</v>
      </c>
      <c r="M202" s="927"/>
      <c r="P202" s="917" t="s">
        <v>3362</v>
      </c>
      <c r="Q202" s="917"/>
      <c r="R202" s="917" t="s">
        <v>3521</v>
      </c>
      <c r="S202" s="917"/>
      <c r="T202" s="917"/>
      <c r="U202" s="917"/>
      <c r="V202" s="917" t="s">
        <v>3522</v>
      </c>
      <c r="W202" s="917"/>
    </row>
    <row r="203" spans="1:23" x14ac:dyDescent="0.25">
      <c r="B203" s="917" t="s">
        <v>3523</v>
      </c>
      <c r="C203" s="917"/>
      <c r="D203" s="917"/>
      <c r="E203" s="917" t="s">
        <v>4191</v>
      </c>
      <c r="F203" s="917"/>
      <c r="G203" s="917" t="s">
        <v>4192</v>
      </c>
      <c r="H203" s="917"/>
      <c r="I203" s="917"/>
      <c r="L203" s="917" t="s">
        <v>3353</v>
      </c>
      <c r="M203" s="917"/>
      <c r="N203" s="917" t="s">
        <v>3524</v>
      </c>
      <c r="O203" s="917"/>
      <c r="P203" s="917" t="s">
        <v>4193</v>
      </c>
      <c r="Q203" s="917"/>
      <c r="R203" s="2" t="s">
        <v>3525</v>
      </c>
      <c r="S203" s="2" t="s">
        <v>3526</v>
      </c>
      <c r="T203" s="917" t="s">
        <v>4188</v>
      </c>
      <c r="U203" s="917"/>
      <c r="V203" s="917" t="s">
        <v>4193</v>
      </c>
      <c r="W203" s="917"/>
    </row>
    <row r="204" spans="1:23" x14ac:dyDescent="0.25">
      <c r="A204" s="9" t="s">
        <v>2463</v>
      </c>
      <c r="B204" s="44" t="s">
        <v>3527</v>
      </c>
      <c r="C204" s="918" t="s">
        <v>2072</v>
      </c>
      <c r="D204" s="918"/>
      <c r="E204" s="44" t="s">
        <v>2462</v>
      </c>
      <c r="F204" s="44" t="s">
        <v>3528</v>
      </c>
      <c r="G204" s="44" t="s">
        <v>2462</v>
      </c>
      <c r="H204" s="44" t="s">
        <v>3528</v>
      </c>
      <c r="I204" s="44" t="s">
        <v>2072</v>
      </c>
      <c r="J204" s="918" t="s">
        <v>1889</v>
      </c>
      <c r="K204" s="918"/>
      <c r="L204" s="44" t="s">
        <v>2460</v>
      </c>
      <c r="M204" s="44" t="s">
        <v>2072</v>
      </c>
      <c r="N204" s="743" t="s">
        <v>3252</v>
      </c>
      <c r="O204" s="744" t="s">
        <v>2548</v>
      </c>
      <c r="P204" s="44" t="s">
        <v>2462</v>
      </c>
      <c r="Q204" s="44" t="s">
        <v>3528</v>
      </c>
      <c r="R204" s="44" t="s">
        <v>3529</v>
      </c>
      <c r="S204" s="44" t="s">
        <v>3530</v>
      </c>
      <c r="T204" s="44" t="s">
        <v>3528</v>
      </c>
      <c r="U204" s="44" t="s">
        <v>2462</v>
      </c>
      <c r="V204" s="44" t="s">
        <v>3528</v>
      </c>
      <c r="W204" s="44" t="s">
        <v>2462</v>
      </c>
    </row>
    <row r="205" spans="1:23" x14ac:dyDescent="0.25">
      <c r="A205" t="s">
        <v>3531</v>
      </c>
      <c r="B205" s="114">
        <f ca="1">B187</f>
        <v>34952.98774428566</v>
      </c>
      <c r="C205" t="s">
        <v>3532</v>
      </c>
      <c r="E205" s="114">
        <f ca="1">H142</f>
        <v>18400.296282189483</v>
      </c>
      <c r="F205" s="11">
        <f ca="1">E205/B205</f>
        <v>0.52642985534756415</v>
      </c>
      <c r="G205" s="695">
        <f ca="1">E205/L205</f>
        <v>103878.91727225774</v>
      </c>
      <c r="H205" s="43">
        <f ca="1">G205/B205</f>
        <v>2.9719610246835204</v>
      </c>
      <c r="I205" t="s">
        <v>3533</v>
      </c>
      <c r="J205" s="917" t="s">
        <v>3534</v>
      </c>
      <c r="K205" s="917"/>
      <c r="L205" s="290">
        <f ca="1">L187</f>
        <v>0.17713215313906175</v>
      </c>
      <c r="M205" t="s">
        <v>3535</v>
      </c>
      <c r="N205" s="680">
        <f ca="1">N187+D$123</f>
        <v>2.9610476436685227</v>
      </c>
      <c r="O205" s="692" t="str">
        <f>CostData!$F$9</f>
        <v>/gal</v>
      </c>
      <c r="P205" s="666">
        <f ca="1">G205*$N205*365</f>
        <v>112270504.47378752</v>
      </c>
      <c r="Q205" s="666">
        <f ca="1">H205*$N205*365</f>
        <v>3212.0431390630465</v>
      </c>
      <c r="R205">
        <v>1.5</v>
      </c>
      <c r="S205" s="723">
        <v>100</v>
      </c>
      <c r="T205" s="745">
        <f t="shared" ref="T205:T206" si="17">S205/R205</f>
        <v>66.666666666666671</v>
      </c>
      <c r="U205" s="666">
        <f ca="1">T205*B205</f>
        <v>2330199.1829523775</v>
      </c>
      <c r="V205" s="680">
        <f ca="1">Q205+T205</f>
        <v>3278.709805729713</v>
      </c>
      <c r="W205" s="666">
        <f ca="1">P205+U205</f>
        <v>114600703.65673989</v>
      </c>
    </row>
    <row r="206" spans="1:23" x14ac:dyDescent="0.25">
      <c r="A206" t="s">
        <v>3536</v>
      </c>
      <c r="B206" s="114">
        <f ca="1">B188</f>
        <v>1869</v>
      </c>
      <c r="C206" t="s">
        <v>3537</v>
      </c>
      <c r="E206" s="114">
        <f ca="1">H143</f>
        <v>5453.0322108064092</v>
      </c>
      <c r="F206" s="11">
        <f ca="1">E206/B206</f>
        <v>2.9176202305010217</v>
      </c>
      <c r="G206" s="114">
        <f ca="1">E206/L206</f>
        <v>30741.133905515639</v>
      </c>
      <c r="H206" s="43">
        <f ca="1">G206/B206</f>
        <v>16.447904711351331</v>
      </c>
      <c r="I206" t="s">
        <v>3533</v>
      </c>
      <c r="J206" s="917" t="s">
        <v>3538</v>
      </c>
      <c r="K206" s="917"/>
      <c r="L206" s="290">
        <f ca="1">L188</f>
        <v>0.17738552610214597</v>
      </c>
      <c r="M206" t="s">
        <v>3535</v>
      </c>
      <c r="N206" s="680">
        <f ca="1">N205</f>
        <v>2.9610476436685227</v>
      </c>
      <c r="O206" s="692" t="str">
        <f>CostData!$F$9</f>
        <v>/gal</v>
      </c>
      <c r="P206" s="666">
        <f t="shared" ref="P206:Q207" ca="1" si="18">G206*$N206*365</f>
        <v>33224476.171838347</v>
      </c>
      <c r="Q206" s="666">
        <f t="shared" ca="1" si="18"/>
        <v>17776.605763423406</v>
      </c>
      <c r="R206">
        <v>1.5</v>
      </c>
      <c r="S206" s="723">
        <v>100</v>
      </c>
      <c r="T206" s="745">
        <f t="shared" si="17"/>
        <v>66.666666666666671</v>
      </c>
      <c r="U206" s="666">
        <f ca="1">T206*B206</f>
        <v>124600.00000000001</v>
      </c>
      <c r="V206" s="680">
        <f ca="1">Q206+T206</f>
        <v>17843.272430090074</v>
      </c>
      <c r="W206" s="666">
        <f ca="1">P206+U206</f>
        <v>33349076.171838347</v>
      </c>
    </row>
    <row r="207" spans="1:23" x14ac:dyDescent="0.25">
      <c r="A207" s="9" t="s">
        <v>2788</v>
      </c>
      <c r="B207" s="245">
        <f ca="1">B189</f>
        <v>15141.48786764517</v>
      </c>
      <c r="C207" s="9" t="s">
        <v>3539</v>
      </c>
      <c r="D207" s="9"/>
      <c r="E207" s="245">
        <f ca="1">H144</f>
        <v>3796.157783733986</v>
      </c>
      <c r="F207" s="514">
        <f ca="1">E207/B207</f>
        <v>0.25071233533434589</v>
      </c>
      <c r="G207" s="245">
        <f ca="1">E207/L207</f>
        <v>292.50662362776541</v>
      </c>
      <c r="H207" s="514">
        <f ca="1">G207/B207</f>
        <v>1.9318221972941193E-2</v>
      </c>
      <c r="I207" s="9" t="s">
        <v>2531</v>
      </c>
      <c r="J207" s="918" t="s">
        <v>18</v>
      </c>
      <c r="K207" s="918"/>
      <c r="L207" s="513">
        <f ca="1">L189</f>
        <v>12.978023323549948</v>
      </c>
      <c r="M207" s="9" t="s">
        <v>2584</v>
      </c>
      <c r="N207" s="707">
        <f>CostData!$I$17</f>
        <v>97.493713954151573</v>
      </c>
      <c r="O207" s="747" t="s">
        <v>2584</v>
      </c>
      <c r="P207" s="703">
        <f t="shared" ca="1" si="18"/>
        <v>10408908.339185912</v>
      </c>
      <c r="Q207" s="703">
        <f t="shared" ca="1" si="18"/>
        <v>687.44290060344804</v>
      </c>
      <c r="R207" s="648"/>
      <c r="S207" s="748"/>
      <c r="T207" s="749"/>
      <c r="U207" s="748"/>
      <c r="V207" s="746">
        <f ca="1">Q207+T207</f>
        <v>687.44290060344804</v>
      </c>
      <c r="W207" s="703">
        <f ca="1">P207+U207</f>
        <v>10408908.339185912</v>
      </c>
    </row>
    <row r="208" spans="1:23" x14ac:dyDescent="0.25">
      <c r="A208" s="241" t="s">
        <v>2515</v>
      </c>
      <c r="B208" s="244"/>
      <c r="E208" s="244">
        <f ca="1">SUM(E205:E207)</f>
        <v>27649.48627672988</v>
      </c>
      <c r="G208" s="244">
        <f ca="1">G205*365</f>
        <v>37915804.804374076</v>
      </c>
      <c r="H208" s="750" t="s">
        <v>4371</v>
      </c>
      <c r="P208" s="667">
        <f ca="1">SUM(P205:P207)</f>
        <v>155903888.98481178</v>
      </c>
      <c r="Q208" s="681"/>
      <c r="T208" s="681"/>
      <c r="U208" s="667">
        <f ca="1">SUM(U205:U207)</f>
        <v>2454799.1829523775</v>
      </c>
      <c r="V208" s="681"/>
      <c r="W208" s="751">
        <f ca="1">SUM(W205:W207)</f>
        <v>158358688.16776416</v>
      </c>
    </row>
    <row r="209" spans="1:8" x14ac:dyDescent="0.25">
      <c r="G209" s="244">
        <f ca="1">G206*365</f>
        <v>11220513.875513207</v>
      </c>
      <c r="H209" s="750" t="s">
        <v>4370</v>
      </c>
    </row>
    <row r="210" spans="1:8" x14ac:dyDescent="0.25">
      <c r="G210" s="244">
        <f ca="1">G207*365</f>
        <v>106764.91762413437</v>
      </c>
      <c r="H210" s="750" t="s">
        <v>4369</v>
      </c>
    </row>
    <row r="212" spans="1:8" x14ac:dyDescent="0.25">
      <c r="B212" s="2" t="s">
        <v>2783</v>
      </c>
      <c r="C212" s="2" t="s">
        <v>2783</v>
      </c>
    </row>
    <row r="213" spans="1:8" x14ac:dyDescent="0.25">
      <c r="B213" s="2" t="s">
        <v>19</v>
      </c>
      <c r="C213" s="2" t="s">
        <v>3281</v>
      </c>
    </row>
    <row r="214" spans="1:8" x14ac:dyDescent="0.25">
      <c r="B214" s="520" t="s">
        <v>3252</v>
      </c>
      <c r="C214" s="520" t="s">
        <v>3252</v>
      </c>
    </row>
    <row r="215" spans="1:8" x14ac:dyDescent="0.25">
      <c r="B215" s="2" t="s">
        <v>4348</v>
      </c>
      <c r="C215" s="2" t="s">
        <v>4348</v>
      </c>
    </row>
    <row r="216" spans="1:8" x14ac:dyDescent="0.25">
      <c r="B216" s="169" t="s">
        <v>4331</v>
      </c>
      <c r="C216" s="169" t="s">
        <v>4331</v>
      </c>
    </row>
    <row r="217" spans="1:8" x14ac:dyDescent="0.25">
      <c r="B217" s="666">
        <f>IF(B216="Low",CostData!$W$11,IF(B216="Medium",CostData!$W$12,IF(B216="High",CostData!$W$13,0)))</f>
        <v>8367.9330034933209</v>
      </c>
      <c r="C217" s="666">
        <f>IF(C216="Low",CostData!$W$27,IF(C216="Medium",CostData!$W$28,IF(C216="High",CostData!$W$29,0)))</f>
        <v>70814.5</v>
      </c>
    </row>
    <row r="219" spans="1:8" ht="15.75" x14ac:dyDescent="0.25">
      <c r="A219" s="424" t="s">
        <v>3546</v>
      </c>
    </row>
    <row r="221" spans="1:8" x14ac:dyDescent="0.25">
      <c r="A221" t="s">
        <v>3304</v>
      </c>
      <c r="C221" s="666">
        <f ca="1">W190</f>
        <v>163102300.99136525</v>
      </c>
      <c r="D221" s="411" t="s">
        <v>3358</v>
      </c>
    </row>
    <row r="222" spans="1:8" x14ac:dyDescent="0.25">
      <c r="B222" s="411"/>
      <c r="C222" s="688"/>
      <c r="D222" s="411"/>
    </row>
    <row r="223" spans="1:8" x14ac:dyDescent="0.25">
      <c r="A223" t="s">
        <v>3303</v>
      </c>
      <c r="C223" s="666">
        <f ca="1">W208+B217+C217</f>
        <v>158437870.60076764</v>
      </c>
      <c r="D223" s="411" t="s">
        <v>3358</v>
      </c>
    </row>
    <row r="224" spans="1:8" x14ac:dyDescent="0.25">
      <c r="C224" s="693"/>
      <c r="D224" s="411"/>
    </row>
    <row r="225" spans="1:4" x14ac:dyDescent="0.25">
      <c r="A225" t="s">
        <v>3305</v>
      </c>
      <c r="C225" s="667">
        <f ca="1">C223-C221</f>
        <v>-4664430.3905976117</v>
      </c>
      <c r="D225" s="411" t="s">
        <v>3358</v>
      </c>
    </row>
    <row r="227" spans="1:4" x14ac:dyDescent="0.25">
      <c r="A227" t="s">
        <v>3270</v>
      </c>
      <c r="C227" s="752">
        <f ca="1">F$165</f>
        <v>-0.63980800827022222</v>
      </c>
      <c r="D227" t="str">
        <f>"tons/year - "&amp;$B$4</f>
        <v>tons/year - 2019</v>
      </c>
    </row>
    <row r="228" spans="1:4" x14ac:dyDescent="0.25">
      <c r="A228" t="s">
        <v>3547</v>
      </c>
      <c r="C228" s="752">
        <f ca="1">D$165</f>
        <v>442.99753684447427</v>
      </c>
      <c r="D228" t="str">
        <f>"tons/year - "&amp;$B$4</f>
        <v>tons/year - 2019</v>
      </c>
    </row>
    <row r="230" spans="1:4" x14ac:dyDescent="0.25">
      <c r="A230" t="s">
        <v>3306</v>
      </c>
      <c r="C230" s="667">
        <f ca="1">C$225/C227</f>
        <v>7290359.4989508083</v>
      </c>
      <c r="D230" s="753" t="s">
        <v>3271</v>
      </c>
    </row>
    <row r="231" spans="1:4" x14ac:dyDescent="0.25">
      <c r="C231" s="667">
        <f ca="1">C$225/C228</f>
        <v>-10529.246785033887</v>
      </c>
      <c r="D231" s="753" t="s">
        <v>3548</v>
      </c>
    </row>
  </sheetData>
  <mergeCells count="65">
    <mergeCell ref="C204:D204"/>
    <mergeCell ref="J204:K204"/>
    <mergeCell ref="J205:K205"/>
    <mergeCell ref="J206:K206"/>
    <mergeCell ref="J207:K207"/>
    <mergeCell ref="L202:M202"/>
    <mergeCell ref="P202:Q202"/>
    <mergeCell ref="R202:U202"/>
    <mergeCell ref="V202:W202"/>
    <mergeCell ref="B203:D203"/>
    <mergeCell ref="E203:F203"/>
    <mergeCell ref="G203:I203"/>
    <mergeCell ref="L203:M203"/>
    <mergeCell ref="N203:O203"/>
    <mergeCell ref="P203:Q203"/>
    <mergeCell ref="T203:U203"/>
    <mergeCell ref="V203:W203"/>
    <mergeCell ref="J187:K187"/>
    <mergeCell ref="J188:K188"/>
    <mergeCell ref="J189:K189"/>
    <mergeCell ref="A194:D194"/>
    <mergeCell ref="E202:F202"/>
    <mergeCell ref="P185:Q185"/>
    <mergeCell ref="T185:U185"/>
    <mergeCell ref="V185:W185"/>
    <mergeCell ref="C186:D186"/>
    <mergeCell ref="J186:K186"/>
    <mergeCell ref="B185:D185"/>
    <mergeCell ref="E185:F185"/>
    <mergeCell ref="G185:I185"/>
    <mergeCell ref="L185:M185"/>
    <mergeCell ref="N185:O185"/>
    <mergeCell ref="E184:F184"/>
    <mergeCell ref="L184:M184"/>
    <mergeCell ref="P184:Q184"/>
    <mergeCell ref="R184:U184"/>
    <mergeCell ref="V184:W184"/>
    <mergeCell ref="B21:H21"/>
    <mergeCell ref="A63:H63"/>
    <mergeCell ref="A176:D176"/>
    <mergeCell ref="B120:H120"/>
    <mergeCell ref="A27:H27"/>
    <mergeCell ref="A37:G37"/>
    <mergeCell ref="B69:H69"/>
    <mergeCell ref="A74:C74"/>
    <mergeCell ref="B82:F82"/>
    <mergeCell ref="B83:F83"/>
    <mergeCell ref="D86:D87"/>
    <mergeCell ref="B91:H91"/>
    <mergeCell ref="B97:H97"/>
    <mergeCell ref="A105:C105"/>
    <mergeCell ref="B114:H114"/>
    <mergeCell ref="B153:H153"/>
    <mergeCell ref="A1:I1"/>
    <mergeCell ref="A6:H6"/>
    <mergeCell ref="B15:C15"/>
    <mergeCell ref="F15:G15"/>
    <mergeCell ref="F16:G16"/>
    <mergeCell ref="B163:H163"/>
    <mergeCell ref="B129:H129"/>
    <mergeCell ref="B130:H130"/>
    <mergeCell ref="D132:E132"/>
    <mergeCell ref="B147:H147"/>
    <mergeCell ref="B137:I137"/>
    <mergeCell ref="B138:I138"/>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14:formula1>
            <xm:f>CostData!$AB$10:$AB$13</xm:f>
          </x14:formula1>
          <xm:sqref>B216:C216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2" tint="-0.249977111117893"/>
  </sheetPr>
  <dimension ref="A1:W234"/>
  <sheetViews>
    <sheetView workbookViewId="0">
      <selection sqref="A1:I1"/>
    </sheetView>
  </sheetViews>
  <sheetFormatPr defaultRowHeight="15" x14ac:dyDescent="0.25"/>
  <cols>
    <col min="1" max="1" width="32" customWidth="1"/>
    <col min="2" max="2" width="10.28515625" bestFit="1" customWidth="1"/>
    <col min="3" max="3" width="12.28515625" customWidth="1"/>
    <col min="4" max="4" width="9.5703125" bestFit="1" customWidth="1"/>
    <col min="5" max="6" width="9" bestFit="1" customWidth="1"/>
    <col min="7" max="7" width="10.140625" bestFit="1" customWidth="1"/>
    <col min="8" max="8" width="9.28515625" bestFit="1" customWidth="1"/>
    <col min="16" max="16" width="11.85546875" bestFit="1" customWidth="1"/>
    <col min="21" max="22" width="10.28515625" customWidth="1"/>
    <col min="23" max="23" width="12.5703125" customWidth="1"/>
  </cols>
  <sheetData>
    <row r="1" spans="1:9" ht="18.75" x14ac:dyDescent="0.3">
      <c r="A1" s="912" t="s">
        <v>4376</v>
      </c>
      <c r="B1" s="912"/>
      <c r="C1" s="912"/>
      <c r="D1" s="912"/>
      <c r="E1" s="912"/>
      <c r="F1" s="912"/>
      <c r="G1" s="912"/>
      <c r="H1" s="912"/>
      <c r="I1" s="912"/>
    </row>
    <row r="3" spans="1:9" x14ac:dyDescent="0.25">
      <c r="A3" s="405" t="s">
        <v>2748</v>
      </c>
      <c r="B3" s="241" t="s">
        <v>4377</v>
      </c>
    </row>
    <row r="4" spans="1:9" x14ac:dyDescent="0.25">
      <c r="A4" s="405" t="s">
        <v>3183</v>
      </c>
      <c r="B4" s="519">
        <v>2019</v>
      </c>
    </row>
    <row r="5" spans="1:9" x14ac:dyDescent="0.25">
      <c r="A5" s="405" t="s">
        <v>4297</v>
      </c>
      <c r="B5" s="519">
        <f>CostData!$O$63</f>
        <v>15</v>
      </c>
      <c r="C5" s="241" t="s">
        <v>4299</v>
      </c>
    </row>
    <row r="7" spans="1:9" ht="15.75" x14ac:dyDescent="0.25">
      <c r="A7" s="924" t="s">
        <v>2749</v>
      </c>
      <c r="B7" s="924"/>
      <c r="C7" s="924"/>
      <c r="D7" s="924"/>
      <c r="E7" s="924"/>
      <c r="F7" s="924"/>
      <c r="G7" s="924"/>
      <c r="H7" s="924"/>
    </row>
    <row r="8" spans="1:9" x14ac:dyDescent="0.25">
      <c r="A8" s="2"/>
      <c r="B8" s="2"/>
      <c r="C8" s="2"/>
      <c r="D8" s="2"/>
      <c r="E8" s="2"/>
      <c r="F8" s="2"/>
      <c r="G8" s="2"/>
      <c r="H8" s="2"/>
    </row>
    <row r="9" spans="1:9" x14ac:dyDescent="0.25">
      <c r="A9" s="406" t="s">
        <v>2750</v>
      </c>
      <c r="B9" s="2"/>
      <c r="C9" s="2"/>
      <c r="D9" s="2"/>
      <c r="E9" s="2"/>
      <c r="F9" s="2"/>
      <c r="G9" s="2"/>
      <c r="H9" s="2"/>
    </row>
    <row r="10" spans="1:9" x14ac:dyDescent="0.25">
      <c r="A10" s="407" t="s">
        <v>2751</v>
      </c>
      <c r="B10" s="2"/>
      <c r="C10" s="2"/>
      <c r="D10" s="2"/>
      <c r="E10" s="2"/>
      <c r="F10" s="2"/>
      <c r="G10" s="2"/>
      <c r="H10" s="2"/>
    </row>
    <row r="11" spans="1:9" x14ac:dyDescent="0.25">
      <c r="A11" s="407" t="s">
        <v>2752</v>
      </c>
      <c r="B11" s="2"/>
      <c r="C11" s="2"/>
      <c r="D11" s="2"/>
      <c r="E11" s="2"/>
      <c r="F11" s="2"/>
      <c r="G11" s="2"/>
      <c r="H11" s="2"/>
    </row>
    <row r="12" spans="1:9" x14ac:dyDescent="0.25">
      <c r="A12" s="407" t="s">
        <v>2753</v>
      </c>
      <c r="B12" s="2"/>
      <c r="C12" s="2"/>
      <c r="D12" s="2"/>
      <c r="E12" s="2"/>
      <c r="F12" s="2"/>
      <c r="G12" s="2"/>
      <c r="H12" s="2"/>
    </row>
    <row r="13" spans="1:9" x14ac:dyDescent="0.25">
      <c r="A13" s="407" t="s">
        <v>2754</v>
      </c>
      <c r="B13" s="2"/>
      <c r="C13" s="2"/>
      <c r="D13" s="2"/>
      <c r="E13" s="2"/>
      <c r="F13" s="2"/>
      <c r="G13" s="2"/>
      <c r="H13" s="2"/>
    </row>
    <row r="14" spans="1:9" x14ac:dyDescent="0.25">
      <c r="A14" s="407" t="s">
        <v>2755</v>
      </c>
      <c r="B14" s="2"/>
      <c r="C14" s="2"/>
      <c r="D14" s="2"/>
      <c r="E14" s="2"/>
      <c r="F14" s="2"/>
      <c r="G14" s="2"/>
      <c r="H14" s="2"/>
    </row>
    <row r="15" spans="1:9" x14ac:dyDescent="0.25">
      <c r="A15" s="2"/>
      <c r="B15" s="2"/>
      <c r="C15" s="2"/>
      <c r="D15" s="2"/>
      <c r="E15" s="2"/>
      <c r="F15" s="2"/>
      <c r="G15" s="2"/>
      <c r="H15" s="2"/>
    </row>
    <row r="16" spans="1:9" x14ac:dyDescent="0.25">
      <c r="A16" s="241"/>
      <c r="B16" s="917" t="s">
        <v>2756</v>
      </c>
      <c r="C16" s="917"/>
      <c r="D16" s="2" t="s">
        <v>2757</v>
      </c>
      <c r="F16" s="917" t="s">
        <v>2758</v>
      </c>
      <c r="G16" s="917"/>
      <c r="H16" t="s">
        <v>2759</v>
      </c>
    </row>
    <row r="17" spans="1:8" x14ac:dyDescent="0.25">
      <c r="A17" s="9" t="s">
        <v>2760</v>
      </c>
      <c r="B17" s="44" t="s">
        <v>2554</v>
      </c>
      <c r="C17" s="44" t="s">
        <v>2546</v>
      </c>
      <c r="D17" s="44" t="s">
        <v>2761</v>
      </c>
      <c r="F17" s="918" t="s">
        <v>2762</v>
      </c>
      <c r="G17" s="918"/>
      <c r="H17" s="44" t="s">
        <v>2763</v>
      </c>
    </row>
    <row r="18" spans="1:8" x14ac:dyDescent="0.25">
      <c r="A18" t="s">
        <v>2764</v>
      </c>
      <c r="B18" s="408">
        <v>0.31772881708698097</v>
      </c>
      <c r="C18" s="408">
        <v>0.68227118291301903</v>
      </c>
      <c r="D18" s="409">
        <f>SUMPRODUCT(B18:C18,B$20:C$20)</f>
        <v>2035.3928754647418</v>
      </c>
      <c r="G18" s="1" t="s">
        <v>2765</v>
      </c>
      <c r="H18" s="408">
        <v>0.78390298205494036</v>
      </c>
    </row>
    <row r="19" spans="1:8" x14ac:dyDescent="0.25">
      <c r="A19" t="s">
        <v>2766</v>
      </c>
      <c r="B19" s="335">
        <v>1</v>
      </c>
      <c r="C19" s="335">
        <v>0</v>
      </c>
      <c r="D19" s="409">
        <f>SUMPRODUCT(B19:C19,B$20:C$20)</f>
        <v>896</v>
      </c>
      <c r="G19" s="1" t="s">
        <v>2767</v>
      </c>
      <c r="H19" s="335">
        <v>0.89751772975716571</v>
      </c>
    </row>
    <row r="20" spans="1:8" x14ac:dyDescent="0.25">
      <c r="A20" t="s">
        <v>2768</v>
      </c>
      <c r="B20" s="410">
        <v>896</v>
      </c>
      <c r="C20" s="410">
        <v>2566</v>
      </c>
      <c r="G20" s="411"/>
    </row>
    <row r="22" spans="1:8" x14ac:dyDescent="0.25">
      <c r="B22" s="922" t="str">
        <f>$B$4&amp;" Baseline Space Heating Emission Factors (lb/mmBTU)"</f>
        <v>2019 Baseline Space Heating Emission Factors (lb/mmBTU)</v>
      </c>
      <c r="C22" s="922"/>
      <c r="D22" s="922"/>
      <c r="E22" s="922"/>
      <c r="F22" s="922"/>
      <c r="G22" s="922"/>
      <c r="H22" s="922"/>
    </row>
    <row r="23" spans="1:8" x14ac:dyDescent="0.25">
      <c r="A23" s="9" t="s">
        <v>2769</v>
      </c>
      <c r="B23" s="44" t="s">
        <v>2143</v>
      </c>
      <c r="C23" s="44" t="s">
        <v>2144</v>
      </c>
      <c r="D23" s="518" t="s">
        <v>2145</v>
      </c>
      <c r="E23" s="44" t="s">
        <v>2146</v>
      </c>
      <c r="F23" s="518" t="s">
        <v>2147</v>
      </c>
      <c r="G23" s="44" t="s">
        <v>2148</v>
      </c>
      <c r="H23" s="44" t="s">
        <v>2149</v>
      </c>
    </row>
    <row r="24" spans="1:8" x14ac:dyDescent="0.25">
      <c r="A24" t="s">
        <v>2770</v>
      </c>
      <c r="B24" s="290">
        <f ca="1">INDIRECT("'DevSumOut-"&amp;$B$4&amp;"PB'!Y76")</f>
        <v>5.3201428459336026E-3</v>
      </c>
      <c r="C24" s="290">
        <f ca="1">INDIRECT("'DevSumOut-"&amp;$B$4&amp;"PB'!Z76")</f>
        <v>8.3693292692388663E-2</v>
      </c>
      <c r="D24" s="844">
        <f ca="1">INDIRECT("'DevSumOut-"&amp;$B$4&amp;"PB'!AA76")</f>
        <v>0.21566037587652909</v>
      </c>
      <c r="E24" s="290">
        <f ca="1">INDIRECT("'DevSumOut-"&amp;$B$4&amp;"PB'!AB76")</f>
        <v>3.404171185950607E-3</v>
      </c>
      <c r="F24" s="844">
        <f ca="1">INDIRECT("'DevSumOut-"&amp;$B$4&amp;"PB'!AC76")</f>
        <v>3.404171185950607E-3</v>
      </c>
      <c r="G24" s="290">
        <f ca="1">INDIRECT("'DevSumOut-"&amp;$B$4&amp;"PB'!AD76")</f>
        <v>1.8278335230744155E-4</v>
      </c>
      <c r="H24" s="290">
        <f ca="1">INDIRECT("'DevSumOut-"&amp;$B$4&amp;"PB'!AE76")</f>
        <v>3.3416589882860927E-3</v>
      </c>
    </row>
    <row r="25" spans="1:8" x14ac:dyDescent="0.25">
      <c r="A25" t="s">
        <v>2771</v>
      </c>
      <c r="B25" s="290">
        <f ca="1">INDIRECT("'DevSumOut-"&amp;$B$4&amp;"PB'!Y78")</f>
        <v>5.1480144404332118E-3</v>
      </c>
      <c r="C25" s="290">
        <f ca="1">INDIRECT("'DevSumOut-"&amp;$B$4&amp;"PB'!Z78")</f>
        <v>0.12996389891696752</v>
      </c>
      <c r="D25" s="844">
        <f ca="1">INDIRECT("'DevSumOut-"&amp;$B$4&amp;"PB'!AA78")</f>
        <v>9.1864259927797801E-2</v>
      </c>
      <c r="E25" s="290">
        <f ca="1">INDIRECT("'DevSumOut-"&amp;$B$4&amp;"PB'!AB78")</f>
        <v>3.2967299611507727E-3</v>
      </c>
      <c r="F25" s="844">
        <f ca="1">INDIRECT("'DevSumOut-"&amp;$B$4&amp;"PB'!AC78")</f>
        <v>3.2967299611507727E-3</v>
      </c>
      <c r="G25" s="290">
        <f ca="1">INDIRECT("'DevSumOut-"&amp;$B$4&amp;"PB'!AD78")</f>
        <v>1.7686956241573897E-4</v>
      </c>
      <c r="H25" s="290">
        <f ca="1">INDIRECT("'DevSumOut-"&amp;$B$4&amp;"PB'!AE78")</f>
        <v>3.2335426368953818E-3</v>
      </c>
    </row>
    <row r="26" spans="1:8" x14ac:dyDescent="0.25">
      <c r="A26" t="s">
        <v>2772</v>
      </c>
      <c r="B26" s="290">
        <f ca="1">INDIRECT("'DevSumOut-"&amp;$B$4&amp;"PB'!Y79")</f>
        <v>2.5539276619417253</v>
      </c>
      <c r="C26" s="290">
        <f ca="1">INDIRECT("'DevSumOut-"&amp;$B$4&amp;"PB'!Z79")</f>
        <v>0.11968919875245596</v>
      </c>
      <c r="D26" s="844">
        <f ca="1">INDIRECT("'DevSumOut-"&amp;$B$4&amp;"PB'!AA79")</f>
        <v>2.4514402691133284E-2</v>
      </c>
      <c r="E26" s="290">
        <f ca="1">INDIRECT("'DevSumOut-"&amp;$B$4&amp;"PB'!AB79")</f>
        <v>0.69366943612609944</v>
      </c>
      <c r="F26" s="844">
        <f ca="1">INDIRECT("'DevSumOut-"&amp;$B$4&amp;"PB'!AC79")</f>
        <v>0.69366943612609944</v>
      </c>
      <c r="G26" s="290">
        <f ca="1">INDIRECT("'DevSumOut-"&amp;$B$4&amp;"PB'!AD79")</f>
        <v>2.6123869323514026E-2</v>
      </c>
      <c r="H26" s="290">
        <f ca="1">INDIRECT("'DevSumOut-"&amp;$B$4&amp;"PB'!AE79")</f>
        <v>7.3677330063651363</v>
      </c>
    </row>
    <row r="27" spans="1:8" x14ac:dyDescent="0.25">
      <c r="A27" s="413"/>
    </row>
    <row r="28" spans="1:8" ht="15.75" x14ac:dyDescent="0.25">
      <c r="A28" s="924" t="s">
        <v>3450</v>
      </c>
      <c r="B28" s="924"/>
      <c r="C28" s="924"/>
      <c r="D28" s="924"/>
      <c r="E28" s="924"/>
      <c r="F28" s="924"/>
      <c r="G28" s="924"/>
      <c r="H28" s="924"/>
    </row>
    <row r="29" spans="1:8" x14ac:dyDescent="0.25">
      <c r="A29" s="413"/>
    </row>
    <row r="30" spans="1:8" x14ac:dyDescent="0.25">
      <c r="A30" s="406" t="s">
        <v>2750</v>
      </c>
    </row>
    <row r="31" spans="1:8" ht="18" x14ac:dyDescent="0.35">
      <c r="A31" s="407" t="s">
        <v>3491</v>
      </c>
    </row>
    <row r="32" spans="1:8" ht="18" x14ac:dyDescent="0.35">
      <c r="A32" s="407" t="s">
        <v>3185</v>
      </c>
    </row>
    <row r="33" spans="1:7" x14ac:dyDescent="0.25">
      <c r="A33" s="407" t="s">
        <v>3451</v>
      </c>
    </row>
    <row r="34" spans="1:7" x14ac:dyDescent="0.25">
      <c r="A34" s="407" t="s">
        <v>3452</v>
      </c>
    </row>
    <row r="35" spans="1:7" x14ac:dyDescent="0.25">
      <c r="A35" s="407" t="s">
        <v>3453</v>
      </c>
    </row>
    <row r="36" spans="1:7" x14ac:dyDescent="0.25">
      <c r="A36" s="407" t="s">
        <v>3454</v>
      </c>
    </row>
    <row r="37" spans="1:7" x14ac:dyDescent="0.25">
      <c r="A37" s="407"/>
    </row>
    <row r="38" spans="1:7" x14ac:dyDescent="0.25">
      <c r="A38" s="923" t="s">
        <v>2773</v>
      </c>
      <c r="B38" s="923"/>
      <c r="C38" s="923"/>
      <c r="D38" s="923"/>
      <c r="E38" s="923"/>
      <c r="F38" s="923"/>
      <c r="G38" s="923"/>
    </row>
    <row r="52" spans="1:8" x14ac:dyDescent="0.25">
      <c r="A52" s="413" t="s">
        <v>3492</v>
      </c>
    </row>
    <row r="53" spans="1:8" x14ac:dyDescent="0.25">
      <c r="A53" s="413"/>
    </row>
    <row r="54" spans="1:8" x14ac:dyDescent="0.25">
      <c r="A54" s="413"/>
      <c r="B54" s="327" t="s">
        <v>3455</v>
      </c>
    </row>
    <row r="55" spans="1:8" x14ac:dyDescent="0.25">
      <c r="A55" s="413"/>
      <c r="B55" s="414" t="s">
        <v>3456</v>
      </c>
      <c r="C55" s="415">
        <f>ULSEFs!$O$69</f>
        <v>1.942443864412639E-6</v>
      </c>
      <c r="D55" s="416" t="s">
        <v>2774</v>
      </c>
      <c r="E55" s="415">
        <f>ULSEFs!$Q$69</f>
        <v>5.9763082405351123E-4</v>
      </c>
    </row>
    <row r="57" spans="1:8" x14ac:dyDescent="0.25">
      <c r="E57" t="s">
        <v>2775</v>
      </c>
    </row>
    <row r="58" spans="1:8" x14ac:dyDescent="0.25">
      <c r="C58" s="2" t="s">
        <v>2757</v>
      </c>
      <c r="E58" s="2" t="s">
        <v>2135</v>
      </c>
    </row>
    <row r="59" spans="1:8" x14ac:dyDescent="0.25">
      <c r="A59" s="9" t="s">
        <v>3457</v>
      </c>
      <c r="B59" s="9"/>
      <c r="C59" s="44" t="s">
        <v>2761</v>
      </c>
      <c r="D59" s="9"/>
      <c r="E59" s="9" t="s">
        <v>2251</v>
      </c>
      <c r="F59" s="9"/>
    </row>
    <row r="60" spans="1:8" x14ac:dyDescent="0.25">
      <c r="A60" t="s">
        <v>3458</v>
      </c>
      <c r="C60" s="42">
        <f>D18</f>
        <v>2035.3928754647418</v>
      </c>
      <c r="E60" s="729">
        <f>C60*C$55+E$55</f>
        <v>4.5512672266691976E-3</v>
      </c>
    </row>
    <row r="61" spans="1:8" x14ac:dyDescent="0.25">
      <c r="A61" s="9" t="s">
        <v>3459</v>
      </c>
      <c r="B61" s="9"/>
      <c r="C61" s="741">
        <f>$B$5</f>
        <v>15</v>
      </c>
      <c r="D61" s="9"/>
      <c r="E61" s="730">
        <f>C61*C$55+E$55</f>
        <v>6.2676748201970082E-4</v>
      </c>
      <c r="F61" s="9"/>
    </row>
    <row r="62" spans="1:8" x14ac:dyDescent="0.25">
      <c r="D62" s="405" t="s">
        <v>4300</v>
      </c>
      <c r="E62" s="731">
        <f>1-E61/E60</f>
        <v>0.86228725961266073</v>
      </c>
    </row>
    <row r="64" spans="1:8" x14ac:dyDescent="0.25">
      <c r="A64" s="917" t="s">
        <v>3504</v>
      </c>
      <c r="B64" s="917"/>
      <c r="C64" s="917"/>
      <c r="D64" s="917"/>
      <c r="E64" s="917"/>
      <c r="F64" s="917"/>
      <c r="G64" s="917"/>
      <c r="H64" s="917"/>
    </row>
    <row r="66" spans="1:8" x14ac:dyDescent="0.25">
      <c r="A66" s="1" t="s">
        <v>3505</v>
      </c>
      <c r="B66" s="114">
        <v>130116.60120120121</v>
      </c>
      <c r="C66" t="s">
        <v>2095</v>
      </c>
      <c r="D66" t="s">
        <v>4368</v>
      </c>
    </row>
    <row r="67" spans="1:8" x14ac:dyDescent="0.25">
      <c r="A67" s="1" t="s">
        <v>3506</v>
      </c>
      <c r="B67" s="114">
        <v>125684.61323191733</v>
      </c>
      <c r="C67" t="s">
        <v>2095</v>
      </c>
      <c r="D67" t="s">
        <v>4368</v>
      </c>
    </row>
    <row r="68" spans="1:8" x14ac:dyDescent="0.25">
      <c r="A68" s="1" t="s">
        <v>3507</v>
      </c>
      <c r="B68" s="412">
        <f>1-B67/B66</f>
        <v>3.406166414100098E-2</v>
      </c>
    </row>
    <row r="69" spans="1:8" x14ac:dyDescent="0.25">
      <c r="A69" s="716" t="s">
        <v>4304</v>
      </c>
      <c r="B69" s="412"/>
    </row>
    <row r="70" spans="1:8" x14ac:dyDescent="0.25">
      <c r="A70" s="1"/>
      <c r="B70" s="412"/>
    </row>
    <row r="72" spans="1:8" x14ac:dyDescent="0.25">
      <c r="B72" s="922" t="s">
        <v>4301</v>
      </c>
      <c r="C72" s="922"/>
      <c r="D72" s="922"/>
      <c r="E72" s="922"/>
      <c r="F72" s="922"/>
      <c r="G72" s="922"/>
      <c r="H72" s="922"/>
    </row>
    <row r="73" spans="1:8" x14ac:dyDescent="0.25">
      <c r="A73" s="9" t="s">
        <v>4302</v>
      </c>
      <c r="B73" s="44" t="s">
        <v>2143</v>
      </c>
      <c r="C73" s="44" t="s">
        <v>2144</v>
      </c>
      <c r="D73" s="500" t="s">
        <v>2145</v>
      </c>
      <c r="E73" s="44" t="s">
        <v>2146</v>
      </c>
      <c r="F73" s="500" t="s">
        <v>2147</v>
      </c>
      <c r="G73" s="44" t="s">
        <v>2148</v>
      </c>
      <c r="H73" s="44" t="s">
        <v>2149</v>
      </c>
    </row>
    <row r="74" spans="1:8" x14ac:dyDescent="0.25">
      <c r="A74" t="s">
        <v>4303</v>
      </c>
      <c r="B74" s="804">
        <f ca="1">B$24</f>
        <v>5.3201428459336026E-3</v>
      </c>
      <c r="C74" s="290">
        <f ca="1">AVERAGE(C24:C25)*(1-25%)</f>
        <v>8.0121446853508582E-2</v>
      </c>
      <c r="D74" s="845">
        <f ca="1">D$24*C61/D$18</f>
        <v>1.5893273859521146E-3</v>
      </c>
      <c r="E74" s="729">
        <f ca="1">F74</f>
        <v>4.687977427648768E-4</v>
      </c>
      <c r="F74" s="845">
        <f ca="1">F$24*(1-E62)</f>
        <v>4.687977427648768E-4</v>
      </c>
      <c r="G74" s="804">
        <f ca="1">G24</f>
        <v>1.8278335230744155E-4</v>
      </c>
      <c r="H74" s="804">
        <f ca="1">H24</f>
        <v>3.3416589882860927E-3</v>
      </c>
    </row>
    <row r="75" spans="1:8" x14ac:dyDescent="0.25">
      <c r="A75" s="413"/>
    </row>
    <row r="76" spans="1:8" ht="15.75" thickBot="1" x14ac:dyDescent="0.3">
      <c r="A76" s="413"/>
    </row>
    <row r="77" spans="1:8" ht="16.5" thickBot="1" x14ac:dyDescent="0.3">
      <c r="A77" s="919" t="s">
        <v>2776</v>
      </c>
      <c r="B77" s="920"/>
      <c r="C77" s="921"/>
    </row>
    <row r="79" spans="1:8" x14ac:dyDescent="0.25">
      <c r="A79" s="406" t="s">
        <v>2750</v>
      </c>
    </row>
    <row r="80" spans="1:8" x14ac:dyDescent="0.25">
      <c r="A80" s="407" t="s">
        <v>2777</v>
      </c>
    </row>
    <row r="81" spans="1:8" x14ac:dyDescent="0.25">
      <c r="A81" s="407" t="s">
        <v>2778</v>
      </c>
    </row>
    <row r="82" spans="1:8" x14ac:dyDescent="0.25">
      <c r="A82" s="407" t="s">
        <v>2779</v>
      </c>
    </row>
    <row r="83" spans="1:8" x14ac:dyDescent="0.25">
      <c r="A83" s="407" t="s">
        <v>2780</v>
      </c>
    </row>
    <row r="85" spans="1:8" x14ac:dyDescent="0.25">
      <c r="B85" s="917" t="str">
        <f>$B$4&amp;" Nonattainment Area Heating Energy by"</f>
        <v>2019 Nonattainment Area Heating Energy by</v>
      </c>
      <c r="C85" s="917"/>
      <c r="D85" s="917"/>
      <c r="E85" s="917"/>
      <c r="F85" s="917"/>
    </row>
    <row r="86" spans="1:8" x14ac:dyDescent="0.25">
      <c r="B86" s="917" t="s">
        <v>2781</v>
      </c>
      <c r="C86" s="917"/>
      <c r="D86" s="917"/>
      <c r="E86" s="917"/>
      <c r="F86" s="917"/>
    </row>
    <row r="87" spans="1:8" x14ac:dyDescent="0.25">
      <c r="C87" s="2"/>
      <c r="D87" s="2" t="s">
        <v>2782</v>
      </c>
      <c r="E87" s="2" t="s">
        <v>2783</v>
      </c>
    </row>
    <row r="88" spans="1:8" x14ac:dyDescent="0.25">
      <c r="A88" s="9" t="s">
        <v>2769</v>
      </c>
      <c r="B88" s="9"/>
      <c r="C88" s="44" t="s">
        <v>3186</v>
      </c>
      <c r="D88" s="44" t="s">
        <v>2784</v>
      </c>
      <c r="E88" s="44" t="s">
        <v>2785</v>
      </c>
      <c r="F88" s="9"/>
    </row>
    <row r="89" spans="1:8" x14ac:dyDescent="0.25">
      <c r="A89" t="s">
        <v>2786</v>
      </c>
      <c r="C89" s="114">
        <f ca="1">INDIRECT("'DevSumOut-"&amp;$B$4&amp;"PB'!U76")</f>
        <v>30171.778094171383</v>
      </c>
      <c r="D89" s="925">
        <f>H$18</f>
        <v>0.78390298205494036</v>
      </c>
      <c r="E89" s="114">
        <f ca="1">C89/D89/2</f>
        <v>19244.586884386143</v>
      </c>
    </row>
    <row r="90" spans="1:8" x14ac:dyDescent="0.25">
      <c r="A90" t="s">
        <v>2787</v>
      </c>
      <c r="C90" s="114">
        <f ca="1">INDIRECT("'DevSumOut-"&amp;$B$4&amp;"PB'!U78")</f>
        <v>9271.8845460458488</v>
      </c>
      <c r="D90" s="926"/>
      <c r="E90" s="114">
        <f ca="1">C90/D89/2</f>
        <v>5913.9235073071977</v>
      </c>
    </row>
    <row r="91" spans="1:8" x14ac:dyDescent="0.25">
      <c r="A91" s="9" t="s">
        <v>2788</v>
      </c>
      <c r="B91" s="9"/>
      <c r="C91" s="245">
        <f ca="1">INDIRECT("'DevSumOut-"&amp;$B$4&amp;"PB'!U79")</f>
        <v>6693.1314228901792</v>
      </c>
      <c r="D91" s="417">
        <f>H$19</f>
        <v>0.89751772975716571</v>
      </c>
      <c r="E91" s="245">
        <f ca="1">C91/D91/2</f>
        <v>3728.6903650923346</v>
      </c>
      <c r="F91" s="9"/>
    </row>
    <row r="92" spans="1:8" x14ac:dyDescent="0.25">
      <c r="A92" s="241" t="s">
        <v>2515</v>
      </c>
      <c r="C92" s="244">
        <f ca="1">SUM(C89:C91)</f>
        <v>46136.794063107416</v>
      </c>
      <c r="D92" s="241"/>
      <c r="E92" s="244">
        <f ca="1">SUM(E89:E91)</f>
        <v>28887.200756785674</v>
      </c>
    </row>
    <row r="94" spans="1:8" x14ac:dyDescent="0.25">
      <c r="B94" s="922" t="s">
        <v>2789</v>
      </c>
      <c r="C94" s="922"/>
      <c r="D94" s="922"/>
      <c r="E94" s="922"/>
      <c r="F94" s="922"/>
      <c r="G94" s="922"/>
      <c r="H94" s="922"/>
    </row>
    <row r="95" spans="1:8" x14ac:dyDescent="0.25">
      <c r="A95" s="9" t="s">
        <v>2769</v>
      </c>
      <c r="B95" s="44" t="s">
        <v>2143</v>
      </c>
      <c r="C95" s="44" t="s">
        <v>2144</v>
      </c>
      <c r="D95" s="44" t="s">
        <v>2145</v>
      </c>
      <c r="E95" s="44" t="s">
        <v>2146</v>
      </c>
      <c r="F95" s="44" t="s">
        <v>2147</v>
      </c>
      <c r="G95" s="44" t="s">
        <v>2148</v>
      </c>
      <c r="H95" s="44" t="s">
        <v>2149</v>
      </c>
    </row>
    <row r="96" spans="1:8" x14ac:dyDescent="0.25">
      <c r="A96" t="s">
        <v>2790</v>
      </c>
      <c r="B96" s="290">
        <f t="shared" ref="B96:H98" ca="1" si="0">B24</f>
        <v>5.3201428459336026E-3</v>
      </c>
      <c r="C96" s="290">
        <f t="shared" ca="1" si="0"/>
        <v>8.3693292692388663E-2</v>
      </c>
      <c r="D96" s="290">
        <f t="shared" ca="1" si="0"/>
        <v>0.21566037587652909</v>
      </c>
      <c r="E96" s="290">
        <f t="shared" ca="1" si="0"/>
        <v>3.404171185950607E-3</v>
      </c>
      <c r="F96" s="290">
        <f t="shared" ca="1" si="0"/>
        <v>3.404171185950607E-3</v>
      </c>
      <c r="G96" s="290">
        <f t="shared" ca="1" si="0"/>
        <v>1.8278335230744155E-4</v>
      </c>
      <c r="H96" s="290">
        <f t="shared" ca="1" si="0"/>
        <v>3.3416589882860927E-3</v>
      </c>
    </row>
    <row r="97" spans="1:8" x14ac:dyDescent="0.25">
      <c r="A97" t="s">
        <v>2791</v>
      </c>
      <c r="B97" s="290">
        <f t="shared" ca="1" si="0"/>
        <v>5.1480144404332118E-3</v>
      </c>
      <c r="C97" s="290">
        <f t="shared" ca="1" si="0"/>
        <v>0.12996389891696752</v>
      </c>
      <c r="D97" s="290">
        <f t="shared" ca="1" si="0"/>
        <v>9.1864259927797801E-2</v>
      </c>
      <c r="E97" s="290">
        <f t="shared" ca="1" si="0"/>
        <v>3.2967299611507727E-3</v>
      </c>
      <c r="F97" s="290">
        <f t="shared" ca="1" si="0"/>
        <v>3.2967299611507727E-3</v>
      </c>
      <c r="G97" s="290">
        <f t="shared" ca="1" si="0"/>
        <v>1.7686956241573897E-4</v>
      </c>
      <c r="H97" s="290">
        <f t="shared" ca="1" si="0"/>
        <v>3.2335426368953818E-3</v>
      </c>
    </row>
    <row r="98" spans="1:8" x14ac:dyDescent="0.25">
      <c r="A98" s="9" t="s">
        <v>2788</v>
      </c>
      <c r="B98" s="292">
        <f t="shared" ca="1" si="0"/>
        <v>2.5539276619417253</v>
      </c>
      <c r="C98" s="292">
        <f t="shared" ca="1" si="0"/>
        <v>0.11968919875245596</v>
      </c>
      <c r="D98" s="292">
        <f t="shared" ca="1" si="0"/>
        <v>2.4514402691133284E-2</v>
      </c>
      <c r="E98" s="292">
        <f t="shared" ca="1" si="0"/>
        <v>0.69366943612609944</v>
      </c>
      <c r="F98" s="292">
        <f t="shared" ca="1" si="0"/>
        <v>0.69366943612609944</v>
      </c>
      <c r="G98" s="292">
        <f t="shared" ca="1" si="0"/>
        <v>2.6123869323514026E-2</v>
      </c>
      <c r="H98" s="292">
        <f t="shared" ca="1" si="0"/>
        <v>7.3677330063651363</v>
      </c>
    </row>
    <row r="99" spans="1:8" x14ac:dyDescent="0.25">
      <c r="B99" s="11"/>
      <c r="C99" s="11"/>
      <c r="D99" s="11"/>
      <c r="E99" s="11"/>
      <c r="F99" s="11"/>
      <c r="G99" s="11"/>
      <c r="H99" s="11"/>
    </row>
    <row r="100" spans="1:8" x14ac:dyDescent="0.25">
      <c r="B100" s="917" t="str">
        <f>$B$4&amp;" Baseline Emissions by Affected Fuel Type (tons/year)"</f>
        <v>2019 Baseline Emissions by Affected Fuel Type (tons/year)</v>
      </c>
      <c r="C100" s="917"/>
      <c r="D100" s="917"/>
      <c r="E100" s="917"/>
      <c r="F100" s="917"/>
      <c r="G100" s="917"/>
      <c r="H100" s="917"/>
    </row>
    <row r="101" spans="1:8" x14ac:dyDescent="0.25">
      <c r="A101" s="9" t="s">
        <v>1889</v>
      </c>
      <c r="B101" s="44" t="s">
        <v>2143</v>
      </c>
      <c r="C101" s="44" t="s">
        <v>2144</v>
      </c>
      <c r="D101" s="612" t="s">
        <v>2145</v>
      </c>
      <c r="E101" s="44" t="s">
        <v>2146</v>
      </c>
      <c r="F101" s="609" t="s">
        <v>2147</v>
      </c>
      <c r="G101" s="44" t="s">
        <v>2148</v>
      </c>
      <c r="H101" s="44" t="s">
        <v>2149</v>
      </c>
    </row>
    <row r="102" spans="1:8" x14ac:dyDescent="0.25">
      <c r="A102" t="s">
        <v>2790</v>
      </c>
      <c r="B102" s="890">
        <f ca="1">B96*$E89*365/2000</f>
        <v>18.68507110055441</v>
      </c>
      <c r="C102" s="890">
        <f t="shared" ref="C102:H102" ca="1" si="1">C96*$E89*365/2000</f>
        <v>293.9423188217736</v>
      </c>
      <c r="D102" s="891">
        <f t="shared" ca="1" si="1"/>
        <v>757.42880849623077</v>
      </c>
      <c r="E102" s="890">
        <f t="shared" ca="1" si="1"/>
        <v>11.955915938716425</v>
      </c>
      <c r="F102" s="892">
        <f t="shared" ca="1" si="1"/>
        <v>11.955915938716425</v>
      </c>
      <c r="G102" s="890">
        <f t="shared" ca="1" si="1"/>
        <v>0.64196019407123561</v>
      </c>
      <c r="H102" s="890">
        <f t="shared" ca="1" si="1"/>
        <v>11.736364529696242</v>
      </c>
    </row>
    <row r="103" spans="1:8" x14ac:dyDescent="0.25">
      <c r="A103" t="s">
        <v>2791</v>
      </c>
      <c r="B103" s="43">
        <f ca="1">B97*$E90*365/2000</f>
        <v>5.5562058597803654</v>
      </c>
      <c r="C103" s="43">
        <f t="shared" ref="C103:H103" ca="1" si="2">C97*$E90*365/2000</f>
        <v>140.26887163540897</v>
      </c>
      <c r="D103" s="613">
        <f t="shared" ca="1" si="2"/>
        <v>99.148272643979723</v>
      </c>
      <c r="E103" s="43">
        <f t="shared" ca="1" si="2"/>
        <v>3.5581311086450635</v>
      </c>
      <c r="F103" s="893">
        <f t="shared" ca="1" si="2"/>
        <v>3.5581311086450635</v>
      </c>
      <c r="G103" s="43">
        <f t="shared" ca="1" si="2"/>
        <v>0.19089373397880768</v>
      </c>
      <c r="H103" s="43">
        <f t="shared" ca="1" si="2"/>
        <v>3.4899335957293651</v>
      </c>
    </row>
    <row r="104" spans="1:8" x14ac:dyDescent="0.25">
      <c r="A104" s="9" t="s">
        <v>2788</v>
      </c>
      <c r="B104" s="513">
        <f ca="1">B98*$E91*365/2000</f>
        <v>1737.9119975860449</v>
      </c>
      <c r="C104" s="513">
        <f t="shared" ref="C104:H104" ca="1" si="3">C98*$E91*365/2000</f>
        <v>81.446823100387476</v>
      </c>
      <c r="D104" s="806">
        <f t="shared" ca="1" si="3"/>
        <v>16.681707624477067</v>
      </c>
      <c r="E104" s="513">
        <f t="shared" ca="1" si="3"/>
        <v>472.0323341052416</v>
      </c>
      <c r="F104" s="894">
        <f t="shared" ca="1" si="3"/>
        <v>472.0323341052416</v>
      </c>
      <c r="G104" s="513">
        <f t="shared" ca="1" si="3"/>
        <v>17.776927121807024</v>
      </c>
      <c r="H104" s="513">
        <f t="shared" ca="1" si="3"/>
        <v>5013.6391008966802</v>
      </c>
    </row>
    <row r="105" spans="1:8" x14ac:dyDescent="0.25">
      <c r="A105" s="241" t="s">
        <v>2515</v>
      </c>
      <c r="B105" s="824">
        <f ca="1">SUM(B102:B104)</f>
        <v>1762.1532745463796</v>
      </c>
      <c r="C105" s="824">
        <f t="shared" ref="C105:H105" ca="1" si="4">SUM(C102:C104)</f>
        <v>515.65801355757003</v>
      </c>
      <c r="D105" s="895">
        <f t="shared" ca="1" si="4"/>
        <v>873.25878876468755</v>
      </c>
      <c r="E105" s="824">
        <f t="shared" ca="1" si="4"/>
        <v>487.54638115260309</v>
      </c>
      <c r="F105" s="896">
        <f t="shared" ca="1" si="4"/>
        <v>487.54638115260309</v>
      </c>
      <c r="G105" s="824">
        <f t="shared" ca="1" si="4"/>
        <v>18.609781049857066</v>
      </c>
      <c r="H105" s="824">
        <f t="shared" ca="1" si="4"/>
        <v>5028.8653990221055</v>
      </c>
    </row>
    <row r="106" spans="1:8" x14ac:dyDescent="0.25">
      <c r="A106" s="241"/>
      <c r="B106" s="418"/>
      <c r="C106" s="418"/>
      <c r="D106" s="418"/>
      <c r="E106" s="418"/>
      <c r="F106" s="418"/>
      <c r="G106" s="418"/>
      <c r="H106" s="418"/>
    </row>
    <row r="107" spans="1:8" ht="15.75" thickBot="1" x14ac:dyDescent="0.3"/>
    <row r="108" spans="1:8" ht="16.5" thickBot="1" x14ac:dyDescent="0.3">
      <c r="A108" s="919" t="s">
        <v>2792</v>
      </c>
      <c r="B108" s="920"/>
      <c r="C108" s="921"/>
      <c r="H108" s="411"/>
    </row>
    <row r="110" spans="1:8" x14ac:dyDescent="0.25">
      <c r="A110" s="406" t="s">
        <v>2750</v>
      </c>
    </row>
    <row r="111" spans="1:8" ht="18" x14ac:dyDescent="0.35">
      <c r="A111" s="407" t="s">
        <v>3493</v>
      </c>
    </row>
    <row r="112" spans="1:8" x14ac:dyDescent="0.25">
      <c r="A112" s="407" t="s">
        <v>3461</v>
      </c>
    </row>
    <row r="113" spans="1:8" x14ac:dyDescent="0.25">
      <c r="A113" s="407" t="s">
        <v>3462</v>
      </c>
    </row>
    <row r="114" spans="1:8" x14ac:dyDescent="0.25">
      <c r="A114" s="407" t="s">
        <v>3463</v>
      </c>
    </row>
    <row r="115" spans="1:8" x14ac:dyDescent="0.25">
      <c r="A115" s="407" t="s">
        <v>3464</v>
      </c>
    </row>
    <row r="117" spans="1:8" x14ac:dyDescent="0.25">
      <c r="B117" s="923" t="s">
        <v>3465</v>
      </c>
      <c r="C117" s="923"/>
      <c r="D117" s="923"/>
      <c r="E117" s="923"/>
      <c r="F117" s="923"/>
      <c r="G117" s="923"/>
      <c r="H117" s="923"/>
    </row>
    <row r="118" spans="1:8" x14ac:dyDescent="0.25">
      <c r="B118" s="1"/>
      <c r="D118" s="136"/>
      <c r="E118" s="136"/>
      <c r="F118" s="419"/>
    </row>
    <row r="119" spans="1:8" x14ac:dyDescent="0.25">
      <c r="B119" s="1"/>
      <c r="C119" s="732" t="s">
        <v>3466</v>
      </c>
      <c r="D119" s="846">
        <f>D138</f>
        <v>0.81</v>
      </c>
      <c r="E119" s="419"/>
    </row>
    <row r="120" spans="1:8" x14ac:dyDescent="0.25">
      <c r="B120" s="1"/>
      <c r="C120" s="732" t="s">
        <v>3467</v>
      </c>
      <c r="D120" s="846">
        <v>0.12</v>
      </c>
      <c r="E120" s="43" t="s">
        <v>3468</v>
      </c>
    </row>
    <row r="121" spans="1:8" x14ac:dyDescent="0.25">
      <c r="B121" s="1"/>
      <c r="C121" s="732" t="s">
        <v>3469</v>
      </c>
      <c r="D121" s="846">
        <f>1-1/(1+D120)</f>
        <v>0.10714285714285721</v>
      </c>
      <c r="F121" s="419"/>
    </row>
    <row r="122" spans="1:8" x14ac:dyDescent="0.25">
      <c r="B122" s="1"/>
      <c r="D122" s="732"/>
      <c r="E122" s="136"/>
      <c r="F122" s="419"/>
    </row>
    <row r="123" spans="1:8" x14ac:dyDescent="0.25">
      <c r="B123" s="923" t="s">
        <v>3470</v>
      </c>
      <c r="C123" s="923"/>
      <c r="D123" s="923"/>
      <c r="E123" s="923"/>
      <c r="F123" s="923"/>
      <c r="G123" s="923"/>
      <c r="H123" s="923"/>
    </row>
    <row r="124" spans="1:8" x14ac:dyDescent="0.25">
      <c r="B124" s="1"/>
      <c r="D124" s="136"/>
      <c r="E124" s="732"/>
      <c r="F124" s="419"/>
    </row>
    <row r="125" spans="1:8" x14ac:dyDescent="0.25">
      <c r="B125" s="1"/>
      <c r="C125" s="732" t="s">
        <v>3471</v>
      </c>
      <c r="D125" s="847">
        <v>-0.29399999999999998</v>
      </c>
      <c r="E125" s="420" t="str">
        <f>"("&amp;TEXT(-D125,"0.0%")&amp;" decrease in oil demand per 100% increase in oil price -- UAF estimate)"</f>
        <v>(29.4% decrease in oil demand per 100% increase in oil price -- UAF estimate)</v>
      </c>
      <c r="F125" s="419"/>
    </row>
    <row r="126" spans="1:8" x14ac:dyDescent="0.25">
      <c r="B126" s="1"/>
      <c r="C126" s="732" t="s">
        <v>4361</v>
      </c>
      <c r="D126" s="734">
        <v>0.40670000000000001</v>
      </c>
      <c r="E126" s="136"/>
      <c r="F126" s="1" t="s">
        <v>3511</v>
      </c>
      <c r="G126" s="848">
        <f ca="1">HLOOKUP($B$4,CostData!$G$8:$L$9,2,FALSE)</f>
        <v>2.8910476436685228</v>
      </c>
      <c r="H126" t="s">
        <v>3512</v>
      </c>
    </row>
    <row r="127" spans="1:8" x14ac:dyDescent="0.25">
      <c r="B127" s="1"/>
      <c r="C127" s="732" t="s">
        <v>3513</v>
      </c>
      <c r="D127" s="735">
        <f ca="1">D126/G126</f>
        <v>0.14067564776757818</v>
      </c>
      <c r="E127" s="136"/>
      <c r="F127" s="419"/>
    </row>
    <row r="128" spans="1:8" x14ac:dyDescent="0.25">
      <c r="B128" s="1"/>
      <c r="C128" s="732" t="s">
        <v>3472</v>
      </c>
      <c r="D128" s="735">
        <f ca="1">-D125*D127</f>
        <v>4.1358640443667986E-2</v>
      </c>
      <c r="E128" s="420"/>
      <c r="F128" s="419"/>
    </row>
    <row r="129" spans="1:9" x14ac:dyDescent="0.25">
      <c r="B129" s="1"/>
      <c r="C129" s="732" t="s">
        <v>3473</v>
      </c>
      <c r="D129" s="847">
        <v>0.318</v>
      </c>
      <c r="E129" s="420" t="str">
        <f>"("&amp;TEXT(D129,"0.0%")&amp;" wood use increase per 100% increase in oil price)"</f>
        <v>(31.8% wood use increase per 100% increase in oil price)</v>
      </c>
      <c r="F129" s="419"/>
    </row>
    <row r="130" spans="1:9" x14ac:dyDescent="0.25">
      <c r="B130" s="1"/>
      <c r="C130" s="732" t="s">
        <v>3474</v>
      </c>
      <c r="D130" s="735">
        <f ca="1">D127*D129</f>
        <v>4.4734855990089861E-2</v>
      </c>
      <c r="E130" s="420"/>
      <c r="F130" s="419"/>
    </row>
    <row r="131" spans="1:9" x14ac:dyDescent="0.25">
      <c r="B131" s="1"/>
      <c r="D131" s="136"/>
      <c r="E131" s="420"/>
      <c r="F131" s="419"/>
    </row>
    <row r="132" spans="1:9" x14ac:dyDescent="0.25">
      <c r="B132" s="923" t="s">
        <v>3475</v>
      </c>
      <c r="C132" s="923"/>
      <c r="D132" s="923"/>
      <c r="E132" s="923"/>
      <c r="F132" s="923"/>
      <c r="G132" s="923"/>
      <c r="H132" s="923"/>
    </row>
    <row r="133" spans="1:9" x14ac:dyDescent="0.25">
      <c r="B133" s="917" t="s">
        <v>3476</v>
      </c>
      <c r="C133" s="917"/>
      <c r="D133" s="917"/>
      <c r="E133" s="917"/>
      <c r="F133" s="917"/>
      <c r="G133" s="917"/>
      <c r="H133" s="917"/>
    </row>
    <row r="134" spans="1:9" x14ac:dyDescent="0.25">
      <c r="B134" s="2"/>
      <c r="C134" s="2"/>
      <c r="D134" s="2"/>
      <c r="E134" s="2"/>
      <c r="F134" s="2"/>
      <c r="G134" s="2"/>
      <c r="H134" s="2"/>
    </row>
    <row r="135" spans="1:9" x14ac:dyDescent="0.25">
      <c r="D135" s="917" t="s">
        <v>3477</v>
      </c>
      <c r="E135" s="917"/>
      <c r="F135" s="2" t="s">
        <v>3478</v>
      </c>
    </row>
    <row r="136" spans="1:9" x14ac:dyDescent="0.25">
      <c r="D136" s="2" t="s">
        <v>14</v>
      </c>
      <c r="E136" s="2" t="s">
        <v>18</v>
      </c>
      <c r="F136" s="2" t="s">
        <v>3479</v>
      </c>
    </row>
    <row r="137" spans="1:9" x14ac:dyDescent="0.25">
      <c r="D137" s="44" t="s">
        <v>2793</v>
      </c>
      <c r="E137" s="44" t="s">
        <v>2793</v>
      </c>
      <c r="F137" s="44" t="s">
        <v>2794</v>
      </c>
    </row>
    <row r="138" spans="1:9" x14ac:dyDescent="0.25">
      <c r="B138" s="1"/>
      <c r="D138" s="136">
        <f>'EFs-BTU'!D54</f>
        <v>0.81</v>
      </c>
      <c r="E138" s="136">
        <v>0.6</v>
      </c>
      <c r="F138" s="419">
        <f>E138/D138</f>
        <v>0.7407407407407407</v>
      </c>
    </row>
    <row r="139" spans="1:9" x14ac:dyDescent="0.25">
      <c r="B139" s="1"/>
      <c r="D139" s="136"/>
      <c r="E139" s="420"/>
      <c r="F139" s="419"/>
    </row>
    <row r="140" spans="1:9" x14ac:dyDescent="0.25">
      <c r="B140" s="917" t="str">
        <f>$B$4&amp;" Nonattainment Area Heating Energy by"</f>
        <v>2019 Nonattainment Area Heating Energy by</v>
      </c>
      <c r="C140" s="917"/>
      <c r="D140" s="917"/>
      <c r="E140" s="917"/>
      <c r="F140" s="917"/>
      <c r="G140" s="917"/>
      <c r="H140" s="917"/>
      <c r="I140" s="917"/>
    </row>
    <row r="141" spans="1:9" x14ac:dyDescent="0.25">
      <c r="B141" s="917" t="s">
        <v>4366</v>
      </c>
      <c r="C141" s="917"/>
      <c r="D141" s="917"/>
      <c r="E141" s="917"/>
      <c r="F141" s="917"/>
      <c r="G141" s="917"/>
      <c r="H141" s="917"/>
      <c r="I141" s="917"/>
    </row>
    <row r="142" spans="1:9" x14ac:dyDescent="0.25">
      <c r="B142" s="2" t="s">
        <v>2783</v>
      </c>
      <c r="C142" s="2" t="s">
        <v>3480</v>
      </c>
      <c r="D142" s="2" t="s">
        <v>3481</v>
      </c>
      <c r="E142" s="2" t="s">
        <v>3482</v>
      </c>
      <c r="F142" s="2" t="s">
        <v>3479</v>
      </c>
      <c r="G142" s="2" t="s">
        <v>2979</v>
      </c>
      <c r="H142" s="2" t="s">
        <v>2783</v>
      </c>
    </row>
    <row r="143" spans="1:9" x14ac:dyDescent="0.25">
      <c r="B143" s="2" t="s">
        <v>4363</v>
      </c>
      <c r="C143" s="2" t="s">
        <v>3483</v>
      </c>
      <c r="D143" s="2" t="s">
        <v>3483</v>
      </c>
      <c r="E143" s="2" t="s">
        <v>3484</v>
      </c>
      <c r="F143" s="2" t="s">
        <v>2140</v>
      </c>
      <c r="G143" s="2" t="s">
        <v>2975</v>
      </c>
      <c r="H143" s="2" t="s">
        <v>4363</v>
      </c>
    </row>
    <row r="144" spans="1:9" x14ac:dyDescent="0.25">
      <c r="A144" s="9" t="s">
        <v>2769</v>
      </c>
      <c r="B144" s="44" t="s">
        <v>2466</v>
      </c>
      <c r="C144" s="44" t="s">
        <v>3485</v>
      </c>
      <c r="D144" s="44" t="s">
        <v>3485</v>
      </c>
      <c r="E144" s="44" t="s">
        <v>3486</v>
      </c>
      <c r="F144" s="44" t="s">
        <v>3487</v>
      </c>
      <c r="G144" s="44" t="s">
        <v>3487</v>
      </c>
      <c r="H144" s="9" t="s">
        <v>3488</v>
      </c>
      <c r="I144" s="9" t="s">
        <v>4367</v>
      </c>
    </row>
    <row r="145" spans="1:9" x14ac:dyDescent="0.25">
      <c r="A145" t="s">
        <v>2786</v>
      </c>
      <c r="B145" s="114">
        <f ca="1">E89</f>
        <v>19244.586884386143</v>
      </c>
      <c r="C145" s="114">
        <f ca="1">-B145*$D$121</f>
        <v>-2061.9200233270881</v>
      </c>
      <c r="D145" s="114">
        <f ca="1">B145+C145</f>
        <v>17182.666861059053</v>
      </c>
      <c r="E145" s="736">
        <f ca="1">-D145*$D$128</f>
        <v>-710.65174056987064</v>
      </c>
      <c r="F145" s="737"/>
      <c r="G145" s="736">
        <f ca="1">B145*$B$68</f>
        <v>655.50265498827321</v>
      </c>
      <c r="H145" s="114">
        <f ca="1">SUM(D145:G145)</f>
        <v>17127.517775477456</v>
      </c>
      <c r="I145" s="897">
        <f ca="1">H145/B145-1</f>
        <v>-0.11000855054084557</v>
      </c>
    </row>
    <row r="146" spans="1:9" x14ac:dyDescent="0.25">
      <c r="A146" t="s">
        <v>2787</v>
      </c>
      <c r="B146" s="114">
        <f t="shared" ref="B146:B147" ca="1" si="5">E90</f>
        <v>5913.9235073071977</v>
      </c>
      <c r="C146" s="114">
        <f ca="1">-B146*$D$121</f>
        <v>-633.63466149720011</v>
      </c>
      <c r="D146" s="114">
        <f ca="1">B146+C146</f>
        <v>5280.2888458099978</v>
      </c>
      <c r="E146" s="736">
        <f ca="1">-D146*$D$128</f>
        <v>-218.38556781256634</v>
      </c>
      <c r="F146" s="737"/>
      <c r="G146" s="737"/>
      <c r="H146" s="114">
        <f ca="1">SUM(D146:G146)</f>
        <v>5061.9032779974314</v>
      </c>
      <c r="I146" s="897">
        <f t="shared" ref="I146:I148" ca="1" si="6">H146/B146-1</f>
        <v>-0.14407021468184644</v>
      </c>
    </row>
    <row r="147" spans="1:9" x14ac:dyDescent="0.25">
      <c r="A147" s="9" t="s">
        <v>2788</v>
      </c>
      <c r="B147" s="245">
        <f t="shared" ca="1" si="5"/>
        <v>3728.6903650923346</v>
      </c>
      <c r="C147" s="738"/>
      <c r="D147" s="245">
        <f ca="1">B147+C147</f>
        <v>3728.6903650923346</v>
      </c>
      <c r="E147" s="739">
        <f ca="1">D147*D130</f>
        <v>166.80242651404117</v>
      </c>
      <c r="F147" s="739">
        <f ca="1">E147/F138</f>
        <v>225.1832757939556</v>
      </c>
      <c r="G147" s="648"/>
      <c r="H147" s="245">
        <f ca="1">SUM(D147:G147)</f>
        <v>4120.6760674003317</v>
      </c>
      <c r="I147" s="898">
        <f t="shared" ca="1" si="6"/>
        <v>0.10512691157671128</v>
      </c>
    </row>
    <row r="148" spans="1:9" x14ac:dyDescent="0.25">
      <c r="A148" t="s">
        <v>2515</v>
      </c>
      <c r="B148" s="244">
        <f t="shared" ref="B148:H148" ca="1" si="7">SUM(B145:B147)</f>
        <v>28887.200756785674</v>
      </c>
      <c r="C148" s="244">
        <f t="shared" ca="1" si="7"/>
        <v>-2695.5546848242884</v>
      </c>
      <c r="D148" s="244">
        <f t="shared" ca="1" si="7"/>
        <v>26191.646071961386</v>
      </c>
      <c r="E148" s="244">
        <f t="shared" ca="1" si="7"/>
        <v>-762.23488186839586</v>
      </c>
      <c r="F148" s="244">
        <f t="shared" ca="1" si="7"/>
        <v>225.1832757939556</v>
      </c>
      <c r="G148" s="244">
        <f t="shared" ca="1" si="7"/>
        <v>655.50265498827321</v>
      </c>
      <c r="H148" s="244">
        <f t="shared" ca="1" si="7"/>
        <v>26310.097120875216</v>
      </c>
      <c r="I148" s="899">
        <f t="shared" ca="1" si="6"/>
        <v>-8.9212646722271582E-2</v>
      </c>
    </row>
    <row r="149" spans="1:9" x14ac:dyDescent="0.25">
      <c r="B149" s="1"/>
      <c r="D149" s="136"/>
      <c r="E149" s="420"/>
      <c r="F149" s="419"/>
    </row>
    <row r="150" spans="1:9" x14ac:dyDescent="0.25">
      <c r="B150" s="922" t="s">
        <v>2789</v>
      </c>
      <c r="C150" s="922"/>
      <c r="D150" s="922"/>
      <c r="E150" s="922"/>
      <c r="F150" s="922"/>
      <c r="G150" s="922"/>
      <c r="H150" s="922"/>
    </row>
    <row r="151" spans="1:9" x14ac:dyDescent="0.25">
      <c r="A151" s="9" t="s">
        <v>2769</v>
      </c>
      <c r="B151" s="44" t="s">
        <v>2143</v>
      </c>
      <c r="C151" s="44" t="s">
        <v>2144</v>
      </c>
      <c r="D151" s="44" t="s">
        <v>2145</v>
      </c>
      <c r="E151" s="44" t="s">
        <v>2146</v>
      </c>
      <c r="F151" s="44" t="s">
        <v>2147</v>
      </c>
      <c r="G151" s="44" t="s">
        <v>2148</v>
      </c>
      <c r="H151" s="44" t="s">
        <v>2149</v>
      </c>
    </row>
    <row r="152" spans="1:9" x14ac:dyDescent="0.25">
      <c r="A152" t="s">
        <v>3489</v>
      </c>
      <c r="B152" s="290">
        <f ca="1">B$74</f>
        <v>5.3201428459336026E-3</v>
      </c>
      <c r="C152" s="290">
        <f t="shared" ref="C152:H153" ca="1" si="8">C$74</f>
        <v>8.0121446853508582E-2</v>
      </c>
      <c r="D152" s="290">
        <f t="shared" ca="1" si="8"/>
        <v>1.5893273859521146E-3</v>
      </c>
      <c r="E152" s="290">
        <f t="shared" ca="1" si="8"/>
        <v>4.687977427648768E-4</v>
      </c>
      <c r="F152" s="290">
        <f t="shared" ca="1" si="8"/>
        <v>4.687977427648768E-4</v>
      </c>
      <c r="G152" s="290">
        <f t="shared" ca="1" si="8"/>
        <v>1.8278335230744155E-4</v>
      </c>
      <c r="H152" s="290">
        <f t="shared" ca="1" si="8"/>
        <v>3.3416589882860927E-3</v>
      </c>
    </row>
    <row r="153" spans="1:9" x14ac:dyDescent="0.25">
      <c r="A153" t="s">
        <v>3490</v>
      </c>
      <c r="B153" s="290">
        <f ca="1">B$74</f>
        <v>5.3201428459336026E-3</v>
      </c>
      <c r="C153" s="290">
        <f t="shared" ca="1" si="8"/>
        <v>8.0121446853508582E-2</v>
      </c>
      <c r="D153" s="290">
        <f t="shared" ca="1" si="8"/>
        <v>1.5893273859521146E-3</v>
      </c>
      <c r="E153" s="290">
        <f t="shared" ca="1" si="8"/>
        <v>4.687977427648768E-4</v>
      </c>
      <c r="F153" s="290">
        <f t="shared" ca="1" si="8"/>
        <v>4.687977427648768E-4</v>
      </c>
      <c r="G153" s="290">
        <f t="shared" ca="1" si="8"/>
        <v>1.8278335230744155E-4</v>
      </c>
      <c r="H153" s="290">
        <f t="shared" ca="1" si="8"/>
        <v>3.3416589882860927E-3</v>
      </c>
    </row>
    <row r="154" spans="1:9" x14ac:dyDescent="0.25">
      <c r="A154" s="9" t="s">
        <v>2788</v>
      </c>
      <c r="B154" s="292">
        <f t="shared" ref="B154:H154" ca="1" si="9">B26</f>
        <v>2.5539276619417253</v>
      </c>
      <c r="C154" s="292">
        <f t="shared" ca="1" si="9"/>
        <v>0.11968919875245596</v>
      </c>
      <c r="D154" s="292">
        <f t="shared" ca="1" si="9"/>
        <v>2.4514402691133284E-2</v>
      </c>
      <c r="E154" s="292">
        <f t="shared" ca="1" si="9"/>
        <v>0.69366943612609944</v>
      </c>
      <c r="F154" s="292">
        <f t="shared" ca="1" si="9"/>
        <v>0.69366943612609944</v>
      </c>
      <c r="G154" s="292">
        <f t="shared" ca="1" si="9"/>
        <v>2.6123869323514026E-2</v>
      </c>
      <c r="H154" s="292">
        <f t="shared" ca="1" si="9"/>
        <v>7.3677330063651363</v>
      </c>
    </row>
    <row r="155" spans="1:9" x14ac:dyDescent="0.25">
      <c r="B155" s="1"/>
      <c r="D155" s="136"/>
      <c r="E155" s="420"/>
      <c r="F155" s="419"/>
    </row>
    <row r="156" spans="1:9" x14ac:dyDescent="0.25">
      <c r="B156" s="917" t="s">
        <v>4362</v>
      </c>
      <c r="C156" s="917"/>
      <c r="D156" s="917"/>
      <c r="E156" s="917"/>
      <c r="F156" s="917"/>
      <c r="G156" s="917"/>
      <c r="H156" s="917"/>
    </row>
    <row r="157" spans="1:9" x14ac:dyDescent="0.25">
      <c r="A157" s="9" t="s">
        <v>1889</v>
      </c>
      <c r="B157" s="44" t="s">
        <v>2143</v>
      </c>
      <c r="C157" s="44" t="s">
        <v>2144</v>
      </c>
      <c r="D157" s="612" t="s">
        <v>2145</v>
      </c>
      <c r="E157" s="44" t="s">
        <v>2146</v>
      </c>
      <c r="F157" s="609" t="s">
        <v>2147</v>
      </c>
      <c r="G157" s="44" t="s">
        <v>2148</v>
      </c>
      <c r="H157" s="44" t="s">
        <v>2149</v>
      </c>
    </row>
    <row r="158" spans="1:9" x14ac:dyDescent="0.25">
      <c r="A158" t="s">
        <v>3489</v>
      </c>
      <c r="B158" s="890">
        <f ca="1">B152*$H145*365/2000</f>
        <v>16.629553512029776</v>
      </c>
      <c r="C158" s="890">
        <f t="shared" ref="C158:H158" ca="1" si="10">C152*$H145*365/2000</f>
        <v>250.4413746954304</v>
      </c>
      <c r="D158" s="891">
        <f t="shared" ca="1" si="10"/>
        <v>4.9678750323455034</v>
      </c>
      <c r="E158" s="890">
        <f t="shared" ca="1" si="10"/>
        <v>1.4653548551964173</v>
      </c>
      <c r="F158" s="892">
        <f t="shared" ca="1" si="10"/>
        <v>1.4653548551964173</v>
      </c>
      <c r="G158" s="890">
        <f t="shared" ca="1" si="10"/>
        <v>0.57133908361653907</v>
      </c>
      <c r="H158" s="890">
        <f t="shared" ca="1" si="10"/>
        <v>10.445264079165367</v>
      </c>
    </row>
    <row r="159" spans="1:9" x14ac:dyDescent="0.25">
      <c r="A159" t="s">
        <v>3490</v>
      </c>
      <c r="B159" s="43">
        <f t="shared" ref="B159:B160" ca="1" si="11">B153*$H146*365/2000</f>
        <v>4.9147338533023737</v>
      </c>
      <c r="C159" s="43">
        <f t="shared" ref="C159:H159" ca="1" si="12">C153*$H146*365/2000</f>
        <v>74.01598013998516</v>
      </c>
      <c r="D159" s="613">
        <f t="shared" ca="1" si="12"/>
        <v>1.4682164246190827</v>
      </c>
      <c r="E159" s="43">
        <f t="shared" ca="1" si="12"/>
        <v>0.43307411162452714</v>
      </c>
      <c r="F159" s="893">
        <f t="shared" ca="1" si="12"/>
        <v>0.43307411162452714</v>
      </c>
      <c r="G159" s="43">
        <f t="shared" ca="1" si="12"/>
        <v>0.16885477616303257</v>
      </c>
      <c r="H159" s="43">
        <f t="shared" ca="1" si="12"/>
        <v>3.0870157120827786</v>
      </c>
    </row>
    <row r="160" spans="1:9" x14ac:dyDescent="0.25">
      <c r="A160" s="9" t="s">
        <v>2788</v>
      </c>
      <c r="B160" s="513">
        <f t="shared" ca="1" si="11"/>
        <v>1920.6133184843789</v>
      </c>
      <c r="C160" s="513">
        <f t="shared" ref="C160:H160" ca="1" si="13">C154*$H147*365/2000</f>
        <v>90.009076070665969</v>
      </c>
      <c r="D160" s="806">
        <f t="shared" ca="1" si="13"/>
        <v>18.435404026864017</v>
      </c>
      <c r="E160" s="513">
        <f t="shared" ca="1" si="13"/>
        <v>521.65563555407198</v>
      </c>
      <c r="F160" s="894">
        <f t="shared" ca="1" si="13"/>
        <v>521.65563555407198</v>
      </c>
      <c r="G160" s="513">
        <f t="shared" ca="1" si="13"/>
        <v>19.645760567446871</v>
      </c>
      <c r="H160" s="513">
        <f t="shared" ca="1" si="13"/>
        <v>5540.7074953341871</v>
      </c>
    </row>
    <row r="161" spans="1:12" x14ac:dyDescent="0.25">
      <c r="A161" s="241" t="s">
        <v>2515</v>
      </c>
      <c r="B161" s="824">
        <f ca="1">SUM(B158:B160)</f>
        <v>1942.157605849711</v>
      </c>
      <c r="C161" s="824">
        <f t="shared" ref="C161:H161" ca="1" si="14">SUM(C158:C160)</f>
        <v>414.46643090608154</v>
      </c>
      <c r="D161" s="895">
        <f t="shared" ca="1" si="14"/>
        <v>24.871495483828603</v>
      </c>
      <c r="E161" s="824">
        <f t="shared" ca="1" si="14"/>
        <v>523.55406452089289</v>
      </c>
      <c r="F161" s="896">
        <f t="shared" ca="1" si="14"/>
        <v>523.55406452089289</v>
      </c>
      <c r="G161" s="824">
        <f t="shared" ca="1" si="14"/>
        <v>20.385954427226444</v>
      </c>
      <c r="H161" s="824">
        <f t="shared" ca="1" si="14"/>
        <v>5554.2397751254357</v>
      </c>
    </row>
    <row r="162" spans="1:12" x14ac:dyDescent="0.25">
      <c r="B162" s="1"/>
      <c r="D162" s="136"/>
      <c r="E162" s="420"/>
      <c r="F162" s="419"/>
    </row>
    <row r="163" spans="1:12" ht="15.75" thickBot="1" x14ac:dyDescent="0.3"/>
    <row r="164" spans="1:12" ht="16.5" thickBot="1" x14ac:dyDescent="0.3">
      <c r="A164" s="421" t="s">
        <v>3187</v>
      </c>
      <c r="B164" s="422"/>
      <c r="C164" s="423"/>
    </row>
    <row r="165" spans="1:12" ht="15.75" x14ac:dyDescent="0.25">
      <c r="A165" s="424"/>
    </row>
    <row r="166" spans="1:12" ht="15.75" x14ac:dyDescent="0.25">
      <c r="A166" s="424"/>
      <c r="B166" s="917" t="s">
        <v>4174</v>
      </c>
      <c r="C166" s="917"/>
      <c r="D166" s="917"/>
      <c r="E166" s="917"/>
      <c r="F166" s="917"/>
      <c r="G166" s="917"/>
      <c r="H166" s="917"/>
      <c r="I166" s="2" t="s">
        <v>3188</v>
      </c>
    </row>
    <row r="167" spans="1:12" x14ac:dyDescent="0.25">
      <c r="A167" s="44" t="s">
        <v>3182</v>
      </c>
      <c r="B167" s="44" t="s">
        <v>2143</v>
      </c>
      <c r="C167" s="44" t="s">
        <v>2144</v>
      </c>
      <c r="D167" s="517" t="s">
        <v>2145</v>
      </c>
      <c r="E167" s="44" t="s">
        <v>2146</v>
      </c>
      <c r="F167" s="610" t="s">
        <v>2147</v>
      </c>
      <c r="G167" s="44" t="s">
        <v>2148</v>
      </c>
      <c r="H167" s="44" t="s">
        <v>2149</v>
      </c>
      <c r="I167" s="44" t="s">
        <v>21</v>
      </c>
    </row>
    <row r="168" spans="1:12" x14ac:dyDescent="0.25">
      <c r="A168" s="2">
        <f>$B$4+I168-1</f>
        <v>2019</v>
      </c>
      <c r="B168" s="808">
        <f ca="1">(B$105-B$161)*$I168</f>
        <v>-180.00433130333136</v>
      </c>
      <c r="C168" s="808">
        <f t="shared" ref="C168:H168" ca="1" si="15">(C$105-C$161)*$I168</f>
        <v>101.19158265148849</v>
      </c>
      <c r="D168" s="888">
        <f t="shared" ca="1" si="15"/>
        <v>848.3872932808589</v>
      </c>
      <c r="E168" s="808">
        <f t="shared" ca="1" si="15"/>
        <v>-36.007683368289804</v>
      </c>
      <c r="F168" s="889">
        <f t="shared" ca="1" si="15"/>
        <v>-36.007683368289804</v>
      </c>
      <c r="G168" s="808">
        <f t="shared" ca="1" si="15"/>
        <v>-1.7761733773693784</v>
      </c>
      <c r="H168" s="808">
        <f t="shared" ca="1" si="15"/>
        <v>-525.37437610333018</v>
      </c>
      <c r="I168" s="2">
        <v>1</v>
      </c>
      <c r="L168" s="413" t="s">
        <v>3242</v>
      </c>
    </row>
    <row r="169" spans="1:12" x14ac:dyDescent="0.25">
      <c r="A169" s="2">
        <f t="shared" ref="A169:A174" si="16">$B$4+I169-1</f>
        <v>2020</v>
      </c>
      <c r="B169" s="808">
        <f t="shared" ref="B169:H174" ca="1" si="17">B168</f>
        <v>-180.00433130333136</v>
      </c>
      <c r="C169" s="808">
        <f t="shared" ca="1" si="17"/>
        <v>101.19158265148849</v>
      </c>
      <c r="D169" s="888">
        <f t="shared" ca="1" si="17"/>
        <v>848.3872932808589</v>
      </c>
      <c r="E169" s="808">
        <f t="shared" ca="1" si="17"/>
        <v>-36.007683368289804</v>
      </c>
      <c r="F169" s="889">
        <f t="shared" ca="1" si="17"/>
        <v>-36.007683368289804</v>
      </c>
      <c r="G169" s="808">
        <f t="shared" ca="1" si="17"/>
        <v>-1.7761733773693784</v>
      </c>
      <c r="H169" s="808">
        <f t="shared" ca="1" si="17"/>
        <v>-525.37437610333018</v>
      </c>
      <c r="I169" s="2">
        <v>2</v>
      </c>
    </row>
    <row r="170" spans="1:12" x14ac:dyDescent="0.25">
      <c r="A170" s="2">
        <f t="shared" si="16"/>
        <v>2021</v>
      </c>
      <c r="B170" s="808">
        <f t="shared" ca="1" si="17"/>
        <v>-180.00433130333136</v>
      </c>
      <c r="C170" s="808">
        <f t="shared" ca="1" si="17"/>
        <v>101.19158265148849</v>
      </c>
      <c r="D170" s="888">
        <f t="shared" ca="1" si="17"/>
        <v>848.3872932808589</v>
      </c>
      <c r="E170" s="808">
        <f t="shared" ca="1" si="17"/>
        <v>-36.007683368289804</v>
      </c>
      <c r="F170" s="889">
        <f t="shared" ca="1" si="17"/>
        <v>-36.007683368289804</v>
      </c>
      <c r="G170" s="808">
        <f t="shared" ca="1" si="17"/>
        <v>-1.7761733773693784</v>
      </c>
      <c r="H170" s="808">
        <f t="shared" ca="1" si="17"/>
        <v>-525.37437610333018</v>
      </c>
      <c r="I170" s="2">
        <v>3</v>
      </c>
    </row>
    <row r="171" spans="1:12" x14ac:dyDescent="0.25">
      <c r="A171" s="2">
        <f t="shared" si="16"/>
        <v>2022</v>
      </c>
      <c r="B171" s="808">
        <f t="shared" ca="1" si="17"/>
        <v>-180.00433130333136</v>
      </c>
      <c r="C171" s="808">
        <f t="shared" ca="1" si="17"/>
        <v>101.19158265148849</v>
      </c>
      <c r="D171" s="888">
        <f t="shared" ca="1" si="17"/>
        <v>848.3872932808589</v>
      </c>
      <c r="E171" s="808">
        <f t="shared" ca="1" si="17"/>
        <v>-36.007683368289804</v>
      </c>
      <c r="F171" s="889">
        <f t="shared" ca="1" si="17"/>
        <v>-36.007683368289804</v>
      </c>
      <c r="G171" s="808">
        <f t="shared" ca="1" si="17"/>
        <v>-1.7761733773693784</v>
      </c>
      <c r="H171" s="808">
        <f t="shared" ca="1" si="17"/>
        <v>-525.37437610333018</v>
      </c>
      <c r="I171" s="2">
        <v>4</v>
      </c>
    </row>
    <row r="172" spans="1:12" x14ac:dyDescent="0.25">
      <c r="A172" s="2">
        <f t="shared" si="16"/>
        <v>2023</v>
      </c>
      <c r="B172" s="808">
        <f t="shared" ca="1" si="17"/>
        <v>-180.00433130333136</v>
      </c>
      <c r="C172" s="808">
        <f t="shared" ca="1" si="17"/>
        <v>101.19158265148849</v>
      </c>
      <c r="D172" s="888">
        <f t="shared" ca="1" si="17"/>
        <v>848.3872932808589</v>
      </c>
      <c r="E172" s="808">
        <f t="shared" ca="1" si="17"/>
        <v>-36.007683368289804</v>
      </c>
      <c r="F172" s="889">
        <f t="shared" ca="1" si="17"/>
        <v>-36.007683368289804</v>
      </c>
      <c r="G172" s="808">
        <f t="shared" ca="1" si="17"/>
        <v>-1.7761733773693784</v>
      </c>
      <c r="H172" s="808">
        <f t="shared" ca="1" si="17"/>
        <v>-525.37437610333018</v>
      </c>
      <c r="I172" s="2">
        <v>5</v>
      </c>
    </row>
    <row r="173" spans="1:12" x14ac:dyDescent="0.25">
      <c r="A173" s="2">
        <f t="shared" si="16"/>
        <v>2024</v>
      </c>
      <c r="B173" s="808">
        <f t="shared" ca="1" si="17"/>
        <v>-180.00433130333136</v>
      </c>
      <c r="C173" s="808">
        <f t="shared" ca="1" si="17"/>
        <v>101.19158265148849</v>
      </c>
      <c r="D173" s="888">
        <f t="shared" ca="1" si="17"/>
        <v>848.3872932808589</v>
      </c>
      <c r="E173" s="808">
        <f t="shared" ca="1" si="17"/>
        <v>-36.007683368289804</v>
      </c>
      <c r="F173" s="889">
        <f t="shared" ca="1" si="17"/>
        <v>-36.007683368289804</v>
      </c>
      <c r="G173" s="808">
        <f t="shared" ca="1" si="17"/>
        <v>-1.7761733773693784</v>
      </c>
      <c r="H173" s="808">
        <f t="shared" ca="1" si="17"/>
        <v>-525.37437610333018</v>
      </c>
      <c r="I173" s="2">
        <v>6</v>
      </c>
    </row>
    <row r="174" spans="1:12" x14ac:dyDescent="0.25">
      <c r="A174" s="2">
        <f t="shared" si="16"/>
        <v>2025</v>
      </c>
      <c r="B174" s="808">
        <f t="shared" ca="1" si="17"/>
        <v>-180.00433130333136</v>
      </c>
      <c r="C174" s="808">
        <f t="shared" ca="1" si="17"/>
        <v>101.19158265148849</v>
      </c>
      <c r="D174" s="888">
        <f t="shared" ca="1" si="17"/>
        <v>848.3872932808589</v>
      </c>
      <c r="E174" s="808">
        <f t="shared" ca="1" si="17"/>
        <v>-36.007683368289804</v>
      </c>
      <c r="F174" s="889">
        <f t="shared" ca="1" si="17"/>
        <v>-36.007683368289804</v>
      </c>
      <c r="G174" s="808">
        <f t="shared" ca="1" si="17"/>
        <v>-1.7761733773693784</v>
      </c>
      <c r="H174" s="808">
        <f t="shared" ca="1" si="17"/>
        <v>-525.37437610333018</v>
      </c>
      <c r="I174" s="2">
        <v>7</v>
      </c>
    </row>
    <row r="177" spans="1:23" ht="15.75" x14ac:dyDescent="0.25">
      <c r="A177" s="424" t="s">
        <v>3248</v>
      </c>
    </row>
    <row r="178" spans="1:23" ht="15.75" thickBot="1" x14ac:dyDescent="0.3"/>
    <row r="179" spans="1:23" ht="16.5" thickBot="1" x14ac:dyDescent="0.3">
      <c r="A179" s="919" t="s">
        <v>3514</v>
      </c>
      <c r="B179" s="920"/>
      <c r="C179" s="920"/>
      <c r="D179" s="921"/>
    </row>
    <row r="181" spans="1:23" x14ac:dyDescent="0.25">
      <c r="A181" s="682" t="s">
        <v>3515</v>
      </c>
    </row>
    <row r="182" spans="1:23" x14ac:dyDescent="0.25">
      <c r="A182" s="682" t="s">
        <v>3516</v>
      </c>
    </row>
    <row r="183" spans="1:23" x14ac:dyDescent="0.25">
      <c r="A183" s="682"/>
      <c r="C183" s="1" t="s">
        <v>3517</v>
      </c>
      <c r="D183" s="412">
        <f>[4]UnifiedDataGIS!$HZ$6</f>
        <v>0.89669891861126916</v>
      </c>
    </row>
    <row r="184" spans="1:23" x14ac:dyDescent="0.25">
      <c r="A184" s="682"/>
      <c r="C184" s="1" t="s">
        <v>3518</v>
      </c>
      <c r="D184" s="412">
        <f>[4]UnifiedDataGIS!$IA$6</f>
        <v>0.38844621513944222</v>
      </c>
    </row>
    <row r="185" spans="1:23" x14ac:dyDescent="0.25">
      <c r="A185" s="682" t="s">
        <v>4364</v>
      </c>
    </row>
    <row r="186" spans="1:23" x14ac:dyDescent="0.25">
      <c r="A186" s="682"/>
    </row>
    <row r="187" spans="1:23" x14ac:dyDescent="0.25">
      <c r="A187" s="670"/>
      <c r="E187" s="917" t="s">
        <v>4190</v>
      </c>
      <c r="F187" s="917"/>
      <c r="L187" s="917" t="s">
        <v>3520</v>
      </c>
      <c r="M187" s="917"/>
      <c r="P187" s="917" t="s">
        <v>3362</v>
      </c>
      <c r="Q187" s="917"/>
      <c r="R187" s="917" t="s">
        <v>3521</v>
      </c>
      <c r="S187" s="917"/>
      <c r="T187" s="917"/>
      <c r="U187" s="917"/>
      <c r="V187" s="917" t="s">
        <v>3522</v>
      </c>
      <c r="W187" s="917"/>
    </row>
    <row r="188" spans="1:23" x14ac:dyDescent="0.25">
      <c r="B188" s="917" t="s">
        <v>3523</v>
      </c>
      <c r="C188" s="917"/>
      <c r="D188" s="917"/>
      <c r="E188" s="917" t="s">
        <v>4191</v>
      </c>
      <c r="F188" s="917"/>
      <c r="G188" s="917" t="s">
        <v>4192</v>
      </c>
      <c r="H188" s="917"/>
      <c r="I188" s="917"/>
      <c r="L188" s="917" t="s">
        <v>3353</v>
      </c>
      <c r="M188" s="917"/>
      <c r="N188" s="917" t="s">
        <v>3524</v>
      </c>
      <c r="O188" s="917"/>
      <c r="P188" s="917" t="s">
        <v>4193</v>
      </c>
      <c r="Q188" s="917"/>
      <c r="R188" s="2" t="s">
        <v>3525</v>
      </c>
      <c r="S188" s="2" t="s">
        <v>3526</v>
      </c>
      <c r="T188" s="917" t="s">
        <v>4188</v>
      </c>
      <c r="U188" s="917"/>
      <c r="V188" s="917" t="s">
        <v>4193</v>
      </c>
      <c r="W188" s="917"/>
    </row>
    <row r="189" spans="1:23" x14ac:dyDescent="0.25">
      <c r="A189" s="9" t="s">
        <v>2463</v>
      </c>
      <c r="B189" s="44" t="s">
        <v>3527</v>
      </c>
      <c r="C189" s="918" t="s">
        <v>2072</v>
      </c>
      <c r="D189" s="918"/>
      <c r="E189" s="44" t="s">
        <v>2462</v>
      </c>
      <c r="F189" s="44" t="s">
        <v>3528</v>
      </c>
      <c r="G189" s="44" t="s">
        <v>2462</v>
      </c>
      <c r="H189" s="44" t="s">
        <v>3528</v>
      </c>
      <c r="I189" s="44" t="s">
        <v>2072</v>
      </c>
      <c r="J189" s="918" t="s">
        <v>1889</v>
      </c>
      <c r="K189" s="918"/>
      <c r="L189" s="44" t="s">
        <v>2460</v>
      </c>
      <c r="M189" s="44" t="s">
        <v>2072</v>
      </c>
      <c r="N189" s="743" t="s">
        <v>3252</v>
      </c>
      <c r="O189" s="744" t="s">
        <v>2548</v>
      </c>
      <c r="P189" s="44" t="s">
        <v>2462</v>
      </c>
      <c r="Q189" s="44" t="s">
        <v>3528</v>
      </c>
      <c r="R189" s="44" t="s">
        <v>3529</v>
      </c>
      <c r="S189" s="44" t="s">
        <v>3530</v>
      </c>
      <c r="T189" s="44" t="s">
        <v>3528</v>
      </c>
      <c r="U189" s="44" t="s">
        <v>2462</v>
      </c>
      <c r="V189" s="44" t="s">
        <v>3528</v>
      </c>
      <c r="W189" s="44" t="s">
        <v>2462</v>
      </c>
    </row>
    <row r="190" spans="1:23" x14ac:dyDescent="0.25">
      <c r="A190" t="s">
        <v>3531</v>
      </c>
      <c r="B190" s="114">
        <f ca="1">OFFSET(BuildSizeG3C!$BG$462,0,MATCH($B$4,BuildSizeG3C!$BH$2:$BV$2,0))*D183</f>
        <v>34952.98774428566</v>
      </c>
      <c r="C190" t="s">
        <v>3532</v>
      </c>
      <c r="E190" s="114">
        <f ca="1">B145</f>
        <v>19244.586884386143</v>
      </c>
      <c r="F190" s="11">
        <f ca="1">E190/B190</f>
        <v>0.55058488919970427</v>
      </c>
      <c r="G190" s="695">
        <f ca="1">INDIRECT("'DevSumOut-"&amp;$B$4&amp;"PB'!V76")*10^3*Ep2Ann</f>
        <v>108645.36191392496</v>
      </c>
      <c r="H190" s="43">
        <f ca="1">G190/B190</f>
        <v>3.1083283268591826</v>
      </c>
      <c r="I190" t="s">
        <v>3533</v>
      </c>
      <c r="J190" s="917" t="s">
        <v>3534</v>
      </c>
      <c r="K190" s="917"/>
      <c r="L190" s="290">
        <f ca="1">E190/G190</f>
        <v>0.17713215313906175</v>
      </c>
      <c r="M190" t="s">
        <v>3535</v>
      </c>
      <c r="N190" s="680">
        <f ca="1">HLOOKUP($B$4,CostData!$G$8:$L$9,2,FALSE)</f>
        <v>2.8910476436685228</v>
      </c>
      <c r="O190" s="692" t="str">
        <f>CostData!$F$9</f>
        <v>/gal</v>
      </c>
      <c r="P190" s="666">
        <f ca="1">G190*$N190*365</f>
        <v>114646104.90821983</v>
      </c>
      <c r="Q190" s="666">
        <f ca="1">H190*$N190*365</f>
        <v>3280.008729066742</v>
      </c>
      <c r="R190">
        <v>1.5</v>
      </c>
      <c r="S190" s="723">
        <v>100</v>
      </c>
      <c r="T190" s="745">
        <f>S190/R190</f>
        <v>66.666666666666671</v>
      </c>
      <c r="U190" s="723">
        <f ca="1">T190*B190</f>
        <v>2330199.1829523775</v>
      </c>
      <c r="V190" s="680">
        <f ca="1">Q190+T190</f>
        <v>3346.6753957334085</v>
      </c>
      <c r="W190" s="666">
        <f ca="1">P190+U190</f>
        <v>116976304.0911722</v>
      </c>
    </row>
    <row r="191" spans="1:23" x14ac:dyDescent="0.25">
      <c r="A191" t="s">
        <v>3536</v>
      </c>
      <c r="B191" s="114">
        <f ca="1">ROUND(OFFSET(BuildSizeG3C!$CK$462,0,MATCH($B$4,BuildSizeG3C!$CL$2:$CZ$2,0))*98%,0)</f>
        <v>1869</v>
      </c>
      <c r="C191" t="s">
        <v>3537</v>
      </c>
      <c r="E191" s="114">
        <f t="shared" ref="E191:E192" ca="1" si="18">B146</f>
        <v>5913.9235073071977</v>
      </c>
      <c r="F191" s="11">
        <f ca="1">E191/B191</f>
        <v>3.164218034942321</v>
      </c>
      <c r="G191" s="114">
        <f ca="1">INDIRECT("'DevSumOut-"&amp;$B$4&amp;"PB'!V78")*10^3*Ep2Ann</f>
        <v>33339.380259817335</v>
      </c>
      <c r="H191" s="43">
        <f ca="1">G191/B191</f>
        <v>17.838084676199752</v>
      </c>
      <c r="I191" t="s">
        <v>3533</v>
      </c>
      <c r="J191" s="917" t="s">
        <v>3538</v>
      </c>
      <c r="K191" s="917"/>
      <c r="L191" s="290">
        <f ca="1">E191/G191</f>
        <v>0.17738552610214597</v>
      </c>
      <c r="M191" t="s">
        <v>3535</v>
      </c>
      <c r="N191" s="680">
        <f ca="1">OFFSET(Lookup!$AC$15,MATCH($B$4,Lookup!$U$16:$U$42,0),0)</f>
        <v>2.9400815595766203</v>
      </c>
      <c r="O191" s="692" t="str">
        <f>CostData!$F$9</f>
        <v>/gal</v>
      </c>
      <c r="P191" s="666">
        <f t="shared" ref="P191:Q192" ca="1" si="19">G191*$N191*365</f>
        <v>35777481.445004635</v>
      </c>
      <c r="Q191" s="666">
        <f t="shared" ca="1" si="19"/>
        <v>19142.579692351334</v>
      </c>
      <c r="R191">
        <v>1.5</v>
      </c>
      <c r="S191" s="723">
        <v>100</v>
      </c>
      <c r="T191" s="745">
        <f>S191/R191</f>
        <v>66.666666666666671</v>
      </c>
      <c r="U191" s="723">
        <f ca="1">T191*B191</f>
        <v>124600.00000000001</v>
      </c>
      <c r="V191" s="680">
        <f ca="1">Q191+T191</f>
        <v>19209.246359018001</v>
      </c>
      <c r="W191" s="666">
        <f ca="1">P191+U191</f>
        <v>35902081.445004635</v>
      </c>
    </row>
    <row r="192" spans="1:23" x14ac:dyDescent="0.25">
      <c r="A192" s="9" t="s">
        <v>2788</v>
      </c>
      <c r="B192" s="245">
        <f ca="1">OFFSET(BuildSizeG3C!$BG$462,0,MATCH($B$4,BuildSizeG3C!$BH$2:$BV$2,0))*D184</f>
        <v>15141.48786764517</v>
      </c>
      <c r="C192" s="9" t="s">
        <v>3539</v>
      </c>
      <c r="D192" s="9"/>
      <c r="E192" s="245">
        <f t="shared" ca="1" si="18"/>
        <v>3728.6903650923346</v>
      </c>
      <c r="F192" s="514">
        <f ca="1">E192/B192</f>
        <v>0.24625653685328527</v>
      </c>
      <c r="G192" s="245">
        <f ca="1">INDIRECT("'DevSumOut-"&amp;$B$4&amp;"PB'!V79")*Ep2Ann</f>
        <v>287.30803390730892</v>
      </c>
      <c r="H192" s="514">
        <f ca="1">G192/B192</f>
        <v>1.8974887832604495E-2</v>
      </c>
      <c r="I192" s="9" t="s">
        <v>2531</v>
      </c>
      <c r="J192" s="918" t="s">
        <v>18</v>
      </c>
      <c r="K192" s="918"/>
      <c r="L192" s="513">
        <f ca="1">E192/G192</f>
        <v>12.978023323549948</v>
      </c>
      <c r="M192" s="9" t="s">
        <v>2584</v>
      </c>
      <c r="N192" s="707">
        <f>CostData!$I$17</f>
        <v>97.493713954151573</v>
      </c>
      <c r="O192" s="747" t="s">
        <v>2584</v>
      </c>
      <c r="P192" s="703">
        <f t="shared" ca="1" si="19"/>
        <v>10223915.455188433</v>
      </c>
      <c r="Q192" s="703">
        <f t="shared" ca="1" si="19"/>
        <v>675.22528463237961</v>
      </c>
      <c r="R192" s="648"/>
      <c r="S192" s="748"/>
      <c r="T192" s="749"/>
      <c r="U192" s="748"/>
      <c r="V192" s="746">
        <f ca="1">Q192+T192</f>
        <v>675.22528463237961</v>
      </c>
      <c r="W192" s="703">
        <f ca="1">P192+U192</f>
        <v>10223915.455188433</v>
      </c>
    </row>
    <row r="193" spans="1:23" x14ac:dyDescent="0.25">
      <c r="A193" s="241" t="s">
        <v>2515</v>
      </c>
      <c r="B193" s="244"/>
      <c r="E193" s="244">
        <f ca="1">SUM(E190:E192)</f>
        <v>28887.200756785674</v>
      </c>
      <c r="G193" s="244">
        <f ca="1">G190*365</f>
        <v>39655557.09858261</v>
      </c>
      <c r="H193" s="750" t="s">
        <v>4371</v>
      </c>
      <c r="P193" s="667">
        <f ca="1">SUM(P190:P192)</f>
        <v>160647501.80841288</v>
      </c>
      <c r="Q193" s="681"/>
      <c r="T193" s="681"/>
      <c r="U193" s="667">
        <f ca="1">SUM(U190:U192)</f>
        <v>2454799.1829523775</v>
      </c>
      <c r="V193" s="681"/>
      <c r="W193" s="751">
        <f ca="1">SUM(W190:W192)</f>
        <v>163102300.99136525</v>
      </c>
    </row>
    <row r="194" spans="1:23" x14ac:dyDescent="0.25">
      <c r="G194" s="244">
        <f ca="1">G191*365</f>
        <v>12168873.794833327</v>
      </c>
      <c r="H194" s="750" t="s">
        <v>4370</v>
      </c>
    </row>
    <row r="195" spans="1:23" x14ac:dyDescent="0.25">
      <c r="G195" s="244">
        <f ca="1">G192*365</f>
        <v>104867.43237616775</v>
      </c>
      <c r="H195" s="750" t="s">
        <v>4369</v>
      </c>
    </row>
    <row r="196" spans="1:23" ht="15.75" thickBot="1" x14ac:dyDescent="0.3">
      <c r="G196" s="244"/>
      <c r="H196" s="750"/>
    </row>
    <row r="197" spans="1:23" ht="16.5" thickBot="1" x14ac:dyDescent="0.3">
      <c r="A197" s="919" t="s">
        <v>3540</v>
      </c>
      <c r="B197" s="920"/>
      <c r="C197" s="920"/>
      <c r="D197" s="921"/>
      <c r="H197" s="411" t="s">
        <v>2</v>
      </c>
    </row>
    <row r="199" spans="1:23" x14ac:dyDescent="0.25">
      <c r="A199" s="682" t="s">
        <v>3515</v>
      </c>
    </row>
    <row r="200" spans="1:23" x14ac:dyDescent="0.25">
      <c r="A200" s="682" t="s">
        <v>3541</v>
      </c>
    </row>
    <row r="201" spans="1:23" x14ac:dyDescent="0.25">
      <c r="A201" s="682" t="s">
        <v>3542</v>
      </c>
    </row>
    <row r="202" spans="1:23" x14ac:dyDescent="0.25">
      <c r="A202" s="682" t="s">
        <v>3543</v>
      </c>
    </row>
    <row r="203" spans="1:23" x14ac:dyDescent="0.25">
      <c r="A203" s="682" t="s">
        <v>3544</v>
      </c>
    </row>
    <row r="205" spans="1:23" x14ac:dyDescent="0.25">
      <c r="A205" s="670"/>
      <c r="E205" s="917" t="s">
        <v>4190</v>
      </c>
      <c r="F205" s="917"/>
      <c r="L205" s="927" t="s">
        <v>3545</v>
      </c>
      <c r="M205" s="927"/>
      <c r="P205" s="917" t="s">
        <v>3362</v>
      </c>
      <c r="Q205" s="917"/>
      <c r="R205" s="917" t="s">
        <v>3521</v>
      </c>
      <c r="S205" s="917"/>
      <c r="T205" s="917"/>
      <c r="U205" s="917"/>
      <c r="V205" s="917" t="s">
        <v>3522</v>
      </c>
      <c r="W205" s="917"/>
    </row>
    <row r="206" spans="1:23" x14ac:dyDescent="0.25">
      <c r="B206" s="917" t="s">
        <v>3523</v>
      </c>
      <c r="C206" s="917"/>
      <c r="D206" s="917"/>
      <c r="E206" s="917" t="s">
        <v>4191</v>
      </c>
      <c r="F206" s="917"/>
      <c r="G206" s="917" t="s">
        <v>4192</v>
      </c>
      <c r="H206" s="917"/>
      <c r="I206" s="917"/>
      <c r="L206" s="917" t="s">
        <v>3353</v>
      </c>
      <c r="M206" s="917"/>
      <c r="N206" s="917" t="s">
        <v>3524</v>
      </c>
      <c r="O206" s="917"/>
      <c r="P206" s="917" t="s">
        <v>4193</v>
      </c>
      <c r="Q206" s="917"/>
      <c r="R206" s="2" t="s">
        <v>3525</v>
      </c>
      <c r="S206" s="2" t="s">
        <v>3526</v>
      </c>
      <c r="T206" s="917" t="s">
        <v>4188</v>
      </c>
      <c r="U206" s="917"/>
      <c r="V206" s="917" t="s">
        <v>4193</v>
      </c>
      <c r="W206" s="917"/>
    </row>
    <row r="207" spans="1:23" x14ac:dyDescent="0.25">
      <c r="A207" s="9" t="s">
        <v>2463</v>
      </c>
      <c r="B207" s="44" t="s">
        <v>3527</v>
      </c>
      <c r="C207" s="918" t="s">
        <v>2072</v>
      </c>
      <c r="D207" s="918"/>
      <c r="E207" s="44" t="s">
        <v>2462</v>
      </c>
      <c r="F207" s="44" t="s">
        <v>3528</v>
      </c>
      <c r="G207" s="44" t="s">
        <v>2462</v>
      </c>
      <c r="H207" s="44" t="s">
        <v>3528</v>
      </c>
      <c r="I207" s="44" t="s">
        <v>2072</v>
      </c>
      <c r="J207" s="918" t="s">
        <v>1889</v>
      </c>
      <c r="K207" s="918"/>
      <c r="L207" s="44" t="s">
        <v>2460</v>
      </c>
      <c r="M207" s="44" t="s">
        <v>2072</v>
      </c>
      <c r="N207" s="743" t="s">
        <v>3252</v>
      </c>
      <c r="O207" s="744" t="s">
        <v>2548</v>
      </c>
      <c r="P207" s="44" t="s">
        <v>2462</v>
      </c>
      <c r="Q207" s="44" t="s">
        <v>3528</v>
      </c>
      <c r="R207" s="44" t="s">
        <v>3529</v>
      </c>
      <c r="S207" s="44" t="s">
        <v>3530</v>
      </c>
      <c r="T207" s="44" t="s">
        <v>3528</v>
      </c>
      <c r="U207" s="44" t="s">
        <v>2462</v>
      </c>
      <c r="V207" s="44" t="s">
        <v>3528</v>
      </c>
      <c r="W207" s="44" t="s">
        <v>2462</v>
      </c>
    </row>
    <row r="208" spans="1:23" x14ac:dyDescent="0.25">
      <c r="A208" t="s">
        <v>3531</v>
      </c>
      <c r="B208" s="114">
        <f ca="1">B190</f>
        <v>34952.98774428566</v>
      </c>
      <c r="C208" t="s">
        <v>3532</v>
      </c>
      <c r="E208" s="114">
        <f ca="1">H145</f>
        <v>17127.517775477456</v>
      </c>
      <c r="F208" s="11">
        <f ca="1">E208/B208</f>
        <v>0.49001584358915279</v>
      </c>
      <c r="G208" s="695">
        <f ca="1">E208/L208</f>
        <v>96693.443126788479</v>
      </c>
      <c r="H208" s="43">
        <f ca="1">G208/B208</f>
        <v>2.7663856330163519</v>
      </c>
      <c r="I208" t="s">
        <v>3533</v>
      </c>
      <c r="J208" s="917" t="s">
        <v>3534</v>
      </c>
      <c r="K208" s="917"/>
      <c r="L208" s="290">
        <f ca="1">L190</f>
        <v>0.17713215313906175</v>
      </c>
      <c r="M208" t="s">
        <v>3535</v>
      </c>
      <c r="N208" s="680">
        <f ca="1">N190+D$126</f>
        <v>3.2977476436685227</v>
      </c>
      <c r="O208" s="692" t="str">
        <f>CostData!$F$9</f>
        <v>/gal</v>
      </c>
      <c r="P208" s="666">
        <f ca="1">G208*$N208*365</f>
        <v>116387759.5937905</v>
      </c>
      <c r="Q208" s="666">
        <f ca="1">H208*$N208*365</f>
        <v>3329.837221506717</v>
      </c>
      <c r="R208">
        <v>1.5</v>
      </c>
      <c r="S208" s="723">
        <v>100</v>
      </c>
      <c r="T208" s="745">
        <f t="shared" ref="T208:T209" si="20">S208/R208</f>
        <v>66.666666666666671</v>
      </c>
      <c r="U208" s="723">
        <f ca="1">T208*B208</f>
        <v>2330199.1829523775</v>
      </c>
      <c r="V208" s="680">
        <f ca="1">Q208+T208</f>
        <v>3396.5038881733835</v>
      </c>
      <c r="W208" s="666">
        <f ca="1">P208+U208</f>
        <v>118717958.77674288</v>
      </c>
    </row>
    <row r="209" spans="1:23" x14ac:dyDescent="0.25">
      <c r="A209" t="s">
        <v>3536</v>
      </c>
      <c r="B209" s="114">
        <f ca="1">B191</f>
        <v>1869</v>
      </c>
      <c r="C209" t="s">
        <v>3537</v>
      </c>
      <c r="E209" s="114">
        <f ca="1">H146</f>
        <v>5061.9032779974314</v>
      </c>
      <c r="F209" s="11">
        <f ca="1">E209/B209</f>
        <v>2.7083484633480102</v>
      </c>
      <c r="G209" s="114">
        <f ca="1">E209/L209</f>
        <v>28536.168588425735</v>
      </c>
      <c r="H209" s="43">
        <f ca="1">G209/B209</f>
        <v>15.268147987386696</v>
      </c>
      <c r="I209" t="s">
        <v>3533</v>
      </c>
      <c r="J209" s="917" t="s">
        <v>3538</v>
      </c>
      <c r="K209" s="917"/>
      <c r="L209" s="290">
        <f ca="1">L191</f>
        <v>0.17738552610214597</v>
      </c>
      <c r="M209" t="s">
        <v>3535</v>
      </c>
      <c r="N209" s="680">
        <f ca="1">N208</f>
        <v>3.2977476436685227</v>
      </c>
      <c r="O209" s="692" t="str">
        <f>CostData!$F$9</f>
        <v>/gal</v>
      </c>
      <c r="P209" s="666">
        <f t="shared" ref="P209:Q210" ca="1" si="21">G209*$N209*365</f>
        <v>34348355.193460166</v>
      </c>
      <c r="Q209" s="666">
        <f t="shared" ca="1" si="21"/>
        <v>18377.932152734174</v>
      </c>
      <c r="R209">
        <v>1.5</v>
      </c>
      <c r="S209" s="723">
        <v>100</v>
      </c>
      <c r="T209" s="745">
        <f t="shared" si="20"/>
        <v>66.666666666666671</v>
      </c>
      <c r="U209" s="723">
        <f ca="1">T209*B209</f>
        <v>124600.00000000001</v>
      </c>
      <c r="V209" s="680">
        <f ca="1">Q209+T209</f>
        <v>18444.598819400842</v>
      </c>
      <c r="W209" s="666">
        <f ca="1">P209+U209</f>
        <v>34472955.193460166</v>
      </c>
    </row>
    <row r="210" spans="1:23" x14ac:dyDescent="0.25">
      <c r="A210" s="9" t="s">
        <v>2788</v>
      </c>
      <c r="B210" s="245">
        <f ca="1">B192</f>
        <v>15141.48786764517</v>
      </c>
      <c r="C210" s="9" t="s">
        <v>3539</v>
      </c>
      <c r="D210" s="9"/>
      <c r="E210" s="245">
        <f ca="1">H147</f>
        <v>4120.6760674003317</v>
      </c>
      <c r="F210" s="514">
        <f ca="1">E210/B210</f>
        <v>0.27214472602824774</v>
      </c>
      <c r="G210" s="245">
        <f ca="1">E210/L210</f>
        <v>317.51184018316138</v>
      </c>
      <c r="H210" s="514">
        <f ca="1">G210/B210</f>
        <v>2.0969659187960725E-2</v>
      </c>
      <c r="I210" s="9" t="s">
        <v>2531</v>
      </c>
      <c r="J210" s="918" t="s">
        <v>18</v>
      </c>
      <c r="K210" s="918"/>
      <c r="L210" s="513">
        <f ca="1">L192</f>
        <v>12.978023323549948</v>
      </c>
      <c r="M210" s="9" t="s">
        <v>2584</v>
      </c>
      <c r="N210" s="707">
        <f>CostData!$I$17</f>
        <v>97.493713954151573</v>
      </c>
      <c r="O210" s="747" t="s">
        <v>2584</v>
      </c>
      <c r="P210" s="703">
        <f t="shared" ca="1" si="21"/>
        <v>11298724.1112138</v>
      </c>
      <c r="Q210" s="703">
        <f t="shared" ca="1" si="21"/>
        <v>746.20963342428763</v>
      </c>
      <c r="R210" s="648"/>
      <c r="S210" s="748"/>
      <c r="T210" s="749"/>
      <c r="U210" s="748"/>
      <c r="V210" s="746">
        <f ca="1">Q210+T210</f>
        <v>746.20963342428763</v>
      </c>
      <c r="W210" s="703">
        <f ca="1">P210+U210</f>
        <v>11298724.1112138</v>
      </c>
    </row>
    <row r="211" spans="1:23" x14ac:dyDescent="0.25">
      <c r="A211" s="241" t="s">
        <v>2515</v>
      </c>
      <c r="B211" s="244"/>
      <c r="E211" s="244">
        <f ca="1">SUM(E208:E210)</f>
        <v>26310.097120875216</v>
      </c>
      <c r="G211" s="244">
        <f ca="1">G208*365</f>
        <v>35293106.741277792</v>
      </c>
      <c r="H211" s="750" t="s">
        <v>4371</v>
      </c>
      <c r="P211" s="667">
        <f ca="1">SUM(P208:P210)</f>
        <v>162034838.89846447</v>
      </c>
      <c r="Q211" s="681"/>
      <c r="T211" s="681"/>
      <c r="U211" s="667">
        <f ca="1">SUM(U208:U210)</f>
        <v>2454799.1829523775</v>
      </c>
      <c r="V211" s="681"/>
      <c r="W211" s="751">
        <f ca="1">SUM(W208:W210)</f>
        <v>164489638.08141685</v>
      </c>
    </row>
    <row r="212" spans="1:23" x14ac:dyDescent="0.25">
      <c r="G212" s="244">
        <f ca="1">G209*365</f>
        <v>10415701.534775393</v>
      </c>
      <c r="H212" s="750" t="s">
        <v>4370</v>
      </c>
    </row>
    <row r="213" spans="1:23" x14ac:dyDescent="0.25">
      <c r="G213" s="244">
        <f ca="1">G210*365</f>
        <v>115891.82166685391</v>
      </c>
      <c r="H213" s="750" t="s">
        <v>4369</v>
      </c>
    </row>
    <row r="215" spans="1:23" x14ac:dyDescent="0.25">
      <c r="B215" s="2" t="s">
        <v>2783</v>
      </c>
      <c r="C215" s="2" t="s">
        <v>2783</v>
      </c>
    </row>
    <row r="216" spans="1:23" x14ac:dyDescent="0.25">
      <c r="B216" s="2" t="s">
        <v>19</v>
      </c>
      <c r="C216" s="2" t="s">
        <v>3281</v>
      </c>
    </row>
    <row r="217" spans="1:23" x14ac:dyDescent="0.25">
      <c r="B217" s="520" t="s">
        <v>3252</v>
      </c>
      <c r="C217" s="520" t="s">
        <v>3252</v>
      </c>
    </row>
    <row r="218" spans="1:23" x14ac:dyDescent="0.25">
      <c r="B218" s="2" t="s">
        <v>4348</v>
      </c>
      <c r="C218" s="2" t="s">
        <v>4348</v>
      </c>
    </row>
    <row r="219" spans="1:23" x14ac:dyDescent="0.25">
      <c r="B219" s="169" t="s">
        <v>4331</v>
      </c>
      <c r="C219" s="169" t="s">
        <v>4331</v>
      </c>
    </row>
    <row r="220" spans="1:23" x14ac:dyDescent="0.25">
      <c r="B220" s="666">
        <f>IF(B219="Low",CostData!$W$11,IF(B219="Medium",CostData!$W$12,IF(B219="High",CostData!$W$13,0)))</f>
        <v>8367.9330034933209</v>
      </c>
      <c r="C220" s="666">
        <f>IF(C219="Low",CostData!$W$27,IF(C219="Medium",CostData!$W$28,IF(C219="High",CostData!$W$29,0)))</f>
        <v>70814.5</v>
      </c>
    </row>
    <row r="222" spans="1:23" ht="15.75" x14ac:dyDescent="0.25">
      <c r="A222" s="424" t="s">
        <v>3546</v>
      </c>
    </row>
    <row r="224" spans="1:23" x14ac:dyDescent="0.25">
      <c r="A224" t="s">
        <v>3304</v>
      </c>
      <c r="C224" s="666">
        <f ca="1">W193</f>
        <v>163102300.99136525</v>
      </c>
      <c r="D224" s="411" t="s">
        <v>3358</v>
      </c>
    </row>
    <row r="225" spans="1:4" x14ac:dyDescent="0.25">
      <c r="B225" s="411"/>
      <c r="C225" s="688"/>
      <c r="D225" s="411"/>
    </row>
    <row r="226" spans="1:4" x14ac:dyDescent="0.25">
      <c r="A226" t="s">
        <v>3303</v>
      </c>
      <c r="C226" s="666">
        <f ca="1">W211+B220+C220</f>
        <v>164568820.51442033</v>
      </c>
      <c r="D226" s="411" t="s">
        <v>3358</v>
      </c>
    </row>
    <row r="227" spans="1:4" x14ac:dyDescent="0.25">
      <c r="C227" s="693"/>
      <c r="D227" s="411"/>
    </row>
    <row r="228" spans="1:4" x14ac:dyDescent="0.25">
      <c r="A228" t="s">
        <v>3305</v>
      </c>
      <c r="C228" s="667">
        <f ca="1">C226-C224</f>
        <v>1466519.5230550766</v>
      </c>
      <c r="D228" s="411" t="s">
        <v>3358</v>
      </c>
    </row>
    <row r="230" spans="1:4" x14ac:dyDescent="0.25">
      <c r="A230" t="s">
        <v>3270</v>
      </c>
      <c r="C230" s="752">
        <f ca="1">F$168</f>
        <v>-36.007683368289804</v>
      </c>
      <c r="D230" t="str">
        <f>"tons/year - "&amp;$B$4</f>
        <v>tons/year - 2019</v>
      </c>
    </row>
    <row r="231" spans="1:4" x14ac:dyDescent="0.25">
      <c r="A231" t="s">
        <v>3547</v>
      </c>
      <c r="C231" s="752">
        <f ca="1">D$168</f>
        <v>848.3872932808589</v>
      </c>
      <c r="D231" t="str">
        <f>"tons/year - "&amp;$B$4</f>
        <v>tons/year - 2019</v>
      </c>
    </row>
    <row r="233" spans="1:4" x14ac:dyDescent="0.25">
      <c r="A233" t="s">
        <v>3306</v>
      </c>
      <c r="C233" s="667">
        <f ca="1">C$228/C230</f>
        <v>-40727.960975866838</v>
      </c>
      <c r="D233" s="753" t="s">
        <v>3271</v>
      </c>
    </row>
    <row r="234" spans="1:4" x14ac:dyDescent="0.25">
      <c r="C234" s="667">
        <f ca="1">C$228/C231</f>
        <v>1728.5967560685574</v>
      </c>
      <c r="D234" s="753" t="s">
        <v>3548</v>
      </c>
    </row>
  </sheetData>
  <mergeCells count="65">
    <mergeCell ref="B85:F85"/>
    <mergeCell ref="A1:I1"/>
    <mergeCell ref="A7:H7"/>
    <mergeCell ref="B16:C16"/>
    <mergeCell ref="F16:G16"/>
    <mergeCell ref="F17:G17"/>
    <mergeCell ref="B22:H22"/>
    <mergeCell ref="A28:H28"/>
    <mergeCell ref="A38:G38"/>
    <mergeCell ref="A64:H64"/>
    <mergeCell ref="B72:H72"/>
    <mergeCell ref="A77:C77"/>
    <mergeCell ref="B86:F86"/>
    <mergeCell ref="D89:D90"/>
    <mergeCell ref="B94:H94"/>
    <mergeCell ref="B100:H100"/>
    <mergeCell ref="A108:C108"/>
    <mergeCell ref="B117:H117"/>
    <mergeCell ref="B123:H123"/>
    <mergeCell ref="B132:H132"/>
    <mergeCell ref="B133:H133"/>
    <mergeCell ref="D135:E135"/>
    <mergeCell ref="B140:I140"/>
    <mergeCell ref="B141:I141"/>
    <mergeCell ref="B150:H150"/>
    <mergeCell ref="B156:H156"/>
    <mergeCell ref="B166:H166"/>
    <mergeCell ref="A179:D179"/>
    <mergeCell ref="E187:F187"/>
    <mergeCell ref="P187:Q187"/>
    <mergeCell ref="R187:U187"/>
    <mergeCell ref="V187:W187"/>
    <mergeCell ref="L187:M187"/>
    <mergeCell ref="V205:W205"/>
    <mergeCell ref="V188:W188"/>
    <mergeCell ref="J210:K210"/>
    <mergeCell ref="T206:U206"/>
    <mergeCell ref="V206:W206"/>
    <mergeCell ref="L206:M206"/>
    <mergeCell ref="N206:O206"/>
    <mergeCell ref="P206:Q206"/>
    <mergeCell ref="J190:K190"/>
    <mergeCell ref="J191:K191"/>
    <mergeCell ref="J192:K192"/>
    <mergeCell ref="L205:M205"/>
    <mergeCell ref="P205:Q205"/>
    <mergeCell ref="P188:Q188"/>
    <mergeCell ref="T188:U188"/>
    <mergeCell ref="J189:K189"/>
    <mergeCell ref="N188:O188"/>
    <mergeCell ref="J209:K209"/>
    <mergeCell ref="B206:D206"/>
    <mergeCell ref="E206:F206"/>
    <mergeCell ref="G206:I206"/>
    <mergeCell ref="J208:K208"/>
    <mergeCell ref="L188:M188"/>
    <mergeCell ref="C189:D189"/>
    <mergeCell ref="B188:D188"/>
    <mergeCell ref="E188:F188"/>
    <mergeCell ref="G188:I188"/>
    <mergeCell ref="R205:U205"/>
    <mergeCell ref="A197:D197"/>
    <mergeCell ref="E205:F205"/>
    <mergeCell ref="C207:D207"/>
    <mergeCell ref="J207:K207"/>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showInputMessage="1" showErrorMessage="1">
          <x14:formula1>
            <xm:f>CostData!$AB$10:$AB$13</xm:f>
          </x14:formula1>
          <xm:sqref>B219:C219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CC"/>
  </sheetPr>
  <dimension ref="A1:V99"/>
  <sheetViews>
    <sheetView workbookViewId="0">
      <selection sqref="A1:I1"/>
    </sheetView>
  </sheetViews>
  <sheetFormatPr defaultRowHeight="15" x14ac:dyDescent="0.25"/>
  <cols>
    <col min="1" max="1" width="27.7109375" customWidth="1"/>
    <col min="3" max="3" width="13.28515625" customWidth="1"/>
    <col min="4" max="4" width="11.28515625" customWidth="1"/>
    <col min="5" max="5" width="10" customWidth="1"/>
    <col min="12" max="14" width="10.7109375" customWidth="1"/>
    <col min="15" max="18" width="10.85546875" customWidth="1"/>
    <col min="19" max="19" width="11.7109375" customWidth="1"/>
    <col min="22" max="22" width="12.140625" customWidth="1"/>
  </cols>
  <sheetData>
    <row r="1" spans="1:9" ht="18.75" x14ac:dyDescent="0.3">
      <c r="A1" s="912" t="s">
        <v>3406</v>
      </c>
      <c r="B1" s="912"/>
      <c r="C1" s="912"/>
      <c r="D1" s="912"/>
      <c r="E1" s="912"/>
      <c r="F1" s="912"/>
      <c r="G1" s="912"/>
      <c r="H1" s="912"/>
      <c r="I1" s="912"/>
    </row>
    <row r="3" spans="1:9" x14ac:dyDescent="0.25">
      <c r="A3" s="405" t="s">
        <v>2748</v>
      </c>
      <c r="B3" s="241" t="s">
        <v>3407</v>
      </c>
    </row>
    <row r="4" spans="1:9" x14ac:dyDescent="0.25">
      <c r="A4" s="405" t="s">
        <v>3183</v>
      </c>
      <c r="B4" s="519">
        <v>2019</v>
      </c>
    </row>
    <row r="6" spans="1:9" x14ac:dyDescent="0.25">
      <c r="A6" s="508" t="s">
        <v>3002</v>
      </c>
    </row>
    <row r="7" spans="1:9" x14ac:dyDescent="0.25">
      <c r="A7" s="407" t="str">
        <f>"- Assume the Pot Burners reflect the 'Waste Oil' category in the SIP inventory"</f>
        <v>- Assume the Pot Burners reflect the 'Waste Oil' category in the SIP inventory</v>
      </c>
    </row>
    <row r="8" spans="1:9" x14ac:dyDescent="0.25">
      <c r="A8" s="407" t="s">
        <v>3414</v>
      </c>
    </row>
    <row r="9" spans="1:9" x14ac:dyDescent="0.25">
      <c r="A9" s="407" t="str">
        <f>"- Assume Pot Burner heating efficiency is "&amp;TEXT(CostData!O71,"00%")</f>
        <v>- Assume Pot Burner heating efficiency is 81%</v>
      </c>
    </row>
    <row r="10" spans="1:9" x14ac:dyDescent="0.25">
      <c r="A10" s="407"/>
    </row>
    <row r="11" spans="1:9" x14ac:dyDescent="0.25">
      <c r="A11" t="s">
        <v>3417</v>
      </c>
      <c r="D11">
        <f>CostData!$O$67</f>
        <v>20</v>
      </c>
      <c r="E11" t="str">
        <f>CostData!$P$67</f>
        <v>From "WasteOilUse" tab in Space Heating EI spreadsheet, based on local survey</v>
      </c>
    </row>
    <row r="12" spans="1:9" ht="15.75" thickBot="1" x14ac:dyDescent="0.3"/>
    <row r="13" spans="1:9" ht="16.5" thickBot="1" x14ac:dyDescent="0.3">
      <c r="A13" s="919" t="s">
        <v>2776</v>
      </c>
      <c r="B13" s="920"/>
      <c r="C13" s="921"/>
    </row>
    <row r="15" spans="1:9" x14ac:dyDescent="0.25">
      <c r="A15" s="413" t="str">
        <f>$B$4&amp;" Projected Device Counts in Fairbanks Nonattainment Area:"</f>
        <v>2019 Projected Device Counts in Fairbanks Nonattainment Area:</v>
      </c>
    </row>
    <row r="16" spans="1:9" x14ac:dyDescent="0.25">
      <c r="E16" s="2"/>
      <c r="F16" s="1"/>
    </row>
    <row r="17" spans="1:7" x14ac:dyDescent="0.25">
      <c r="C17" s="917" t="s">
        <v>3363</v>
      </c>
      <c r="D17" s="917"/>
      <c r="E17" s="700"/>
      <c r="F17" s="700"/>
    </row>
    <row r="18" spans="1:7" x14ac:dyDescent="0.25">
      <c r="C18" s="917" t="s">
        <v>4170</v>
      </c>
      <c r="D18" s="917"/>
      <c r="E18" s="700"/>
      <c r="F18" s="700"/>
    </row>
    <row r="19" spans="1:7" x14ac:dyDescent="0.25">
      <c r="A19" s="9" t="s">
        <v>2463</v>
      </c>
      <c r="B19" s="44" t="s">
        <v>2793</v>
      </c>
      <c r="C19" s="44" t="s">
        <v>3361</v>
      </c>
      <c r="D19" s="44" t="s">
        <v>2497</v>
      </c>
      <c r="E19" s="709"/>
      <c r="F19" s="709"/>
    </row>
    <row r="20" spans="1:7" x14ac:dyDescent="0.25">
      <c r="A20" t="s">
        <v>3418</v>
      </c>
      <c r="B20" s="114">
        <f>D11</f>
        <v>20</v>
      </c>
      <c r="C20" s="692">
        <f ca="1">D20/B20</f>
        <v>6.4503074666870148</v>
      </c>
      <c r="D20" s="107">
        <f ca="1">INDIRECT("'DevSumOut-"&amp;$B$4&amp;"PB'!U69")</f>
        <v>129.0061493337403</v>
      </c>
      <c r="E20" s="42"/>
      <c r="F20" s="43"/>
    </row>
    <row r="22" spans="1:7" x14ac:dyDescent="0.25">
      <c r="A22" s="717" t="str">
        <f>$B$4&amp;" Space Heating Emission Factors:"</f>
        <v>2019 Space Heating Emission Factors:</v>
      </c>
      <c r="B22" s="247"/>
      <c r="C22" s="247"/>
      <c r="D22" s="247"/>
      <c r="E22" s="247"/>
      <c r="F22" s="247"/>
      <c r="G22" s="247"/>
    </row>
    <row r="24" spans="1:7" x14ac:dyDescent="0.25">
      <c r="C24" s="44" t="s">
        <v>2145</v>
      </c>
      <c r="D24" s="44" t="s">
        <v>2147</v>
      </c>
    </row>
    <row r="25" spans="1:7" x14ac:dyDescent="0.25">
      <c r="A25" t="s">
        <v>4218</v>
      </c>
      <c r="C25" s="11">
        <f ca="1">INDIRECT("'DevSumOut-"&amp;$B$4&amp;"PB'!AA69")</f>
        <v>0.2668969796498083</v>
      </c>
      <c r="D25" s="11">
        <f ca="1">INDIRECT("'DevSumOut-"&amp;$B$4&amp;"PB'!AC69")</f>
        <v>3.7575325985579229E-2</v>
      </c>
      <c r="E25" s="411" t="s">
        <v>3419</v>
      </c>
    </row>
    <row r="27" spans="1:7" x14ac:dyDescent="0.25">
      <c r="A27" s="413" t="str">
        <f>$B$4&amp;" Baseline Emissions in Affected Devices:"</f>
        <v>2019 Baseline Emissions in Affected Devices:</v>
      </c>
    </row>
    <row r="29" spans="1:7" x14ac:dyDescent="0.25">
      <c r="C29" s="44" t="s">
        <v>2145</v>
      </c>
      <c r="D29" s="500" t="s">
        <v>2147</v>
      </c>
    </row>
    <row r="30" spans="1:7" x14ac:dyDescent="0.25">
      <c r="A30" t="s">
        <v>3418</v>
      </c>
      <c r="C30" s="290">
        <f ca="1">$D20*C25/2000</f>
        <v>1.7215675806713709E-2</v>
      </c>
      <c r="D30" s="290">
        <f ca="1">$D20*D25/2000</f>
        <v>2.4237240576798031E-3</v>
      </c>
      <c r="E30" t="s">
        <v>4172</v>
      </c>
    </row>
    <row r="31" spans="1:7" ht="15.75" thickBot="1" x14ac:dyDescent="0.3"/>
    <row r="32" spans="1:7" ht="16.5" thickBot="1" x14ac:dyDescent="0.3">
      <c r="A32" s="919" t="s">
        <v>2792</v>
      </c>
      <c r="B32" s="920"/>
      <c r="C32" s="921"/>
    </row>
    <row r="34" spans="1:6" x14ac:dyDescent="0.25">
      <c r="C34" s="1" t="s">
        <v>3255</v>
      </c>
      <c r="D34" s="917" t="s">
        <v>3391</v>
      </c>
      <c r="E34" s="917"/>
      <c r="F34" t="s">
        <v>4211</v>
      </c>
    </row>
    <row r="35" spans="1:6" x14ac:dyDescent="0.25">
      <c r="A35" s="1" t="s">
        <v>3026</v>
      </c>
      <c r="B35" t="s">
        <v>2140</v>
      </c>
      <c r="C35" s="1" t="s">
        <v>3390</v>
      </c>
      <c r="D35" s="917" t="s">
        <v>4178</v>
      </c>
      <c r="E35" s="917"/>
      <c r="F35" t="s">
        <v>3205</v>
      </c>
    </row>
    <row r="36" spans="1:6" x14ac:dyDescent="0.25">
      <c r="A36" s="701" t="s">
        <v>3403</v>
      </c>
      <c r="B36" s="701" t="s">
        <v>3402</v>
      </c>
      <c r="C36" s="665" t="s">
        <v>2793</v>
      </c>
      <c r="D36" s="665" t="s">
        <v>3418</v>
      </c>
      <c r="E36" s="40" t="s">
        <v>3393</v>
      </c>
      <c r="F36" s="665" t="s">
        <v>4181</v>
      </c>
    </row>
    <row r="37" spans="1:6" x14ac:dyDescent="0.25">
      <c r="A37" s="1" t="s">
        <v>3420</v>
      </c>
      <c r="B37" s="710">
        <f>CostData!O20/CostData!O71</f>
        <v>1</v>
      </c>
      <c r="C37">
        <f>D11</f>
        <v>20</v>
      </c>
      <c r="D37" s="43">
        <f ca="1">D20</f>
        <v>129.0061493337403</v>
      </c>
      <c r="E37" s="43">
        <f ca="1">D37/B37</f>
        <v>129.0061493337403</v>
      </c>
      <c r="F37" s="700">
        <f ca="1">E37/C37</f>
        <v>6.4503074666870148</v>
      </c>
    </row>
    <row r="39" spans="1:6" x14ac:dyDescent="0.25">
      <c r="A39" s="717" t="str">
        <f>$B$4&amp;" Space Heating Emission Factor:"</f>
        <v>2019 Space Heating Emission Factor:</v>
      </c>
    </row>
    <row r="41" spans="1:6" x14ac:dyDescent="0.25">
      <c r="C41" s="44" t="s">
        <v>2145</v>
      </c>
      <c r="D41" s="44" t="s">
        <v>2147</v>
      </c>
    </row>
    <row r="42" spans="1:6" x14ac:dyDescent="0.25">
      <c r="A42" t="s">
        <v>3388</v>
      </c>
      <c r="C42" s="290">
        <f ca="1">INDIRECT("'DevSumOut-"&amp;$B$4&amp;"PB'!AA60")</f>
        <v>0.21535233209383506</v>
      </c>
      <c r="D42" s="290">
        <f ca="1">INDIRECT("'DevSumOut-"&amp;$B$4&amp;"PB'!ac60")</f>
        <v>3.4020926230572597E-3</v>
      </c>
      <c r="E42" s="411" t="s">
        <v>3419</v>
      </c>
    </row>
    <row r="44" spans="1:6" x14ac:dyDescent="0.25">
      <c r="A44" s="413" t="str">
        <f>$B$4&amp;" Emissions in Affected Devices:"</f>
        <v>2019 Emissions in Affected Devices:</v>
      </c>
    </row>
    <row r="46" spans="1:6" x14ac:dyDescent="0.25">
      <c r="C46" s="44" t="s">
        <v>2145</v>
      </c>
      <c r="D46" s="500" t="s">
        <v>2147</v>
      </c>
    </row>
    <row r="47" spans="1:6" x14ac:dyDescent="0.25">
      <c r="A47" t="s">
        <v>3388</v>
      </c>
      <c r="C47" s="290">
        <f ca="1">$E37*C42/2000</f>
        <v>1.389088755673326E-2</v>
      </c>
      <c r="D47" s="290">
        <f ca="1">$E37*D42/2000</f>
        <v>2.1944543448867054E-4</v>
      </c>
      <c r="E47" t="s">
        <v>4172</v>
      </c>
    </row>
    <row r="49" spans="1:13" ht="15.75" x14ac:dyDescent="0.25">
      <c r="A49" s="424" t="s">
        <v>3181</v>
      </c>
    </row>
    <row r="50" spans="1:13" ht="15.75" x14ac:dyDescent="0.25">
      <c r="A50" s="424"/>
    </row>
    <row r="51" spans="1:13" ht="15.75" x14ac:dyDescent="0.25">
      <c r="A51" s="424"/>
      <c r="B51" s="917" t="s">
        <v>4174</v>
      </c>
      <c r="C51" s="917"/>
      <c r="D51" s="917"/>
      <c r="E51" s="917"/>
      <c r="F51" s="917"/>
      <c r="G51" s="917"/>
      <c r="H51" s="917"/>
      <c r="I51" s="2" t="s">
        <v>3188</v>
      </c>
    </row>
    <row r="52" spans="1:13" x14ac:dyDescent="0.25">
      <c r="A52" s="44" t="s">
        <v>3182</v>
      </c>
      <c r="B52" s="44"/>
      <c r="C52" s="44"/>
      <c r="D52" s="44" t="s">
        <v>2145</v>
      </c>
      <c r="E52" s="44"/>
      <c r="F52" s="500" t="s">
        <v>2147</v>
      </c>
      <c r="G52" s="44"/>
      <c r="H52" s="44"/>
      <c r="I52" s="44" t="s">
        <v>21</v>
      </c>
    </row>
    <row r="53" spans="1:13" x14ac:dyDescent="0.25">
      <c r="A53" s="2">
        <f t="shared" ref="A53:A59" si="0">$B$4+I53-1</f>
        <v>2019</v>
      </c>
      <c r="B53" s="608"/>
      <c r="C53" s="608"/>
      <c r="D53" s="608">
        <f ca="1">(C30-C47)*Ep2Ann*365</f>
        <v>0.5856435683273149</v>
      </c>
      <c r="E53" s="608"/>
      <c r="F53" s="689">
        <f ca="1">(D30-D47)*Ep2Ann*365</f>
        <v>0.38827182407206418</v>
      </c>
      <c r="G53" s="608"/>
      <c r="H53" s="608"/>
      <c r="I53" s="2">
        <v>1</v>
      </c>
      <c r="M53" s="413" t="s">
        <v>3242</v>
      </c>
    </row>
    <row r="54" spans="1:13" x14ac:dyDescent="0.25">
      <c r="A54" s="2">
        <f t="shared" si="0"/>
        <v>2020</v>
      </c>
      <c r="B54" s="608"/>
      <c r="C54" s="608"/>
      <c r="D54" s="608">
        <f t="shared" ref="D54:F59" ca="1" si="1">D53</f>
        <v>0.5856435683273149</v>
      </c>
      <c r="E54" s="608"/>
      <c r="F54" s="608">
        <f t="shared" ca="1" si="1"/>
        <v>0.38827182407206418</v>
      </c>
      <c r="G54" s="608"/>
      <c r="H54" s="608"/>
      <c r="I54" s="2">
        <v>2</v>
      </c>
      <c r="M54" s="413"/>
    </row>
    <row r="55" spans="1:13" x14ac:dyDescent="0.25">
      <c r="A55" s="2">
        <f t="shared" si="0"/>
        <v>2021</v>
      </c>
      <c r="B55" s="608"/>
      <c r="C55" s="608"/>
      <c r="D55" s="608">
        <f t="shared" ca="1" si="1"/>
        <v>0.5856435683273149</v>
      </c>
      <c r="E55" s="608"/>
      <c r="F55" s="608">
        <f t="shared" ca="1" si="1"/>
        <v>0.38827182407206418</v>
      </c>
      <c r="G55" s="608"/>
      <c r="H55" s="608"/>
      <c r="I55" s="2">
        <v>3</v>
      </c>
      <c r="M55" s="413"/>
    </row>
    <row r="56" spans="1:13" x14ac:dyDescent="0.25">
      <c r="A56" s="2">
        <f t="shared" si="0"/>
        <v>2022</v>
      </c>
      <c r="B56" s="608"/>
      <c r="C56" s="608"/>
      <c r="D56" s="608">
        <f t="shared" ca="1" si="1"/>
        <v>0.5856435683273149</v>
      </c>
      <c r="E56" s="608"/>
      <c r="F56" s="608">
        <f t="shared" ca="1" si="1"/>
        <v>0.38827182407206418</v>
      </c>
      <c r="G56" s="608"/>
      <c r="H56" s="608"/>
      <c r="I56" s="2">
        <v>4</v>
      </c>
      <c r="M56" s="413"/>
    </row>
    <row r="57" spans="1:13" x14ac:dyDescent="0.25">
      <c r="A57" s="2">
        <f t="shared" si="0"/>
        <v>2023</v>
      </c>
      <c r="B57" s="608"/>
      <c r="C57" s="608"/>
      <c r="D57" s="608">
        <f t="shared" ca="1" si="1"/>
        <v>0.5856435683273149</v>
      </c>
      <c r="E57" s="608"/>
      <c r="F57" s="608">
        <f t="shared" ca="1" si="1"/>
        <v>0.38827182407206418</v>
      </c>
      <c r="G57" s="608"/>
      <c r="H57" s="608"/>
      <c r="I57" s="2">
        <v>5</v>
      </c>
    </row>
    <row r="58" spans="1:13" x14ac:dyDescent="0.25">
      <c r="A58" s="2">
        <f t="shared" si="0"/>
        <v>2024</v>
      </c>
      <c r="B58" s="608"/>
      <c r="C58" s="608"/>
      <c r="D58" s="608">
        <f t="shared" ca="1" si="1"/>
        <v>0.5856435683273149</v>
      </c>
      <c r="E58" s="608"/>
      <c r="F58" s="608">
        <f t="shared" ca="1" si="1"/>
        <v>0.38827182407206418</v>
      </c>
      <c r="G58" s="608"/>
      <c r="H58" s="608"/>
      <c r="I58" s="2">
        <v>6</v>
      </c>
    </row>
    <row r="59" spans="1:13" x14ac:dyDescent="0.25">
      <c r="A59" s="2">
        <f t="shared" si="0"/>
        <v>2025</v>
      </c>
      <c r="B59" s="608"/>
      <c r="C59" s="608"/>
      <c r="D59" s="608">
        <f t="shared" ca="1" si="1"/>
        <v>0.5856435683273149</v>
      </c>
      <c r="E59" s="608"/>
      <c r="F59" s="608">
        <f t="shared" ca="1" si="1"/>
        <v>0.38827182407206418</v>
      </c>
      <c r="G59" s="608"/>
      <c r="H59" s="608"/>
      <c r="I59" s="2">
        <v>7</v>
      </c>
    </row>
    <row r="62" spans="1:13" ht="15.75" x14ac:dyDescent="0.25">
      <c r="A62" s="424" t="s">
        <v>3248</v>
      </c>
    </row>
    <row r="63" spans="1:13" ht="15.75" thickBot="1" x14ac:dyDescent="0.3"/>
    <row r="64" spans="1:13" ht="16.5" thickBot="1" x14ac:dyDescent="0.3">
      <c r="A64" s="919" t="s">
        <v>2776</v>
      </c>
      <c r="B64" s="920"/>
      <c r="C64" s="921"/>
    </row>
    <row r="66" spans="1:22" x14ac:dyDescent="0.25">
      <c r="A66" s="682" t="s">
        <v>3421</v>
      </c>
    </row>
    <row r="68" spans="1:22" x14ac:dyDescent="0.25">
      <c r="A68" s="670"/>
      <c r="C68" s="917" t="s">
        <v>3284</v>
      </c>
      <c r="D68" s="917"/>
      <c r="F68" s="1"/>
      <c r="L68" s="917" t="s">
        <v>3362</v>
      </c>
      <c r="M68" s="917"/>
      <c r="N68" s="928" t="s">
        <v>4214</v>
      </c>
      <c r="O68" s="928"/>
      <c r="P68" s="917" t="s">
        <v>4215</v>
      </c>
      <c r="Q68" s="917"/>
    </row>
    <row r="69" spans="1:22" x14ac:dyDescent="0.25">
      <c r="C69" s="917" t="s">
        <v>3205</v>
      </c>
      <c r="D69" s="917"/>
      <c r="E69" s="2" t="s">
        <v>2070</v>
      </c>
      <c r="F69" s="917" t="s">
        <v>3353</v>
      </c>
      <c r="G69" s="917"/>
      <c r="H69" s="917" t="s">
        <v>3286</v>
      </c>
      <c r="I69" s="917"/>
      <c r="J69" s="917" t="s">
        <v>3289</v>
      </c>
      <c r="K69" s="917"/>
      <c r="L69" s="917" t="s">
        <v>4193</v>
      </c>
      <c r="M69" s="917"/>
      <c r="N69" s="917" t="s">
        <v>4194</v>
      </c>
      <c r="O69" s="917"/>
      <c r="P69" s="917" t="s">
        <v>4194</v>
      </c>
      <c r="Q69" s="917"/>
    </row>
    <row r="70" spans="1:22" x14ac:dyDescent="0.25">
      <c r="A70" s="9" t="s">
        <v>2463</v>
      </c>
      <c r="B70" s="44" t="s">
        <v>2793</v>
      </c>
      <c r="C70" s="44" t="s">
        <v>4201</v>
      </c>
      <c r="D70" s="44" t="s">
        <v>4212</v>
      </c>
      <c r="E70" s="44" t="s">
        <v>72</v>
      </c>
      <c r="F70" s="743" t="s">
        <v>2460</v>
      </c>
      <c r="G70" s="706" t="s">
        <v>2548</v>
      </c>
      <c r="H70" s="9" t="s">
        <v>4213</v>
      </c>
      <c r="I70" s="9"/>
      <c r="J70" s="701" t="s">
        <v>3252</v>
      </c>
      <c r="K70" s="9" t="s">
        <v>2072</v>
      </c>
      <c r="L70" s="701" t="s">
        <v>2497</v>
      </c>
      <c r="M70" s="701" t="s">
        <v>3361</v>
      </c>
      <c r="N70" s="701" t="s">
        <v>3361</v>
      </c>
      <c r="O70" s="701" t="s">
        <v>2462</v>
      </c>
      <c r="P70" s="701" t="s">
        <v>2497</v>
      </c>
      <c r="Q70" s="701" t="s">
        <v>3361</v>
      </c>
    </row>
    <row r="71" spans="1:22" x14ac:dyDescent="0.25">
      <c r="A71" t="s">
        <v>3418</v>
      </c>
      <c r="B71">
        <f>CostData!$O$67</f>
        <v>20</v>
      </c>
      <c r="C71" s="291">
        <f ca="1">E37</f>
        <v>129.0061493337403</v>
      </c>
      <c r="D71" s="114">
        <f ca="1">C71*Ep2Ann*365</f>
        <v>22723.739363678989</v>
      </c>
      <c r="E71" s="2" t="s">
        <v>3422</v>
      </c>
      <c r="F71" s="692">
        <f ca="1">D71/H71</f>
        <v>0.1385000000000001</v>
      </c>
      <c r="G71" s="692" t="str">
        <f>CostData!$F$9</f>
        <v>/gal</v>
      </c>
      <c r="H71" s="114">
        <f ca="1">INDIRECT("'DevSumOut-"&amp;$B$4&amp;"PB'!V69")*Ep2Ann*365*10^3</f>
        <v>164070.32031537165</v>
      </c>
      <c r="I71" t="s">
        <v>2128</v>
      </c>
      <c r="J71" s="674">
        <v>0</v>
      </c>
      <c r="K71" s="692" t="str">
        <f>CostData!$F$9</f>
        <v>/gal</v>
      </c>
      <c r="L71" s="676">
        <f ca="1">H71*J71</f>
        <v>0</v>
      </c>
      <c r="M71" s="683">
        <f ca="1">L71/B71</f>
        <v>0</v>
      </c>
      <c r="N71" s="664">
        <f>CostData!$E$52</f>
        <v>300</v>
      </c>
      <c r="O71" s="664">
        <f>B71*N71</f>
        <v>6000</v>
      </c>
      <c r="P71" s="676">
        <f ca="1">L71+O71</f>
        <v>6000</v>
      </c>
      <c r="Q71" s="674">
        <f ca="1">P71/B71</f>
        <v>300</v>
      </c>
    </row>
    <row r="72" spans="1:22" ht="15.75" thickBot="1" x14ac:dyDescent="0.3"/>
    <row r="73" spans="1:22" ht="16.5" thickBot="1" x14ac:dyDescent="0.3">
      <c r="A73" s="919" t="s">
        <v>2792</v>
      </c>
      <c r="B73" s="920"/>
      <c r="C73" s="921"/>
    </row>
    <row r="75" spans="1:22" x14ac:dyDescent="0.25">
      <c r="A75" s="407" t="str">
        <f>"  - Assume capital recovery rate = "&amp;TEXT(CRR,"0.00%")</f>
        <v xml:space="preserve">  - Assume capital recovery rate = 5.50%</v>
      </c>
      <c r="H75" s="1" t="s">
        <v>2783</v>
      </c>
      <c r="I75" s="667"/>
      <c r="J75" s="917" t="s">
        <v>4202</v>
      </c>
      <c r="K75" s="917"/>
      <c r="N75" s="1"/>
      <c r="S75" s="672" t="s">
        <v>2783</v>
      </c>
      <c r="T75" s="1" t="s">
        <v>2783</v>
      </c>
    </row>
    <row r="76" spans="1:22" x14ac:dyDescent="0.25">
      <c r="E76" s="1" t="s">
        <v>3250</v>
      </c>
      <c r="F76" s="917" t="s">
        <v>3307</v>
      </c>
      <c r="G76" s="917"/>
      <c r="H76" s="1" t="s">
        <v>3298</v>
      </c>
      <c r="I76" s="1" t="s">
        <v>2783</v>
      </c>
      <c r="J76" s="917" t="s">
        <v>4216</v>
      </c>
      <c r="K76" s="917"/>
      <c r="M76" s="917" t="s">
        <v>3353</v>
      </c>
      <c r="N76" s="917"/>
      <c r="Q76" s="917" t="s">
        <v>3289</v>
      </c>
      <c r="R76" s="917"/>
      <c r="S76" s="672" t="s">
        <v>3361</v>
      </c>
      <c r="T76" s="668" t="s">
        <v>2236</v>
      </c>
      <c r="U76" s="672" t="s">
        <v>3255</v>
      </c>
      <c r="V76" s="2" t="s">
        <v>4217</v>
      </c>
    </row>
    <row r="77" spans="1:22" x14ac:dyDescent="0.25">
      <c r="A77" s="40" t="s">
        <v>2463</v>
      </c>
      <c r="D77" s="665" t="s">
        <v>3251</v>
      </c>
      <c r="E77" s="665" t="s">
        <v>2794</v>
      </c>
      <c r="F77" s="665" t="s">
        <v>3308</v>
      </c>
      <c r="G77" s="665" t="s">
        <v>3281</v>
      </c>
      <c r="H77" s="665" t="s">
        <v>3252</v>
      </c>
      <c r="I77" s="665" t="s">
        <v>3253</v>
      </c>
      <c r="J77" s="665" t="s">
        <v>4181</v>
      </c>
      <c r="K77" s="665" t="s">
        <v>2783</v>
      </c>
      <c r="L77" s="40" t="s">
        <v>1889</v>
      </c>
      <c r="M77" s="684" t="s">
        <v>2460</v>
      </c>
      <c r="N77" s="665" t="s">
        <v>2072</v>
      </c>
      <c r="O77" s="916" t="s">
        <v>3286</v>
      </c>
      <c r="P77" s="916"/>
      <c r="Q77" s="520" t="s">
        <v>3252</v>
      </c>
      <c r="R77" s="40" t="s">
        <v>2072</v>
      </c>
      <c r="S77" s="673" t="s">
        <v>3254</v>
      </c>
      <c r="T77" s="669" t="s">
        <v>3252</v>
      </c>
      <c r="U77" s="673" t="s">
        <v>2793</v>
      </c>
      <c r="V77" s="520" t="s">
        <v>3252</v>
      </c>
    </row>
    <row r="78" spans="1:22" x14ac:dyDescent="0.25">
      <c r="A78" t="s">
        <v>3379</v>
      </c>
      <c r="D78">
        <f>CostData!$E$63</f>
        <v>30</v>
      </c>
      <c r="E78" s="290">
        <f>(CRR*(1+CRR)^D78)/((1+CRR)^D78-1)</f>
        <v>6.8805389679389581E-2</v>
      </c>
      <c r="F78" s="666">
        <f>CostData!$E$33</f>
        <v>5860</v>
      </c>
      <c r="G78" s="666">
        <f>CostData!$F$33</f>
        <v>1969</v>
      </c>
      <c r="H78" s="667">
        <f>(F78+G78)*E78</f>
        <v>538.677395799941</v>
      </c>
      <c r="I78" s="713">
        <f>CostData!$E$50</f>
        <v>75</v>
      </c>
      <c r="J78" s="700">
        <f ca="1">F37</f>
        <v>6.4503074666870148</v>
      </c>
      <c r="K78" s="291">
        <f ca="1">J78*Ep2Ann*365</f>
        <v>1136.1869681839494</v>
      </c>
      <c r="L78" s="117" t="s">
        <v>3422</v>
      </c>
      <c r="M78" s="692">
        <f>CostData!$S$12/10^6</f>
        <v>0.13500000000000001</v>
      </c>
      <c r="N78" s="14" t="str">
        <f>CostData!$F$9</f>
        <v>/gal</v>
      </c>
      <c r="O78" s="114">
        <f ca="1">K78/M78</f>
        <v>8416.1997643255509</v>
      </c>
      <c r="P78" t="s">
        <v>3381</v>
      </c>
      <c r="Q78" s="674">
        <f ca="1">HLOOKUP($B$4,CostData!$G$8:$L$9,2,FALSE)</f>
        <v>2.8910476436685228</v>
      </c>
      <c r="R78" s="674" t="str">
        <f>CostData!$F$9</f>
        <v>/gal</v>
      </c>
      <c r="S78" s="693">
        <f ca="1">Q78*O78</f>
        <v>24331.63449729696</v>
      </c>
      <c r="T78" s="667">
        <f ca="1">H78+I78+S78</f>
        <v>24945.311893096899</v>
      </c>
      <c r="U78">
        <f>D11</f>
        <v>20</v>
      </c>
      <c r="V78" s="664">
        <f ca="1">U78*T78</f>
        <v>498906.23786193796</v>
      </c>
    </row>
    <row r="79" spans="1:22" x14ac:dyDescent="0.25">
      <c r="P79" s="43"/>
    </row>
    <row r="80" spans="1:22" x14ac:dyDescent="0.25">
      <c r="C80" s="2" t="s">
        <v>2783</v>
      </c>
      <c r="D80" s="2" t="s">
        <v>2783</v>
      </c>
    </row>
    <row r="81" spans="1:7" x14ac:dyDescent="0.25">
      <c r="C81" s="2" t="s">
        <v>19</v>
      </c>
      <c r="D81" s="2" t="s">
        <v>3281</v>
      </c>
    </row>
    <row r="82" spans="1:7" x14ac:dyDescent="0.25">
      <c r="C82" s="520" t="s">
        <v>3252</v>
      </c>
      <c r="D82" s="520" t="s">
        <v>3252</v>
      </c>
      <c r="F82" s="917"/>
      <c r="G82" s="917"/>
    </row>
    <row r="83" spans="1:7" x14ac:dyDescent="0.25">
      <c r="C83" s="2" t="s">
        <v>4348</v>
      </c>
      <c r="D83" s="2" t="s">
        <v>4348</v>
      </c>
      <c r="F83" s="2"/>
      <c r="G83" s="2"/>
    </row>
    <row r="84" spans="1:7" x14ac:dyDescent="0.25">
      <c r="C84" s="169" t="s">
        <v>2623</v>
      </c>
      <c r="D84" s="169" t="s">
        <v>2623</v>
      </c>
      <c r="F84" s="665"/>
      <c r="G84" s="665"/>
    </row>
    <row r="85" spans="1:7" x14ac:dyDescent="0.25">
      <c r="C85" s="666">
        <f>IF(C84="Low",CostData!$W$11,IF(C84="Medium",CostData!$W$12,IF(C84="High",CostData!$W$13,0)))</f>
        <v>4183.9665017466605</v>
      </c>
      <c r="D85" s="666">
        <f>IF(D84="Low",CostData!$W$27,IF(D84="Medium",CostData!$W$28,IF(D84="High",CostData!$W$29,0)))</f>
        <v>35407.25</v>
      </c>
      <c r="F85" s="665"/>
      <c r="G85" s="665"/>
    </row>
    <row r="86" spans="1:7" x14ac:dyDescent="0.25">
      <c r="F86" s="666"/>
      <c r="G86" s="666"/>
    </row>
    <row r="87" spans="1:7" x14ac:dyDescent="0.25">
      <c r="A87" s="241" t="s">
        <v>3256</v>
      </c>
      <c r="F87" s="666"/>
      <c r="G87" s="666"/>
    </row>
    <row r="88" spans="1:7" x14ac:dyDescent="0.25">
      <c r="F88" s="666"/>
      <c r="G88" s="666"/>
    </row>
    <row r="89" spans="1:7" x14ac:dyDescent="0.25">
      <c r="A89" t="s">
        <v>3304</v>
      </c>
      <c r="C89" s="676">
        <f ca="1">P71</f>
        <v>6000</v>
      </c>
      <c r="D89" s="411" t="s">
        <v>3358</v>
      </c>
      <c r="F89" s="666"/>
      <c r="G89" s="666"/>
    </row>
    <row r="90" spans="1:7" x14ac:dyDescent="0.25">
      <c r="B90" s="411"/>
      <c r="C90" s="688"/>
      <c r="D90" s="411"/>
      <c r="F90" s="666"/>
      <c r="G90" s="666"/>
    </row>
    <row r="91" spans="1:7" x14ac:dyDescent="0.25">
      <c r="A91" t="s">
        <v>3303</v>
      </c>
      <c r="C91" s="676">
        <f ca="1">V78+C85+D85</f>
        <v>538497.45436368464</v>
      </c>
      <c r="D91" s="411" t="s">
        <v>3358</v>
      </c>
    </row>
    <row r="92" spans="1:7" x14ac:dyDescent="0.25">
      <c r="D92" s="411"/>
    </row>
    <row r="93" spans="1:7" x14ac:dyDescent="0.25">
      <c r="A93" t="s">
        <v>3305</v>
      </c>
      <c r="C93" s="688">
        <f ca="1">C91-C89</f>
        <v>532497.45436368464</v>
      </c>
      <c r="D93" s="411" t="s">
        <v>3358</v>
      </c>
    </row>
    <row r="95" spans="1:7" x14ac:dyDescent="0.25">
      <c r="A95" t="s">
        <v>3270</v>
      </c>
      <c r="C95" s="689">
        <f ca="1">$F53</f>
        <v>0.38827182407206418</v>
      </c>
      <c r="D95" t="str">
        <f>"tons/year - "&amp;$B$4</f>
        <v>tons/year - 2019</v>
      </c>
    </row>
    <row r="96" spans="1:7" x14ac:dyDescent="0.25">
      <c r="C96" s="689">
        <f ca="1">$D54</f>
        <v>0.5856435683273149</v>
      </c>
      <c r="D96" t="str">
        <f>"tons/year - "&amp;$B$4</f>
        <v>tons/year - 2019</v>
      </c>
    </row>
    <row r="98" spans="1:4" x14ac:dyDescent="0.25">
      <c r="A98" t="s">
        <v>3306</v>
      </c>
      <c r="C98" s="693">
        <f ca="1">C$93/C95</f>
        <v>1371455.3087551671</v>
      </c>
      <c r="D98" s="411" t="s">
        <v>3271</v>
      </c>
    </row>
    <row r="99" spans="1:4" x14ac:dyDescent="0.25">
      <c r="C99" s="693">
        <f ca="1">C$93/C96</f>
        <v>909251.77558865119</v>
      </c>
      <c r="D99" s="411" t="s">
        <v>3548</v>
      </c>
    </row>
  </sheetData>
  <mergeCells count="28">
    <mergeCell ref="F82:G82"/>
    <mergeCell ref="M76:N76"/>
    <mergeCell ref="O77:P77"/>
    <mergeCell ref="Q76:R76"/>
    <mergeCell ref="F76:G76"/>
    <mergeCell ref="J76:K76"/>
    <mergeCell ref="P69:Q69"/>
    <mergeCell ref="H69:I69"/>
    <mergeCell ref="N69:O69"/>
    <mergeCell ref="J69:K69"/>
    <mergeCell ref="L69:M69"/>
    <mergeCell ref="C69:D69"/>
    <mergeCell ref="J75:K75"/>
    <mergeCell ref="A1:I1"/>
    <mergeCell ref="A13:C13"/>
    <mergeCell ref="C17:D17"/>
    <mergeCell ref="C18:D18"/>
    <mergeCell ref="A73:C73"/>
    <mergeCell ref="B51:H51"/>
    <mergeCell ref="A64:C64"/>
    <mergeCell ref="F69:G69"/>
    <mergeCell ref="N68:O68"/>
    <mergeCell ref="P68:Q68"/>
    <mergeCell ref="A32:C32"/>
    <mergeCell ref="D34:E34"/>
    <mergeCell ref="D35:E35"/>
    <mergeCell ref="L68:M68"/>
    <mergeCell ref="C68:D6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showInputMessage="1" showErrorMessage="1">
          <x14:formula1>
            <xm:f>CostData!$AB$10:$AB$13</xm:f>
          </x14:formula1>
          <xm:sqref>C84:D84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CC"/>
  </sheetPr>
  <dimension ref="A1:S101"/>
  <sheetViews>
    <sheetView workbookViewId="0">
      <selection sqref="A1:I1"/>
    </sheetView>
  </sheetViews>
  <sheetFormatPr defaultRowHeight="15" x14ac:dyDescent="0.25"/>
  <cols>
    <col min="1" max="1" width="27.7109375" customWidth="1"/>
    <col min="3" max="3" width="13.28515625" customWidth="1"/>
    <col min="4" max="4" width="12" bestFit="1" customWidth="1"/>
    <col min="6" max="6" width="11.140625" bestFit="1" customWidth="1"/>
    <col min="12" max="12" width="10.5703125" customWidth="1"/>
    <col min="13" max="13" width="11" customWidth="1"/>
  </cols>
  <sheetData>
    <row r="1" spans="1:9" ht="18.75" x14ac:dyDescent="0.3">
      <c r="A1" s="912" t="s">
        <v>3408</v>
      </c>
      <c r="B1" s="912"/>
      <c r="C1" s="912"/>
      <c r="D1" s="912"/>
      <c r="E1" s="912"/>
      <c r="F1" s="912"/>
      <c r="G1" s="912"/>
      <c r="H1" s="912"/>
      <c r="I1" s="912"/>
    </row>
    <row r="3" spans="1:9" x14ac:dyDescent="0.25">
      <c r="A3" s="405" t="s">
        <v>2748</v>
      </c>
      <c r="B3" s="241" t="s">
        <v>4378</v>
      </c>
    </row>
    <row r="4" spans="1:9" x14ac:dyDescent="0.25">
      <c r="A4" s="405" t="s">
        <v>3183</v>
      </c>
      <c r="B4" s="519">
        <v>2019</v>
      </c>
    </row>
    <row r="6" spans="1:9" x14ac:dyDescent="0.25">
      <c r="A6" s="508" t="s">
        <v>3002</v>
      </c>
    </row>
    <row r="7" spans="1:9" x14ac:dyDescent="0.25">
      <c r="A7" s="407" t="s">
        <v>3426</v>
      </c>
    </row>
    <row r="8" spans="1:9" x14ac:dyDescent="0.25">
      <c r="A8" s="407" t="s">
        <v>3427</v>
      </c>
    </row>
    <row r="9" spans="1:9" x14ac:dyDescent="0.25">
      <c r="A9" s="407"/>
    </row>
    <row r="10" spans="1:9" ht="15.75" thickBot="1" x14ac:dyDescent="0.3"/>
    <row r="11" spans="1:9" ht="16.5" thickBot="1" x14ac:dyDescent="0.3">
      <c r="A11" s="919" t="s">
        <v>2776</v>
      </c>
      <c r="B11" s="920"/>
      <c r="C11" s="921"/>
    </row>
    <row r="13" spans="1:9" x14ac:dyDescent="0.25">
      <c r="A13" s="717" t="str">
        <f>$B$4&amp;" Used Oil Combustion:"</f>
        <v>2019 Used Oil Combustion:</v>
      </c>
    </row>
    <row r="15" spans="1:9" x14ac:dyDescent="0.25">
      <c r="A15" t="s">
        <v>3431</v>
      </c>
    </row>
    <row r="16" spans="1:9" x14ac:dyDescent="0.25">
      <c r="A16" t="s">
        <v>3430</v>
      </c>
      <c r="D16">
        <v>1000</v>
      </c>
      <c r="E16" t="s">
        <v>3428</v>
      </c>
    </row>
    <row r="17" spans="1:6" x14ac:dyDescent="0.25">
      <c r="A17" t="s">
        <v>3429</v>
      </c>
      <c r="D17" s="114">
        <f>CostData!S19</f>
        <v>140000</v>
      </c>
      <c r="E17" t="s">
        <v>3272</v>
      </c>
    </row>
    <row r="18" spans="1:6" x14ac:dyDescent="0.25">
      <c r="A18" t="s">
        <v>3433</v>
      </c>
      <c r="D18" s="291">
        <f>D16*D17/10^6</f>
        <v>140</v>
      </c>
      <c r="E18" t="s">
        <v>3432</v>
      </c>
    </row>
    <row r="19" spans="1:6" x14ac:dyDescent="0.25">
      <c r="A19" t="s">
        <v>3434</v>
      </c>
      <c r="D19" s="11">
        <f>D18/WinterDays</f>
        <v>0.77777777777777779</v>
      </c>
      <c r="E19" t="s">
        <v>4170</v>
      </c>
    </row>
    <row r="20" spans="1:6" x14ac:dyDescent="0.25">
      <c r="D20" s="11"/>
    </row>
    <row r="21" spans="1:6" x14ac:dyDescent="0.25">
      <c r="A21" s="717" t="str">
        <f>$B$4&amp;" Space Heating Emission Factor:"</f>
        <v>2019 Space Heating Emission Factor:</v>
      </c>
      <c r="B21" s="247"/>
      <c r="C21" s="247"/>
      <c r="D21" s="247"/>
      <c r="E21" s="247"/>
      <c r="F21" s="247"/>
    </row>
    <row r="22" spans="1:6" x14ac:dyDescent="0.25">
      <c r="C22" s="44" t="s">
        <v>2145</v>
      </c>
      <c r="D22" s="44" t="s">
        <v>2147</v>
      </c>
    </row>
    <row r="23" spans="1:6" x14ac:dyDescent="0.25">
      <c r="A23" t="s">
        <v>3435</v>
      </c>
      <c r="C23" s="11">
        <f ca="1">INDIRECT("'DevSumOut-"&amp;$B$4&amp;"PB'!AA69")</f>
        <v>0.2668969796498083</v>
      </c>
      <c r="D23" s="11">
        <f ca="1">INDIRECT("'DevSumOut-"&amp;$B$4&amp;"PB'!AC69")</f>
        <v>3.7575325985579229E-2</v>
      </c>
      <c r="E23" t="s">
        <v>3419</v>
      </c>
    </row>
    <row r="25" spans="1:6" x14ac:dyDescent="0.25">
      <c r="A25" s="413" t="str">
        <f>$B$4&amp;" Baseline Emissions in Affected Devices:"</f>
        <v>2019 Baseline Emissions in Affected Devices:</v>
      </c>
    </row>
    <row r="27" spans="1:6" x14ac:dyDescent="0.25">
      <c r="C27" s="44" t="s">
        <v>2145</v>
      </c>
      <c r="D27" s="500" t="s">
        <v>2147</v>
      </c>
    </row>
    <row r="28" spans="1:6" x14ac:dyDescent="0.25">
      <c r="A28" t="s">
        <v>3435</v>
      </c>
      <c r="C28" s="290">
        <f ca="1">$D18*C23/2000</f>
        <v>1.8682788575486581E-2</v>
      </c>
      <c r="D28" s="290">
        <f ca="1">$D18*D23/2000</f>
        <v>2.6302728189905463E-3</v>
      </c>
      <c r="E28" t="s">
        <v>3436</v>
      </c>
    </row>
    <row r="29" spans="1:6" x14ac:dyDescent="0.25">
      <c r="C29" s="133">
        <f ca="1">C28/WinterDays</f>
        <v>1.0379326986381433E-4</v>
      </c>
      <c r="D29" s="133">
        <f ca="1">D28/WinterDays</f>
        <v>1.4612626772169701E-5</v>
      </c>
      <c r="E29" t="s">
        <v>4172</v>
      </c>
    </row>
    <row r="30" spans="1:6" ht="15.75" thickBot="1" x14ac:dyDescent="0.3"/>
    <row r="31" spans="1:6" ht="16.5" thickBot="1" x14ac:dyDescent="0.3">
      <c r="A31" s="919" t="s">
        <v>2792</v>
      </c>
      <c r="B31" s="920"/>
      <c r="C31" s="921"/>
    </row>
    <row r="33" spans="1:6" x14ac:dyDescent="0.25">
      <c r="A33" t="s">
        <v>3437</v>
      </c>
      <c r="D33" s="114">
        <f>CostData!$S$12</f>
        <v>135000</v>
      </c>
      <c r="E33" t="s">
        <v>3272</v>
      </c>
    </row>
    <row r="34" spans="1:6" x14ac:dyDescent="0.25">
      <c r="D34" s="114"/>
    </row>
    <row r="35" spans="1:6" x14ac:dyDescent="0.25">
      <c r="B35" s="917" t="s">
        <v>3026</v>
      </c>
      <c r="C35" s="917"/>
      <c r="D35" s="917"/>
    </row>
    <row r="36" spans="1:6" x14ac:dyDescent="0.25">
      <c r="B36" s="918" t="s">
        <v>3438</v>
      </c>
      <c r="C36" s="918"/>
      <c r="D36" s="918"/>
    </row>
    <row r="37" spans="1:6" x14ac:dyDescent="0.25">
      <c r="C37" s="1" t="s">
        <v>3439</v>
      </c>
      <c r="D37" s="43">
        <f>D33/D17</f>
        <v>0.9642857142857143</v>
      </c>
    </row>
    <row r="38" spans="1:6" x14ac:dyDescent="0.25">
      <c r="C38" s="1"/>
      <c r="D38" s="43"/>
    </row>
    <row r="39" spans="1:6" x14ac:dyDescent="0.25">
      <c r="A39" s="717" t="str">
        <f>$B$4&amp;" Replacement Fuel Oil Conbustion:"</f>
        <v>2019 Replacement Fuel Oil Conbustion:</v>
      </c>
      <c r="C39" s="1"/>
      <c r="D39" s="43"/>
    </row>
    <row r="40" spans="1:6" x14ac:dyDescent="0.25">
      <c r="C40" s="1"/>
      <c r="D40" s="43"/>
    </row>
    <row r="41" spans="1:6" x14ac:dyDescent="0.25">
      <c r="A41" t="s">
        <v>3443</v>
      </c>
      <c r="D41" s="291">
        <f>D18/D37</f>
        <v>145.18518518518519</v>
      </c>
      <c r="E41" t="s">
        <v>3432</v>
      </c>
    </row>
    <row r="42" spans="1:6" x14ac:dyDescent="0.25">
      <c r="A42" t="s">
        <v>3434</v>
      </c>
      <c r="D42" s="11">
        <f>D41/WinterDays</f>
        <v>0.80658436213991769</v>
      </c>
      <c r="E42" t="s">
        <v>4170</v>
      </c>
    </row>
    <row r="44" spans="1:6" x14ac:dyDescent="0.25">
      <c r="A44" s="717" t="str">
        <f>$B$4&amp;" Space Heating Emission Factor:"</f>
        <v>2019 Space Heating Emission Factor:</v>
      </c>
      <c r="B44" s="247"/>
      <c r="C44" s="247"/>
      <c r="D44" s="247"/>
      <c r="E44" s="247"/>
      <c r="F44" s="247"/>
    </row>
    <row r="45" spans="1:6" x14ac:dyDescent="0.25">
      <c r="C45" s="44" t="s">
        <v>2145</v>
      </c>
      <c r="D45" s="44" t="s">
        <v>2147</v>
      </c>
    </row>
    <row r="46" spans="1:6" x14ac:dyDescent="0.25">
      <c r="A46" t="s">
        <v>3440</v>
      </c>
      <c r="C46" s="290">
        <f ca="1">INDIRECT("'DevSumOut-"&amp;$B$4&amp;"PB'!AA60")</f>
        <v>0.21535233209383506</v>
      </c>
      <c r="D46" s="290">
        <f ca="1">INDIRECT("'DevSumOut-"&amp;$B$4&amp;"PB'!AC60")</f>
        <v>3.4020926230572597E-3</v>
      </c>
      <c r="E46" t="s">
        <v>3419</v>
      </c>
    </row>
    <row r="48" spans="1:6" x14ac:dyDescent="0.25">
      <c r="A48" s="413" t="str">
        <f>$B$4&amp;" Baseline Emissions in Affected Devices:"</f>
        <v>2019 Baseline Emissions in Affected Devices:</v>
      </c>
    </row>
    <row r="50" spans="1:13" x14ac:dyDescent="0.25">
      <c r="C50" s="44" t="s">
        <v>2145</v>
      </c>
      <c r="D50" s="44" t="s">
        <v>2147</v>
      </c>
    </row>
    <row r="51" spans="1:13" x14ac:dyDescent="0.25">
      <c r="A51" t="s">
        <v>3440</v>
      </c>
      <c r="C51" s="290">
        <f ca="1">$D41*C46/2000</f>
        <v>1.5632984107552473E-2</v>
      </c>
      <c r="D51" s="290">
        <f ca="1">$D41*D46/2000</f>
        <v>2.469667237478603E-4</v>
      </c>
      <c r="E51" t="s">
        <v>3436</v>
      </c>
    </row>
    <row r="52" spans="1:13" x14ac:dyDescent="0.25">
      <c r="C52" s="133">
        <f ca="1">C51/WinterDays</f>
        <v>8.684991170862485E-5</v>
      </c>
      <c r="D52" s="133">
        <f ca="1">D51/WinterDays</f>
        <v>1.3720373541547795E-6</v>
      </c>
      <c r="E52" t="s">
        <v>4172</v>
      </c>
    </row>
    <row r="54" spans="1:13" ht="15.75" x14ac:dyDescent="0.25">
      <c r="A54" s="424" t="s">
        <v>3181</v>
      </c>
    </row>
    <row r="55" spans="1:13" ht="15.75" x14ac:dyDescent="0.25">
      <c r="A55" s="424"/>
    </row>
    <row r="56" spans="1:13" ht="15.75" x14ac:dyDescent="0.25">
      <c r="A56" s="424"/>
      <c r="B56" s="917" t="s">
        <v>4174</v>
      </c>
      <c r="C56" s="917"/>
      <c r="D56" s="917"/>
      <c r="E56" s="917"/>
      <c r="F56" s="917"/>
      <c r="G56" s="917"/>
      <c r="H56" s="917"/>
      <c r="I56" s="2" t="s">
        <v>3188</v>
      </c>
    </row>
    <row r="57" spans="1:13" x14ac:dyDescent="0.25">
      <c r="A57" s="44" t="s">
        <v>3182</v>
      </c>
      <c r="B57" s="44"/>
      <c r="C57" s="44"/>
      <c r="D57" s="517" t="s">
        <v>2145</v>
      </c>
      <c r="E57" s="500"/>
      <c r="F57" s="518" t="s">
        <v>2147</v>
      </c>
      <c r="G57" s="44"/>
      <c r="H57" s="44"/>
      <c r="I57" s="44" t="s">
        <v>21</v>
      </c>
    </row>
    <row r="58" spans="1:13" x14ac:dyDescent="0.25">
      <c r="A58" s="2">
        <f t="shared" ref="A58:A64" si="0">$B$4+I58-1</f>
        <v>2019</v>
      </c>
      <c r="B58" s="608"/>
      <c r="C58" s="608"/>
      <c r="D58" s="862">
        <f ca="1">(C29-C52)*$I58*Ep2Ann*365</f>
        <v>2.9844814115639476E-3</v>
      </c>
      <c r="E58" s="656"/>
      <c r="F58" s="863">
        <f ca="1">(D29-D52)*$I58*Ep2Ann*365</f>
        <v>2.3322586133323647E-3</v>
      </c>
      <c r="G58" s="608"/>
      <c r="H58" s="608"/>
      <c r="I58" s="2">
        <v>1</v>
      </c>
      <c r="M58" s="413" t="s">
        <v>3242</v>
      </c>
    </row>
    <row r="59" spans="1:13" x14ac:dyDescent="0.25">
      <c r="A59" s="2">
        <f t="shared" si="0"/>
        <v>2020</v>
      </c>
      <c r="B59" s="608"/>
      <c r="C59" s="608"/>
      <c r="D59" s="862">
        <f t="shared" ref="D59:F64" ca="1" si="1">D58</f>
        <v>2.9844814115639476E-3</v>
      </c>
      <c r="E59" s="656"/>
      <c r="F59" s="863">
        <f t="shared" ca="1" si="1"/>
        <v>2.3322586133323647E-3</v>
      </c>
      <c r="G59" s="608"/>
      <c r="H59" s="608"/>
      <c r="I59" s="2">
        <v>2</v>
      </c>
      <c r="M59" s="413"/>
    </row>
    <row r="60" spans="1:13" x14ac:dyDescent="0.25">
      <c r="A60" s="2">
        <f t="shared" si="0"/>
        <v>2021</v>
      </c>
      <c r="B60" s="608"/>
      <c r="C60" s="608"/>
      <c r="D60" s="862">
        <f t="shared" ca="1" si="1"/>
        <v>2.9844814115639476E-3</v>
      </c>
      <c r="E60" s="656"/>
      <c r="F60" s="863">
        <f t="shared" ca="1" si="1"/>
        <v>2.3322586133323647E-3</v>
      </c>
      <c r="G60" s="608"/>
      <c r="H60" s="608"/>
      <c r="I60" s="2">
        <v>3</v>
      </c>
      <c r="M60" s="413"/>
    </row>
    <row r="61" spans="1:13" x14ac:dyDescent="0.25">
      <c r="A61" s="2">
        <f t="shared" si="0"/>
        <v>2022</v>
      </c>
      <c r="B61" s="608"/>
      <c r="C61" s="608"/>
      <c r="D61" s="862">
        <f t="shared" ca="1" si="1"/>
        <v>2.9844814115639476E-3</v>
      </c>
      <c r="E61" s="656"/>
      <c r="F61" s="863">
        <f t="shared" ca="1" si="1"/>
        <v>2.3322586133323647E-3</v>
      </c>
      <c r="G61" s="608"/>
      <c r="H61" s="608"/>
      <c r="I61" s="2">
        <v>4</v>
      </c>
      <c r="M61" s="413"/>
    </row>
    <row r="62" spans="1:13" x14ac:dyDescent="0.25">
      <c r="A62" s="2">
        <f t="shared" si="0"/>
        <v>2023</v>
      </c>
      <c r="B62" s="608"/>
      <c r="C62" s="608"/>
      <c r="D62" s="862">
        <f t="shared" ca="1" si="1"/>
        <v>2.9844814115639476E-3</v>
      </c>
      <c r="E62" s="656"/>
      <c r="F62" s="863">
        <f t="shared" ca="1" si="1"/>
        <v>2.3322586133323647E-3</v>
      </c>
      <c r="G62" s="608"/>
      <c r="H62" s="608"/>
      <c r="I62" s="2">
        <v>5</v>
      </c>
    </row>
    <row r="63" spans="1:13" x14ac:dyDescent="0.25">
      <c r="A63" s="2">
        <f t="shared" si="0"/>
        <v>2024</v>
      </c>
      <c r="B63" s="608"/>
      <c r="C63" s="608"/>
      <c r="D63" s="862">
        <f t="shared" ca="1" si="1"/>
        <v>2.9844814115639476E-3</v>
      </c>
      <c r="E63" s="656"/>
      <c r="F63" s="863">
        <f t="shared" ca="1" si="1"/>
        <v>2.3322586133323647E-3</v>
      </c>
      <c r="G63" s="608"/>
      <c r="H63" s="608"/>
      <c r="I63" s="2">
        <v>6</v>
      </c>
    </row>
    <row r="64" spans="1:13" x14ac:dyDescent="0.25">
      <c r="A64" s="2">
        <f t="shared" si="0"/>
        <v>2025</v>
      </c>
      <c r="B64" s="608"/>
      <c r="C64" s="608"/>
      <c r="D64" s="862">
        <f t="shared" ca="1" si="1"/>
        <v>2.9844814115639476E-3</v>
      </c>
      <c r="E64" s="656"/>
      <c r="F64" s="863">
        <f t="shared" ca="1" si="1"/>
        <v>2.3322586133323647E-3</v>
      </c>
      <c r="G64" s="608"/>
      <c r="H64" s="608"/>
      <c r="I64" s="2">
        <v>7</v>
      </c>
    </row>
    <row r="66" spans="1:19" ht="15.75" x14ac:dyDescent="0.25">
      <c r="A66" s="424" t="s">
        <v>3248</v>
      </c>
    </row>
    <row r="67" spans="1:19" ht="15.75" x14ac:dyDescent="0.25">
      <c r="A67" s="721"/>
    </row>
    <row r="68" spans="1:19" ht="15.75" x14ac:dyDescent="0.25">
      <c r="A68" s="722" t="s">
        <v>3441</v>
      </c>
    </row>
    <row r="69" spans="1:19" ht="15.75" x14ac:dyDescent="0.25">
      <c r="A69" s="722" t="s">
        <v>3442</v>
      </c>
    </row>
    <row r="70" spans="1:19" ht="15.75" thickBot="1" x14ac:dyDescent="0.3"/>
    <row r="71" spans="1:19" ht="16.5" thickBot="1" x14ac:dyDescent="0.3">
      <c r="A71" s="919" t="s">
        <v>2776</v>
      </c>
      <c r="B71" s="920"/>
      <c r="C71" s="921"/>
    </row>
    <row r="73" spans="1:19" ht="15.75" x14ac:dyDescent="0.25">
      <c r="A73" s="722" t="s">
        <v>3444</v>
      </c>
      <c r="C73" s="1"/>
      <c r="D73" s="660">
        <v>0</v>
      </c>
      <c r="F73" s="1"/>
      <c r="N73" s="411"/>
      <c r="O73" s="411"/>
      <c r="P73" s="411"/>
      <c r="Q73" s="411"/>
    </row>
    <row r="74" spans="1:19" ht="15.75" thickBot="1" x14ac:dyDescent="0.3">
      <c r="C74" s="1"/>
      <c r="D74" s="1"/>
      <c r="N74" s="1"/>
      <c r="Q74" s="1"/>
    </row>
    <row r="75" spans="1:19" ht="16.5" thickBot="1" x14ac:dyDescent="0.3">
      <c r="A75" s="919" t="s">
        <v>2792</v>
      </c>
      <c r="B75" s="920"/>
      <c r="C75" s="921"/>
    </row>
    <row r="77" spans="1:19" x14ac:dyDescent="0.25">
      <c r="A77" s="670"/>
      <c r="B77" s="917" t="s">
        <v>3284</v>
      </c>
      <c r="C77" s="917"/>
      <c r="F77" s="1"/>
      <c r="H77" s="917" t="s">
        <v>3445</v>
      </c>
      <c r="I77" s="917"/>
      <c r="L77" s="917" t="s">
        <v>3362</v>
      </c>
      <c r="M77" s="917"/>
      <c r="N77" s="928"/>
      <c r="O77" s="928"/>
      <c r="P77" s="928"/>
      <c r="Q77" s="928"/>
    </row>
    <row r="78" spans="1:19" x14ac:dyDescent="0.25">
      <c r="B78" s="917" t="s">
        <v>2460</v>
      </c>
      <c r="C78" s="917"/>
      <c r="D78" s="1"/>
      <c r="F78" s="917" t="s">
        <v>3353</v>
      </c>
      <c r="G78" s="917"/>
      <c r="H78" s="917" t="s">
        <v>2497</v>
      </c>
      <c r="I78" s="917"/>
      <c r="J78" s="917" t="s">
        <v>3289</v>
      </c>
      <c r="K78" s="917"/>
      <c r="L78" s="917" t="s">
        <v>2497</v>
      </c>
      <c r="M78" s="917"/>
      <c r="N78" s="1"/>
      <c r="O78" s="917"/>
      <c r="P78" s="917"/>
      <c r="Q78" s="1"/>
      <c r="R78" s="917"/>
      <c r="S78" s="917"/>
    </row>
    <row r="79" spans="1:19" x14ac:dyDescent="0.25">
      <c r="A79" s="9" t="s">
        <v>2463</v>
      </c>
      <c r="B79" s="701" t="s">
        <v>2783</v>
      </c>
      <c r="C79" s="665" t="s">
        <v>4181</v>
      </c>
      <c r="D79" s="916" t="s">
        <v>1889</v>
      </c>
      <c r="E79" s="916"/>
      <c r="F79" s="684" t="s">
        <v>2460</v>
      </c>
      <c r="G79" s="702" t="s">
        <v>2548</v>
      </c>
      <c r="H79" s="665" t="s">
        <v>2783</v>
      </c>
      <c r="I79" s="665" t="s">
        <v>4181</v>
      </c>
      <c r="J79" s="665" t="s">
        <v>3252</v>
      </c>
      <c r="K79" s="40" t="s">
        <v>2072</v>
      </c>
      <c r="L79" s="665" t="s">
        <v>2783</v>
      </c>
      <c r="M79" s="665" t="s">
        <v>4181</v>
      </c>
      <c r="N79" s="665"/>
      <c r="O79" s="665"/>
      <c r="P79" s="665"/>
      <c r="Q79" s="665"/>
      <c r="R79" s="665"/>
      <c r="S79" s="665"/>
    </row>
    <row r="80" spans="1:19" x14ac:dyDescent="0.25">
      <c r="A80" t="s">
        <v>3440</v>
      </c>
      <c r="B80" s="291">
        <f>D41</f>
        <v>145.18518518518519</v>
      </c>
      <c r="C80" s="692">
        <f>D42</f>
        <v>0.80658436213991769</v>
      </c>
      <c r="D80" s="917" t="s">
        <v>3380</v>
      </c>
      <c r="E80" s="917"/>
      <c r="F80" s="692">
        <f>CostData!$S$12/10^6</f>
        <v>0.13500000000000001</v>
      </c>
      <c r="G80" s="692" t="str">
        <f>CostData!$F$9</f>
        <v>/gal</v>
      </c>
      <c r="H80" s="42">
        <f>B80/F80</f>
        <v>1075.4458161865568</v>
      </c>
      <c r="I80" s="43">
        <f>C80/F80</f>
        <v>5.9746989788142049</v>
      </c>
      <c r="J80" s="674">
        <f ca="1">HLOOKUP($B$4,CostData!$G$8:$L$9,2,FALSE)</f>
        <v>2.8910476436685228</v>
      </c>
      <c r="K80" s="692" t="str">
        <f>CostData!$F$9</f>
        <v>/gal</v>
      </c>
      <c r="L80" s="676">
        <f ca="1">H80*$J80</f>
        <v>3109.1650927793166</v>
      </c>
      <c r="M80" s="674">
        <f ca="1">I80*$J80</f>
        <v>17.273139404329537</v>
      </c>
      <c r="N80" s="664"/>
      <c r="O80" s="664"/>
      <c r="P80" s="676"/>
      <c r="Q80" s="683"/>
      <c r="R80" s="676"/>
      <c r="S80" s="674"/>
    </row>
    <row r="81" spans="1:19" x14ac:dyDescent="0.25">
      <c r="C81" s="692"/>
      <c r="D81" s="2"/>
      <c r="E81" s="2"/>
      <c r="F81" s="692"/>
      <c r="G81" s="692"/>
      <c r="H81" s="107"/>
      <c r="J81" s="674"/>
      <c r="K81" s="692"/>
      <c r="L81" s="676"/>
      <c r="M81" s="683"/>
      <c r="N81" s="664"/>
      <c r="O81" s="664"/>
      <c r="P81" s="676"/>
      <c r="Q81" s="683"/>
      <c r="R81" s="676"/>
      <c r="S81" s="674"/>
    </row>
    <row r="82" spans="1:19" x14ac:dyDescent="0.25">
      <c r="B82" s="2" t="s">
        <v>2783</v>
      </c>
      <c r="C82" s="2" t="s">
        <v>2783</v>
      </c>
    </row>
    <row r="83" spans="1:19" x14ac:dyDescent="0.25">
      <c r="B83" s="2" t="s">
        <v>19</v>
      </c>
      <c r="C83" s="2" t="s">
        <v>3281</v>
      </c>
    </row>
    <row r="84" spans="1:19" x14ac:dyDescent="0.25">
      <c r="B84" s="520" t="s">
        <v>3252</v>
      </c>
      <c r="C84" s="520" t="s">
        <v>3252</v>
      </c>
    </row>
    <row r="85" spans="1:19" x14ac:dyDescent="0.25">
      <c r="B85" s="2" t="s">
        <v>4348</v>
      </c>
      <c r="C85" s="2" t="s">
        <v>4348</v>
      </c>
    </row>
    <row r="86" spans="1:19" x14ac:dyDescent="0.25">
      <c r="B86" s="169" t="s">
        <v>2623</v>
      </c>
      <c r="C86" s="169" t="s">
        <v>2623</v>
      </c>
    </row>
    <row r="87" spans="1:19" x14ac:dyDescent="0.25">
      <c r="B87" s="666">
        <f>IF(B86="Low",CostData!$W$11,IF(B86="Medium",CostData!$W$12,IF(B86="High",CostData!$W$13,0)))</f>
        <v>4183.9665017466605</v>
      </c>
      <c r="C87" s="666">
        <f>IF(C86="Low",CostData!$W$27,IF(C86="Medium",CostData!$W$28,IF(C86="High",CostData!$W$29,0)))</f>
        <v>35407.25</v>
      </c>
    </row>
    <row r="89" spans="1:19" x14ac:dyDescent="0.25">
      <c r="A89" s="241" t="s">
        <v>3256</v>
      </c>
    </row>
    <row r="91" spans="1:19" x14ac:dyDescent="0.25">
      <c r="A91" t="s">
        <v>3304</v>
      </c>
      <c r="C91" s="674">
        <f>R73</f>
        <v>0</v>
      </c>
      <c r="D91" s="411" t="s">
        <v>3358</v>
      </c>
    </row>
    <row r="92" spans="1:19" x14ac:dyDescent="0.25">
      <c r="B92" s="411"/>
      <c r="C92" s="688"/>
      <c r="D92" s="411"/>
    </row>
    <row r="93" spans="1:19" x14ac:dyDescent="0.25">
      <c r="A93" t="s">
        <v>3303</v>
      </c>
      <c r="C93" s="676">
        <f ca="1">L80+B87+C87</f>
        <v>42700.381594525978</v>
      </c>
      <c r="D93" s="411" t="s">
        <v>3358</v>
      </c>
    </row>
    <row r="94" spans="1:19" x14ac:dyDescent="0.25">
      <c r="C94" s="693"/>
      <c r="D94" s="411"/>
    </row>
    <row r="95" spans="1:19" x14ac:dyDescent="0.25">
      <c r="A95" t="s">
        <v>3305</v>
      </c>
      <c r="C95" s="688">
        <f ca="1">C93-C91</f>
        <v>42700.381594525978</v>
      </c>
      <c r="D95" s="411" t="s">
        <v>4171</v>
      </c>
    </row>
    <row r="97" spans="1:4" x14ac:dyDescent="0.25">
      <c r="A97" t="s">
        <v>3270</v>
      </c>
      <c r="C97" s="653">
        <f ca="1">F$58</f>
        <v>2.3322586133323647E-3</v>
      </c>
      <c r="D97" t="str">
        <f>"tons/year - "&amp;$B$4</f>
        <v>tons/year - 2019</v>
      </c>
    </row>
    <row r="98" spans="1:4" x14ac:dyDescent="0.25">
      <c r="A98" t="s">
        <v>3547</v>
      </c>
      <c r="C98" s="653">
        <f ca="1">D$58</f>
        <v>2.9844814115639476E-3</v>
      </c>
      <c r="D98" t="str">
        <f>"tons/year - "&amp;$B$4</f>
        <v>tons/year - 2019</v>
      </c>
    </row>
    <row r="100" spans="1:4" x14ac:dyDescent="0.25">
      <c r="A100" t="s">
        <v>3306</v>
      </c>
      <c r="C100" s="693">
        <f ca="1">C$95/C97</f>
        <v>18308596.375388686</v>
      </c>
      <c r="D100" s="411" t="s">
        <v>3271</v>
      </c>
    </row>
    <row r="101" spans="1:4" x14ac:dyDescent="0.25">
      <c r="C101" s="693">
        <f ca="1">C$95/C98</f>
        <v>14307471.116782678</v>
      </c>
      <c r="D101" s="411" t="s">
        <v>3548</v>
      </c>
    </row>
  </sheetData>
  <mergeCells count="21">
    <mergeCell ref="A1:I1"/>
    <mergeCell ref="A11:C11"/>
    <mergeCell ref="A31:C31"/>
    <mergeCell ref="B35:D35"/>
    <mergeCell ref="B36:D36"/>
    <mergeCell ref="A75:C75"/>
    <mergeCell ref="L77:M77"/>
    <mergeCell ref="N77:Q77"/>
    <mergeCell ref="B56:H56"/>
    <mergeCell ref="A71:C71"/>
    <mergeCell ref="R78:S78"/>
    <mergeCell ref="D79:E79"/>
    <mergeCell ref="D80:E80"/>
    <mergeCell ref="H78:I78"/>
    <mergeCell ref="B77:C77"/>
    <mergeCell ref="B78:C78"/>
    <mergeCell ref="F78:G78"/>
    <mergeCell ref="H77:I77"/>
    <mergeCell ref="J78:K78"/>
    <mergeCell ref="L78:M78"/>
    <mergeCell ref="O78:P7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showInputMessage="1" showErrorMessage="1">
          <x14:formula1>
            <xm:f>CostData!$AB$10:$AB$13</xm:f>
          </x14:formula1>
          <xm:sqref>B86:C86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FFCC"/>
  </sheetPr>
  <dimension ref="A1:AA169"/>
  <sheetViews>
    <sheetView workbookViewId="0">
      <selection sqref="A1:I1"/>
    </sheetView>
  </sheetViews>
  <sheetFormatPr defaultRowHeight="15" x14ac:dyDescent="0.25"/>
  <cols>
    <col min="1" max="1" width="47.5703125" customWidth="1"/>
    <col min="3" max="3" width="11.5703125" bestFit="1" customWidth="1"/>
    <col min="4" max="4" width="10.28515625" customWidth="1"/>
    <col min="6" max="6" width="10.85546875" customWidth="1"/>
    <col min="7" max="8" width="10.28515625" customWidth="1"/>
    <col min="12" max="12" width="11.28515625" customWidth="1"/>
    <col min="14" max="14" width="10.140625" bestFit="1" customWidth="1"/>
    <col min="23" max="23" width="12.140625" customWidth="1"/>
    <col min="24" max="24" width="9.5703125" bestFit="1" customWidth="1"/>
  </cols>
  <sheetData>
    <row r="1" spans="1:14" ht="18.75" x14ac:dyDescent="0.3">
      <c r="A1" s="912" t="s">
        <v>3448</v>
      </c>
      <c r="B1" s="912"/>
      <c r="C1" s="912"/>
      <c r="D1" s="912"/>
      <c r="E1" s="912"/>
      <c r="F1" s="912"/>
      <c r="G1" s="912"/>
      <c r="H1" s="912"/>
      <c r="I1" s="912"/>
      <c r="J1" s="724"/>
      <c r="K1" s="724"/>
    </row>
    <row r="3" spans="1:14" x14ac:dyDescent="0.25">
      <c r="A3" s="405" t="s">
        <v>3001</v>
      </c>
      <c r="B3" s="241" t="s">
        <v>3449</v>
      </c>
    </row>
    <row r="4" spans="1:14" x14ac:dyDescent="0.25">
      <c r="A4" s="405" t="s">
        <v>3025</v>
      </c>
      <c r="B4" s="519">
        <v>2019</v>
      </c>
    </row>
    <row r="5" spans="1:14" x14ac:dyDescent="0.25">
      <c r="A5" s="405" t="s">
        <v>3189</v>
      </c>
      <c r="B5" s="10">
        <v>1</v>
      </c>
    </row>
    <row r="6" spans="1:14" x14ac:dyDescent="0.25">
      <c r="A6" s="405" t="s">
        <v>4233</v>
      </c>
      <c r="B6" s="742">
        <f>CostData!I55</f>
        <v>2.5000000000000001E-2</v>
      </c>
      <c r="C6" t="s">
        <v>4232</v>
      </c>
    </row>
    <row r="7" spans="1:14" x14ac:dyDescent="0.25">
      <c r="A7" s="405" t="s">
        <v>4234</v>
      </c>
      <c r="B7" s="742">
        <f>CostData!I56</f>
        <v>0.05</v>
      </c>
      <c r="C7" t="s">
        <v>4232</v>
      </c>
    </row>
    <row r="8" spans="1:14" x14ac:dyDescent="0.25">
      <c r="A8" s="405" t="s">
        <v>4235</v>
      </c>
      <c r="B8" s="742">
        <f>CostData!I62</f>
        <v>0.05</v>
      </c>
      <c r="C8" t="s">
        <v>4232</v>
      </c>
    </row>
    <row r="9" spans="1:14" x14ac:dyDescent="0.25">
      <c r="A9" s="405" t="s">
        <v>4236</v>
      </c>
      <c r="B9" s="742">
        <f>CostData!I61</f>
        <v>3.3333333333333333E-2</v>
      </c>
      <c r="C9" t="s">
        <v>4232</v>
      </c>
    </row>
    <row r="11" spans="1:14" x14ac:dyDescent="0.25">
      <c r="A11" s="508" t="s">
        <v>3002</v>
      </c>
    </row>
    <row r="12" spans="1:14" x14ac:dyDescent="0.25">
      <c r="A12" s="407" t="s">
        <v>4225</v>
      </c>
    </row>
    <row r="13" spans="1:14" x14ac:dyDescent="0.25">
      <c r="A13" s="407" t="s">
        <v>3190</v>
      </c>
      <c r="M13" s="622"/>
      <c r="N13" s="113"/>
    </row>
    <row r="14" spans="1:14" x14ac:dyDescent="0.25">
      <c r="A14" s="407" t="s">
        <v>4224</v>
      </c>
      <c r="M14" s="622"/>
      <c r="N14" s="113"/>
    </row>
    <row r="15" spans="1:14" x14ac:dyDescent="0.25">
      <c r="A15" s="407" t="s">
        <v>4237</v>
      </c>
      <c r="M15" s="622"/>
      <c r="N15" s="113"/>
    </row>
    <row r="16" spans="1:14" x14ac:dyDescent="0.25">
      <c r="A16" s="682" t="s">
        <v>4226</v>
      </c>
    </row>
    <row r="17" spans="1:11" x14ac:dyDescent="0.25">
      <c r="A17" s="407" t="s">
        <v>3184</v>
      </c>
    </row>
    <row r="18" spans="1:11" x14ac:dyDescent="0.25">
      <c r="A18" s="407" t="s">
        <v>3383</v>
      </c>
    </row>
    <row r="19" spans="1:11" x14ac:dyDescent="0.25">
      <c r="A19" s="407" t="s">
        <v>3384</v>
      </c>
    </row>
    <row r="20" spans="1:11" x14ac:dyDescent="0.25">
      <c r="A20" s="407" t="s">
        <v>3385</v>
      </c>
    </row>
    <row r="23" spans="1:11" x14ac:dyDescent="0.25">
      <c r="A23" t="s">
        <v>3017</v>
      </c>
      <c r="G23" s="411"/>
    </row>
    <row r="24" spans="1:11" x14ac:dyDescent="0.25">
      <c r="E24" s="520" t="s">
        <v>3027</v>
      </c>
      <c r="F24" s="520" t="s">
        <v>3028</v>
      </c>
      <c r="G24" s="520" t="s">
        <v>3262</v>
      </c>
      <c r="H24" s="520" t="s">
        <v>15</v>
      </c>
    </row>
    <row r="25" spans="1:11" x14ac:dyDescent="0.25">
      <c r="A25" t="s">
        <v>3011</v>
      </c>
      <c r="D25">
        <v>984</v>
      </c>
      <c r="E25" s="820">
        <f ca="1">OFFSET(HHSurveyG2!$N$296,0,MATCH($B$4,HHSurveyG2!$O$278:$AG$278,0))</f>
        <v>0.20122360989561724</v>
      </c>
      <c r="F25" s="254">
        <f ca="1">1-E25</f>
        <v>0.79877639010438273</v>
      </c>
      <c r="G25" s="820">
        <f ca="1">OFFSET(HHSurveyG2!$N$298,0,MATCH($B$4,HHSurveyG2!$O$278:$AG$278,0))</f>
        <v>0.88769240947012995</v>
      </c>
      <c r="H25" s="254">
        <f ca="1">1-G25</f>
        <v>0.11230759052987005</v>
      </c>
      <c r="K25" s="247" t="s">
        <v>3012</v>
      </c>
    </row>
    <row r="26" spans="1:11" x14ac:dyDescent="0.25">
      <c r="A26" t="s">
        <v>3013</v>
      </c>
      <c r="D26">
        <f>ROUND(D$25*J26,0)</f>
        <v>21</v>
      </c>
      <c r="E26" s="812">
        <f>D26</f>
        <v>21</v>
      </c>
      <c r="F26">
        <f>D26-E26</f>
        <v>0</v>
      </c>
      <c r="J26" s="412">
        <f>TabsAll!$N$21*TabsAll!$N$53</f>
        <v>2.1180764282238692E-2</v>
      </c>
      <c r="K26" s="247" t="s">
        <v>3014</v>
      </c>
    </row>
    <row r="27" spans="1:11" x14ac:dyDescent="0.25">
      <c r="A27" t="s">
        <v>4227</v>
      </c>
      <c r="D27">
        <f ca="1">ROUND(D$25*J27*$G$25,0)</f>
        <v>18</v>
      </c>
      <c r="E27" s="812">
        <f ca="1">ROUND(E$25*D27,0)</f>
        <v>4</v>
      </c>
      <c r="F27">
        <f ca="1">D27-E27</f>
        <v>14</v>
      </c>
      <c r="J27" s="412">
        <f>TabsAll!$N$21*TabsAll!$N$54</f>
        <v>2.0123337534874289E-2</v>
      </c>
      <c r="K27" s="247" t="s">
        <v>3258</v>
      </c>
    </row>
    <row r="28" spans="1:11" x14ac:dyDescent="0.25">
      <c r="A28" t="s">
        <v>4228</v>
      </c>
      <c r="D28">
        <f ca="1">ROUND(D$25*J28*$G$25,0)</f>
        <v>290</v>
      </c>
      <c r="E28" s="812">
        <f ca="1">ROUND(E$25*D28,0)</f>
        <v>58</v>
      </c>
      <c r="F28">
        <f ca="1">D28-E28</f>
        <v>232</v>
      </c>
      <c r="J28" s="412">
        <f>TabsAll!$N$21*TabsAll!$N$55</f>
        <v>0.33220321038023365</v>
      </c>
      <c r="K28" s="247" t="s">
        <v>3260</v>
      </c>
    </row>
    <row r="29" spans="1:11" x14ac:dyDescent="0.25">
      <c r="A29" t="s">
        <v>4229</v>
      </c>
      <c r="D29">
        <f ca="1">ROUND(D$25*J27*$H$25,0)</f>
        <v>2</v>
      </c>
      <c r="E29" s="812">
        <f ca="1">D29</f>
        <v>2</v>
      </c>
      <c r="J29" s="412"/>
      <c r="K29" s="247"/>
    </row>
    <row r="30" spans="1:11" x14ac:dyDescent="0.25">
      <c r="A30" t="s">
        <v>4230</v>
      </c>
      <c r="D30">
        <f ca="1">ROUND(D$25*J28*$H$25,0)</f>
        <v>37</v>
      </c>
      <c r="E30" s="812"/>
      <c r="F30">
        <f ca="1">D30</f>
        <v>37</v>
      </c>
      <c r="J30" s="412"/>
      <c r="K30" s="247"/>
    </row>
    <row r="31" spans="1:11" x14ac:dyDescent="0.25">
      <c r="A31" t="s">
        <v>3015</v>
      </c>
      <c r="D31">
        <f>ROUND(D$25*J31,0)</f>
        <v>12</v>
      </c>
      <c r="E31" s="812">
        <f>ROUND($D31*0.8,0)</f>
        <v>10</v>
      </c>
      <c r="F31">
        <f>D31-E31</f>
        <v>2</v>
      </c>
      <c r="J31" s="412">
        <f>TabsAll!$N$21*TabsAll!$N$56</f>
        <v>1.1914924747069535E-2</v>
      </c>
      <c r="K31" s="247" t="s">
        <v>3016</v>
      </c>
    </row>
    <row r="32" spans="1:11" x14ac:dyDescent="0.25">
      <c r="C32" s="1" t="s">
        <v>4231</v>
      </c>
      <c r="D32">
        <f ca="1">SUM(D26:D31)</f>
        <v>380</v>
      </c>
      <c r="E32" s="812"/>
      <c r="J32" s="412"/>
      <c r="K32" s="247"/>
    </row>
    <row r="33" spans="1:11" x14ac:dyDescent="0.25">
      <c r="C33" s="1"/>
      <c r="E33" s="812"/>
      <c r="J33" s="412"/>
      <c r="K33" s="247"/>
    </row>
    <row r="34" spans="1:11" x14ac:dyDescent="0.25">
      <c r="A34" t="str">
        <f>$B$4&amp;" Projected Device Counts in Fairbanks Nonattainment Area:"</f>
        <v>2019 Projected Device Counts in Fairbanks Nonattainment Area:</v>
      </c>
      <c r="E34" s="812"/>
      <c r="J34" s="412"/>
      <c r="K34" s="247"/>
    </row>
    <row r="35" spans="1:11" x14ac:dyDescent="0.25">
      <c r="E35" s="812"/>
      <c r="J35" s="412"/>
      <c r="K35" s="247"/>
    </row>
    <row r="36" spans="1:11" x14ac:dyDescent="0.25">
      <c r="C36" s="917" t="s">
        <v>3363</v>
      </c>
      <c r="D36" s="917"/>
      <c r="G36" s="2" t="s">
        <v>3390</v>
      </c>
      <c r="H36" s="2" t="s">
        <v>2462</v>
      </c>
      <c r="J36" s="412"/>
      <c r="K36" s="247"/>
    </row>
    <row r="37" spans="1:11" x14ac:dyDescent="0.25">
      <c r="B37" s="2" t="s">
        <v>2466</v>
      </c>
      <c r="C37" s="917" t="s">
        <v>4170</v>
      </c>
      <c r="D37" s="917"/>
      <c r="E37" s="929" t="s">
        <v>4239</v>
      </c>
      <c r="F37" s="929"/>
      <c r="G37" s="2" t="s">
        <v>4241</v>
      </c>
      <c r="H37" s="2" t="s">
        <v>3401</v>
      </c>
      <c r="J37" s="412"/>
      <c r="K37" s="247"/>
    </row>
    <row r="38" spans="1:11" x14ac:dyDescent="0.25">
      <c r="A38" s="9" t="s">
        <v>2463</v>
      </c>
      <c r="B38" s="44" t="s">
        <v>2793</v>
      </c>
      <c r="C38" s="44" t="s">
        <v>2497</v>
      </c>
      <c r="D38" s="44" t="s">
        <v>3361</v>
      </c>
      <c r="E38" s="44" t="s">
        <v>4240</v>
      </c>
      <c r="F38" s="44" t="s">
        <v>2793</v>
      </c>
      <c r="G38" s="44" t="s">
        <v>2793</v>
      </c>
      <c r="H38" s="44" t="s">
        <v>2793</v>
      </c>
      <c r="J38" s="412"/>
      <c r="K38" s="247"/>
    </row>
    <row r="39" spans="1:11" x14ac:dyDescent="0.25">
      <c r="A39" t="s">
        <v>3020</v>
      </c>
      <c r="B39" s="114">
        <f ca="1">ROUND(OFFSET(Devices!$B$51,0,MATCH($B$4,Devices!$C$49:$R$49,0)),0)</f>
        <v>803</v>
      </c>
      <c r="C39" s="114">
        <f ca="1">INDIRECT("'DevSumOut-"&amp;$B$4&amp;"PB'!U50")</f>
        <v>585.66476749630908</v>
      </c>
      <c r="D39" s="11">
        <f ca="1">C39/B39</f>
        <v>0.72934591219963774</v>
      </c>
      <c r="E39" s="821">
        <f>$B$6</f>
        <v>2.5000000000000001E-2</v>
      </c>
      <c r="F39">
        <f ca="1">ROUND(B39*E39,0)</f>
        <v>20</v>
      </c>
      <c r="G39">
        <f>D26</f>
        <v>21</v>
      </c>
      <c r="H39">
        <f ca="1">F39+G39</f>
        <v>41</v>
      </c>
      <c r="J39" s="412"/>
      <c r="K39" s="247"/>
    </row>
    <row r="40" spans="1:11" x14ac:dyDescent="0.25">
      <c r="A40" t="s">
        <v>3191</v>
      </c>
      <c r="B40" s="114">
        <f ca="1">ROUND(OFFSET(Devices!$B$53,0,MATCH($B$4,Devices!$C$49:$R$49,0)),0)</f>
        <v>142</v>
      </c>
      <c r="C40" s="114">
        <f ca="1">INDIRECT("'DevSumOut-"&amp;$B$4&amp;"PB'!U51")</f>
        <v>51.272722150218812</v>
      </c>
      <c r="D40" s="11">
        <f ca="1">C40/B40</f>
        <v>0.3610755081001325</v>
      </c>
      <c r="E40" s="821">
        <f>$B$7</f>
        <v>0.05</v>
      </c>
      <c r="F40">
        <f t="shared" ref="F40:F47" ca="1" si="0">ROUND(B40*E40,0)</f>
        <v>7</v>
      </c>
      <c r="G40">
        <f ca="1">E27</f>
        <v>4</v>
      </c>
      <c r="H40">
        <f t="shared" ref="H40:H47" ca="1" si="1">F40+G40</f>
        <v>11</v>
      </c>
      <c r="J40" s="412"/>
      <c r="K40" s="247"/>
    </row>
    <row r="41" spans="1:11" x14ac:dyDescent="0.25">
      <c r="A41" t="s">
        <v>3386</v>
      </c>
      <c r="B41" s="114">
        <f ca="1">ROUND(OFFSET(Devices!$B$54,0,MATCH($B$4,Devices!$C$49:$R$49,0))+OFFSET(Devices!$B$55,0,MATCH($B$4,Devices!$C$49:$R$49,0)),0)</f>
        <v>564</v>
      </c>
      <c r="C41" s="114">
        <f ca="1">INDIRECT("'DevSumOut-"&amp;$B$4&amp;"PB'!U52")+INDIRECT("'DevSumOut-"&amp;$B$4&amp;"PB'!U53")</f>
        <v>172.94448529693329</v>
      </c>
      <c r="D41" s="11">
        <f ca="1">C41/B41</f>
        <v>0.3066391583278959</v>
      </c>
      <c r="E41" s="821">
        <f t="shared" ref="E41:E43" si="2">$B$7</f>
        <v>0.05</v>
      </c>
      <c r="F41">
        <f t="shared" ca="1" si="0"/>
        <v>28</v>
      </c>
      <c r="G41">
        <f ca="1">F27</f>
        <v>14</v>
      </c>
      <c r="H41">
        <f t="shared" ca="1" si="1"/>
        <v>42</v>
      </c>
      <c r="J41" s="412"/>
      <c r="K41" s="247"/>
    </row>
    <row r="42" spans="1:11" x14ac:dyDescent="0.25">
      <c r="A42" t="s">
        <v>3204</v>
      </c>
      <c r="B42" s="114">
        <f ca="1">ROUND(OFFSET(Devices!$B$59,0,MATCH($B$4,Devices!$C$49:$R$49,0)),0)</f>
        <v>2090</v>
      </c>
      <c r="C42" s="114">
        <f ca="1">INDIRECT("'DevSumOut-"&amp;$B$4&amp;"PB'!U54")</f>
        <v>1040.5399378474017</v>
      </c>
      <c r="D42" s="11">
        <f ca="1">C42/B42</f>
        <v>0.49786599897004863</v>
      </c>
      <c r="E42" s="821">
        <f t="shared" si="2"/>
        <v>0.05</v>
      </c>
      <c r="F42">
        <f t="shared" ca="1" si="0"/>
        <v>105</v>
      </c>
      <c r="G42">
        <f ca="1">E28</f>
        <v>58</v>
      </c>
      <c r="H42">
        <f t="shared" ca="1" si="1"/>
        <v>163</v>
      </c>
      <c r="J42" s="412"/>
      <c r="K42" s="247"/>
    </row>
    <row r="43" spans="1:11" x14ac:dyDescent="0.25">
      <c r="A43" t="s">
        <v>3387</v>
      </c>
      <c r="B43" s="114">
        <f ca="1">ROUND(OFFSET(Devices!$B$60,0,MATCH($B$4,Devices!$C$49:$R$49,0))+OFFSET(Devices!$B$61,0,MATCH($B$4,Devices!$C$49:$R$49,0)),0)</f>
        <v>8297</v>
      </c>
      <c r="C43" s="114">
        <f ca="1">INDIRECT("'DevSumOut-"&amp;$B$4&amp;"PB'!U55")+INDIRECT("'DevSumOut-"&amp;$B$4&amp;"PB'!U56")</f>
        <v>3509.7735488801986</v>
      </c>
      <c r="D43" s="11">
        <f ca="1">C43/B43</f>
        <v>0.42301718077379757</v>
      </c>
      <c r="E43" s="821">
        <f t="shared" si="2"/>
        <v>0.05</v>
      </c>
      <c r="F43">
        <f t="shared" ca="1" si="0"/>
        <v>415</v>
      </c>
      <c r="G43">
        <f ca="1">F28</f>
        <v>232</v>
      </c>
      <c r="H43">
        <f t="shared" ca="1" si="1"/>
        <v>647</v>
      </c>
      <c r="J43" s="412"/>
      <c r="K43" s="247"/>
    </row>
    <row r="44" spans="1:11" x14ac:dyDescent="0.25">
      <c r="A44" t="s">
        <v>4198</v>
      </c>
      <c r="B44" s="114">
        <f ca="1">ROUND(OFFSET(Devices!$B$56,0,MATCH($B$4,Devices!$C$49:$R$49,0)),0)+ROUND(OFFSET(Devices!$B$62,0,MATCH($B$4,Devices!$C$49:$R$49,0)),0)</f>
        <v>210</v>
      </c>
      <c r="C44" s="114">
        <f ca="1">INDIRECT("'DevSumOut-"&amp;$B$4&amp;"PB'!U57")</f>
        <v>138.13213658944446</v>
      </c>
      <c r="D44" s="11">
        <f t="shared" ref="D44:D45" ca="1" si="3">C44/B44</f>
        <v>0.65777207899735457</v>
      </c>
      <c r="E44" s="821">
        <f>$B$8</f>
        <v>0.05</v>
      </c>
      <c r="F44">
        <f t="shared" ca="1" si="0"/>
        <v>11</v>
      </c>
      <c r="G44">
        <f ca="1">D29</f>
        <v>2</v>
      </c>
      <c r="H44">
        <f t="shared" ca="1" si="1"/>
        <v>13</v>
      </c>
      <c r="J44" s="412"/>
      <c r="K44" s="247"/>
    </row>
    <row r="45" spans="1:11" x14ac:dyDescent="0.25">
      <c r="A45" t="s">
        <v>4199</v>
      </c>
      <c r="B45" s="114">
        <f ca="1">ROUND(OFFSET(Devices!$B$57,0,MATCH($B$4,Devices!$C$49:$R$49,0)),0)+ROUND(OFFSET(Devices!$B$63,0,MATCH($B$4,Devices!$C$49:$R$49,0)),0)</f>
        <v>834</v>
      </c>
      <c r="C45" s="114">
        <f ca="1">INDIRECT("'DevSumOut-"&amp;$B$4&amp;"PB'!U58")</f>
        <v>465.92398966913851</v>
      </c>
      <c r="D45" s="11">
        <f t="shared" ca="1" si="3"/>
        <v>0.55866185811647306</v>
      </c>
      <c r="E45" s="821">
        <f>$B$8</f>
        <v>0.05</v>
      </c>
      <c r="F45">
        <f t="shared" ca="1" si="0"/>
        <v>42</v>
      </c>
      <c r="G45">
        <f ca="1">D30</f>
        <v>37</v>
      </c>
      <c r="H45">
        <f t="shared" ca="1" si="1"/>
        <v>79</v>
      </c>
      <c r="J45" s="412"/>
      <c r="K45" s="247"/>
    </row>
    <row r="46" spans="1:11" x14ac:dyDescent="0.25">
      <c r="A46" t="s">
        <v>3179</v>
      </c>
      <c r="B46" s="114">
        <f ca="1">ROUND(OFFSET(Devices!$B$70,0,MATCH($B$4,Devices!$C$49:$R$49,0)),0)</f>
        <v>389</v>
      </c>
      <c r="C46" s="114">
        <f ca="1">INDIRECT("'DevSumOut-"&amp;$B$4&amp;"PB'!U59")*0.8</f>
        <v>576.63242223592965</v>
      </c>
      <c r="D46" s="11">
        <f ca="1">C46/B46</f>
        <v>1.4823455584471199</v>
      </c>
      <c r="E46" s="821">
        <f>$B$9</f>
        <v>3.3333333333333333E-2</v>
      </c>
      <c r="F46">
        <f t="shared" ca="1" si="0"/>
        <v>13</v>
      </c>
      <c r="G46">
        <f>E31</f>
        <v>10</v>
      </c>
      <c r="H46">
        <f t="shared" ca="1" si="1"/>
        <v>23</v>
      </c>
      <c r="J46" s="412"/>
      <c r="K46" s="247"/>
    </row>
    <row r="47" spans="1:11" x14ac:dyDescent="0.25">
      <c r="A47" s="9" t="s">
        <v>3180</v>
      </c>
      <c r="B47" s="245">
        <f ca="1">ROUND(OFFSET(Devices!$B$71,0,MATCH($B$4,Devices!$C$49:$R$49,0)),0)</f>
        <v>97</v>
      </c>
      <c r="C47" s="245">
        <f ca="1">INDIRECT("'DevSumOut-"&amp;$B$4&amp;"PB'!U59")*0.2</f>
        <v>144.15810555898241</v>
      </c>
      <c r="D47" s="514">
        <f ca="1">C47/B47</f>
        <v>1.4861660366905403</v>
      </c>
      <c r="E47" s="822">
        <f>$B$9</f>
        <v>3.3333333333333333E-2</v>
      </c>
      <c r="F47" s="9">
        <f t="shared" ca="1" si="0"/>
        <v>3</v>
      </c>
      <c r="G47" s="9">
        <f>F31</f>
        <v>2</v>
      </c>
      <c r="H47" s="9">
        <f t="shared" ca="1" si="1"/>
        <v>5</v>
      </c>
      <c r="J47" s="412"/>
      <c r="K47" s="247"/>
    </row>
    <row r="48" spans="1:11" x14ac:dyDescent="0.25">
      <c r="A48" t="s">
        <v>4238</v>
      </c>
      <c r="B48" s="114">
        <f ca="1">SUM(B39:B47)</f>
        <v>13426</v>
      </c>
      <c r="C48" s="114">
        <f ca="1">SUM(C39:C47)</f>
        <v>6685.0421157245564</v>
      </c>
      <c r="D48" s="11">
        <f ca="1">C48/B48</f>
        <v>0.49791763114289861</v>
      </c>
      <c r="E48" s="812"/>
      <c r="F48" s="114">
        <f ca="1">SUM(F39:F47)</f>
        <v>644</v>
      </c>
      <c r="G48" s="114">
        <f ca="1">SUM(G39:G47)</f>
        <v>380</v>
      </c>
      <c r="H48" s="114">
        <f ca="1">SUM(H39:H47)</f>
        <v>1024</v>
      </c>
      <c r="J48" s="412"/>
      <c r="K48" s="247"/>
    </row>
    <row r="49" spans="1:11" x14ac:dyDescent="0.25">
      <c r="C49" s="1"/>
      <c r="E49" s="812"/>
      <c r="J49" s="412"/>
      <c r="K49" s="247"/>
    </row>
    <row r="50" spans="1:11" ht="15.75" thickBot="1" x14ac:dyDescent="0.3"/>
    <row r="51" spans="1:11" ht="16.5" thickBot="1" x14ac:dyDescent="0.3">
      <c r="A51" s="421" t="s">
        <v>2776</v>
      </c>
      <c r="B51" s="725"/>
      <c r="C51" s="726"/>
      <c r="J51" s="412"/>
    </row>
    <row r="52" spans="1:11" ht="15.75" x14ac:dyDescent="0.25">
      <c r="A52" s="627"/>
      <c r="B52" s="627"/>
      <c r="C52" s="627"/>
      <c r="J52" s="412"/>
    </row>
    <row r="53" spans="1:11" x14ac:dyDescent="0.25">
      <c r="B53" s="922" t="str">
        <f>$B$4&amp;" Space Heating Emission Factors (lb/mmBTU)"</f>
        <v>2019 Space Heating Emission Factors (lb/mmBTU)</v>
      </c>
      <c r="C53" s="922"/>
      <c r="D53" s="922"/>
      <c r="E53" s="922"/>
      <c r="F53" s="922"/>
      <c r="G53" s="922"/>
      <c r="H53" s="922"/>
    </row>
    <row r="54" spans="1:11" x14ac:dyDescent="0.25">
      <c r="A54" s="9" t="s">
        <v>3019</v>
      </c>
      <c r="B54" s="44" t="s">
        <v>2143</v>
      </c>
      <c r="C54" s="44" t="s">
        <v>2144</v>
      </c>
      <c r="D54" s="44" t="s">
        <v>2145</v>
      </c>
      <c r="E54" s="44" t="s">
        <v>2146</v>
      </c>
      <c r="F54" s="44" t="s">
        <v>2147</v>
      </c>
      <c r="G54" s="44" t="s">
        <v>2148</v>
      </c>
      <c r="H54" s="44" t="s">
        <v>2149</v>
      </c>
    </row>
    <row r="55" spans="1:11" x14ac:dyDescent="0.25">
      <c r="A55" t="s">
        <v>3020</v>
      </c>
      <c r="B55" s="11">
        <f ca="1">INDIRECT("'DevSumOut-"&amp;$B$4&amp;"PB'!Y50")</f>
        <v>14.257053240321779</v>
      </c>
      <c r="C55" s="11">
        <f ca="1">INDIRECT("'DevSumOut-"&amp;$B$4&amp;"PB'!Z50")</f>
        <v>0.16187047347090236</v>
      </c>
      <c r="D55" s="11">
        <f ca="1">INDIRECT("'DevSumOut-"&amp;$B$4&amp;"PB'!AA50")</f>
        <v>2.4903149764754204E-2</v>
      </c>
      <c r="E55" s="11">
        <f ca="1">INDIRECT("'DevSumOut-"&amp;$B$4&amp;"PB'!AB50")</f>
        <v>2.154122454651239</v>
      </c>
      <c r="F55" s="11">
        <f ca="1">INDIRECT("'DevSumOut-"&amp;$B$4&amp;"PB'!AC50")</f>
        <v>2.154122454651239</v>
      </c>
      <c r="G55" s="11">
        <f ca="1">INDIRECT("'DevSumOut-"&amp;$B$4&amp;"PB'!AD50")</f>
        <v>0.11206417394139395</v>
      </c>
      <c r="H55" s="11">
        <f ca="1">INDIRECT("'DevSumOut-"&amp;$B$4&amp;"PB'!AE50")</f>
        <v>15.726339076442278</v>
      </c>
    </row>
    <row r="56" spans="1:11" x14ac:dyDescent="0.25">
      <c r="A56" t="s">
        <v>3191</v>
      </c>
      <c r="B56" s="11">
        <f ca="1">INDIRECT("'DevSumOut-"&amp;$B$4&amp;"PB'!Y51")</f>
        <v>3.3001973107472216</v>
      </c>
      <c r="C56" s="11">
        <f ca="1">INDIRECT("'DevSumOut-"&amp;$B$4&amp;"PB'!z51")</f>
        <v>0.17435004660551356</v>
      </c>
      <c r="D56" s="11">
        <f ca="1">INDIRECT("'DevSumOut-"&amp;$B$4&amp;"PB'!aa51")</f>
        <v>2.4907149515073369E-2</v>
      </c>
      <c r="E56" s="11">
        <f ca="1">INDIRECT("'DevSumOut-"&amp;$B$4&amp;"PB'!ab51")</f>
        <v>1.9053969379031133</v>
      </c>
      <c r="F56" s="11">
        <f ca="1">INDIRECT("'DevSumOut-"&amp;$B$4&amp;"PB'!ac51")</f>
        <v>1.9053969379031133</v>
      </c>
      <c r="G56" s="11">
        <f ca="1">INDIRECT("'DevSumOut-"&amp;$B$4&amp;"PB'!ad51")</f>
        <v>0.10585538543906184</v>
      </c>
      <c r="H56" s="11">
        <f ca="1">INDIRECT("'DevSumOut-"&amp;$B$4&amp;"PB'!ae51")</f>
        <v>14.371425270197337</v>
      </c>
    </row>
    <row r="57" spans="1:11" x14ac:dyDescent="0.25">
      <c r="A57" t="s">
        <v>3386</v>
      </c>
      <c r="B57" s="11">
        <f ca="1">INDIRECT("'DevSumOut-"&amp;$B$4&amp;"PB'!Y75")</f>
        <v>0.81741693074944088</v>
      </c>
      <c r="C57" s="11">
        <f ca="1">INDIRECT("'DevSumOut-"&amp;$B$4&amp;"PB'!Z75")</f>
        <v>0.10132284194260621</v>
      </c>
      <c r="D57" s="11">
        <f ca="1">INDIRECT("'DevSumOut-"&amp;$B$4&amp;"PB'!AA75")</f>
        <v>2.4907149515073366E-2</v>
      </c>
      <c r="E57" s="11">
        <f ca="1">INDIRECT("'DevSumOut-"&amp;$B$4&amp;"PB'!AB75")</f>
        <v>0.5258645872096388</v>
      </c>
      <c r="F57" s="11">
        <f ca="1">INDIRECT("'DevSumOut-"&amp;$B$4&amp;"PB'!AC75")</f>
        <v>0.5258645872096388</v>
      </c>
      <c r="G57" s="11">
        <f ca="1">INDIRECT("'DevSumOut-"&amp;$B$4&amp;"PB'!AD75")</f>
        <v>1.7452351177056433E-2</v>
      </c>
      <c r="H57" s="11">
        <f ca="1">INDIRECT("'DevSumOut-"&amp;$B$4&amp;"PB'!AE75")</f>
        <v>7.7118911550617026</v>
      </c>
    </row>
    <row r="58" spans="1:11" x14ac:dyDescent="0.25">
      <c r="A58" t="s">
        <v>3204</v>
      </c>
      <c r="B58" s="11">
        <f ca="1">INDIRECT("'DevSumOut-"&amp;$B$4&amp;"PB'!Y54")</f>
        <v>3.3001973107472216</v>
      </c>
      <c r="C58" s="11">
        <f ca="1">INDIRECT("'DevSumOut-"&amp;$B$4&amp;"PB'!z54")</f>
        <v>9.0421834210833663E-2</v>
      </c>
      <c r="D58" s="11">
        <f ca="1">INDIRECT("'DevSumOut-"&amp;$B$4&amp;"PB'!aa54")</f>
        <v>2.4907149515073373E-2</v>
      </c>
      <c r="E58" s="11">
        <f ca="1">INDIRECT("'DevSumOut-"&amp;$B$4&amp;"PB'!ab54")</f>
        <v>0.75605835329474658</v>
      </c>
      <c r="F58" s="11">
        <f ca="1">INDIRECT("'DevSumOut-"&amp;$B$4&amp;"PB'!ac54")</f>
        <v>0.75605835329474658</v>
      </c>
      <c r="G58" s="11">
        <f ca="1">INDIRECT("'DevSumOut-"&amp;$B$4&amp;"PB'!ad54")</f>
        <v>2.4722123344748218E-2</v>
      </c>
      <c r="H58" s="11">
        <f ca="1">INDIRECT("'DevSumOut-"&amp;$B$4&amp;"PB'!ae54")</f>
        <v>7.5450382240655234</v>
      </c>
    </row>
    <row r="59" spans="1:11" x14ac:dyDescent="0.25">
      <c r="A59" t="s">
        <v>3387</v>
      </c>
      <c r="B59" s="11">
        <f ca="1">INDIRECT("'DevSumOut-"&amp;$B$4&amp;"PB'!Y75")</f>
        <v>0.81741693074944088</v>
      </c>
      <c r="C59" s="11">
        <f ca="1">INDIRECT("'DevSumOut-"&amp;$B$4&amp;"PB'!Z75")</f>
        <v>0.10132284194260621</v>
      </c>
      <c r="D59" s="11">
        <f ca="1">INDIRECT("'DevSumOut-"&amp;$B$4&amp;"PB'!AA75")</f>
        <v>2.4907149515073366E-2</v>
      </c>
      <c r="E59" s="11">
        <f ca="1">INDIRECT("'DevSumOut-"&amp;$B$4&amp;"PB'!AB75")</f>
        <v>0.5258645872096388</v>
      </c>
      <c r="F59" s="11">
        <f ca="1">INDIRECT("'DevSumOut-"&amp;$B$4&amp;"PB'!AC75")</f>
        <v>0.5258645872096388</v>
      </c>
      <c r="G59" s="11">
        <f ca="1">INDIRECT("'DevSumOut-"&amp;$B$4&amp;"PB'!AD75")</f>
        <v>1.7452351177056433E-2</v>
      </c>
      <c r="H59" s="11">
        <f ca="1">INDIRECT("'DevSumOut-"&amp;$B$4&amp;"PB'!AE75")</f>
        <v>7.7118911550617026</v>
      </c>
    </row>
    <row r="60" spans="1:11" x14ac:dyDescent="0.25">
      <c r="A60" t="s">
        <v>4198</v>
      </c>
      <c r="B60" s="11">
        <f ca="1">INDIRECT("'DevSumOut-"&amp;$B$4&amp;"PB'!Y57")</f>
        <v>0.1494428970904402</v>
      </c>
      <c r="C60" s="11">
        <f ca="1">INDIRECT("'DevSumOut-"&amp;$B$4&amp;"PB'!Z57")</f>
        <v>0.26097385149583924</v>
      </c>
      <c r="D60" s="11">
        <f ca="1">INDIRECT("'DevSumOut-"&amp;$B$4&amp;"PB'!AA57")</f>
        <v>2.0857051068598545E-2</v>
      </c>
      <c r="E60" s="11">
        <f ca="1">INDIRECT("'DevSumOut-"&amp;$B$4&amp;"PB'!AB57")</f>
        <v>0.19292772238453651</v>
      </c>
      <c r="F60" s="11">
        <f ca="1">INDIRECT("'DevSumOut-"&amp;$B$4&amp;"PB'!AC57")</f>
        <v>0.19292772238453651</v>
      </c>
      <c r="G60" s="11">
        <f ca="1">INDIRECT("'DevSumOut-"&amp;$B$4&amp;"PB'!AD57")</f>
        <v>4.6850150962839477E-3</v>
      </c>
      <c r="H60" s="11">
        <f ca="1">INDIRECT("'DevSumOut-"&amp;$B$4&amp;"PB'!AE57")</f>
        <v>0.64735072254162751</v>
      </c>
    </row>
    <row r="61" spans="1:11" x14ac:dyDescent="0.25">
      <c r="A61" t="s">
        <v>4199</v>
      </c>
      <c r="B61" s="11">
        <f ca="1">INDIRECT("'DevSumOut-"&amp;$B$4&amp;"PB'!Y58")</f>
        <v>0.14944289709044026</v>
      </c>
      <c r="C61" s="11">
        <f ca="1">INDIRECT("'DevSumOut-"&amp;$B$4&amp;"PB'!Z58")</f>
        <v>0.26097385149583918</v>
      </c>
      <c r="D61" s="11">
        <f ca="1">INDIRECT("'DevSumOut-"&amp;$B$4&amp;"PB'!AA58")</f>
        <v>2.0857051068598548E-2</v>
      </c>
      <c r="E61" s="11">
        <f ca="1">INDIRECT("'DevSumOut-"&amp;$B$4&amp;"PB'!AB58")</f>
        <v>0.19292772238453643</v>
      </c>
      <c r="F61" s="11">
        <f ca="1">INDIRECT("'DevSumOut-"&amp;$B$4&amp;"PB'!AC58")</f>
        <v>0.19292772238453643</v>
      </c>
      <c r="G61" s="11">
        <f ca="1">INDIRECT("'DevSumOut-"&amp;$B$4&amp;"PB'!AD58")</f>
        <v>4.6850150962839494E-3</v>
      </c>
      <c r="H61" s="11">
        <f ca="1">INDIRECT("'DevSumOut-"&amp;$B$4&amp;"PB'!AE58")</f>
        <v>0.64735072254162751</v>
      </c>
    </row>
    <row r="62" spans="1:11" x14ac:dyDescent="0.25">
      <c r="A62" t="s">
        <v>3179</v>
      </c>
      <c r="B62" s="11">
        <f>'EFs-BTU'!H47*'EFs-BTU'!$C$4/'EFs-BTU'!$C$6</f>
        <v>4.1811565060035498</v>
      </c>
      <c r="C62" s="11">
        <f>'EFs-BTU'!I47*'EFs-BTU'!$C$4/'EFs-BTU'!$C$6</f>
        <v>0.11643366199974399</v>
      </c>
      <c r="D62" s="11">
        <f>'EFs-BTU'!J47*'EFs-BTU'!$C$4/'EFs-BTU'!$C$6</f>
        <v>3.1555898158517351E-2</v>
      </c>
      <c r="E62" s="11">
        <f>'EFs-BTU'!K47*'EFs-BTU'!$C$4/'EFs-BTU'!$C$6</f>
        <v>0.87141539194556972</v>
      </c>
      <c r="F62" s="11">
        <f>'EFs-BTU'!L47*'EFs-BTU'!$C$4/'EFs-BTU'!$C$6</f>
        <v>0.87141539194556972</v>
      </c>
      <c r="G62" s="11">
        <f>'EFs-BTU'!M47*'EFs-BTU'!$C$4/'EFs-BTU'!$C$6</f>
        <v>2.1560871736264649E-2</v>
      </c>
      <c r="H62" s="11">
        <f>'EFs-BTU'!N47*'EFs-BTU'!$C$4/'EFs-BTU'!$C$6</f>
        <v>4.3625463570542369</v>
      </c>
    </row>
    <row r="63" spans="1:11" x14ac:dyDescent="0.25">
      <c r="A63" t="s">
        <v>3180</v>
      </c>
      <c r="B63" s="11">
        <f>'EFs-BTU'!H49*'EFs-BTU'!$C$4/'EFs-BTU'!$C$6</f>
        <v>1.183346180944401</v>
      </c>
      <c r="C63" s="11">
        <f>'EFs-BTU'!I49*'EFs-BTU'!$C$4/'EFs-BTU'!$C$6</f>
        <v>0.17040603184586645</v>
      </c>
      <c r="D63" s="11">
        <f>'EFs-BTU'!J49*'EFs-BTU'!$C$4/'EFs-BTU'!$C$6</f>
        <v>3.1555898158517351E-2</v>
      </c>
      <c r="E63" s="11">
        <f>'EFs-BTU'!K49*'EFs-BTU'!$C$4/'EFs-BTU'!$C$6</f>
        <v>0.40760735501342799</v>
      </c>
      <c r="F63" s="11">
        <f>'EFs-BTU'!L49*'EFs-BTU'!$C$4/'EFs-BTU'!$C$6</f>
        <v>0.40760735501342799</v>
      </c>
      <c r="G63" s="11">
        <f>'EFs-BTU'!M49*'EFs-BTU'!$C$4/'EFs-BTU'!$C$6</f>
        <v>9.9067705178080036E-3</v>
      </c>
      <c r="H63" s="11">
        <f>'EFs-BTU'!N49*'EFs-BTU'!$C$4/'EFs-BTU'!$C$6</f>
        <v>6.4418368600000191</v>
      </c>
    </row>
    <row r="64" spans="1:11" x14ac:dyDescent="0.25">
      <c r="A64" t="s">
        <v>3388</v>
      </c>
      <c r="B64" s="11">
        <f ca="1">INDIRECT("'DevSumOut-"&amp;$B$4&amp;"PB'!Y60")</f>
        <v>5.3125436895281979E-3</v>
      </c>
      <c r="C64" s="11">
        <f ca="1">INDIRECT("'DevSumOut-"&amp;$B$4&amp;"PB'!z60")</f>
        <v>8.3237866177467576E-2</v>
      </c>
      <c r="D64" s="11">
        <f ca="1">INDIRECT("'DevSumOut-"&amp;$B$4&amp;"PB'!aa60")</f>
        <v>0.21535233209383506</v>
      </c>
      <c r="E64" s="11">
        <f ca="1">INDIRECT("'DevSumOut-"&amp;$B$4&amp;"PB'!ab60")</f>
        <v>3.4020926230572597E-3</v>
      </c>
      <c r="F64" s="11">
        <f ca="1">INDIRECT("'DevSumOut-"&amp;$B$4&amp;"PB'!ac60")</f>
        <v>3.4020926230572597E-3</v>
      </c>
      <c r="G64" s="11">
        <f ca="1">INDIRECT("'DevSumOut-"&amp;$B$4&amp;"PB'!ad60")</f>
        <v>1.8252226922702195E-4</v>
      </c>
      <c r="H64" s="11">
        <f ca="1">INDIRECT("'DevSumOut-"&amp;$B$4&amp;"PB'!ae60")</f>
        <v>3.3368858477819947E-3</v>
      </c>
    </row>
    <row r="65" spans="1:8" x14ac:dyDescent="0.25">
      <c r="B65" s="11"/>
      <c r="C65" s="11"/>
      <c r="D65" s="11"/>
      <c r="E65" s="11"/>
      <c r="F65" s="11"/>
      <c r="G65" s="11"/>
      <c r="H65" s="11"/>
    </row>
    <row r="66" spans="1:8" x14ac:dyDescent="0.25">
      <c r="B66" s="917" t="str">
        <f>$B$4&amp;" Baseline Emissions in Affected Residences (tons/episodic day)"</f>
        <v>2019 Baseline Emissions in Affected Residences (tons/episodic day)</v>
      </c>
      <c r="C66" s="917"/>
      <c r="D66" s="917"/>
      <c r="E66" s="917"/>
      <c r="F66" s="917"/>
      <c r="G66" s="917"/>
      <c r="H66" s="917"/>
    </row>
    <row r="67" spans="1:8" x14ac:dyDescent="0.25">
      <c r="A67" s="9" t="s">
        <v>3018</v>
      </c>
      <c r="B67" s="44" t="s">
        <v>2143</v>
      </c>
      <c r="C67" s="44" t="s">
        <v>2144</v>
      </c>
      <c r="D67" s="44" t="s">
        <v>2145</v>
      </c>
      <c r="E67" s="44" t="s">
        <v>2146</v>
      </c>
      <c r="F67" s="44" t="s">
        <v>2147</v>
      </c>
      <c r="G67" s="44" t="s">
        <v>2148</v>
      </c>
      <c r="H67" s="44" t="s">
        <v>2149</v>
      </c>
    </row>
    <row r="68" spans="1:8" x14ac:dyDescent="0.25">
      <c r="A68" t="s">
        <v>3020</v>
      </c>
      <c r="B68" s="11">
        <f ca="1">$H39*$D39*B55/2000</f>
        <v>0.21316563176724643</v>
      </c>
      <c r="C68" s="11">
        <f t="shared" ref="C68:H68" ca="1" si="4">$H39*$D39*C55/2000</f>
        <v>2.4202211467023618E-3</v>
      </c>
      <c r="D68" s="11">
        <f t="shared" ca="1" si="4"/>
        <v>3.7234171487728637E-4</v>
      </c>
      <c r="E68" s="11">
        <f t="shared" ca="1" si="4"/>
        <v>3.2207558336885281E-2</v>
      </c>
      <c r="F68" s="11">
        <f t="shared" ca="1" si="4"/>
        <v>3.2207558336885281E-2</v>
      </c>
      <c r="G68" s="11">
        <f t="shared" ca="1" si="4"/>
        <v>1.6755377169477895E-3</v>
      </c>
      <c r="H68" s="11">
        <f t="shared" ca="1" si="4"/>
        <v>0.23513379294500636</v>
      </c>
    </row>
    <row r="69" spans="1:8" x14ac:dyDescent="0.25">
      <c r="A69" t="s">
        <v>3191</v>
      </c>
      <c r="B69" s="11">
        <f t="shared" ref="B69:H69" ca="1" si="5">$H40*$D40*B56/2000</f>
        <v>6.553912314448092E-3</v>
      </c>
      <c r="C69" s="11">
        <f t="shared" ca="1" si="5"/>
        <v>3.462444241595218E-4</v>
      </c>
      <c r="D69" s="11">
        <f t="shared" ca="1" si="5"/>
        <v>4.9463489165645975E-5</v>
      </c>
      <c r="E69" s="11">
        <f t="shared" ca="1" si="5"/>
        <v>3.7839569211719176E-3</v>
      </c>
      <c r="F69" s="11">
        <f t="shared" ca="1" si="5"/>
        <v>3.7839569211719176E-3</v>
      </c>
      <c r="G69" s="11">
        <f t="shared" ca="1" si="5"/>
        <v>2.1021982895399541E-4</v>
      </c>
      <c r="H69" s="11">
        <f t="shared" ca="1" si="5"/>
        <v>2.8540433248577732E-2</v>
      </c>
    </row>
    <row r="70" spans="1:8" x14ac:dyDescent="0.25">
      <c r="A70" t="s">
        <v>3386</v>
      </c>
      <c r="B70" s="11">
        <f t="shared" ref="B70:H70" ca="1" si="6">$H41*$D41*B57/2000</f>
        <v>5.2636928326075909E-3</v>
      </c>
      <c r="C70" s="11">
        <f t="shared" ca="1" si="6"/>
        <v>6.5246057042609514E-4</v>
      </c>
      <c r="D70" s="11">
        <f t="shared" ca="1" si="6"/>
        <v>1.6038765463663229E-4</v>
      </c>
      <c r="E70" s="11">
        <f t="shared" ca="1" si="6"/>
        <v>3.3862641627446111E-3</v>
      </c>
      <c r="F70" s="11">
        <f t="shared" ca="1" si="6"/>
        <v>3.3862641627446111E-3</v>
      </c>
      <c r="G70" s="11">
        <f t="shared" ca="1" si="6"/>
        <v>1.123830597912844E-4</v>
      </c>
      <c r="H70" s="11">
        <f t="shared" ca="1" si="6"/>
        <v>4.9660124070993773E-2</v>
      </c>
    </row>
    <row r="71" spans="1:8" x14ac:dyDescent="0.25">
      <c r="A71" t="s">
        <v>3204</v>
      </c>
      <c r="B71" s="11">
        <f t="shared" ref="B71:H71" ca="1" si="7">$H42*$D42*B58/2000</f>
        <v>0.13390906651944481</v>
      </c>
      <c r="C71" s="11">
        <f t="shared" ca="1" si="7"/>
        <v>3.6689634806735863E-3</v>
      </c>
      <c r="D71" s="11">
        <f t="shared" ca="1" si="7"/>
        <v>1.0106344642976967E-3</v>
      </c>
      <c r="E71" s="11">
        <f t="shared" ca="1" si="7"/>
        <v>3.0677883408433224E-2</v>
      </c>
      <c r="F71" s="11">
        <f t="shared" ca="1" si="7"/>
        <v>3.0677883408433224E-2</v>
      </c>
      <c r="G71" s="11">
        <f t="shared" ca="1" si="7"/>
        <v>1.0031268278090472E-3</v>
      </c>
      <c r="H71" s="11">
        <f t="shared" ca="1" si="7"/>
        <v>0.30614806640436404</v>
      </c>
    </row>
    <row r="72" spans="1:8" x14ac:dyDescent="0.25">
      <c r="A72" t="s">
        <v>3387</v>
      </c>
      <c r="B72" s="11">
        <f t="shared" ref="B72:H72" ca="1" si="8">$H43*$D43*B59/2000</f>
        <v>0.11186028469943608</v>
      </c>
      <c r="C72" s="11">
        <f t="shared" ca="1" si="8"/>
        <v>1.3865631503209045E-2</v>
      </c>
      <c r="D72" s="11">
        <f t="shared" ca="1" si="8"/>
        <v>3.4084452266643162E-3</v>
      </c>
      <c r="E72" s="11">
        <f t="shared" ca="1" si="8"/>
        <v>7.1962495791089126E-2</v>
      </c>
      <c r="F72" s="11">
        <f t="shared" ca="1" si="8"/>
        <v>7.1962495791089126E-2</v>
      </c>
      <c r="G72" s="11">
        <f t="shared" ca="1" si="8"/>
        <v>2.3882854610684321E-3</v>
      </c>
      <c r="H72" s="11">
        <f t="shared" ca="1" si="8"/>
        <v>1.0553419041435177</v>
      </c>
    </row>
    <row r="73" spans="1:8" x14ac:dyDescent="0.25">
      <c r="A73" t="s">
        <v>4198</v>
      </c>
      <c r="B73" s="11">
        <f t="shared" ref="B73:H73" ca="1" si="9">$H44*$D44*B60/2000</f>
        <v>6.3894587321868272E-4</v>
      </c>
      <c r="C73" s="11">
        <f t="shared" ca="1" si="9"/>
        <v>1.1157985336053729E-3</v>
      </c>
      <c r="D73" s="11">
        <f t="shared" ca="1" si="9"/>
        <v>8.9174707980449396E-5</v>
      </c>
      <c r="E73" s="11">
        <f t="shared" ca="1" si="9"/>
        <v>8.2486604881915667E-4</v>
      </c>
      <c r="F73" s="11">
        <f t="shared" ca="1" si="9"/>
        <v>8.2486604881915667E-4</v>
      </c>
      <c r="G73" s="11">
        <f t="shared" ca="1" si="9"/>
        <v>2.0030868780108445E-5</v>
      </c>
      <c r="H73" s="11">
        <f t="shared" ca="1" si="9"/>
        <v>2.7677599989431988E-3</v>
      </c>
    </row>
    <row r="74" spans="1:8" x14ac:dyDescent="0.25">
      <c r="A74" t="s">
        <v>4199</v>
      </c>
      <c r="B74" s="11">
        <f t="shared" ref="B74:H74" ca="1" si="10">$H45*$D45*B61/2000</f>
        <v>3.2977778395487417E-3</v>
      </c>
      <c r="C74" s="11">
        <f t="shared" ca="1" si="10"/>
        <v>5.7589474034608814E-3</v>
      </c>
      <c r="D74" s="11">
        <f t="shared" ca="1" si="10"/>
        <v>4.6025553674013066E-4</v>
      </c>
      <c r="E74" s="11">
        <f t="shared" ca="1" si="10"/>
        <v>4.2573637148462049E-3</v>
      </c>
      <c r="F74" s="11">
        <f t="shared" ca="1" si="10"/>
        <v>4.2573637148462049E-3</v>
      </c>
      <c r="G74" s="11">
        <f t="shared" ca="1" si="10"/>
        <v>1.0338489994025186E-4</v>
      </c>
      <c r="H74" s="11">
        <f t="shared" ca="1" si="10"/>
        <v>1.4285181221571805E-2</v>
      </c>
    </row>
    <row r="75" spans="1:8" x14ac:dyDescent="0.25">
      <c r="A75" t="s">
        <v>3179</v>
      </c>
      <c r="B75" s="11">
        <f t="shared" ref="B75:H75" ca="1" si="11">$H46*$D46*B62/2000</f>
        <v>7.127606592223637E-2</v>
      </c>
      <c r="C75" s="11">
        <f t="shared" ca="1" si="11"/>
        <v>1.9848415997691178E-3</v>
      </c>
      <c r="D75" s="11">
        <f t="shared" ca="1" si="11"/>
        <v>5.3793257299801023E-4</v>
      </c>
      <c r="E75" s="11">
        <f t="shared" ca="1" si="11"/>
        <v>1.4854995461849173E-2</v>
      </c>
      <c r="F75" s="11">
        <f t="shared" ca="1" si="11"/>
        <v>1.4854995461849173E-2</v>
      </c>
      <c r="G75" s="11">
        <f t="shared" ca="1" si="11"/>
        <v>3.6754761822674944E-4</v>
      </c>
      <c r="H75" s="11">
        <f t="shared" ca="1" si="11"/>
        <v>7.4368213982838646E-2</v>
      </c>
    </row>
    <row r="76" spans="1:8" x14ac:dyDescent="0.25">
      <c r="A76" s="9" t="s">
        <v>3180</v>
      </c>
      <c r="B76" s="514">
        <f t="shared" ref="B76:H76" ca="1" si="12">$H47*$D47*B63/2000</f>
        <v>4.3966222594175684E-3</v>
      </c>
      <c r="C76" s="514">
        <f t="shared" ca="1" si="12"/>
        <v>6.3312914244133332E-4</v>
      </c>
      <c r="D76" s="514">
        <f t="shared" ca="1" si="12"/>
        <v>1.1724326025113512E-4</v>
      </c>
      <c r="E76" s="514">
        <f t="shared" ca="1" si="12"/>
        <v>1.5144305183155506E-3</v>
      </c>
      <c r="F76" s="514">
        <f t="shared" ca="1" si="12"/>
        <v>1.5144305183155506E-3</v>
      </c>
      <c r="G76" s="514">
        <f t="shared" ca="1" si="12"/>
        <v>3.680776469213353E-5</v>
      </c>
      <c r="H76" s="514">
        <f t="shared" ca="1" si="12"/>
        <v>2.3934097888083157E-2</v>
      </c>
    </row>
    <row r="77" spans="1:8" x14ac:dyDescent="0.25">
      <c r="A77" s="241" t="s">
        <v>2515</v>
      </c>
      <c r="B77" s="607">
        <f t="shared" ref="B77:H77" ca="1" si="13">SUM(B68:B76)</f>
        <v>0.55036200002760438</v>
      </c>
      <c r="C77" s="607">
        <f t="shared" ca="1" si="13"/>
        <v>3.0446237804447315E-2</v>
      </c>
      <c r="D77" s="607">
        <f t="shared" ca="1" si="13"/>
        <v>6.2058786276113021E-3</v>
      </c>
      <c r="E77" s="607">
        <f t="shared" ca="1" si="13"/>
        <v>0.16346981436415423</v>
      </c>
      <c r="F77" s="607">
        <f t="shared" ca="1" si="13"/>
        <v>0.16346981436415423</v>
      </c>
      <c r="G77" s="607">
        <f t="shared" ca="1" si="13"/>
        <v>5.917324046209791E-3</v>
      </c>
      <c r="H77" s="607">
        <f t="shared" ca="1" si="13"/>
        <v>1.7901795739038964</v>
      </c>
    </row>
    <row r="78" spans="1:8" ht="15.75" thickBot="1" x14ac:dyDescent="0.3"/>
    <row r="79" spans="1:8" ht="16.5" thickBot="1" x14ac:dyDescent="0.3">
      <c r="A79" s="421" t="s">
        <v>2792</v>
      </c>
      <c r="B79" s="725"/>
      <c r="C79" s="726"/>
      <c r="H79" s="411"/>
    </row>
    <row r="80" spans="1:8" ht="15.75" x14ac:dyDescent="0.25">
      <c r="A80" s="627"/>
      <c r="B80" s="627"/>
      <c r="C80" s="627"/>
      <c r="E80" s="1"/>
      <c r="H80" s="411"/>
    </row>
    <row r="81" spans="1:14" ht="15.75" x14ac:dyDescent="0.25">
      <c r="A81" s="627"/>
      <c r="B81" s="627"/>
      <c r="C81" s="1" t="s">
        <v>3255</v>
      </c>
      <c r="D81" s="917" t="s">
        <v>3391</v>
      </c>
      <c r="E81" s="917"/>
      <c r="F81" t="s">
        <v>3379</v>
      </c>
      <c r="H81" s="411"/>
    </row>
    <row r="82" spans="1:14" x14ac:dyDescent="0.25">
      <c r="A82" s="1" t="s">
        <v>3026</v>
      </c>
      <c r="B82" t="s">
        <v>2140</v>
      </c>
      <c r="C82" s="1" t="s">
        <v>3401</v>
      </c>
      <c r="D82" s="917" t="s">
        <v>4178</v>
      </c>
      <c r="E82" s="917"/>
      <c r="F82" s="6" t="s">
        <v>4189</v>
      </c>
      <c r="H82" s="411"/>
    </row>
    <row r="83" spans="1:14" x14ac:dyDescent="0.25">
      <c r="A83" s="701" t="s">
        <v>3211</v>
      </c>
      <c r="B83" s="701" t="s">
        <v>3402</v>
      </c>
      <c r="C83" s="701" t="s">
        <v>2793</v>
      </c>
      <c r="D83" s="701" t="s">
        <v>3392</v>
      </c>
      <c r="E83" s="9" t="s">
        <v>3393</v>
      </c>
      <c r="F83" s="701" t="s">
        <v>3394</v>
      </c>
      <c r="H83" s="411"/>
    </row>
    <row r="84" spans="1:14" x14ac:dyDescent="0.25">
      <c r="A84" s="1" t="s">
        <v>3210</v>
      </c>
      <c r="B84" s="710">
        <f>'EFs-BTU'!$D$54/'EFs-BTU'!$D$37</f>
        <v>11.571428571428571</v>
      </c>
      <c r="C84" s="114">
        <f ca="1">H39</f>
        <v>41</v>
      </c>
      <c r="D84" s="43">
        <f ca="1">D39*C84</f>
        <v>29.903182400185148</v>
      </c>
      <c r="E84" s="43">
        <f ca="1">D84/B84</f>
        <v>2.5842256395221734</v>
      </c>
      <c r="F84" s="700">
        <f t="shared" ref="F84:F92" ca="1" si="14">IFERROR(E84/C84,"--")</f>
        <v>6.3029893646882273E-2</v>
      </c>
      <c r="H84" s="411"/>
    </row>
    <row r="85" spans="1:14" x14ac:dyDescent="0.25">
      <c r="A85" s="1" t="s">
        <v>3207</v>
      </c>
      <c r="B85" s="43">
        <f>'EFs-BTU'!$D$54/'EFs-BTU'!$D$38</f>
        <v>2.0249999999999999</v>
      </c>
      <c r="C85" s="114">
        <f t="shared" ref="C85:C92" ca="1" si="15">H40</f>
        <v>11</v>
      </c>
      <c r="D85" s="43">
        <f ca="1">D40*C85</f>
        <v>3.9718305891014576</v>
      </c>
      <c r="E85" s="43">
        <f t="shared" ref="E85:E92" ca="1" si="16">D85/B85</f>
        <v>1.9613978217784978</v>
      </c>
      <c r="F85" s="700">
        <f t="shared" ca="1" si="14"/>
        <v>0.17830889288895435</v>
      </c>
      <c r="H85" s="411"/>
    </row>
    <row r="86" spans="1:14" x14ac:dyDescent="0.25">
      <c r="A86" s="1" t="s">
        <v>3365</v>
      </c>
      <c r="B86" s="43">
        <f>'EFs-BTU'!$D$54/AVERAGE('EFs-BTU'!$D$39:$D$40)</f>
        <v>1.1911764705882355</v>
      </c>
      <c r="C86" s="114">
        <f t="shared" ca="1" si="15"/>
        <v>42</v>
      </c>
      <c r="D86" s="43">
        <f ca="1">D41*C86</f>
        <v>12.878844649771628</v>
      </c>
      <c r="E86" s="43">
        <f t="shared" ca="1" si="16"/>
        <v>10.811869582524327</v>
      </c>
      <c r="F86" s="700">
        <f t="shared" ca="1" si="14"/>
        <v>0.25742546625057922</v>
      </c>
      <c r="H86" s="411"/>
    </row>
    <row r="87" spans="1:14" x14ac:dyDescent="0.25">
      <c r="A87" s="1" t="s">
        <v>3208</v>
      </c>
      <c r="B87" s="43">
        <f>'EFs-BTU'!$D$54/'EFs-BTU'!$D$41</f>
        <v>1.5</v>
      </c>
      <c r="C87" s="114">
        <f t="shared" ca="1" si="15"/>
        <v>163</v>
      </c>
      <c r="D87" s="43">
        <f ca="1">D42*C87</f>
        <v>81.152157832117922</v>
      </c>
      <c r="E87" s="43">
        <f t="shared" ca="1" si="16"/>
        <v>54.101438554745279</v>
      </c>
      <c r="F87" s="700">
        <f t="shared" ca="1" si="14"/>
        <v>0.33191066598003238</v>
      </c>
      <c r="H87" s="411"/>
    </row>
    <row r="88" spans="1:14" x14ac:dyDescent="0.25">
      <c r="A88" s="1" t="s">
        <v>3366</v>
      </c>
      <c r="B88" s="43">
        <f>'EFs-BTU'!$D$54/AVERAGE('EFs-BTU'!$D$42:$D$43)</f>
        <v>1.1571428571428573</v>
      </c>
      <c r="C88" s="114">
        <f t="shared" ca="1" si="15"/>
        <v>647</v>
      </c>
      <c r="D88" s="43">
        <f ca="1">D43*C88</f>
        <v>273.69211596064702</v>
      </c>
      <c r="E88" s="43">
        <f t="shared" ca="1" si="16"/>
        <v>236.52405083018877</v>
      </c>
      <c r="F88" s="700">
        <f t="shared" ca="1" si="14"/>
        <v>0.36557040313784972</v>
      </c>
      <c r="H88" s="411"/>
    </row>
    <row r="89" spans="1:14" x14ac:dyDescent="0.25">
      <c r="A89" s="1" t="s">
        <v>4203</v>
      </c>
      <c r="B89" s="43">
        <f>'EFs-BTU'!$D$54/'EFs-BTU'!$D$44</f>
        <v>1.4464285714285714</v>
      </c>
      <c r="C89" s="114">
        <f t="shared" ca="1" si="15"/>
        <v>13</v>
      </c>
      <c r="D89" s="43">
        <f t="shared" ref="D89:D91" ca="1" si="17">D44*C89</f>
        <v>8.5510370269656093</v>
      </c>
      <c r="E89" s="43">
        <f t="shared" ref="E89:E91" ca="1" si="18">D89/B89</f>
        <v>5.9118280680256063</v>
      </c>
      <c r="F89" s="700">
        <f t="shared" ref="F89:F91" ca="1" si="19">IFERROR(E89/C89,"--")</f>
        <v>0.45475600523273896</v>
      </c>
      <c r="H89" s="411"/>
    </row>
    <row r="90" spans="1:14" x14ac:dyDescent="0.25">
      <c r="A90" s="1" t="s">
        <v>4246</v>
      </c>
      <c r="B90" s="43">
        <f>'EFs-BTU'!$D$54/'EFs-BTU'!$D$45</f>
        <v>1.0384615384615385</v>
      </c>
      <c r="C90" s="114">
        <f t="shared" ca="1" si="15"/>
        <v>79</v>
      </c>
      <c r="D90" s="43">
        <f t="shared" ca="1" si="17"/>
        <v>44.134286791201369</v>
      </c>
      <c r="E90" s="43">
        <f t="shared" ca="1" si="18"/>
        <v>42.499683576712428</v>
      </c>
      <c r="F90" s="700">
        <f t="shared" ca="1" si="19"/>
        <v>0.53797067818623323</v>
      </c>
      <c r="H90" s="411"/>
    </row>
    <row r="91" spans="1:14" x14ac:dyDescent="0.25">
      <c r="A91" s="1" t="s">
        <v>3209</v>
      </c>
      <c r="B91" s="43">
        <f>'EFs-BTU'!$D$54/'EFs-BTU'!$D$46</f>
        <v>1.8837209302325584</v>
      </c>
      <c r="C91" s="114">
        <f t="shared" ca="1" si="15"/>
        <v>23</v>
      </c>
      <c r="D91" s="43">
        <f t="shared" ca="1" si="17"/>
        <v>34.093947844283761</v>
      </c>
      <c r="E91" s="43">
        <f t="shared" ca="1" si="18"/>
        <v>18.099256263014833</v>
      </c>
      <c r="F91" s="700">
        <f t="shared" ca="1" si="19"/>
        <v>0.78692418534847097</v>
      </c>
      <c r="H91" s="411"/>
    </row>
    <row r="92" spans="1:14" x14ac:dyDescent="0.25">
      <c r="A92" s="701" t="s">
        <v>3367</v>
      </c>
      <c r="B92" s="513">
        <f>'EFs-BTU'!$D$54/'EFs-BTU'!$D$49</f>
        <v>1.8837209302325584</v>
      </c>
      <c r="C92" s="245">
        <f t="shared" ca="1" si="15"/>
        <v>5</v>
      </c>
      <c r="D92" s="513">
        <f ca="1">D47*C92</f>
        <v>7.4308301834527013</v>
      </c>
      <c r="E92" s="513">
        <f t="shared" ca="1" si="16"/>
        <v>3.9447617023267423</v>
      </c>
      <c r="F92" s="801">
        <f t="shared" ca="1" si="14"/>
        <v>0.78895234046534846</v>
      </c>
      <c r="H92" s="411"/>
    </row>
    <row r="93" spans="1:14" ht="15.75" x14ac:dyDescent="0.25">
      <c r="A93" s="627"/>
      <c r="B93" t="s">
        <v>2462</v>
      </c>
      <c r="C93" s="823">
        <f ca="1">SUM(C84:C92)</f>
        <v>1024</v>
      </c>
      <c r="D93" s="708">
        <f ca="1">SUM(D84:D92)</f>
        <v>495.80823327772663</v>
      </c>
      <c r="E93" s="708">
        <f ca="1">SUM(E84:E92)</f>
        <v>376.43851203883861</v>
      </c>
      <c r="F93" s="700">
        <f ca="1">E93/C93</f>
        <v>0.36761573441292833</v>
      </c>
      <c r="G93" t="s">
        <v>4219</v>
      </c>
      <c r="H93" s="411"/>
      <c r="M93" s="1"/>
    </row>
    <row r="94" spans="1:14" ht="15.75" x14ac:dyDescent="0.25">
      <c r="A94" s="627"/>
      <c r="B94" s="627"/>
      <c r="C94" s="627"/>
      <c r="H94" s="411"/>
      <c r="M94" s="1"/>
    </row>
    <row r="95" spans="1:14" x14ac:dyDescent="0.25">
      <c r="B95" s="917" t="str">
        <f>$B$4&amp;" With Control Emissions in Affected Residences (tons/episodic day)"</f>
        <v>2019 With Control Emissions in Affected Residences (tons/episodic day)</v>
      </c>
      <c r="C95" s="917"/>
      <c r="D95" s="917"/>
      <c r="E95" s="917"/>
      <c r="F95" s="917"/>
      <c r="G95" s="917"/>
      <c r="H95" s="917"/>
      <c r="L95" s="1"/>
      <c r="M95" s="1"/>
    </row>
    <row r="96" spans="1:14" x14ac:dyDescent="0.25">
      <c r="A96" s="9" t="s">
        <v>3018</v>
      </c>
      <c r="B96" s="44" t="s">
        <v>2143</v>
      </c>
      <c r="C96" s="44" t="s">
        <v>2144</v>
      </c>
      <c r="D96" s="44" t="s">
        <v>2145</v>
      </c>
      <c r="E96" s="44" t="s">
        <v>2146</v>
      </c>
      <c r="F96" s="44" t="s">
        <v>2147</v>
      </c>
      <c r="G96" s="44" t="s">
        <v>2148</v>
      </c>
      <c r="H96" s="44" t="s">
        <v>2149</v>
      </c>
      <c r="J96" s="665"/>
      <c r="K96" s="665"/>
      <c r="L96" s="665"/>
      <c r="M96" s="665"/>
      <c r="N96" s="113"/>
    </row>
    <row r="97" spans="1:16" x14ac:dyDescent="0.25">
      <c r="A97" t="s">
        <v>3206</v>
      </c>
      <c r="B97" s="290">
        <f t="shared" ref="B97:H101" ca="1" si="20">$E84*B$64/2000</f>
        <v>6.8644058067802469E-6</v>
      </c>
      <c r="C97" s="290">
        <f t="shared" ca="1" si="20"/>
        <v>1.0755271397746362E-4</v>
      </c>
      <c r="D97" s="290">
        <f t="shared" ca="1" si="20"/>
        <v>2.7825950906389119E-4</v>
      </c>
      <c r="E97" s="290">
        <f t="shared" ca="1" si="20"/>
        <v>4.3958874922669082E-6</v>
      </c>
      <c r="F97" s="290">
        <f t="shared" ca="1" si="20"/>
        <v>4.3958874922669082E-6</v>
      </c>
      <c r="G97" s="290">
        <f t="shared" ca="1" si="20"/>
        <v>2.3583936396011957E-7</v>
      </c>
      <c r="H97" s="290">
        <f t="shared" ca="1" si="20"/>
        <v>4.3116329819984575E-6</v>
      </c>
      <c r="J97" s="499"/>
      <c r="K97" s="499"/>
      <c r="L97" s="499"/>
      <c r="M97" s="714"/>
      <c r="N97" s="715"/>
      <c r="O97" s="715"/>
      <c r="P97" s="499"/>
    </row>
    <row r="98" spans="1:16" x14ac:dyDescent="0.25">
      <c r="A98" t="s">
        <v>3368</v>
      </c>
      <c r="B98" s="290">
        <f t="shared" ca="1" si="20"/>
        <v>5.2100058103718557E-6</v>
      </c>
      <c r="C98" s="290">
        <f t="shared" ca="1" si="20"/>
        <v>8.1631284704987496E-5</v>
      </c>
      <c r="D98" s="290">
        <f t="shared" ca="1" si="20"/>
        <v>2.1119579754188389E-4</v>
      </c>
      <c r="E98" s="290">
        <f t="shared" ca="1" si="20"/>
        <v>3.3364285301766024E-6</v>
      </c>
      <c r="F98" s="290">
        <f t="shared" ca="1" si="20"/>
        <v>3.3364285301766024E-6</v>
      </c>
      <c r="G98" s="290">
        <f t="shared" ca="1" si="20"/>
        <v>1.7899939064397468E-7</v>
      </c>
      <c r="H98" s="290">
        <f t="shared" ca="1" si="20"/>
        <v>3.2724803166815504E-6</v>
      </c>
      <c r="J98" s="11"/>
      <c r="K98" s="11"/>
      <c r="M98" s="4"/>
      <c r="N98" s="113"/>
    </row>
    <row r="99" spans="1:16" x14ac:dyDescent="0.25">
      <c r="A99" t="s">
        <v>3369</v>
      </c>
      <c r="B99" s="290">
        <f t="shared" ca="1" si="20"/>
        <v>2.8719264761320744E-5</v>
      </c>
      <c r="C99" s="290">
        <f t="shared" ca="1" si="20"/>
        <v>4.4997847671919609E-4</v>
      </c>
      <c r="D99" s="290">
        <f t="shared" ca="1" si="20"/>
        <v>1.1641806644455063E-3</v>
      </c>
      <c r="E99" s="290">
        <f t="shared" ca="1" si="20"/>
        <v>1.8391490874081594E-5</v>
      </c>
      <c r="F99" s="290">
        <f t="shared" ca="1" si="20"/>
        <v>1.8391490874081594E-5</v>
      </c>
      <c r="G99" s="290">
        <f t="shared" ca="1" si="20"/>
        <v>9.8670348539447749E-7</v>
      </c>
      <c r="H99" s="290">
        <f t="shared" ca="1" si="20"/>
        <v>1.8038987298995026E-5</v>
      </c>
      <c r="J99" s="11"/>
      <c r="K99" s="11"/>
      <c r="M99" s="4"/>
      <c r="N99" s="113"/>
    </row>
    <row r="100" spans="1:16" x14ac:dyDescent="0.25">
      <c r="A100" t="s">
        <v>3370</v>
      </c>
      <c r="B100" s="290">
        <f t="shared" ca="1" si="20"/>
        <v>1.4370812799420479E-4</v>
      </c>
      <c r="C100" s="290">
        <f t="shared" ca="1" si="20"/>
        <v>2.2516441512141863E-3</v>
      </c>
      <c r="D100" s="290">
        <f t="shared" ca="1" si="20"/>
        <v>5.8254354811978579E-3</v>
      </c>
      <c r="E100" s="290">
        <f t="shared" ca="1" si="20"/>
        <v>9.202905250194227E-5</v>
      </c>
      <c r="F100" s="290">
        <f t="shared" ca="1" si="20"/>
        <v>9.202905250194227E-5</v>
      </c>
      <c r="G100" s="290">
        <f t="shared" ca="1" si="20"/>
        <v>4.9373586667292015E-6</v>
      </c>
      <c r="H100" s="290">
        <f t="shared" ca="1" si="20"/>
        <v>9.0265162328988349E-5</v>
      </c>
      <c r="J100" s="11"/>
      <c r="K100" s="11"/>
      <c r="M100" s="4"/>
      <c r="N100" s="113"/>
    </row>
    <row r="101" spans="1:16" x14ac:dyDescent="0.25">
      <c r="A101" t="s">
        <v>3371</v>
      </c>
      <c r="B101" s="290">
        <f t="shared" ca="1" si="20"/>
        <v>6.2827217682978294E-4</v>
      </c>
      <c r="C101" s="290">
        <f t="shared" ca="1" si="20"/>
        <v>9.8438786453778956E-3</v>
      </c>
      <c r="D101" s="290">
        <f t="shared" ca="1" si="20"/>
        <v>2.5468002971280965E-2</v>
      </c>
      <c r="E101" s="290">
        <f t="shared" ca="1" si="20"/>
        <v>4.0233836425250275E-4</v>
      </c>
      <c r="F101" s="290">
        <f t="shared" ca="1" si="20"/>
        <v>4.0233836425250275E-4</v>
      </c>
      <c r="G101" s="290">
        <f t="shared" ca="1" si="20"/>
        <v>2.158545324214677E-5</v>
      </c>
      <c r="H101" s="290">
        <f t="shared" ca="1" si="20"/>
        <v>3.9462687893766302E-4</v>
      </c>
      <c r="J101" s="11"/>
      <c r="K101" s="11"/>
      <c r="M101" s="4"/>
      <c r="N101" s="113"/>
    </row>
    <row r="102" spans="1:16" x14ac:dyDescent="0.25">
      <c r="A102" t="s">
        <v>4242</v>
      </c>
      <c r="B102" s="290">
        <f t="shared" ref="B102:H102" ca="1" si="21">$E89*B$64/2000</f>
        <v>1.5703422448182554E-5</v>
      </c>
      <c r="C102" s="290">
        <f t="shared" ca="1" si="21"/>
        <v>2.4604397679525605E-4</v>
      </c>
      <c r="D102" s="290">
        <f t="shared" ca="1" si="21"/>
        <v>6.3656298069355286E-4</v>
      </c>
      <c r="E102" s="290">
        <f t="shared" ca="1" si="21"/>
        <v>1.0056293329506384E-5</v>
      </c>
      <c r="F102" s="290">
        <f t="shared" ca="1" si="21"/>
        <v>1.0056293329506384E-5</v>
      </c>
      <c r="G102" s="290">
        <f t="shared" ca="1" si="21"/>
        <v>5.3952013712801746E-7</v>
      </c>
      <c r="H102" s="290">
        <f t="shared" ca="1" si="21"/>
        <v>9.8635477073575072E-6</v>
      </c>
      <c r="J102" s="11"/>
      <c r="K102" s="11"/>
      <c r="M102" s="4"/>
      <c r="N102" s="113"/>
    </row>
    <row r="103" spans="1:16" x14ac:dyDescent="0.25">
      <c r="A103" t="s">
        <v>4243</v>
      </c>
      <c r="B103" s="290">
        <f t="shared" ref="B103:H103" ca="1" si="22">$E90*B$64/2000</f>
        <v>1.128907128962044E-4</v>
      </c>
      <c r="C103" s="290">
        <f t="shared" ca="1" si="22"/>
        <v>1.7687914870715528E-3</v>
      </c>
      <c r="D103" s="290">
        <f t="shared" ca="1" si="22"/>
        <v>4.5762029857475415E-3</v>
      </c>
      <c r="E103" s="290">
        <f t="shared" ca="1" si="22"/>
        <v>7.2293929989300569E-5</v>
      </c>
      <c r="F103" s="290">
        <f t="shared" ca="1" si="22"/>
        <v>7.2293929989300569E-5</v>
      </c>
      <c r="G103" s="290">
        <f t="shared" ca="1" si="22"/>
        <v>3.8785693439259746E-6</v>
      </c>
      <c r="H103" s="290">
        <f t="shared" ca="1" si="22"/>
        <v>7.090829633117228E-5</v>
      </c>
      <c r="J103" s="11"/>
      <c r="K103" s="11"/>
      <c r="M103" s="4"/>
      <c r="N103" s="113"/>
    </row>
    <row r="104" spans="1:16" x14ac:dyDescent="0.25">
      <c r="A104" t="s">
        <v>3372</v>
      </c>
      <c r="B104" s="290">
        <f t="shared" ref="B104:H105" ca="1" si="23">$E91*B$64/2000</f>
        <v>4.8076544822616586E-5</v>
      </c>
      <c r="C104" s="290">
        <f t="shared" ca="1" si="23"/>
        <v>7.5327173536626031E-4</v>
      </c>
      <c r="D104" s="290">
        <f t="shared" ca="1" si="23"/>
        <v>1.9488585227020975E-3</v>
      </c>
      <c r="E104" s="290">
        <f t="shared" ca="1" si="23"/>
        <v>3.0787673107612835E-5</v>
      </c>
      <c r="F104" s="290">
        <f t="shared" ca="1" si="23"/>
        <v>3.0787673107612835E-5</v>
      </c>
      <c r="G104" s="290">
        <f t="shared" ca="1" si="23"/>
        <v>1.6517586622234284E-6</v>
      </c>
      <c r="H104" s="290">
        <f t="shared" ca="1" si="23"/>
        <v>3.0197576039716916E-5</v>
      </c>
      <c r="J104" s="11"/>
      <c r="K104" s="11"/>
      <c r="M104" s="4"/>
      <c r="N104" s="113"/>
    </row>
    <row r="105" spans="1:16" x14ac:dyDescent="0.25">
      <c r="A105" s="9" t="s">
        <v>3373</v>
      </c>
      <c r="B105" s="292">
        <f t="shared" ca="1" si="23"/>
        <v>1.0478359444194222E-5</v>
      </c>
      <c r="C105" s="292">
        <f t="shared" ca="1" si="23"/>
        <v>1.6417677334013627E-4</v>
      </c>
      <c r="D105" s="292">
        <f t="shared" ca="1" si="23"/>
        <v>4.2475681607525532E-4</v>
      </c>
      <c r="E105" s="292">
        <f t="shared" ca="1" si="23"/>
        <v>6.7102223436023039E-6</v>
      </c>
      <c r="F105" s="292">
        <f t="shared" ca="1" si="23"/>
        <v>6.7102223436023039E-6</v>
      </c>
      <c r="G105" s="292">
        <f t="shared" ca="1" si="23"/>
        <v>3.6000342873426352E-7</v>
      </c>
      <c r="H105" s="292">
        <f t="shared" ca="1" si="23"/>
        <v>6.5816097486832583E-6</v>
      </c>
      <c r="J105" s="11"/>
      <c r="K105" s="11"/>
      <c r="M105" s="4"/>
      <c r="N105" s="113"/>
    </row>
    <row r="106" spans="1:16" x14ac:dyDescent="0.25">
      <c r="A106" s="241" t="s">
        <v>2515</v>
      </c>
      <c r="B106" s="294">
        <f ca="1">SUM(B97:B105)</f>
        <v>9.9992302081365852E-4</v>
      </c>
      <c r="C106" s="294">
        <f t="shared" ref="C106:H106" ca="1" si="24">SUM(C97:C105)</f>
        <v>1.5666969244566935E-2</v>
      </c>
      <c r="D106" s="294">
        <f t="shared" ca="1" si="24"/>
        <v>4.0533455728748551E-2</v>
      </c>
      <c r="E106" s="294">
        <f t="shared" ca="1" si="24"/>
        <v>6.4033934242099225E-4</v>
      </c>
      <c r="F106" s="294">
        <f t="shared" ca="1" si="24"/>
        <v>6.4033934242099225E-4</v>
      </c>
      <c r="G106" s="294">
        <f t="shared" ca="1" si="24"/>
        <v>3.4354205720886232E-5</v>
      </c>
      <c r="H106" s="294">
        <f t="shared" ca="1" si="24"/>
        <v>6.2806617169125641E-4</v>
      </c>
      <c r="M106" s="43"/>
    </row>
    <row r="107" spans="1:16" x14ac:dyDescent="0.25">
      <c r="M107" s="43"/>
    </row>
    <row r="109" spans="1:16" ht="15.75" x14ac:dyDescent="0.25">
      <c r="A109" s="424" t="s">
        <v>3181</v>
      </c>
    </row>
    <row r="110" spans="1:16" ht="15.75" x14ac:dyDescent="0.25">
      <c r="A110" s="424"/>
    </row>
    <row r="111" spans="1:16" ht="15.75" x14ac:dyDescent="0.25">
      <c r="A111" s="424"/>
      <c r="B111" s="917" t="s">
        <v>4174</v>
      </c>
      <c r="C111" s="917"/>
      <c r="D111" s="917"/>
      <c r="E111" s="917"/>
      <c r="F111" s="917"/>
      <c r="G111" s="917"/>
      <c r="H111" s="917"/>
      <c r="I111" s="2" t="s">
        <v>3188</v>
      </c>
    </row>
    <row r="112" spans="1:16" x14ac:dyDescent="0.25">
      <c r="A112" s="44" t="s">
        <v>3182</v>
      </c>
      <c r="B112" s="44" t="s">
        <v>2143</v>
      </c>
      <c r="C112" s="44" t="s">
        <v>2144</v>
      </c>
      <c r="D112" s="517" t="s">
        <v>2145</v>
      </c>
      <c r="E112" s="44" t="s">
        <v>2146</v>
      </c>
      <c r="F112" s="610" t="s">
        <v>2147</v>
      </c>
      <c r="G112" s="44" t="s">
        <v>2148</v>
      </c>
      <c r="H112" s="44" t="s">
        <v>2149</v>
      </c>
      <c r="I112" s="44" t="s">
        <v>21</v>
      </c>
      <c r="N112" s="413" t="s">
        <v>3244</v>
      </c>
    </row>
    <row r="113" spans="1:23" x14ac:dyDescent="0.25">
      <c r="A113" s="2">
        <f>$B$4+I113-1</f>
        <v>2019</v>
      </c>
      <c r="B113" s="608">
        <f t="shared" ref="B113:H119" ca="1" si="25">(B$77-B$106)*$I113*Ep2Ann*365</f>
        <v>96.767175197955495</v>
      </c>
      <c r="C113" s="608">
        <f t="shared" ca="1" si="25"/>
        <v>2.6032886686022594</v>
      </c>
      <c r="D113" s="740">
        <f t="shared" ca="1" si="25"/>
        <v>-6.0466180803121086</v>
      </c>
      <c r="E113" s="608">
        <f t="shared" ca="1" si="25"/>
        <v>28.681536269611144</v>
      </c>
      <c r="F113" s="611">
        <f t="shared" ca="1" si="25"/>
        <v>28.681536269611144</v>
      </c>
      <c r="G113" s="608">
        <f t="shared" ca="1" si="25"/>
        <v>1.0362534966749102</v>
      </c>
      <c r="H113" s="608">
        <f t="shared" ca="1" si="25"/>
        <v>315.21987323552935</v>
      </c>
      <c r="I113" s="2">
        <v>1</v>
      </c>
      <c r="N113" s="413" t="s">
        <v>3021</v>
      </c>
    </row>
    <row r="114" spans="1:23" x14ac:dyDescent="0.25">
      <c r="A114" s="2">
        <f t="shared" ref="A114:A119" si="26">$B$4+I114-1</f>
        <v>2020</v>
      </c>
      <c r="B114" s="608">
        <f t="shared" ca="1" si="25"/>
        <v>193.53435039591099</v>
      </c>
      <c r="C114" s="608">
        <f t="shared" ca="1" si="25"/>
        <v>5.2065773372045188</v>
      </c>
      <c r="D114" s="740">
        <f t="shared" ca="1" si="25"/>
        <v>-12.093236160624217</v>
      </c>
      <c r="E114" s="608">
        <f t="shared" ca="1" si="25"/>
        <v>57.363072539222287</v>
      </c>
      <c r="F114" s="611">
        <f t="shared" ca="1" si="25"/>
        <v>57.363072539222287</v>
      </c>
      <c r="G114" s="608">
        <f t="shared" ca="1" si="25"/>
        <v>2.0725069933498204</v>
      </c>
      <c r="H114" s="608">
        <f t="shared" ca="1" si="25"/>
        <v>630.4397464710587</v>
      </c>
      <c r="I114" s="2">
        <v>2</v>
      </c>
      <c r="N114" s="413" t="s">
        <v>3022</v>
      </c>
    </row>
    <row r="115" spans="1:23" x14ac:dyDescent="0.25">
      <c r="A115" s="2">
        <f t="shared" si="26"/>
        <v>2021</v>
      </c>
      <c r="B115" s="608">
        <f t="shared" ca="1" si="25"/>
        <v>290.30152559386653</v>
      </c>
      <c r="C115" s="608">
        <f t="shared" ca="1" si="25"/>
        <v>7.8098660058067795</v>
      </c>
      <c r="D115" s="740">
        <f t="shared" ca="1" si="25"/>
        <v>-18.139854240936327</v>
      </c>
      <c r="E115" s="608">
        <f t="shared" ca="1" si="25"/>
        <v>86.044608808833431</v>
      </c>
      <c r="F115" s="611">
        <f t="shared" ca="1" si="25"/>
        <v>86.044608808833431</v>
      </c>
      <c r="G115" s="608">
        <f t="shared" ca="1" si="25"/>
        <v>3.1087604900247303</v>
      </c>
      <c r="H115" s="608">
        <f t="shared" ca="1" si="25"/>
        <v>945.65961970658816</v>
      </c>
      <c r="I115" s="2">
        <v>3</v>
      </c>
      <c r="N115" s="413" t="s">
        <v>3023</v>
      </c>
    </row>
    <row r="116" spans="1:23" x14ac:dyDescent="0.25">
      <c r="A116" s="2">
        <f t="shared" si="26"/>
        <v>2022</v>
      </c>
      <c r="B116" s="608">
        <f t="shared" ca="1" si="25"/>
        <v>387.06870079182198</v>
      </c>
      <c r="C116" s="608">
        <f t="shared" ca="1" si="25"/>
        <v>10.413154674409038</v>
      </c>
      <c r="D116" s="740">
        <f t="shared" ca="1" si="25"/>
        <v>-24.186472321248434</v>
      </c>
      <c r="E116" s="608">
        <f t="shared" ca="1" si="25"/>
        <v>114.72614507844457</v>
      </c>
      <c r="F116" s="611">
        <f t="shared" ca="1" si="25"/>
        <v>114.72614507844457</v>
      </c>
      <c r="G116" s="608">
        <f t="shared" ca="1" si="25"/>
        <v>4.1450139866996407</v>
      </c>
      <c r="H116" s="608">
        <f t="shared" ca="1" si="25"/>
        <v>1260.8794929421174</v>
      </c>
      <c r="I116" s="2">
        <v>4</v>
      </c>
      <c r="N116" s="413" t="s">
        <v>3024</v>
      </c>
    </row>
    <row r="117" spans="1:23" x14ac:dyDescent="0.25">
      <c r="A117" s="2">
        <f t="shared" si="26"/>
        <v>2023</v>
      </c>
      <c r="B117" s="608">
        <f t="shared" ca="1" si="25"/>
        <v>483.83587598977749</v>
      </c>
      <c r="C117" s="608">
        <f t="shared" ca="1" si="25"/>
        <v>13.016443343011296</v>
      </c>
      <c r="D117" s="740">
        <f t="shared" ca="1" si="25"/>
        <v>-30.233090401560546</v>
      </c>
      <c r="E117" s="608">
        <f t="shared" ca="1" si="25"/>
        <v>143.40768134805569</v>
      </c>
      <c r="F117" s="611">
        <f t="shared" ca="1" si="25"/>
        <v>143.40768134805569</v>
      </c>
      <c r="G117" s="608">
        <f t="shared" ca="1" si="25"/>
        <v>5.1812674833745511</v>
      </c>
      <c r="H117" s="608">
        <f t="shared" ca="1" si="25"/>
        <v>1576.099366177647</v>
      </c>
      <c r="I117" s="2">
        <v>5</v>
      </c>
    </row>
    <row r="118" spans="1:23" x14ac:dyDescent="0.25">
      <c r="A118" s="2">
        <f t="shared" si="26"/>
        <v>2024</v>
      </c>
      <c r="B118" s="608">
        <f t="shared" ca="1" si="25"/>
        <v>580.60305118773306</v>
      </c>
      <c r="C118" s="608">
        <f t="shared" ca="1" si="25"/>
        <v>15.619732011613559</v>
      </c>
      <c r="D118" s="740">
        <f t="shared" ca="1" si="25"/>
        <v>-36.279708481872653</v>
      </c>
      <c r="E118" s="608">
        <f t="shared" ca="1" si="25"/>
        <v>172.08921761766686</v>
      </c>
      <c r="F118" s="611">
        <f t="shared" ca="1" si="25"/>
        <v>172.08921761766686</v>
      </c>
      <c r="G118" s="608">
        <f t="shared" ca="1" si="25"/>
        <v>6.2175209800494606</v>
      </c>
      <c r="H118" s="608">
        <f t="shared" ca="1" si="25"/>
        <v>1891.3192394131763</v>
      </c>
      <c r="I118" s="2">
        <v>6</v>
      </c>
    </row>
    <row r="119" spans="1:23" x14ac:dyDescent="0.25">
      <c r="A119" s="2">
        <f t="shared" si="26"/>
        <v>2025</v>
      </c>
      <c r="B119" s="608">
        <f t="shared" ca="1" si="25"/>
        <v>677.37022638568851</v>
      </c>
      <c r="C119" s="608">
        <f t="shared" ca="1" si="25"/>
        <v>18.223020680215818</v>
      </c>
      <c r="D119" s="740">
        <f t="shared" ca="1" si="25"/>
        <v>-42.326326562184754</v>
      </c>
      <c r="E119" s="608">
        <f t="shared" ca="1" si="25"/>
        <v>200.770753887278</v>
      </c>
      <c r="F119" s="611">
        <f t="shared" ca="1" si="25"/>
        <v>200.770753887278</v>
      </c>
      <c r="G119" s="608">
        <f t="shared" ca="1" si="25"/>
        <v>7.2537744767243719</v>
      </c>
      <c r="H119" s="608">
        <f t="shared" ca="1" si="25"/>
        <v>2206.5391126487057</v>
      </c>
      <c r="I119" s="2">
        <v>7</v>
      </c>
    </row>
    <row r="122" spans="1:23" ht="15.75" x14ac:dyDescent="0.25">
      <c r="A122" s="424" t="s">
        <v>3248</v>
      </c>
    </row>
    <row r="123" spans="1:23" ht="15.75" thickBot="1" x14ac:dyDescent="0.3"/>
    <row r="124" spans="1:23" ht="16.5" thickBot="1" x14ac:dyDescent="0.3">
      <c r="A124" s="421" t="s">
        <v>2776</v>
      </c>
      <c r="B124" s="725"/>
      <c r="C124" s="726"/>
    </row>
    <row r="125" spans="1:23" ht="15.75" x14ac:dyDescent="0.25">
      <c r="A125" s="627"/>
      <c r="B125" s="627"/>
      <c r="C125" s="627"/>
    </row>
    <row r="126" spans="1:23" x14ac:dyDescent="0.25">
      <c r="A126" t="s">
        <v>3249</v>
      </c>
      <c r="H126" s="667"/>
    </row>
    <row r="127" spans="1:23" x14ac:dyDescent="0.25">
      <c r="A127" s="407" t="str">
        <f>"  - Assume capital recovery rate = "&amp;TEXT(CRR,"0.00%")</f>
        <v xml:space="preserve">  - Assume capital recovery rate = 5.50%</v>
      </c>
      <c r="I127" s="667"/>
      <c r="J127" s="917" t="s">
        <v>3359</v>
      </c>
      <c r="K127" s="917"/>
      <c r="N127" s="1"/>
      <c r="U127" s="1" t="s">
        <v>2783</v>
      </c>
      <c r="W127" s="1"/>
    </row>
    <row r="128" spans="1:23" x14ac:dyDescent="0.25">
      <c r="E128" s="1" t="s">
        <v>3250</v>
      </c>
      <c r="F128" s="917" t="s">
        <v>3307</v>
      </c>
      <c r="G128" s="917"/>
      <c r="H128" s="2" t="s">
        <v>2783</v>
      </c>
      <c r="I128" s="1" t="s">
        <v>2783</v>
      </c>
      <c r="J128" s="917" t="s">
        <v>3376</v>
      </c>
      <c r="K128" s="917"/>
      <c r="N128" s="917" t="s">
        <v>3353</v>
      </c>
      <c r="O128" s="917"/>
      <c r="R128" t="s">
        <v>3289</v>
      </c>
      <c r="T128" s="672" t="s">
        <v>2783</v>
      </c>
      <c r="U128" s="668" t="s">
        <v>2236</v>
      </c>
      <c r="V128" s="20" t="s">
        <v>3255</v>
      </c>
      <c r="W128" s="2" t="s">
        <v>3300</v>
      </c>
    </row>
    <row r="129" spans="1:24" x14ac:dyDescent="0.25">
      <c r="A129" s="9" t="s">
        <v>2463</v>
      </c>
      <c r="B129" s="9"/>
      <c r="C129" s="9"/>
      <c r="D129" s="701" t="s">
        <v>3251</v>
      </c>
      <c r="E129" s="701" t="s">
        <v>2794</v>
      </c>
      <c r="F129" s="701" t="s">
        <v>3308</v>
      </c>
      <c r="G129" s="701" t="s">
        <v>3281</v>
      </c>
      <c r="H129" s="44" t="s">
        <v>3252</v>
      </c>
      <c r="I129" s="701" t="s">
        <v>3253</v>
      </c>
      <c r="J129" s="701" t="s">
        <v>4175</v>
      </c>
      <c r="K129" s="701" t="s">
        <v>2783</v>
      </c>
      <c r="L129" s="918" t="s">
        <v>1889</v>
      </c>
      <c r="M129" s="918"/>
      <c r="N129" s="743" t="s">
        <v>2460</v>
      </c>
      <c r="O129" s="701" t="s">
        <v>2072</v>
      </c>
      <c r="P129" s="9" t="s">
        <v>3286</v>
      </c>
      <c r="Q129" s="9"/>
      <c r="R129" s="701" t="s">
        <v>3252</v>
      </c>
      <c r="S129" s="9" t="s">
        <v>2072</v>
      </c>
      <c r="T129" s="809" t="s">
        <v>3254</v>
      </c>
      <c r="U129" s="810" t="s">
        <v>3252</v>
      </c>
      <c r="V129" s="811" t="s">
        <v>2793</v>
      </c>
      <c r="W129" s="44" t="s">
        <v>2783</v>
      </c>
      <c r="X129" s="701" t="s">
        <v>3378</v>
      </c>
    </row>
    <row r="130" spans="1:24" x14ac:dyDescent="0.25">
      <c r="A130" t="s">
        <v>2879</v>
      </c>
      <c r="D130">
        <f>CostData!$E$55</f>
        <v>40</v>
      </c>
      <c r="E130" s="290">
        <f t="shared" ref="E130:E138" si="27">(CRR*(1+CRR)^D130)/((1+CRR)^D130-1)</f>
        <v>6.2320343360637943E-2</v>
      </c>
      <c r="F130" s="666">
        <f>CostData!$E$25</f>
        <v>2333</v>
      </c>
      <c r="G130" s="666">
        <f>CostData!$F$25</f>
        <v>9467</v>
      </c>
      <c r="H130" s="666">
        <f>(F130+G130)*E130</f>
        <v>735.38005165552772</v>
      </c>
      <c r="I130" s="664">
        <f>CostData!$E$42</f>
        <v>165</v>
      </c>
      <c r="J130" s="11">
        <f ca="1">D39</f>
        <v>0.72934591219963774</v>
      </c>
      <c r="K130" s="43">
        <f t="shared" ref="K130:K138" ca="1" si="28">J130*Ep2Ann*365</f>
        <v>128.47035974939092</v>
      </c>
      <c r="L130" t="s">
        <v>3285</v>
      </c>
      <c r="N130" s="679">
        <f>CostData!$S$6</f>
        <v>12.10691595953868</v>
      </c>
      <c r="O130" s="411" t="s">
        <v>2584</v>
      </c>
      <c r="P130" s="107">
        <f ca="1">K130/N130</f>
        <v>10.611320023921776</v>
      </c>
      <c r="Q130" t="s">
        <v>3377</v>
      </c>
      <c r="R130" s="674">
        <f>CostData!$I$17</f>
        <v>97.493713954151573</v>
      </c>
      <c r="S130" s="411" t="s">
        <v>2584</v>
      </c>
      <c r="T130" s="664">
        <f ca="1">R130*P130</f>
        <v>1034.5369990881904</v>
      </c>
      <c r="U130" s="666">
        <f ca="1">H130+I130+T130</f>
        <v>1934.9170507437182</v>
      </c>
      <c r="V130" s="114">
        <f ca="1">H39</f>
        <v>41</v>
      </c>
      <c r="W130" s="664">
        <f ca="1">V130*U130</f>
        <v>79331.599080492451</v>
      </c>
      <c r="X130" s="676">
        <f t="shared" ref="X130:X138" ca="1" si="29">W130/WinterDays</f>
        <v>440.73110600273583</v>
      </c>
    </row>
    <row r="131" spans="1:24" x14ac:dyDescent="0.25">
      <c r="A131" t="s">
        <v>3355</v>
      </c>
      <c r="D131">
        <f>CostData!$E$56</f>
        <v>20</v>
      </c>
      <c r="E131" s="290">
        <f t="shared" si="27"/>
        <v>8.3679330034933205E-2</v>
      </c>
      <c r="F131" s="666">
        <f>CostData!$E$25+CostData!$E$26</f>
        <v>4800</v>
      </c>
      <c r="G131" s="666">
        <f>CostData!$F$25+CostData!$F$26</f>
        <v>11234</v>
      </c>
      <c r="H131" s="666">
        <f t="shared" ref="H131:H138" si="30">(F131+G131)*E131</f>
        <v>1341.7143777801191</v>
      </c>
      <c r="I131" s="664">
        <f>CostData!$E$43</f>
        <v>100</v>
      </c>
      <c r="J131" s="11">
        <f ca="1">D40</f>
        <v>0.3610755081001325</v>
      </c>
      <c r="K131" s="43">
        <f t="shared" ca="1" si="28"/>
        <v>63.601508757919632</v>
      </c>
      <c r="L131" t="s">
        <v>3285</v>
      </c>
      <c r="N131" s="679">
        <f>CostData!$S$6</f>
        <v>12.10691595953868</v>
      </c>
      <c r="O131" s="411" t="s">
        <v>2584</v>
      </c>
      <c r="P131" s="107">
        <f t="shared" ref="P131:P138" ca="1" si="31">K131/N131</f>
        <v>5.2533204137598632</v>
      </c>
      <c r="Q131" t="s">
        <v>3377</v>
      </c>
      <c r="R131" s="674">
        <f>CostData!$I$17</f>
        <v>97.493713954151573</v>
      </c>
      <c r="S131" s="411" t="s">
        <v>2584</v>
      </c>
      <c r="T131" s="664">
        <f t="shared" ref="T131:T138" ca="1" si="32">R131*P131</f>
        <v>512.16571772860925</v>
      </c>
      <c r="U131" s="666">
        <f t="shared" ref="U131:U138" ca="1" si="33">H131+I131+T131</f>
        <v>1953.8800955087283</v>
      </c>
      <c r="V131" s="114">
        <f t="shared" ref="V131:V138" ca="1" si="34">H40</f>
        <v>11</v>
      </c>
      <c r="W131" s="664">
        <f t="shared" ref="W131:W138" ca="1" si="35">V131*U131</f>
        <v>21492.681050596013</v>
      </c>
      <c r="X131" s="676">
        <f t="shared" ca="1" si="29"/>
        <v>119.4037836144223</v>
      </c>
    </row>
    <row r="132" spans="1:24" x14ac:dyDescent="0.25">
      <c r="A132" t="s">
        <v>3374</v>
      </c>
      <c r="D132">
        <f>CostData!$E$57</f>
        <v>20</v>
      </c>
      <c r="E132" s="290">
        <f t="shared" si="27"/>
        <v>8.3679330034933205E-2</v>
      </c>
      <c r="F132" s="666">
        <f>CostData!$E$25+CostData!$E$27</f>
        <v>5726</v>
      </c>
      <c r="G132" s="666">
        <f>CostData!$F$25+CostData!$F$27</f>
        <v>12067</v>
      </c>
      <c r="H132" s="666">
        <f t="shared" si="30"/>
        <v>1488.9063193115664</v>
      </c>
      <c r="I132" s="664">
        <f>CostData!$E$44</f>
        <v>75</v>
      </c>
      <c r="J132" s="11">
        <f ca="1">D41</f>
        <v>0.3066391583278959</v>
      </c>
      <c r="K132" s="43">
        <f t="shared" ca="1" si="28"/>
        <v>54.012838523803552</v>
      </c>
      <c r="L132" t="s">
        <v>3285</v>
      </c>
      <c r="N132" s="679">
        <f>CostData!$S$6</f>
        <v>12.10691595953868</v>
      </c>
      <c r="O132" s="411" t="s">
        <v>2584</v>
      </c>
      <c r="P132" s="107">
        <f t="shared" ca="1" si="31"/>
        <v>4.4613210089435231</v>
      </c>
      <c r="Q132" t="s">
        <v>3377</v>
      </c>
      <c r="R132" s="674">
        <f>CostData!$I$17</f>
        <v>97.493713954151573</v>
      </c>
      <c r="S132" s="411" t="s">
        <v>2584</v>
      </c>
      <c r="T132" s="664">
        <f t="shared" ca="1" si="32"/>
        <v>434.95075430358673</v>
      </c>
      <c r="U132" s="666">
        <f t="shared" ca="1" si="33"/>
        <v>1998.8570736151532</v>
      </c>
      <c r="V132" s="114">
        <f t="shared" ca="1" si="34"/>
        <v>42</v>
      </c>
      <c r="W132" s="664">
        <f t="shared" ca="1" si="35"/>
        <v>83951.997091836442</v>
      </c>
      <c r="X132" s="676">
        <f t="shared" ca="1" si="29"/>
        <v>466.39998384353578</v>
      </c>
    </row>
    <row r="133" spans="1:24" x14ac:dyDescent="0.25">
      <c r="A133" t="s">
        <v>3356</v>
      </c>
      <c r="D133">
        <f>CostData!$E$60</f>
        <v>20</v>
      </c>
      <c r="E133" s="290">
        <f t="shared" si="27"/>
        <v>8.3679330034933205E-2</v>
      </c>
      <c r="F133" s="666">
        <f>CostData!$E$30</f>
        <v>3000</v>
      </c>
      <c r="G133" s="666">
        <f>CostData!$F$30</f>
        <v>2517</v>
      </c>
      <c r="H133" s="666">
        <f t="shared" si="30"/>
        <v>461.6588638027265</v>
      </c>
      <c r="I133" s="664">
        <f>CostData!$E$47</f>
        <v>75</v>
      </c>
      <c r="J133" s="11">
        <f ca="1">D42</f>
        <v>0.49786599897004863</v>
      </c>
      <c r="K133" s="43">
        <f t="shared" ca="1" si="28"/>
        <v>87.696418016208099</v>
      </c>
      <c r="L133" t="s">
        <v>3285</v>
      </c>
      <c r="N133" s="679">
        <f>CostData!$S$6</f>
        <v>12.10691595953868</v>
      </c>
      <c r="O133" s="411" t="s">
        <v>2584</v>
      </c>
      <c r="P133" s="107">
        <f t="shared" ca="1" si="31"/>
        <v>7.2434977090193389</v>
      </c>
      <c r="Q133" t="s">
        <v>3377</v>
      </c>
      <c r="R133" s="674">
        <f>CostData!$I$17</f>
        <v>97.493713954151573</v>
      </c>
      <c r="S133" s="411" t="s">
        <v>2584</v>
      </c>
      <c r="T133" s="664">
        <f t="shared" ca="1" si="32"/>
        <v>706.19549367068362</v>
      </c>
      <c r="U133" s="666">
        <f t="shared" ca="1" si="33"/>
        <v>1242.8543574734101</v>
      </c>
      <c r="V133" s="114">
        <f t="shared" ca="1" si="34"/>
        <v>163</v>
      </c>
      <c r="W133" s="664">
        <f t="shared" ca="1" si="35"/>
        <v>202585.26026816585</v>
      </c>
      <c r="X133" s="676">
        <f t="shared" ca="1" si="29"/>
        <v>1125.4736681564768</v>
      </c>
    </row>
    <row r="134" spans="1:24" x14ac:dyDescent="0.25">
      <c r="A134" t="s">
        <v>3354</v>
      </c>
      <c r="D134">
        <f>CostData!$E$60</f>
        <v>20</v>
      </c>
      <c r="E134" s="290">
        <f t="shared" si="27"/>
        <v>8.3679330034933205E-2</v>
      </c>
      <c r="F134" s="666">
        <f>CostData!$E$30</f>
        <v>3000</v>
      </c>
      <c r="G134" s="666">
        <f>CostData!$F$30</f>
        <v>2517</v>
      </c>
      <c r="H134" s="666">
        <f t="shared" si="30"/>
        <v>461.6588638027265</v>
      </c>
      <c r="I134" s="664">
        <f>CostData!$E$49</f>
        <v>50</v>
      </c>
      <c r="J134" s="11">
        <f ca="1">D43</f>
        <v>0.42301718077379757</v>
      </c>
      <c r="K134" s="43">
        <f t="shared" ca="1" si="28"/>
        <v>74.512201254797006</v>
      </c>
      <c r="L134" t="s">
        <v>3285</v>
      </c>
      <c r="N134" s="679">
        <f>CostData!$S$6</f>
        <v>12.10691595953868</v>
      </c>
      <c r="O134" s="411" t="s">
        <v>2584</v>
      </c>
      <c r="P134" s="107">
        <f t="shared" ca="1" si="31"/>
        <v>6.1545154442152583</v>
      </c>
      <c r="Q134" t="s">
        <v>3377</v>
      </c>
      <c r="R134" s="674">
        <f>CostData!$I$17</f>
        <v>97.493713954151573</v>
      </c>
      <c r="S134" s="411" t="s">
        <v>2584</v>
      </c>
      <c r="T134" s="664">
        <f t="shared" ca="1" si="32"/>
        <v>600.02656824473047</v>
      </c>
      <c r="U134" s="666">
        <f t="shared" ca="1" si="33"/>
        <v>1111.685432047457</v>
      </c>
      <c r="V134" s="114">
        <f t="shared" ca="1" si="34"/>
        <v>647</v>
      </c>
      <c r="W134" s="664">
        <f t="shared" ca="1" si="35"/>
        <v>719260.4745347047</v>
      </c>
      <c r="X134" s="676">
        <f t="shared" ca="1" si="29"/>
        <v>3995.8915251928038</v>
      </c>
    </row>
    <row r="135" spans="1:24" x14ac:dyDescent="0.25">
      <c r="A135" t="s">
        <v>4244</v>
      </c>
      <c r="D135">
        <f>CostData!$E$62</f>
        <v>20</v>
      </c>
      <c r="E135" s="290">
        <f t="shared" si="27"/>
        <v>8.3679330034933205E-2</v>
      </c>
      <c r="F135" s="666">
        <f>CostData!$E$32</f>
        <v>3867</v>
      </c>
      <c r="G135" s="666">
        <f>CostData!$F$32</f>
        <v>2233</v>
      </c>
      <c r="H135" s="666">
        <f t="shared" ref="H135:H136" si="36">(F135+G135)*E135</f>
        <v>510.44391321309257</v>
      </c>
      <c r="I135" s="664">
        <f>CostData!$E$49</f>
        <v>50</v>
      </c>
      <c r="J135" s="11">
        <f t="shared" ref="J135:J136" ca="1" si="37">D44</f>
        <v>0.65777207899735457</v>
      </c>
      <c r="K135" s="43">
        <f t="shared" ref="K135:K136" ca="1" si="38">J135*Ep2Ann*365</f>
        <v>115.86301398062037</v>
      </c>
      <c r="L135" t="s">
        <v>2295</v>
      </c>
      <c r="N135" s="679">
        <f>CostData!$S$9</f>
        <v>16</v>
      </c>
      <c r="O135" s="411" t="s">
        <v>2584</v>
      </c>
      <c r="P135" s="107">
        <f t="shared" ref="P135:P136" ca="1" si="39">K135/N135</f>
        <v>7.2414383737887729</v>
      </c>
      <c r="Q135" t="s">
        <v>3377</v>
      </c>
      <c r="R135" s="674">
        <f>CostData!$E$12</f>
        <v>272</v>
      </c>
      <c r="S135" s="411" t="s">
        <v>2584</v>
      </c>
      <c r="T135" s="664">
        <f t="shared" ref="T135:T136" ca="1" si="40">R135*P135</f>
        <v>1969.6712376705461</v>
      </c>
      <c r="U135" s="666">
        <f t="shared" ref="U135:U136" ca="1" si="41">H135+I135+T135</f>
        <v>2530.1151508836388</v>
      </c>
      <c r="V135" s="114">
        <f t="shared" ca="1" si="34"/>
        <v>13</v>
      </c>
      <c r="W135" s="664">
        <f t="shared" ref="W135:W136" ca="1" si="42">V135*U135</f>
        <v>32891.496961487304</v>
      </c>
      <c r="X135" s="676">
        <f t="shared" ref="X135:X136" ca="1" si="43">W135/WinterDays</f>
        <v>182.73053867492948</v>
      </c>
    </row>
    <row r="136" spans="1:24" x14ac:dyDescent="0.25">
      <c r="A136" t="s">
        <v>4245</v>
      </c>
      <c r="D136">
        <f>CostData!$E$62</f>
        <v>20</v>
      </c>
      <c r="E136" s="290">
        <f t="shared" si="27"/>
        <v>8.3679330034933205E-2</v>
      </c>
      <c r="F136" s="666">
        <f>CostData!$E$32</f>
        <v>3867</v>
      </c>
      <c r="G136" s="666">
        <f>CostData!$F$32</f>
        <v>2233</v>
      </c>
      <c r="H136" s="666">
        <f t="shared" si="36"/>
        <v>510.44391321309257</v>
      </c>
      <c r="I136" s="664">
        <f>CostData!$E$49</f>
        <v>50</v>
      </c>
      <c r="J136" s="11">
        <f t="shared" ca="1" si="37"/>
        <v>0.55866185811647306</v>
      </c>
      <c r="K136" s="43">
        <f t="shared" ca="1" si="38"/>
        <v>98.405281622859192</v>
      </c>
      <c r="L136" t="s">
        <v>2295</v>
      </c>
      <c r="N136" s="679">
        <f>CostData!$S$9</f>
        <v>16</v>
      </c>
      <c r="O136" s="411" t="s">
        <v>2584</v>
      </c>
      <c r="P136" s="107">
        <f t="shared" ca="1" si="39"/>
        <v>6.1503301014286995</v>
      </c>
      <c r="Q136" t="s">
        <v>3377</v>
      </c>
      <c r="R136" s="674">
        <f>CostData!$E$12</f>
        <v>272</v>
      </c>
      <c r="S136" s="411" t="s">
        <v>2584</v>
      </c>
      <c r="T136" s="664">
        <f t="shared" ca="1" si="40"/>
        <v>1672.8897875886062</v>
      </c>
      <c r="U136" s="666">
        <f t="shared" ca="1" si="41"/>
        <v>2233.3337008016988</v>
      </c>
      <c r="V136" s="114">
        <f t="shared" ca="1" si="34"/>
        <v>79</v>
      </c>
      <c r="W136" s="664">
        <f t="shared" ca="1" si="42"/>
        <v>176433.36236333419</v>
      </c>
      <c r="X136" s="676">
        <f t="shared" ca="1" si="43"/>
        <v>980.18534646296769</v>
      </c>
    </row>
    <row r="137" spans="1:24" x14ac:dyDescent="0.25">
      <c r="A137" t="s">
        <v>3357</v>
      </c>
      <c r="D137">
        <f>CostData!$E$61</f>
        <v>30</v>
      </c>
      <c r="E137" s="290">
        <f t="shared" si="27"/>
        <v>6.8805389679389581E-2</v>
      </c>
      <c r="F137" s="666">
        <f>CostData!$E$31</f>
        <v>6250</v>
      </c>
      <c r="G137" s="666">
        <f>CostData!$F$31</f>
        <v>9000</v>
      </c>
      <c r="H137" s="666">
        <f t="shared" si="30"/>
        <v>1049.282192610691</v>
      </c>
      <c r="I137" s="664">
        <f>CostData!$E$48</f>
        <v>50</v>
      </c>
      <c r="J137" s="11">
        <f ca="1">D46</f>
        <v>1.4823455584471199</v>
      </c>
      <c r="K137" s="43">
        <f t="shared" ca="1" si="28"/>
        <v>261.10719753302249</v>
      </c>
      <c r="L137" t="s">
        <v>3285</v>
      </c>
      <c r="N137" s="679">
        <f>CostData!$S$6</f>
        <v>12.10691595953868</v>
      </c>
      <c r="O137" s="411" t="s">
        <v>2584</v>
      </c>
      <c r="P137" s="107">
        <f t="shared" ca="1" si="31"/>
        <v>21.56678037624469</v>
      </c>
      <c r="Q137" t="s">
        <v>3377</v>
      </c>
      <c r="R137" s="674">
        <f>CostData!$I$17</f>
        <v>97.493713954151573</v>
      </c>
      <c r="S137" s="411" t="s">
        <v>2584</v>
      </c>
      <c r="T137" s="664">
        <f t="shared" ca="1" si="32"/>
        <v>2102.6255169136093</v>
      </c>
      <c r="U137" s="666">
        <f t="shared" ca="1" si="33"/>
        <v>3201.9077095243001</v>
      </c>
      <c r="V137" s="114">
        <f t="shared" ca="1" si="34"/>
        <v>23</v>
      </c>
      <c r="W137" s="664">
        <f t="shared" ca="1" si="35"/>
        <v>73643.877319058898</v>
      </c>
      <c r="X137" s="676">
        <f t="shared" ca="1" si="29"/>
        <v>409.13265177254942</v>
      </c>
    </row>
    <row r="138" spans="1:24" x14ac:dyDescent="0.25">
      <c r="A138" s="9" t="s">
        <v>3375</v>
      </c>
      <c r="B138" s="9"/>
      <c r="C138" s="9"/>
      <c r="D138" s="9">
        <f>CostData!$E$61</f>
        <v>30</v>
      </c>
      <c r="E138" s="292">
        <f t="shared" si="27"/>
        <v>6.8805389679389581E-2</v>
      </c>
      <c r="F138" s="703">
        <f>CostData!$E$31</f>
        <v>6250</v>
      </c>
      <c r="G138" s="703">
        <f>CostData!$F$31</f>
        <v>9000</v>
      </c>
      <c r="H138" s="703">
        <f t="shared" si="30"/>
        <v>1049.282192610691</v>
      </c>
      <c r="I138" s="704">
        <f>CostData!$E$48</f>
        <v>50</v>
      </c>
      <c r="J138" s="514">
        <f ca="1">D47</f>
        <v>1.4861660366905403</v>
      </c>
      <c r="K138" s="513">
        <f t="shared" ca="1" si="28"/>
        <v>261.78015422769522</v>
      </c>
      <c r="L138" s="9" t="s">
        <v>3285</v>
      </c>
      <c r="M138" s="9"/>
      <c r="N138" s="705">
        <f>CostData!$S$6</f>
        <v>12.10691595953868</v>
      </c>
      <c r="O138" s="706" t="s">
        <v>2584</v>
      </c>
      <c r="P138" s="639">
        <f t="shared" ca="1" si="31"/>
        <v>21.622364861750476</v>
      </c>
      <c r="Q138" s="9" t="s">
        <v>3377</v>
      </c>
      <c r="R138" s="707">
        <f>CostData!$I$17</f>
        <v>97.493713954151573</v>
      </c>
      <c r="S138" s="706" t="s">
        <v>2584</v>
      </c>
      <c r="T138" s="704">
        <f t="shared" ca="1" si="32"/>
        <v>2108.044654843799</v>
      </c>
      <c r="U138" s="703">
        <f t="shared" ca="1" si="33"/>
        <v>3207.3268474544902</v>
      </c>
      <c r="V138" s="245">
        <f t="shared" ca="1" si="34"/>
        <v>5</v>
      </c>
      <c r="W138" s="704">
        <f t="shared" ca="1" si="35"/>
        <v>16036.63423727245</v>
      </c>
      <c r="X138" s="704">
        <f t="shared" ca="1" si="29"/>
        <v>89.092412429291386</v>
      </c>
    </row>
    <row r="139" spans="1:24" x14ac:dyDescent="0.25">
      <c r="A139" s="1" t="s">
        <v>2462</v>
      </c>
      <c r="V139" s="114">
        <f ca="1">SUM(V130:V138)</f>
        <v>1024</v>
      </c>
      <c r="W139" s="664">
        <f ca="1">SUM(W130:W137)</f>
        <v>1389590.7486696758</v>
      </c>
      <c r="X139" s="664">
        <f ca="1">SUM(X130:X137)</f>
        <v>7719.9486037204206</v>
      </c>
    </row>
    <row r="140" spans="1:24" ht="15.75" thickBot="1" x14ac:dyDescent="0.3"/>
    <row r="141" spans="1:24" ht="16.5" thickBot="1" x14ac:dyDescent="0.3">
      <c r="A141" s="421" t="s">
        <v>2792</v>
      </c>
      <c r="B141" s="725"/>
      <c r="C141" s="726"/>
    </row>
    <row r="143" spans="1:24" x14ac:dyDescent="0.25">
      <c r="A143" s="407" t="str">
        <f>"  - Assume capital recovery rate = "&amp;TEXT(CRR,"0.00%")</f>
        <v xml:space="preserve">  - Assume capital recovery rate = 5.50%</v>
      </c>
      <c r="I143" s="667"/>
      <c r="J143" s="917" t="s">
        <v>3359</v>
      </c>
      <c r="K143" s="917"/>
      <c r="N143" s="1"/>
      <c r="U143" s="1" t="s">
        <v>2783</v>
      </c>
      <c r="W143" s="1"/>
    </row>
    <row r="144" spans="1:24" x14ac:dyDescent="0.25">
      <c r="E144" s="1" t="s">
        <v>3250</v>
      </c>
      <c r="F144" s="917" t="s">
        <v>3307</v>
      </c>
      <c r="G144" s="917"/>
      <c r="H144" s="2" t="s">
        <v>2783</v>
      </c>
      <c r="I144" s="2" t="s">
        <v>2783</v>
      </c>
      <c r="J144" s="917" t="s">
        <v>3376</v>
      </c>
      <c r="K144" s="917"/>
      <c r="N144" s="917" t="s">
        <v>3353</v>
      </c>
      <c r="O144" s="917"/>
      <c r="R144" t="s">
        <v>3289</v>
      </c>
      <c r="T144" s="672" t="s">
        <v>2783</v>
      </c>
      <c r="U144" s="668" t="s">
        <v>2236</v>
      </c>
      <c r="V144" s="672" t="s">
        <v>3255</v>
      </c>
      <c r="W144" t="s">
        <v>3300</v>
      </c>
    </row>
    <row r="145" spans="1:26" x14ac:dyDescent="0.25">
      <c r="A145" s="9" t="s">
        <v>2463</v>
      </c>
      <c r="B145" s="9"/>
      <c r="C145" s="9"/>
      <c r="D145" s="701" t="s">
        <v>3251</v>
      </c>
      <c r="E145" s="701" t="s">
        <v>2794</v>
      </c>
      <c r="F145" s="701" t="s">
        <v>3308</v>
      </c>
      <c r="G145" s="701" t="s">
        <v>3281</v>
      </c>
      <c r="H145" s="44" t="s">
        <v>3252</v>
      </c>
      <c r="I145" s="44" t="s">
        <v>3253</v>
      </c>
      <c r="J145" s="701" t="s">
        <v>4175</v>
      </c>
      <c r="K145" s="701" t="s">
        <v>2783</v>
      </c>
      <c r="L145" s="918" t="s">
        <v>1889</v>
      </c>
      <c r="M145" s="918"/>
      <c r="N145" s="743" t="s">
        <v>2460</v>
      </c>
      <c r="O145" s="701" t="s">
        <v>2072</v>
      </c>
      <c r="P145" s="9" t="s">
        <v>3286</v>
      </c>
      <c r="Q145" s="9"/>
      <c r="R145" s="701" t="s">
        <v>3252</v>
      </c>
      <c r="S145" s="9" t="s">
        <v>2072</v>
      </c>
      <c r="T145" s="809" t="s">
        <v>3254</v>
      </c>
      <c r="U145" s="810" t="s">
        <v>3252</v>
      </c>
      <c r="V145" s="809" t="s">
        <v>2793</v>
      </c>
      <c r="W145" s="701" t="s">
        <v>2783</v>
      </c>
      <c r="X145" s="701" t="s">
        <v>3378</v>
      </c>
    </row>
    <row r="146" spans="1:26" x14ac:dyDescent="0.25">
      <c r="A146" t="s">
        <v>3379</v>
      </c>
      <c r="D146">
        <f>CostData!E63</f>
        <v>30</v>
      </c>
      <c r="E146" s="290">
        <f>(CRR*(1+CRR)^D146)/((1+CRR)^D146-1)</f>
        <v>6.8805389679389581E-2</v>
      </c>
      <c r="F146" s="666">
        <f>CostData!E33</f>
        <v>5860</v>
      </c>
      <c r="G146" s="666">
        <f>CostData!F33</f>
        <v>1969</v>
      </c>
      <c r="H146" s="666">
        <f>(F146+G146)*E146</f>
        <v>538.677395799941</v>
      </c>
      <c r="I146" s="699">
        <f>CostData!E50</f>
        <v>75</v>
      </c>
      <c r="J146" s="700">
        <f ca="1">F93</f>
        <v>0.36761573441292833</v>
      </c>
      <c r="K146" s="43">
        <f ca="1">J146*WinterDays</f>
        <v>66.170832194327105</v>
      </c>
      <c r="L146" s="117" t="s">
        <v>3380</v>
      </c>
      <c r="M146" s="2"/>
      <c r="N146" s="692">
        <f>CostData!$S$12/10^6</f>
        <v>0.13500000000000001</v>
      </c>
      <c r="O146" s="14" t="str">
        <f>CostData!$F$9</f>
        <v>/gal</v>
      </c>
      <c r="P146" s="107">
        <f ca="1">K146/N146</f>
        <v>490.15431255057109</v>
      </c>
      <c r="Q146" t="s">
        <v>3381</v>
      </c>
      <c r="R146" s="674">
        <f ca="1">HLOOKUP($B$4,CostData!$G$8:$L$9,2,FALSE)</f>
        <v>2.8910476436685228</v>
      </c>
      <c r="S146" s="674" t="str">
        <f>CostData!F9</f>
        <v>/gal</v>
      </c>
      <c r="T146" s="664">
        <f ca="1">R146*P146</f>
        <v>1417.0594703332931</v>
      </c>
      <c r="U146" s="666">
        <f ca="1">H146+I146+T146</f>
        <v>2030.7368661332341</v>
      </c>
      <c r="V146" s="114">
        <f ca="1">C93</f>
        <v>1024</v>
      </c>
      <c r="W146" s="664">
        <f ca="1">V146*U146</f>
        <v>2079474.5509204317</v>
      </c>
      <c r="X146" s="676">
        <f ca="1">W146/WinterDays</f>
        <v>11552.636394002398</v>
      </c>
    </row>
    <row r="148" spans="1:26" x14ac:dyDescent="0.25">
      <c r="B148" s="2" t="s">
        <v>2783</v>
      </c>
      <c r="C148" s="2" t="s">
        <v>2783</v>
      </c>
      <c r="H148" s="667"/>
    </row>
    <row r="149" spans="1:26" x14ac:dyDescent="0.25">
      <c r="B149" s="2" t="s">
        <v>19</v>
      </c>
      <c r="C149" s="2" t="s">
        <v>3281</v>
      </c>
      <c r="I149" s="667"/>
      <c r="M149" s="1"/>
      <c r="O149" s="1"/>
    </row>
    <row r="150" spans="1:26" x14ac:dyDescent="0.25">
      <c r="B150" s="520" t="s">
        <v>3252</v>
      </c>
      <c r="C150" s="520" t="s">
        <v>3252</v>
      </c>
      <c r="H150" s="1"/>
      <c r="I150" s="1"/>
      <c r="J150" s="1"/>
      <c r="K150" s="1"/>
      <c r="L150" s="622"/>
      <c r="M150" s="668"/>
      <c r="N150" s="622"/>
      <c r="O150" s="1"/>
      <c r="Q150" s="407"/>
    </row>
    <row r="151" spans="1:26" x14ac:dyDescent="0.25">
      <c r="B151" s="2" t="s">
        <v>4348</v>
      </c>
      <c r="C151" s="2" t="s">
        <v>4348</v>
      </c>
      <c r="F151" s="2"/>
      <c r="G151" s="2"/>
      <c r="H151" s="1"/>
      <c r="I151" s="1"/>
      <c r="J151" s="1"/>
      <c r="K151" s="1"/>
      <c r="L151" s="622"/>
      <c r="M151" s="668"/>
      <c r="N151" s="622"/>
      <c r="O151" s="1"/>
      <c r="Q151" s="407"/>
    </row>
    <row r="152" spans="1:26" x14ac:dyDescent="0.25">
      <c r="B152" s="169" t="s">
        <v>2623</v>
      </c>
      <c r="C152" s="169" t="s">
        <v>2623</v>
      </c>
      <c r="F152" s="2"/>
      <c r="G152" s="2"/>
      <c r="H152" s="1"/>
      <c r="I152" s="1"/>
      <c r="J152" s="1"/>
      <c r="K152" s="1"/>
      <c r="L152" s="622"/>
      <c r="M152" s="668"/>
      <c r="N152" s="622"/>
      <c r="O152" s="1"/>
      <c r="Q152" s="407"/>
    </row>
    <row r="153" spans="1:26" x14ac:dyDescent="0.25">
      <c r="B153" s="666">
        <f>IF(B152="Low",CostData!$W$11,IF(B152="Medium",CostData!$W$12,IF(B152="High",CostData!$W$13,0)))</f>
        <v>4183.9665017466605</v>
      </c>
      <c r="C153" s="666">
        <f>IF(C152="Low",CostData!$W$27,IF(C152="Medium",CostData!$W$28,IF(C152="High",CostData!$W$29,0)))</f>
        <v>35407.25</v>
      </c>
      <c r="F153" s="665"/>
      <c r="G153" s="665"/>
      <c r="H153" s="665"/>
      <c r="I153" s="665"/>
      <c r="J153" s="665"/>
      <c r="L153" s="671"/>
      <c r="M153" s="669"/>
      <c r="N153" s="671"/>
      <c r="O153" s="665"/>
      <c r="Q153" s="407"/>
      <c r="Z153" s="420"/>
    </row>
    <row r="154" spans="1:26" x14ac:dyDescent="0.25">
      <c r="F154" s="665"/>
      <c r="G154" s="665"/>
      <c r="H154" s="665"/>
      <c r="I154" s="665"/>
      <c r="J154" s="665"/>
      <c r="L154" s="671"/>
      <c r="M154" s="669"/>
      <c r="N154" s="671"/>
      <c r="O154" s="665"/>
      <c r="Q154" s="407"/>
      <c r="Z154" s="420"/>
    </row>
    <row r="155" spans="1:26" x14ac:dyDescent="0.25">
      <c r="A155" s="241" t="s">
        <v>3256</v>
      </c>
      <c r="F155" s="665"/>
      <c r="G155" s="665"/>
      <c r="H155" s="665"/>
      <c r="I155" s="665"/>
      <c r="J155" s="665"/>
      <c r="L155" s="671"/>
      <c r="M155" s="669"/>
      <c r="N155" s="671"/>
      <c r="O155" s="665"/>
      <c r="Q155" s="407"/>
      <c r="Z155" s="420"/>
    </row>
    <row r="156" spans="1:26" x14ac:dyDescent="0.25">
      <c r="F156" s="666"/>
      <c r="G156" s="666"/>
      <c r="H156" s="666"/>
      <c r="I156" s="664"/>
      <c r="J156" s="7"/>
      <c r="M156" s="666"/>
      <c r="Z156" s="420"/>
    </row>
    <row r="157" spans="1:26" x14ac:dyDescent="0.25">
      <c r="A157" t="s">
        <v>3304</v>
      </c>
      <c r="C157" s="676">
        <f ca="1">W139</f>
        <v>1389590.7486696758</v>
      </c>
      <c r="D157" s="411" t="s">
        <v>3358</v>
      </c>
      <c r="F157" s="666"/>
      <c r="G157" s="666"/>
      <c r="H157" s="666"/>
      <c r="I157" s="664"/>
      <c r="M157" s="666"/>
      <c r="Z157" s="420"/>
    </row>
    <row r="158" spans="1:26" x14ac:dyDescent="0.25">
      <c r="A158" t="s">
        <v>3312</v>
      </c>
      <c r="C158" s="693">
        <f ca="1">C157/WinterDays</f>
        <v>7719.9486037204206</v>
      </c>
      <c r="D158" s="411" t="s">
        <v>4171</v>
      </c>
      <c r="F158" s="666"/>
      <c r="G158" s="666"/>
      <c r="H158" s="666"/>
      <c r="I158" s="664"/>
      <c r="M158" s="666"/>
      <c r="W158" s="411"/>
      <c r="Z158" s="420"/>
    </row>
    <row r="159" spans="1:26" x14ac:dyDescent="0.25">
      <c r="B159" s="411"/>
      <c r="C159" s="688"/>
      <c r="D159" s="411"/>
      <c r="F159" s="666"/>
      <c r="G159" s="666"/>
      <c r="H159" s="666"/>
      <c r="I159" s="664"/>
      <c r="M159" s="666"/>
      <c r="W159" s="411"/>
      <c r="X159" s="411"/>
      <c r="Z159" s="420"/>
    </row>
    <row r="160" spans="1:26" x14ac:dyDescent="0.25">
      <c r="A160" t="s">
        <v>3303</v>
      </c>
      <c r="C160" s="676">
        <f ca="1">W146+B153+C153</f>
        <v>2119065.7674221783</v>
      </c>
      <c r="D160" s="411" t="s">
        <v>3358</v>
      </c>
      <c r="F160" s="666"/>
      <c r="G160" s="666"/>
      <c r="H160" s="666"/>
      <c r="I160" s="664"/>
      <c r="M160" s="666"/>
      <c r="W160" s="411"/>
      <c r="X160" s="411"/>
      <c r="Z160" s="420"/>
    </row>
    <row r="161" spans="1:27" x14ac:dyDescent="0.25">
      <c r="C161" s="693">
        <f ca="1">C160/WinterDays</f>
        <v>11772.587596789879</v>
      </c>
      <c r="D161" s="411" t="s">
        <v>4171</v>
      </c>
      <c r="U161" s="520"/>
      <c r="V161" s="520"/>
    </row>
    <row r="162" spans="1:27" x14ac:dyDescent="0.25">
      <c r="C162" s="693"/>
      <c r="D162" s="411"/>
      <c r="U162" s="411"/>
      <c r="AA162" s="247"/>
    </row>
    <row r="163" spans="1:27" x14ac:dyDescent="0.25">
      <c r="A163" t="s">
        <v>3305</v>
      </c>
      <c r="C163" s="688">
        <f ca="1">C160-C157</f>
        <v>729475.01875250251</v>
      </c>
      <c r="D163" s="411" t="s">
        <v>3358</v>
      </c>
    </row>
    <row r="165" spans="1:27" x14ac:dyDescent="0.25">
      <c r="A165" t="s">
        <v>3270</v>
      </c>
      <c r="C165" s="689">
        <f ca="1">F$113</f>
        <v>28.681536269611144</v>
      </c>
      <c r="D165" t="str">
        <f>"tons/year - "&amp;$B$4</f>
        <v>tons/year - 2019</v>
      </c>
    </row>
    <row r="166" spans="1:27" x14ac:dyDescent="0.25">
      <c r="A166" t="s">
        <v>3547</v>
      </c>
      <c r="C166" s="689">
        <f ca="1">D$113</f>
        <v>-6.0466180803121086</v>
      </c>
      <c r="D166" t="str">
        <f>"tons/year - "&amp;$B$4</f>
        <v>tons/year - 2019</v>
      </c>
    </row>
    <row r="168" spans="1:27" x14ac:dyDescent="0.25">
      <c r="A168" t="s">
        <v>3306</v>
      </c>
      <c r="C168" s="813">
        <f ca="1">C$163/C165</f>
        <v>25433.610385975066</v>
      </c>
      <c r="D168" s="411" t="s">
        <v>3271</v>
      </c>
    </row>
    <row r="169" spans="1:27" x14ac:dyDescent="0.25">
      <c r="C169" s="813">
        <f ca="1">C$163/C166</f>
        <v>-120641.82143861303</v>
      </c>
      <c r="D169" s="411" t="s">
        <v>3548</v>
      </c>
    </row>
  </sheetData>
  <mergeCells count="20">
    <mergeCell ref="A1:I1"/>
    <mergeCell ref="B66:H66"/>
    <mergeCell ref="D81:E81"/>
    <mergeCell ref="C36:D36"/>
    <mergeCell ref="C37:D37"/>
    <mergeCell ref="B53:H53"/>
    <mergeCell ref="E37:F37"/>
    <mergeCell ref="L145:M145"/>
    <mergeCell ref="D82:E82"/>
    <mergeCell ref="B111:H111"/>
    <mergeCell ref="F128:G128"/>
    <mergeCell ref="J127:K127"/>
    <mergeCell ref="J128:K128"/>
    <mergeCell ref="B95:H95"/>
    <mergeCell ref="N144:O144"/>
    <mergeCell ref="N128:O128"/>
    <mergeCell ref="L129:M129"/>
    <mergeCell ref="F144:G144"/>
    <mergeCell ref="J143:K143"/>
    <mergeCell ref="J144:K144"/>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showInputMessage="1" showErrorMessage="1">
          <x14:formula1>
            <xm:f>CostData!$AB$10:$AB$13</xm:f>
          </x14:formula1>
          <xm:sqref>B152:C152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FFCC"/>
  </sheetPr>
  <dimension ref="A1:W148"/>
  <sheetViews>
    <sheetView workbookViewId="0">
      <selection sqref="A1:K1"/>
    </sheetView>
  </sheetViews>
  <sheetFormatPr defaultRowHeight="15" x14ac:dyDescent="0.25"/>
  <cols>
    <col min="1" max="1" width="36.28515625" customWidth="1"/>
    <col min="3" max="3" width="12.7109375" customWidth="1"/>
    <col min="4" max="4" width="13.7109375" customWidth="1"/>
    <col min="5" max="6" width="11.5703125" customWidth="1"/>
    <col min="8" max="8" width="11.5703125" bestFit="1" customWidth="1"/>
    <col min="9" max="9" width="10.7109375" customWidth="1"/>
    <col min="10" max="10" width="12.28515625" customWidth="1"/>
    <col min="11" max="11" width="13.5703125" customWidth="1"/>
  </cols>
  <sheetData>
    <row r="1" spans="1:11" ht="18.75" x14ac:dyDescent="0.3">
      <c r="A1" s="912" t="s">
        <v>4379</v>
      </c>
      <c r="B1" s="912"/>
      <c r="C1" s="912"/>
      <c r="D1" s="912"/>
      <c r="E1" s="912"/>
      <c r="F1" s="912"/>
      <c r="G1" s="912"/>
      <c r="H1" s="912"/>
      <c r="I1" s="912"/>
      <c r="J1" s="912"/>
      <c r="K1" s="912"/>
    </row>
    <row r="3" spans="1:11" x14ac:dyDescent="0.25">
      <c r="A3" s="405" t="s">
        <v>3001</v>
      </c>
      <c r="B3" s="241" t="s">
        <v>3447</v>
      </c>
    </row>
    <row r="4" spans="1:11" x14ac:dyDescent="0.25">
      <c r="A4" s="405" t="s">
        <v>3025</v>
      </c>
      <c r="B4" s="519">
        <v>2019</v>
      </c>
    </row>
    <row r="5" spans="1:11" x14ac:dyDescent="0.25">
      <c r="A5" s="405" t="s">
        <v>4220</v>
      </c>
      <c r="B5" s="818">
        <f ca="1">OFFSET(BuildSizeG3C!$BV$462,0,MATCH($B$4,BuildSizeG3C!$BW$2:$CK$2,0))</f>
        <v>35060.223477242536</v>
      </c>
      <c r="C5" t="s">
        <v>4221</v>
      </c>
    </row>
    <row r="6" spans="1:11" x14ac:dyDescent="0.25">
      <c r="A6" s="405" t="s">
        <v>4254</v>
      </c>
      <c r="B6" s="379">
        <f>CostData!$O$86</f>
        <v>0.5</v>
      </c>
    </row>
    <row r="9" spans="1:11" x14ac:dyDescent="0.25">
      <c r="A9" s="508" t="s">
        <v>3002</v>
      </c>
    </row>
    <row r="10" spans="1:11" x14ac:dyDescent="0.25">
      <c r="A10" s="407" t="s">
        <v>3315</v>
      </c>
    </row>
    <row r="11" spans="1:11" x14ac:dyDescent="0.25">
      <c r="A11" s="407" t="s">
        <v>3316</v>
      </c>
    </row>
    <row r="12" spans="1:11" x14ac:dyDescent="0.25">
      <c r="A12" s="407" t="str">
        <f ca="1">"- Number of non-District heat residences in nonattainment area = "&amp;TEXT($B$5,"#,##0")</f>
        <v>- Number of non-District heat residences in nonattainment area = 35,060</v>
      </c>
    </row>
    <row r="13" spans="1:11" ht="15.75" thickBot="1" x14ac:dyDescent="0.3">
      <c r="A13" s="407"/>
    </row>
    <row r="14" spans="1:11" ht="16.5" thickBot="1" x14ac:dyDescent="0.3">
      <c r="A14" s="919" t="s">
        <v>2776</v>
      </c>
      <c r="B14" s="920"/>
      <c r="C14" s="921"/>
    </row>
    <row r="15" spans="1:11" x14ac:dyDescent="0.25">
      <c r="K15" s="2" t="s">
        <v>2979</v>
      </c>
    </row>
    <row r="16" spans="1:11" x14ac:dyDescent="0.25">
      <c r="K16" s="156" t="s">
        <v>4253</v>
      </c>
    </row>
    <row r="17" spans="1:13" x14ac:dyDescent="0.25">
      <c r="B17" s="917" t="str">
        <f>$B$4&amp;" Baseline Wood Device Emissions (tons/episodic day)"</f>
        <v>2019 Baseline Wood Device Emissions (tons/episodic day)</v>
      </c>
      <c r="C17" s="917"/>
      <c r="D17" s="917"/>
      <c r="E17" s="917"/>
      <c r="F17" s="917"/>
      <c r="G17" s="917"/>
      <c r="H17" s="917"/>
      <c r="I17" s="1" t="s">
        <v>3299</v>
      </c>
      <c r="J17" s="1" t="s">
        <v>3323</v>
      </c>
      <c r="K17" s="2" t="s">
        <v>3360</v>
      </c>
    </row>
    <row r="18" spans="1:13" x14ac:dyDescent="0.25">
      <c r="A18" s="9" t="s">
        <v>3225</v>
      </c>
      <c r="B18" s="44" t="s">
        <v>2143</v>
      </c>
      <c r="C18" s="44" t="s">
        <v>2144</v>
      </c>
      <c r="D18" s="44" t="s">
        <v>2145</v>
      </c>
      <c r="E18" s="44" t="s">
        <v>2146</v>
      </c>
      <c r="F18" s="500" t="s">
        <v>2147</v>
      </c>
      <c r="G18" s="44" t="s">
        <v>2148</v>
      </c>
      <c r="H18" s="44" t="s">
        <v>2149</v>
      </c>
      <c r="I18" s="701" t="s">
        <v>3317</v>
      </c>
      <c r="J18" s="701" t="s">
        <v>2462</v>
      </c>
      <c r="K18" s="44" t="s">
        <v>4181</v>
      </c>
    </row>
    <row r="19" spans="1:13" x14ac:dyDescent="0.25">
      <c r="A19" t="s">
        <v>3020</v>
      </c>
      <c r="B19" s="11">
        <f ca="1">INDIRECT("'DevSumOut-"&amp;$B$4&amp;"PB'!N50")</f>
        <v>4.1749268855877775</v>
      </c>
      <c r="C19" s="11">
        <f ca="1">INDIRECT("'DevSumOut-"&amp;$B$4&amp;"PB'!O50")</f>
        <v>4.7400916604926749E-2</v>
      </c>
      <c r="D19" s="11">
        <f ca="1">INDIRECT("'DevSumOut-"&amp;$B$4&amp;"PB'!P50")</f>
        <v>7.2924487084502672E-3</v>
      </c>
      <c r="E19" s="11">
        <f ca="1">INDIRECT("'DevSumOut-"&amp;$B$4&amp;"PB'!Q50")</f>
        <v>0.63079681328094828</v>
      </c>
      <c r="F19" s="607">
        <f ca="1">INDIRECT("'DevSumOut-"&amp;$B$4&amp;"PB'!R50")</f>
        <v>0.63079681328094828</v>
      </c>
      <c r="G19" s="11">
        <f ca="1">INDIRECT("'DevSumOut-"&amp;$B$4&amp;"PB'!S50")</f>
        <v>3.2816019188026214E-2</v>
      </c>
      <c r="H19" s="11">
        <f ca="1">INDIRECT("'DevSumOut-"&amp;$B$4&amp;"PB'!T50")</f>
        <v>4.6051813593863438</v>
      </c>
      <c r="I19" s="114">
        <f ca="1">OFFSET(Devices!$B$50,1,MATCH($B$4,Devices!$C$49:$R$49,0))</f>
        <v>803.07061305112359</v>
      </c>
      <c r="J19" s="412">
        <f t="shared" ref="J19:J33" ca="1" si="0">I19/$I$37</f>
        <v>1.5337248078874871E-2</v>
      </c>
      <c r="K19" s="107">
        <f ca="1">INDIRECT("'DevSumOut-"&amp;$B$4&amp;"PB'!U50")</f>
        <v>585.66476749630908</v>
      </c>
      <c r="M19" s="114"/>
    </row>
    <row r="20" spans="1:13" x14ac:dyDescent="0.25">
      <c r="A20" t="s">
        <v>3216</v>
      </c>
      <c r="B20" s="11">
        <f ca="1">INDIRECT("'DevSumOut-"&amp;$B$4&amp;"PB'!N51")</f>
        <v>8.4605049877420818E-2</v>
      </c>
      <c r="C20" s="11">
        <f ca="1">INDIRECT("'DevSumOut-"&amp;$B$4&amp;"PB'!O51")</f>
        <v>4.4697007482410985E-3</v>
      </c>
      <c r="D20" s="11">
        <f ca="1">INDIRECT("'DevSumOut-"&amp;$B$4&amp;"PB'!P51")</f>
        <v>6.3852867832015707E-4</v>
      </c>
      <c r="E20" s="11">
        <f ca="1">INDIRECT("'DevSumOut-"&amp;$B$4&amp;"PB'!Q51")</f>
        <v>4.8847443891492023E-2</v>
      </c>
      <c r="F20" s="607">
        <f ca="1">INDIRECT("'DevSumOut-"&amp;$B$4&amp;"PB'!R51")</f>
        <v>4.8847443891492023E-2</v>
      </c>
      <c r="G20" s="11">
        <f ca="1">INDIRECT("'DevSumOut-"&amp;$B$4&amp;"PB'!S51")</f>
        <v>2.7137468828606678E-3</v>
      </c>
      <c r="H20" s="11">
        <f ca="1">INDIRECT("'DevSumOut-"&amp;$B$4&amp;"PB'!T51")</f>
        <v>0.36843104739073068</v>
      </c>
      <c r="I20" s="114">
        <f ca="1">OFFSET(Devices!$B$50,3,MATCH($B$4,Devices!$C$49:$R$49,0))</f>
        <v>142.07721575376908</v>
      </c>
      <c r="J20" s="412">
        <f t="shared" ca="1" si="0"/>
        <v>2.7134270249192464E-3</v>
      </c>
      <c r="K20" s="107">
        <f ca="1">INDIRECT("'DevSumOut-"&amp;$B$4&amp;"PB'!U51")</f>
        <v>51.272722150218812</v>
      </c>
    </row>
    <row r="21" spans="1:13" x14ac:dyDescent="0.25">
      <c r="A21" t="s">
        <v>3217</v>
      </c>
      <c r="B21" s="11">
        <f ca="1">INDIRECT("'DevSumOut-"&amp;$B$4&amp;"PB'!N52")</f>
        <v>4.0331060759437432E-2</v>
      </c>
      <c r="C21" s="11">
        <f ca="1">INDIRECT("'DevSumOut-"&amp;$B$4&amp;"PB'!O52")</f>
        <v>6.7218434599062371E-3</v>
      </c>
      <c r="D21" s="11">
        <f ca="1">INDIRECT("'DevSumOut-"&amp;$B$4&amp;"PB'!P52")</f>
        <v>1.3443686919812471E-3</v>
      </c>
      <c r="E21" s="11">
        <f ca="1">INDIRECT("'DevSumOut-"&amp;$B$4&amp;"PB'!Q52")</f>
        <v>4.0331060759437432E-2</v>
      </c>
      <c r="F21" s="607">
        <f ca="1">INDIRECT("'DevSumOut-"&amp;$B$4&amp;"PB'!R52")</f>
        <v>4.0331060759437432E-2</v>
      </c>
      <c r="G21" s="11">
        <f ca="1">INDIRECT("'DevSumOut-"&amp;$B$4&amp;"PB'!S52")</f>
        <v>3.024829556957806E-3</v>
      </c>
      <c r="H21" s="11">
        <f ca="1">INDIRECT("'DevSumOut-"&amp;$B$4&amp;"PB'!T52")</f>
        <v>0.47321777957739908</v>
      </c>
      <c r="I21" s="114">
        <f ca="1">OFFSET(Devices!$B$50,4,MATCH($B$4,Devices!$C$49:$R$49,0))</f>
        <v>352.03704046378328</v>
      </c>
      <c r="J21" s="412">
        <f t="shared" ca="1" si="0"/>
        <v>6.7232934872717559E-3</v>
      </c>
      <c r="K21" s="107">
        <f ca="1">INDIRECT("'DevSumOut-"&amp;$B$4&amp;"PB'!U52")</f>
        <v>107.95042533210464</v>
      </c>
    </row>
    <row r="22" spans="1:13" x14ac:dyDescent="0.25">
      <c r="A22" t="s">
        <v>3218</v>
      </c>
      <c r="B22" s="11">
        <f ca="1">INDIRECT("'DevSumOut-"&amp;$B$4&amp;"PB'!N53")</f>
        <v>3.0352814421293086E-2</v>
      </c>
      <c r="C22" s="11">
        <f ca="1">INDIRECT("'DevSumOut-"&amp;$B$4&amp;"PB'!O53")</f>
        <v>4.0470419228390789E-3</v>
      </c>
      <c r="D22" s="11">
        <f ca="1">INDIRECT("'DevSumOut-"&amp;$B$4&amp;"PB'!P53")</f>
        <v>8.0940838456781592E-4</v>
      </c>
      <c r="E22" s="11">
        <f ca="1">INDIRECT("'DevSumOut-"&amp;$B$4&amp;"PB'!Q53")</f>
        <v>2.6305772498454012E-2</v>
      </c>
      <c r="F22" s="607">
        <f ca="1">INDIRECT("'DevSumOut-"&amp;$B$4&amp;"PB'!R53")</f>
        <v>2.6305772498454012E-2</v>
      </c>
      <c r="G22" s="11">
        <f ca="1">INDIRECT("'DevSumOut-"&amp;$B$4&amp;"PB'!S53")</f>
        <v>1.8211688652775859E-3</v>
      </c>
      <c r="H22" s="11">
        <f ca="1">INDIRECT("'DevSumOut-"&amp;$B$4&amp;"PB'!T53")</f>
        <v>0.21651674287189066</v>
      </c>
      <c r="I22" s="114">
        <f ca="1">OFFSET(Devices!$B$50,5,MATCH($B$4,Devices!$C$49:$R$49,0))</f>
        <v>211.95207380937751</v>
      </c>
      <c r="J22" s="412">
        <f t="shared" ca="1" si="0"/>
        <v>4.0479149454812346E-3</v>
      </c>
      <c r="K22" s="107">
        <f ca="1">INDIRECT("'DevSumOut-"&amp;$B$4&amp;"PB'!U53")</f>
        <v>64.994059964828651</v>
      </c>
    </row>
    <row r="23" spans="1:13" x14ac:dyDescent="0.25">
      <c r="A23" t="s">
        <v>3219</v>
      </c>
      <c r="B23" s="11">
        <f ca="1">INDIRECT("'DevSumOut-"&amp;$B$4&amp;"PB'!N54")</f>
        <v>1.7169935523045381</v>
      </c>
      <c r="C23" s="11">
        <f ca="1">INDIRECT("'DevSumOut-"&amp;$B$4&amp;"PB'!O54")</f>
        <v>4.7043764874894457E-2</v>
      </c>
      <c r="D23" s="11">
        <f ca="1">INDIRECT("'DevSumOut-"&amp;$B$4&amp;"PB'!P54")</f>
        <v>1.2958441904185195E-2</v>
      </c>
      <c r="E23" s="11">
        <f ca="1">INDIRECT("'DevSumOut-"&amp;$B$4&amp;"PB'!Q54")</f>
        <v>0.39335445597316221</v>
      </c>
      <c r="F23" s="607">
        <f ca="1">INDIRECT("'DevSumOut-"&amp;$B$4&amp;"PB'!R54")</f>
        <v>0.39335445597316221</v>
      </c>
      <c r="G23" s="11">
        <f ca="1">INDIRECT("'DevSumOut-"&amp;$B$4&amp;"PB'!S54")</f>
        <v>1.2862178344300054E-2</v>
      </c>
      <c r="H23" s="11">
        <f ca="1">INDIRECT("'DevSumOut-"&amp;$B$4&amp;"PB'!T54")</f>
        <v>3.9254568023627048</v>
      </c>
      <c r="I23" s="114">
        <f ca="1">OFFSET(Devices!$B$50,9,MATCH($B$4,Devices!$C$49:$R$49,0))</f>
        <v>2090.0306212199193</v>
      </c>
      <c r="J23" s="412">
        <f t="shared" ca="1" si="0"/>
        <v>3.9915939656048921E-2</v>
      </c>
      <c r="K23" s="107">
        <f ca="1">INDIRECT("'DevSumOut-"&amp;$B$4&amp;"PB'!U54")</f>
        <v>1040.5399378474017</v>
      </c>
    </row>
    <row r="24" spans="1:13" x14ac:dyDescent="0.25">
      <c r="A24" t="s">
        <v>3220</v>
      </c>
      <c r="B24" s="11">
        <f ca="1">INDIRECT("'DevSumOut-"&amp;$B$4&amp;"PB'!N55")</f>
        <v>0.81848744704820986</v>
      </c>
      <c r="C24" s="11">
        <f ca="1">INDIRECT("'DevSumOut-"&amp;$B$4&amp;"PB'!O55")</f>
        <v>0.1097345872145037</v>
      </c>
      <c r="D24" s="11">
        <f ca="1">INDIRECT("'DevSumOut-"&amp;$B$4&amp;"PB'!P55")</f>
        <v>2.7282914901606978E-2</v>
      </c>
      <c r="E24" s="11">
        <f ca="1">INDIRECT("'DevSumOut-"&amp;$B$4&amp;"PB'!Q55")</f>
        <v>0.54055129519179157</v>
      </c>
      <c r="F24" s="607">
        <f ca="1">INDIRECT("'DevSumOut-"&amp;$B$4&amp;"PB'!R55")</f>
        <v>0.54055129519179157</v>
      </c>
      <c r="G24" s="11">
        <f ca="1">INDIRECT("'DevSumOut-"&amp;$B$4&amp;"PB'!S55")</f>
        <v>1.7034206352315187E-2</v>
      </c>
      <c r="H24" s="11">
        <f ca="1">INDIRECT("'DevSumOut-"&amp;$B$4&amp;"PB'!T55")</f>
        <v>8.4332136901608195</v>
      </c>
      <c r="I24" s="114">
        <f ca="1">OFFSET(Devices!$B$50,10,MATCH($B$4,Devices!$C$49:$R$49,0))</f>
        <v>5178.6501478751288</v>
      </c>
      <c r="J24" s="412">
        <f t="shared" ca="1" si="0"/>
        <v>9.8903185773287175E-2</v>
      </c>
      <c r="K24" s="107">
        <f ca="1">INDIRECT("'DevSumOut-"&amp;$B$4&amp;"PB'!U55")</f>
        <v>2190.7697534875156</v>
      </c>
    </row>
    <row r="25" spans="1:13" x14ac:dyDescent="0.25">
      <c r="A25" t="s">
        <v>3221</v>
      </c>
      <c r="B25" s="11">
        <f ca="1">INDIRECT("'DevSumOut-"&amp;$B$4&amp;"PB'!N56")</f>
        <v>0.61598671392740245</v>
      </c>
      <c r="C25" s="11">
        <f ca="1">INDIRECT("'DevSumOut-"&amp;$B$4&amp;"PB'!O56")</f>
        <v>6.606825605080846E-2</v>
      </c>
      <c r="D25" s="11">
        <f ca="1">INDIRECT("'DevSumOut-"&amp;$B$4&amp;"PB'!P56")</f>
        <v>1.6426312371397394E-2</v>
      </c>
      <c r="E25" s="11">
        <f ca="1">INDIRECT("'DevSumOut-"&amp;$B$4&amp;"PB'!Q56")</f>
        <v>0.36111737097634189</v>
      </c>
      <c r="F25" s="607">
        <f ca="1">INDIRECT("'DevSumOut-"&amp;$B$4&amp;"PB'!R56")</f>
        <v>0.36111737097634189</v>
      </c>
      <c r="G25" s="11">
        <f ca="1">INDIRECT("'DevSumOut-"&amp;$B$4&amp;"PB'!S56")</f>
        <v>1.0255839434718536E-2</v>
      </c>
      <c r="H25" s="11">
        <f ca="1">INDIRECT("'DevSumOut-"&amp;$B$4&amp;"PB'!T56")</f>
        <v>5.0774121045683138</v>
      </c>
      <c r="I25" s="114">
        <f ca="1">OFFSET(Devices!$B$50,11,MATCH($B$4,Devices!$C$49:$R$49,0))</f>
        <v>3117.9265594590011</v>
      </c>
      <c r="J25" s="412">
        <f t="shared" ca="1" si="0"/>
        <v>5.9546959329579215E-2</v>
      </c>
      <c r="K25" s="107">
        <f ca="1">INDIRECT("'DevSumOut-"&amp;$B$4&amp;"PB'!U56")</f>
        <v>1319.0037953926831</v>
      </c>
    </row>
    <row r="26" spans="1:13" x14ac:dyDescent="0.25">
      <c r="A26" t="s">
        <v>3222</v>
      </c>
      <c r="B26" s="11">
        <f ca="1">INDIRECT("'DevSumOut-"&amp;$B$4&amp;"PB'!N57")</f>
        <v>1.0321433336609488E-2</v>
      </c>
      <c r="C26" s="11">
        <f ca="1">INDIRECT("'DevSumOut-"&amp;$B$4&amp;"PB'!O57")</f>
        <v>1.802443785054833E-2</v>
      </c>
      <c r="D26" s="11">
        <f ca="1">INDIRECT("'DevSumOut-"&amp;$B$4&amp;"PB'!P57")</f>
        <v>1.4405145135303363E-3</v>
      </c>
      <c r="E26" s="11">
        <f ca="1">INDIRECT("'DevSumOut-"&amp;$B$4&amp;"PB'!Q57")</f>
        <v>1.332475925015561E-2</v>
      </c>
      <c r="F26" s="607">
        <f ca="1">INDIRECT("'DevSumOut-"&amp;$B$4&amp;"PB'!R57")</f>
        <v>1.332475925015561E-2</v>
      </c>
      <c r="G26" s="11">
        <f ca="1">INDIRECT("'DevSumOut-"&amp;$B$4&amp;"PB'!S57")</f>
        <v>3.2357557260175181E-4</v>
      </c>
      <c r="H26" s="11">
        <f ca="1">INDIRECT("'DevSumOut-"&amp;$B$4&amp;"PB'!T57")</f>
        <v>4.4709969213697826E-2</v>
      </c>
      <c r="I26" s="114">
        <f ca="1">OFFSET(Devices!$B$50,6,MATCH($B$4,Devices!$C$49:$R$49,0))+OFFSET(Devices!$B$50,12,MATCH($B$4,Devices!$C$49:$R$49,0))</f>
        <v>210.25343776713189</v>
      </c>
      <c r="J26" s="412">
        <f t="shared" ca="1" si="0"/>
        <v>4.0154739596547726E-3</v>
      </c>
      <c r="K26" s="107">
        <f ca="1">INDIRECT("'DevSumOut-"&amp;$B$4&amp;"PB'!U57")</f>
        <v>138.13213658944446</v>
      </c>
    </row>
    <row r="27" spans="1:13" x14ac:dyDescent="0.25">
      <c r="A27" t="s">
        <v>3223</v>
      </c>
      <c r="B27" s="11">
        <f ca="1">INDIRECT("'DevSumOut-"&amp;$B$4&amp;"PB'!N58")</f>
        <v>3.4814515420046203E-2</v>
      </c>
      <c r="C27" s="11">
        <f ca="1">INDIRECT("'DevSumOut-"&amp;$B$4&amp;"PB'!O58")</f>
        <v>6.0796989044131333E-2</v>
      </c>
      <c r="D27" s="11">
        <f ca="1">INDIRECT("'DevSumOut-"&amp;$B$4&amp;"PB'!P58")</f>
        <v>4.8589002233072019E-3</v>
      </c>
      <c r="E27" s="11">
        <f ca="1">INDIRECT("'DevSumOut-"&amp;$B$4&amp;"PB'!Q58")</f>
        <v>4.4944827065591587E-2</v>
      </c>
      <c r="F27" s="607">
        <f ca="1">INDIRECT("'DevSumOut-"&amp;$B$4&amp;"PB'!R58")</f>
        <v>4.4944827065591587E-2</v>
      </c>
      <c r="G27" s="11">
        <f ca="1">INDIRECT("'DevSumOut-"&amp;$B$4&amp;"PB'!S58")</f>
        <v>1.0914304626603805E-3</v>
      </c>
      <c r="H27" s="11">
        <f ca="1">INDIRECT("'DevSumOut-"&amp;$B$4&amp;"PB'!T58")</f>
        <v>0.1508081156808973</v>
      </c>
      <c r="I27" s="114">
        <f ca="1">OFFSET(Devices!$B$50,7,MATCH($B$4,Devices!$C$49:$R$49,0))+OFFSET(Devices!$B$50,13,MATCH($B$4,Devices!$C$49:$R$49,0))</f>
        <v>834.62115660178324</v>
      </c>
      <c r="J27" s="412">
        <f t="shared" ca="1" si="0"/>
        <v>1.5939808433588047E-2</v>
      </c>
      <c r="K27" s="107">
        <f ca="1">INDIRECT("'DevSumOut-"&amp;$B$4&amp;"PB'!U58")</f>
        <v>465.92398966913851</v>
      </c>
    </row>
    <row r="28" spans="1:13" x14ac:dyDescent="0.25">
      <c r="A28" t="s">
        <v>3224</v>
      </c>
      <c r="B28" s="11">
        <f ca="1">INDIRECT("'DevSumOut-"&amp;$B$4&amp;"PB'!N59")</f>
        <v>1.0191730982744838</v>
      </c>
      <c r="C28" s="11">
        <f ca="1">INDIRECT("'DevSumOut-"&amp;$B$4&amp;"PB'!O59")</f>
        <v>3.620384598521903E-2</v>
      </c>
      <c r="D28" s="11">
        <f ca="1">INDIRECT("'DevSumOut-"&amp;$B$4&amp;"PB'!P59")</f>
        <v>8.9794986632113112E-3</v>
      </c>
      <c r="E28" s="11">
        <f ca="1">INDIRECT("'DevSumOut-"&amp;$B$4&amp;"PB'!Q59")</f>
        <v>0.22157254350455005</v>
      </c>
      <c r="F28" s="607">
        <f ca="1">INDIRECT("'DevSumOut-"&amp;$B$4&amp;"PB'!R59")</f>
        <v>0.22157254350455005</v>
      </c>
      <c r="G28" s="11">
        <f ca="1">INDIRECT("'DevSumOut-"&amp;$B$4&amp;"PB'!S59")</f>
        <v>5.47207437429377E-3</v>
      </c>
      <c r="H28" s="11">
        <f ca="1">INDIRECT("'DevSumOut-"&amp;$B$4&amp;"PB'!T59")</f>
        <v>1.3597355468746326</v>
      </c>
      <c r="I28" s="114">
        <f ca="1">OFFSET(Devices!$B$50,19,MATCH($B$4,Devices!$C$49:$R$49,0))</f>
        <v>477.77618751142808</v>
      </c>
      <c r="J28" s="412">
        <f t="shared" ca="1" si="0"/>
        <v>9.1246918950268242E-3</v>
      </c>
      <c r="K28" s="107">
        <f ca="1">INDIRECT("'DevSumOut-"&amp;$B$4&amp;"PB'!U59")</f>
        <v>720.79052779491201</v>
      </c>
    </row>
    <row r="29" spans="1:13" x14ac:dyDescent="0.25">
      <c r="A29" s="273" t="s">
        <v>3318</v>
      </c>
      <c r="B29" s="11">
        <f ca="1">INDIRECT("'DevSumOut-"&amp;$B$4&amp;"PB'!N60")</f>
        <v>7.7898644593143759E-2</v>
      </c>
      <c r="C29" s="11">
        <f ca="1">INDIRECT("'DevSumOut-"&amp;$B$4&amp;"PB'!o60")</f>
        <v>1.2205296244116266</v>
      </c>
      <c r="D29" s="11">
        <f ca="1">INDIRECT("'DevSumOut-"&amp;$B$4&amp;"PB'!p60")</f>
        <v>3.1577443425358735</v>
      </c>
      <c r="E29" s="11">
        <f ca="1">INDIRECT("'DevSumOut-"&amp;$B$4&amp;"PB'!q60")</f>
        <v>4.9885406992300839E-2</v>
      </c>
      <c r="F29" s="607">
        <f ca="1">INDIRECT("'DevSumOut-"&amp;$B$4&amp;"PB'!r60")</f>
        <v>4.9885406992300839E-2</v>
      </c>
      <c r="G29" s="11">
        <f ca="1">INDIRECT("'DevSumOut-"&amp;$B$4&amp;"PB'!s60")</f>
        <v>2.6763520851369399E-3</v>
      </c>
      <c r="H29" s="11">
        <f ca="1">INDIRECT("'DevSumOut-"&amp;$B$4&amp;"PB'!t60")</f>
        <v>4.8929270024948394E-2</v>
      </c>
      <c r="I29" s="114">
        <f ca="1">OFFSET(Devices!$B$50,22,MATCH($B$4,Devices!$C$49:$R$49,0))</f>
        <v>28089.440877517092</v>
      </c>
      <c r="J29" s="412">
        <f t="shared" ca="1" si="0"/>
        <v>0.53645933014354075</v>
      </c>
      <c r="K29" s="107">
        <f ca="1">INDIRECT("'DevSumOut-"&amp;$B$4&amp;"PB'!U60")</f>
        <v>29326.307375765551</v>
      </c>
    </row>
    <row r="30" spans="1:13" x14ac:dyDescent="0.25">
      <c r="A30" s="273" t="s">
        <v>3319</v>
      </c>
      <c r="B30" s="11">
        <f ca="1">INDIRECT("'DevSumOut-"&amp;$B$4&amp;"PB'!N62")</f>
        <v>5.2982902913877234E-4</v>
      </c>
      <c r="C30" s="11">
        <f ca="1">INDIRECT("'DevSumOut-"&amp;$B$4&amp;"PB'!o62")</f>
        <v>1.3375767916546842E-2</v>
      </c>
      <c r="D30" s="11">
        <f ca="1">INDIRECT("'DevSumOut-"&amp;$B$4&amp;"PB'!p62")</f>
        <v>2.1477454813398467E-2</v>
      </c>
      <c r="E30" s="11">
        <f ca="1">INDIRECT("'DevSumOut-"&amp;$B$4&amp;"PB'!q62")</f>
        <v>2.9723928703437433E-4</v>
      </c>
      <c r="F30" s="607">
        <f ca="1">INDIRECT("'DevSumOut-"&amp;$B$4&amp;"PB'!r62")</f>
        <v>2.9723928703437433E-4</v>
      </c>
      <c r="G30" s="11">
        <f ca="1">INDIRECT("'DevSumOut-"&amp;$B$4&amp;"PB'!s62")</f>
        <v>1.820325673582309E-5</v>
      </c>
      <c r="H30" s="11">
        <f ca="1">INDIRECT("'DevSumOut-"&amp;$B$4&amp;"PB'!t62")</f>
        <v>3.3279330814016411E-4</v>
      </c>
      <c r="I30" s="114">
        <f ca="1">OFFSET(Devices!$B$50,23,MATCH($B$4,Devices!$C$49:$R$49,0))</f>
        <v>1012.1418225576975</v>
      </c>
      <c r="J30" s="412">
        <f t="shared" ca="1" si="0"/>
        <v>1.9330143540669857E-2</v>
      </c>
      <c r="K30" s="107">
        <f ca="1">INDIRECT("'DevSumOut-"&amp;$B$4&amp;"PB'!U62")</f>
        <v>203.60148063637058</v>
      </c>
    </row>
    <row r="31" spans="1:13" x14ac:dyDescent="0.25">
      <c r="A31" s="273" t="s">
        <v>3320</v>
      </c>
      <c r="B31" s="11">
        <f ca="1">INDIRECT("'DevSumOut-"&amp;$B$4&amp;"PB'!N63")</f>
        <v>1.8306110661185039E-3</v>
      </c>
      <c r="C31" s="11">
        <f ca="1">INDIRECT("'DevSumOut-"&amp;$B$4&amp;"PB'!o63")</f>
        <v>2.8682335214469678E-2</v>
      </c>
      <c r="D31" s="11">
        <f ca="1">INDIRECT("'DevSumOut-"&amp;$B$4&amp;"PB'!p63")</f>
        <v>7.4206704976841772E-2</v>
      </c>
      <c r="E31" s="11">
        <f ca="1">INDIRECT("'DevSumOut-"&amp;$B$4&amp;"PB'!q63")</f>
        <v>1.1723025292017584E-3</v>
      </c>
      <c r="F31" s="607">
        <f ca="1">INDIRECT("'DevSumOut-"&amp;$B$4&amp;"PB'!r63")</f>
        <v>1.1723025292017584E-3</v>
      </c>
      <c r="G31" s="11">
        <f ca="1">INDIRECT("'DevSumOut-"&amp;$B$4&amp;"PB'!s63")</f>
        <v>6.2894030691674352E-5</v>
      </c>
      <c r="H31" s="11">
        <f ca="1">INDIRECT("'DevSumOut-"&amp;$B$4&amp;"PB'!t63")</f>
        <v>1.1498333973920581E-3</v>
      </c>
      <c r="I31" s="114">
        <f ca="1">OFFSET(Devices!$B$50,24,MATCH($B$4,Devices!$C$49:$R$49,0))</f>
        <v>4579.6912169194829</v>
      </c>
      <c r="J31" s="412">
        <f t="shared" ca="1" si="0"/>
        <v>8.7464114832535883E-2</v>
      </c>
      <c r="K31" s="107">
        <f ca="1">INDIRECT("'DevSumOut-"&amp;$B$4&amp;"PB'!U63")</f>
        <v>641.86923776946151</v>
      </c>
    </row>
    <row r="32" spans="1:13" x14ac:dyDescent="0.25">
      <c r="A32" s="273" t="s">
        <v>3321</v>
      </c>
      <c r="B32" s="11">
        <f ca="1">INDIRECT("'DevSumOut-"&amp;$B$4&amp;"PB'!N64")</f>
        <v>6.5293806689556443E-4</v>
      </c>
      <c r="C32" s="11">
        <f ca="1">INDIRECT("'DevSumOut-"&amp;$B$4&amp;"PB'!o64")</f>
        <v>1.1159305143306019E-2</v>
      </c>
      <c r="D32" s="11">
        <f ca="1">INDIRECT("'DevSumOut-"&amp;$B$4&amp;"PB'!p64")</f>
        <v>7.1229607297697961E-5</v>
      </c>
      <c r="E32" s="11">
        <f ca="1">INDIRECT("'DevSumOut-"&amp;$B$4&amp;"PB'!q64")</f>
        <v>9.0224169243750742E-4</v>
      </c>
      <c r="F32" s="607">
        <f ca="1">INDIRECT("'DevSumOut-"&amp;$B$4&amp;"PB'!r64")</f>
        <v>9.0224169243750742E-4</v>
      </c>
      <c r="G32" s="11">
        <f ca="1">INDIRECT("'DevSumOut-"&amp;$B$4&amp;"PB'!s64")</f>
        <v>2.3743202432565981E-3</v>
      </c>
      <c r="H32" s="11">
        <f ca="1">INDIRECT("'DevSumOut-"&amp;$B$4&amp;"PB'!t64")</f>
        <v>4.7486404865131962E-3</v>
      </c>
      <c r="I32" s="114">
        <f ca="1">OFFSET(Devices!$B$50,25,MATCH($B$4,Devices!$C$49:$R$49,0))</f>
        <v>1102.3326780331361</v>
      </c>
      <c r="J32" s="412">
        <f t="shared" ca="1" si="0"/>
        <v>2.1052631578947371E-2</v>
      </c>
      <c r="K32" s="107">
        <f ca="1">INDIRECT("'DevSumOut-"&amp;$B$4&amp;"PB'!U64")</f>
        <v>293.10011686938094</v>
      </c>
    </row>
    <row r="33" spans="1:21" x14ac:dyDescent="0.25">
      <c r="A33" s="273" t="s">
        <v>2883</v>
      </c>
      <c r="B33" s="11">
        <f ca="1">INDIRECT("'DevSumOut-"&amp;$B$4&amp;"PB'!N66")</f>
        <v>0.1110907622961905</v>
      </c>
      <c r="C33" s="11">
        <f ca="1">INDIRECT("'DevSumOut-"&amp;$B$4&amp;"PB'!o66")</f>
        <v>5.2434839803801897E-2</v>
      </c>
      <c r="D33" s="11">
        <f ca="1">INDIRECT("'DevSumOut-"&amp;$B$4&amp;"PB'!p66")</f>
        <v>0.10331440893545714</v>
      </c>
      <c r="E33" s="11">
        <f ca="1">INDIRECT("'DevSumOut-"&amp;$B$4&amp;"PB'!q66")</f>
        <v>8.8761519074656181E-2</v>
      </c>
      <c r="F33" s="607">
        <f ca="1">INDIRECT("'DevSumOut-"&amp;$B$4&amp;"PB'!r66")</f>
        <v>8.8761519074656181E-2</v>
      </c>
      <c r="G33" s="11">
        <f ca="1">INDIRECT("'DevSumOut-"&amp;$B$4&amp;"PB'!s66")</f>
        <v>1.406353505288623E-2</v>
      </c>
      <c r="H33" s="11">
        <f ca="1">INDIRECT("'DevSumOut-"&amp;$B$4&amp;"PB'!t66")</f>
        <v>1.4505676286825069</v>
      </c>
      <c r="I33" s="114">
        <f ca="1">OFFSET(Devices!$B$50,26,MATCH($B$4,Devices!$C$49:$R$49,0))</f>
        <v>481.01789586900486</v>
      </c>
      <c r="J33" s="412">
        <f t="shared" ca="1" si="0"/>
        <v>9.1866028708133991E-3</v>
      </c>
      <c r="K33" s="107">
        <f ca="1">INDIRECT("'DevSumOut-"&amp;$B$4&amp;"PB'!U66")</f>
        <v>337.71591738041906</v>
      </c>
    </row>
    <row r="34" spans="1:21" x14ac:dyDescent="0.25">
      <c r="A34" s="826" t="s">
        <v>4252</v>
      </c>
      <c r="B34" s="827"/>
      <c r="C34" s="827"/>
      <c r="D34" s="827"/>
      <c r="E34" s="827"/>
      <c r="F34" s="828"/>
      <c r="G34" s="827"/>
      <c r="H34" s="827"/>
      <c r="I34" s="829"/>
      <c r="J34" s="830"/>
      <c r="K34" s="831"/>
    </row>
    <row r="35" spans="1:21" x14ac:dyDescent="0.25">
      <c r="A35" s="273" t="s">
        <v>13</v>
      </c>
      <c r="I35" s="114">
        <f ca="1">OFFSET(Devices!$B$50,28,MATCH($B$4,Devices!$C$49:$R$49,0))</f>
        <v>1723.6474601972673</v>
      </c>
      <c r="J35" s="412">
        <f ca="1">I35/$I$37</f>
        <v>3.291866028708134E-2</v>
      </c>
      <c r="K35" s="107"/>
    </row>
    <row r="36" spans="1:21" x14ac:dyDescent="0.25">
      <c r="A36" s="814" t="s">
        <v>2881</v>
      </c>
      <c r="B36" s="815"/>
      <c r="C36" s="815"/>
      <c r="D36" s="815"/>
      <c r="E36" s="815"/>
      <c r="F36" s="815"/>
      <c r="G36" s="815"/>
      <c r="H36" s="815"/>
      <c r="I36" s="526">
        <f ca="1">OFFSET(Devices!$B$50,29,MATCH($B$4,Devices!$C$49:$R$49,0))</f>
        <v>1954.1352019678318</v>
      </c>
      <c r="J36" s="816">
        <f ca="1">I36/$I$37</f>
        <v>3.7320574162679421E-2</v>
      </c>
      <c r="K36" s="817"/>
    </row>
    <row r="37" spans="1:21" x14ac:dyDescent="0.25">
      <c r="A37" s="696" t="s">
        <v>2462</v>
      </c>
      <c r="B37" s="607">
        <f ca="1">SUM(B19:B36)</f>
        <v>8.7379953560087067</v>
      </c>
      <c r="C37" s="607">
        <f t="shared" ref="C37:I37" ca="1" si="1">SUM(C19:C36)</f>
        <v>1.7266932562457697</v>
      </c>
      <c r="D37" s="607">
        <f t="shared" ca="1" si="1"/>
        <v>3.4388454779094264</v>
      </c>
      <c r="E37" s="607">
        <f t="shared" ca="1" si="1"/>
        <v>2.4621650519675549</v>
      </c>
      <c r="F37" s="607">
        <f t="shared" ca="1" si="1"/>
        <v>2.4621650519675549</v>
      </c>
      <c r="G37" s="607">
        <f t="shared" ca="1" si="1"/>
        <v>0.10661037370271922</v>
      </c>
      <c r="H37" s="607">
        <f t="shared" ca="1" si="1"/>
        <v>26.160411323986928</v>
      </c>
      <c r="I37" s="244">
        <f t="shared" ca="1" si="1"/>
        <v>52360.802206573957</v>
      </c>
      <c r="J37" s="254">
        <f ca="1">SUM(J19:J36)</f>
        <v>1</v>
      </c>
      <c r="K37" s="107">
        <f ca="1">SUM(K19:K33)</f>
        <v>37487.636244145739</v>
      </c>
    </row>
    <row r="38" spans="1:21" x14ac:dyDescent="0.25">
      <c r="A38" s="273" t="s">
        <v>3351</v>
      </c>
      <c r="B38" s="133">
        <f ca="1">B37/$B$5</f>
        <v>2.4922817054148295E-4</v>
      </c>
      <c r="C38" s="133">
        <f t="shared" ref="C38:H38" ca="1" si="2">C37/$B$5</f>
        <v>4.9249351116274546E-5</v>
      </c>
      <c r="D38" s="133">
        <f t="shared" ca="1" si="2"/>
        <v>9.8083957740359773E-5</v>
      </c>
      <c r="E38" s="133">
        <f t="shared" ca="1" si="2"/>
        <v>7.0226735821171736E-5</v>
      </c>
      <c r="F38" s="133">
        <f t="shared" ca="1" si="2"/>
        <v>7.0226735821171736E-5</v>
      </c>
      <c r="G38" s="133">
        <f t="shared" ca="1" si="2"/>
        <v>3.0407784985146952E-6</v>
      </c>
      <c r="H38" s="133">
        <f t="shared" ca="1" si="2"/>
        <v>7.4615643397046676E-4</v>
      </c>
      <c r="K38" s="133">
        <f t="shared" ref="K38" ca="1" si="3">K37/$B$5</f>
        <v>1.0692355189486693</v>
      </c>
      <c r="T38" s="42"/>
    </row>
    <row r="39" spans="1:21" x14ac:dyDescent="0.25">
      <c r="A39" s="273" t="s">
        <v>3322</v>
      </c>
      <c r="B39" s="11">
        <f ca="1">B38*2000</f>
        <v>0.49845634108296588</v>
      </c>
      <c r="C39" s="11">
        <f t="shared" ref="C39:H39" ca="1" si="4">C38*2000</f>
        <v>9.8498702232549099E-2</v>
      </c>
      <c r="D39" s="11">
        <f t="shared" ca="1" si="4"/>
        <v>0.19616791548071955</v>
      </c>
      <c r="E39" s="11">
        <f t="shared" ca="1" si="4"/>
        <v>0.14045347164234348</v>
      </c>
      <c r="F39" s="11">
        <f t="shared" ca="1" si="4"/>
        <v>0.14045347164234348</v>
      </c>
      <c r="G39" s="11">
        <f t="shared" ca="1" si="4"/>
        <v>6.0815569970293906E-3</v>
      </c>
      <c r="H39" s="11">
        <f t="shared" ca="1" si="4"/>
        <v>1.4923128679409334</v>
      </c>
      <c r="K39" s="107">
        <f t="shared" ref="K39" ca="1" si="5">K38*2000</f>
        <v>2138.4710378973386</v>
      </c>
      <c r="T39" s="42"/>
    </row>
    <row r="40" spans="1:21" x14ac:dyDescent="0.25">
      <c r="O40" s="273"/>
      <c r="T40" s="42"/>
      <c r="U40" s="411"/>
    </row>
    <row r="41" spans="1:21" ht="15.75" thickBot="1" x14ac:dyDescent="0.3">
      <c r="T41" s="42"/>
    </row>
    <row r="42" spans="1:21" ht="16.5" thickBot="1" x14ac:dyDescent="0.3">
      <c r="A42" s="919" t="s">
        <v>2792</v>
      </c>
      <c r="B42" s="920"/>
      <c r="C42" s="921"/>
    </row>
    <row r="44" spans="1:21" x14ac:dyDescent="0.25">
      <c r="A44" t="s">
        <v>4255</v>
      </c>
      <c r="D44" s="107">
        <f ca="1">K39</f>
        <v>2138.4710378973386</v>
      </c>
      <c r="E44" t="s">
        <v>4200</v>
      </c>
    </row>
    <row r="45" spans="1:21" x14ac:dyDescent="0.25">
      <c r="A45" t="s">
        <v>4256</v>
      </c>
      <c r="D45" s="420">
        <f>$B$6</f>
        <v>0.5</v>
      </c>
    </row>
    <row r="46" spans="1:21" x14ac:dyDescent="0.25">
      <c r="A46" t="s">
        <v>4257</v>
      </c>
      <c r="D46" s="107">
        <f ca="1">D44/D45</f>
        <v>4276.9420757946773</v>
      </c>
      <c r="E46" t="s">
        <v>4200</v>
      </c>
    </row>
    <row r="47" spans="1:21" x14ac:dyDescent="0.25">
      <c r="D47" s="107"/>
    </row>
    <row r="48" spans="1:21" x14ac:dyDescent="0.25">
      <c r="A48" t="s">
        <v>4258</v>
      </c>
    </row>
    <row r="49" spans="1:13" x14ac:dyDescent="0.25">
      <c r="C49" s="44" t="s">
        <v>2145</v>
      </c>
      <c r="D49" s="44" t="s">
        <v>4259</v>
      </c>
    </row>
    <row r="50" spans="1:13" x14ac:dyDescent="0.25">
      <c r="B50" s="1" t="s">
        <v>4260</v>
      </c>
      <c r="C50" s="11">
        <f>CostData!$O88</f>
        <v>0.41447368421052633</v>
      </c>
      <c r="D50" s="11">
        <f>CostData!$O87</f>
        <v>4.1578947368421056E-2</v>
      </c>
    </row>
    <row r="51" spans="1:13" x14ac:dyDescent="0.25">
      <c r="B51" s="1" t="s">
        <v>4261</v>
      </c>
      <c r="C51" s="11">
        <f ca="1">C50*$D$46/2000</f>
        <v>0.88633996965481798</v>
      </c>
      <c r="D51" s="11">
        <f ca="1">D50*$D$46/2000</f>
        <v>8.8915374733626193E-2</v>
      </c>
    </row>
    <row r="54" spans="1:13" ht="15.75" x14ac:dyDescent="0.25">
      <c r="A54" s="424" t="s">
        <v>3181</v>
      </c>
    </row>
    <row r="55" spans="1:13" ht="15.75" x14ac:dyDescent="0.25">
      <c r="A55" s="424"/>
    </row>
    <row r="56" spans="1:13" ht="15.75" x14ac:dyDescent="0.25">
      <c r="A56" s="424"/>
      <c r="B56" s="917" t="s">
        <v>4352</v>
      </c>
      <c r="C56" s="917"/>
      <c r="D56" s="917"/>
      <c r="E56" s="917"/>
      <c r="F56" s="917"/>
      <c r="G56" s="917"/>
      <c r="H56" s="917"/>
      <c r="I56" s="2" t="s">
        <v>3188</v>
      </c>
    </row>
    <row r="57" spans="1:13" x14ac:dyDescent="0.25">
      <c r="A57" s="44" t="s">
        <v>3182</v>
      </c>
      <c r="B57" s="44"/>
      <c r="C57" s="44"/>
      <c r="D57" s="44" t="s">
        <v>2145</v>
      </c>
      <c r="E57" s="44" t="s">
        <v>2146</v>
      </c>
      <c r="F57" s="610" t="s">
        <v>2147</v>
      </c>
      <c r="G57" s="44"/>
      <c r="H57" s="44"/>
      <c r="I57" s="44" t="s">
        <v>21</v>
      </c>
    </row>
    <row r="58" spans="1:13" x14ac:dyDescent="0.25">
      <c r="A58" s="2">
        <f t="shared" ref="A58:A64" si="6">$B$4+I58-1</f>
        <v>2019</v>
      </c>
      <c r="B58" s="608"/>
      <c r="C58" s="608"/>
      <c r="D58" s="608">
        <f ca="1">(D$39-$C$51)*$I58*Ep2Ann*365</f>
        <v>-121.57009534928686</v>
      </c>
      <c r="E58" s="608">
        <f ca="1">(E$39-$D$51)*$I58*Ep2Ann*365</f>
        <v>9.0781585800532181</v>
      </c>
      <c r="F58" s="611">
        <f ca="1">(F$39-$D$51)*$I58*Ep2Ann*365</f>
        <v>9.0781585800532181</v>
      </c>
      <c r="G58" s="608"/>
      <c r="H58" s="608"/>
      <c r="I58" s="2">
        <v>1</v>
      </c>
      <c r="M58" s="413" t="s">
        <v>3242</v>
      </c>
    </row>
    <row r="59" spans="1:13" x14ac:dyDescent="0.25">
      <c r="A59" s="2">
        <f t="shared" si="6"/>
        <v>2020</v>
      </c>
      <c r="B59" s="608"/>
      <c r="C59" s="608"/>
      <c r="D59" s="608">
        <f t="shared" ref="D59:F64" ca="1" si="7">D58</f>
        <v>-121.57009534928686</v>
      </c>
      <c r="E59" s="608">
        <f t="shared" ca="1" si="7"/>
        <v>9.0781585800532181</v>
      </c>
      <c r="F59" s="611">
        <f t="shared" ca="1" si="7"/>
        <v>9.0781585800532181</v>
      </c>
      <c r="G59" s="608"/>
      <c r="H59" s="608"/>
      <c r="I59" s="2">
        <v>2</v>
      </c>
      <c r="M59" s="413"/>
    </row>
    <row r="60" spans="1:13" x14ac:dyDescent="0.25">
      <c r="A60" s="2">
        <f t="shared" si="6"/>
        <v>2021</v>
      </c>
      <c r="B60" s="608"/>
      <c r="C60" s="608"/>
      <c r="D60" s="608">
        <f t="shared" ca="1" si="7"/>
        <v>-121.57009534928686</v>
      </c>
      <c r="E60" s="608">
        <f t="shared" ca="1" si="7"/>
        <v>9.0781585800532181</v>
      </c>
      <c r="F60" s="611">
        <f t="shared" ca="1" si="7"/>
        <v>9.0781585800532181</v>
      </c>
      <c r="G60" s="608"/>
      <c r="H60" s="608"/>
      <c r="I60" s="2">
        <v>3</v>
      </c>
      <c r="M60" s="413"/>
    </row>
    <row r="61" spans="1:13" x14ac:dyDescent="0.25">
      <c r="A61" s="2">
        <f t="shared" si="6"/>
        <v>2022</v>
      </c>
      <c r="B61" s="608"/>
      <c r="C61" s="608"/>
      <c r="D61" s="608">
        <f t="shared" ca="1" si="7"/>
        <v>-121.57009534928686</v>
      </c>
      <c r="E61" s="608">
        <f t="shared" ca="1" si="7"/>
        <v>9.0781585800532181</v>
      </c>
      <c r="F61" s="611">
        <f t="shared" ca="1" si="7"/>
        <v>9.0781585800532181</v>
      </c>
      <c r="G61" s="608"/>
      <c r="H61" s="608"/>
      <c r="I61" s="2">
        <v>4</v>
      </c>
      <c r="M61" s="413"/>
    </row>
    <row r="62" spans="1:13" x14ac:dyDescent="0.25">
      <c r="A62" s="2">
        <f t="shared" si="6"/>
        <v>2023</v>
      </c>
      <c r="B62" s="608"/>
      <c r="C62" s="608"/>
      <c r="D62" s="608">
        <f t="shared" ca="1" si="7"/>
        <v>-121.57009534928686</v>
      </c>
      <c r="E62" s="608">
        <f t="shared" ca="1" si="7"/>
        <v>9.0781585800532181</v>
      </c>
      <c r="F62" s="611">
        <f t="shared" ca="1" si="7"/>
        <v>9.0781585800532181</v>
      </c>
      <c r="G62" s="608"/>
      <c r="H62" s="608"/>
      <c r="I62" s="2">
        <v>5</v>
      </c>
    </row>
    <row r="63" spans="1:13" x14ac:dyDescent="0.25">
      <c r="A63" s="2">
        <f t="shared" si="6"/>
        <v>2024</v>
      </c>
      <c r="B63" s="608"/>
      <c r="C63" s="608"/>
      <c r="D63" s="608">
        <f t="shared" ca="1" si="7"/>
        <v>-121.57009534928686</v>
      </c>
      <c r="E63" s="608">
        <f t="shared" ca="1" si="7"/>
        <v>9.0781585800532181</v>
      </c>
      <c r="F63" s="611">
        <f t="shared" ca="1" si="7"/>
        <v>9.0781585800532181</v>
      </c>
      <c r="G63" s="608"/>
      <c r="H63" s="608"/>
      <c r="I63" s="2">
        <v>6</v>
      </c>
    </row>
    <row r="64" spans="1:13" x14ac:dyDescent="0.25">
      <c r="A64" s="2">
        <f t="shared" si="6"/>
        <v>2025</v>
      </c>
      <c r="B64" s="608"/>
      <c r="C64" s="608"/>
      <c r="D64" s="608">
        <f t="shared" ca="1" si="7"/>
        <v>-121.57009534928686</v>
      </c>
      <c r="E64" s="608">
        <f t="shared" ca="1" si="7"/>
        <v>9.0781585800532181</v>
      </c>
      <c r="F64" s="611">
        <f t="shared" ca="1" si="7"/>
        <v>9.0781585800532181</v>
      </c>
      <c r="G64" s="608"/>
      <c r="H64" s="608"/>
      <c r="I64" s="2">
        <v>7</v>
      </c>
    </row>
    <row r="67" spans="1:23" ht="15.75" x14ac:dyDescent="0.25">
      <c r="A67" s="424" t="s">
        <v>3248</v>
      </c>
    </row>
    <row r="68" spans="1:23" ht="15.75" x14ac:dyDescent="0.25">
      <c r="A68" s="424"/>
    </row>
    <row r="69" spans="1:23" x14ac:dyDescent="0.25">
      <c r="A69" s="508" t="s">
        <v>3002</v>
      </c>
    </row>
    <row r="70" spans="1:23" x14ac:dyDescent="0.25">
      <c r="A70" s="508"/>
    </row>
    <row r="71" spans="1:23" x14ac:dyDescent="0.25">
      <c r="A71" s="407" t="str">
        <f>"- Cost of implementation is limited to the connection of district heat lines to existing residential heat circulation systems"</f>
        <v>- Cost of implementation is limited to the connection of district heat lines to existing residential heat circulation systems</v>
      </c>
    </row>
    <row r="72" spans="1:23" ht="15.75" thickBot="1" x14ac:dyDescent="0.3">
      <c r="A72" s="407"/>
    </row>
    <row r="73" spans="1:23" ht="16.5" thickBot="1" x14ac:dyDescent="0.3">
      <c r="A73" s="919" t="s">
        <v>2776</v>
      </c>
      <c r="B73" s="920"/>
      <c r="C73" s="921"/>
    </row>
    <row r="75" spans="1:23" x14ac:dyDescent="0.25">
      <c r="A75" s="670"/>
      <c r="I75" s="1"/>
      <c r="L75" s="1"/>
      <c r="Q75" s="1"/>
    </row>
    <row r="76" spans="1:23" x14ac:dyDescent="0.25">
      <c r="C76" s="922" t="s">
        <v>4353</v>
      </c>
      <c r="D76" s="922"/>
      <c r="E76" s="922" t="s">
        <v>2783</v>
      </c>
      <c r="F76" s="922"/>
      <c r="G76" s="20" t="s">
        <v>2523</v>
      </c>
      <c r="H76" s="917" t="s">
        <v>3254</v>
      </c>
      <c r="I76" s="917"/>
      <c r="J76" s="917" t="s">
        <v>4354</v>
      </c>
      <c r="K76" s="917"/>
      <c r="O76" s="2"/>
      <c r="P76" s="2"/>
      <c r="Q76" s="1"/>
    </row>
    <row r="77" spans="1:23" x14ac:dyDescent="0.25">
      <c r="A77" s="9" t="s">
        <v>2463</v>
      </c>
      <c r="B77" s="44" t="s">
        <v>2793</v>
      </c>
      <c r="C77" s="44" t="s">
        <v>2460</v>
      </c>
      <c r="D77" s="44" t="s">
        <v>2523</v>
      </c>
      <c r="E77" s="44" t="s">
        <v>2460</v>
      </c>
      <c r="F77" s="44" t="s">
        <v>2523</v>
      </c>
      <c r="G77" s="44" t="s">
        <v>2072</v>
      </c>
      <c r="H77" s="44" t="s">
        <v>3324</v>
      </c>
      <c r="I77" s="800" t="s">
        <v>2072</v>
      </c>
      <c r="J77" s="44" t="s">
        <v>4355</v>
      </c>
      <c r="K77" s="44" t="s">
        <v>2462</v>
      </c>
      <c r="M77" s="916"/>
      <c r="N77" s="916"/>
      <c r="O77" s="665"/>
      <c r="P77" s="40"/>
      <c r="Q77" s="665"/>
    </row>
    <row r="78" spans="1:23" x14ac:dyDescent="0.25">
      <c r="A78" s="496" t="s">
        <v>3020</v>
      </c>
      <c r="B78" s="798">
        <f t="shared" ref="B78:B92" ca="1" si="8">I19</f>
        <v>803.07061305112359</v>
      </c>
      <c r="C78" s="798">
        <f>'DevSumOut-2019PB'!U50</f>
        <v>585.66476749630908</v>
      </c>
      <c r="D78" s="865">
        <f>'DevSumOut-2019PB'!V50</f>
        <v>52.089349608559964</v>
      </c>
      <c r="E78" s="798">
        <f t="shared" ref="E78:E94" si="9">C78*Ep2Ann*365</f>
        <v>103161.69887876092</v>
      </c>
      <c r="F78" s="798">
        <f t="shared" ref="F78:F94" si="10">D78*Ep2Ann*365</f>
        <v>9175.2587782952651</v>
      </c>
      <c r="G78" s="798" t="str">
        <f>'DevSumOut-2019PB'!W50</f>
        <v>tons</v>
      </c>
      <c r="H78" s="866">
        <f>CostData!$I$17</f>
        <v>97.493713954151573</v>
      </c>
      <c r="I78" s="867" t="s">
        <v>2584</v>
      </c>
      <c r="J78" s="885">
        <f ca="1">K78/B78</f>
        <v>1113.8871728699291</v>
      </c>
      <c r="K78" s="868">
        <f>$H78*F78</f>
        <v>894530.05478643684</v>
      </c>
      <c r="M78" s="107"/>
      <c r="O78" s="674"/>
      <c r="Q78" s="676"/>
      <c r="W78" s="411"/>
    </row>
    <row r="79" spans="1:23" x14ac:dyDescent="0.25">
      <c r="A79" s="496" t="s">
        <v>3216</v>
      </c>
      <c r="B79" s="798">
        <f t="shared" ca="1" si="8"/>
        <v>142.07721575376908</v>
      </c>
      <c r="C79" s="798">
        <f>'DevSumOut-2019PB'!U51</f>
        <v>51.272722150218812</v>
      </c>
      <c r="D79" s="865">
        <f>'DevSumOut-2019PB'!V51</f>
        <v>4.56095680475189</v>
      </c>
      <c r="E79" s="798">
        <f t="shared" si="9"/>
        <v>9031.4142436245875</v>
      </c>
      <c r="F79" s="798">
        <f t="shared" si="10"/>
        <v>803.38801069131284</v>
      </c>
      <c r="G79" s="798" t="str">
        <f>'DevSumOut-2019PB'!W51</f>
        <v>tons</v>
      </c>
      <c r="H79" s="866">
        <f>CostData!$I$17</f>
        <v>97.493713954151573</v>
      </c>
      <c r="I79" s="867" t="s">
        <v>2584</v>
      </c>
      <c r="J79" s="885">
        <f t="shared" ref="J79:J95" ca="1" si="11">K79/B79</f>
        <v>551.28671049042487</v>
      </c>
      <c r="K79" s="883">
        <f t="shared" ref="K79:K94" si="12">$H79*F79</f>
        <v>78325.280908533721</v>
      </c>
      <c r="M79" s="107"/>
      <c r="O79" s="674"/>
      <c r="Q79" s="676"/>
      <c r="W79" s="411"/>
    </row>
    <row r="80" spans="1:23" x14ac:dyDescent="0.25">
      <c r="A80" s="496" t="s">
        <v>3217</v>
      </c>
      <c r="B80" s="798">
        <f t="shared" ca="1" si="8"/>
        <v>352.03704046378328</v>
      </c>
      <c r="C80" s="798">
        <f>'DevSumOut-2019PB'!U52</f>
        <v>107.95042533210464</v>
      </c>
      <c r="D80" s="865">
        <f>'DevSumOut-2019PB'!V52</f>
        <v>9.6027128333817622</v>
      </c>
      <c r="E80" s="798">
        <f t="shared" si="9"/>
        <v>19014.8868260458</v>
      </c>
      <c r="F80" s="798">
        <f t="shared" si="10"/>
        <v>1691.4662187576198</v>
      </c>
      <c r="G80" s="798" t="str">
        <f>'DevSumOut-2019PB'!W52</f>
        <v>tons</v>
      </c>
      <c r="H80" s="866">
        <f>CostData!$I$17</f>
        <v>97.493713954151573</v>
      </c>
      <c r="I80" s="867" t="s">
        <v>2584</v>
      </c>
      <c r="J80" s="885">
        <f t="shared" ca="1" si="11"/>
        <v>468.43742203210292</v>
      </c>
      <c r="K80" s="883">
        <f t="shared" si="12"/>
        <v>164907.32369466574</v>
      </c>
      <c r="M80" s="107"/>
      <c r="O80" s="674"/>
      <c r="Q80" s="676"/>
      <c r="W80" s="411"/>
    </row>
    <row r="81" spans="1:23" ht="14.45" customHeight="1" x14ac:dyDescent="0.25">
      <c r="A81" s="496" t="s">
        <v>3218</v>
      </c>
      <c r="B81" s="798">
        <f t="shared" ca="1" si="8"/>
        <v>211.95207380937751</v>
      </c>
      <c r="C81" s="798">
        <f>'DevSumOut-2019PB'!U53</f>
        <v>64.994059964828651</v>
      </c>
      <c r="D81" s="865">
        <f>'DevSumOut-2019PB'!V53</f>
        <v>5.7815362171827385</v>
      </c>
      <c r="E81" s="798">
        <f t="shared" si="9"/>
        <v>11448.354101379402</v>
      </c>
      <c r="F81" s="798">
        <f t="shared" si="10"/>
        <v>1018.3865094760288</v>
      </c>
      <c r="G81" s="798" t="str">
        <f>'DevSumOut-2019PB'!W53</f>
        <v>tons</v>
      </c>
      <c r="H81" s="866">
        <f>CostData!$I$17</f>
        <v>97.493713954151573</v>
      </c>
      <c r="I81" s="867" t="s">
        <v>2584</v>
      </c>
      <c r="J81" s="885">
        <f t="shared" ca="1" si="11"/>
        <v>468.43742203210303</v>
      </c>
      <c r="K81" s="883">
        <f t="shared" si="12"/>
        <v>99286.283049622827</v>
      </c>
      <c r="M81" s="107"/>
      <c r="O81" s="674"/>
      <c r="Q81" s="676"/>
      <c r="W81" s="411"/>
    </row>
    <row r="82" spans="1:23" ht="14.45" customHeight="1" x14ac:dyDescent="0.4">
      <c r="A82" s="496" t="s">
        <v>3219</v>
      </c>
      <c r="B82" s="798">
        <f t="shared" ca="1" si="8"/>
        <v>2090.0306212199193</v>
      </c>
      <c r="C82" s="798">
        <f>'DevSumOut-2019PB'!U54</f>
        <v>1040.5399378474017</v>
      </c>
      <c r="D82" s="865">
        <f>'DevSumOut-2019PB'!V54</f>
        <v>92.561063877919409</v>
      </c>
      <c r="E82" s="798">
        <f t="shared" si="9"/>
        <v>183285.51365387495</v>
      </c>
      <c r="F82" s="798">
        <f t="shared" si="10"/>
        <v>16304.133575410704</v>
      </c>
      <c r="G82" s="798" t="str">
        <f>'DevSumOut-2019PB'!W54</f>
        <v>tons</v>
      </c>
      <c r="H82" s="866">
        <f>CostData!$I$17</f>
        <v>97.493713954151573</v>
      </c>
      <c r="I82" s="867" t="s">
        <v>2584</v>
      </c>
      <c r="J82" s="885">
        <f t="shared" ca="1" si="11"/>
        <v>760.53935235818369</v>
      </c>
      <c r="K82" s="883">
        <f t="shared" si="12"/>
        <v>1589550.5350713697</v>
      </c>
      <c r="M82" s="107"/>
      <c r="O82" s="674"/>
      <c r="Q82" s="686"/>
      <c r="W82" s="411"/>
    </row>
    <row r="83" spans="1:23" ht="14.45" customHeight="1" x14ac:dyDescent="0.4">
      <c r="A83" s="496" t="s">
        <v>3220</v>
      </c>
      <c r="B83" s="798">
        <f t="shared" ca="1" si="8"/>
        <v>5178.6501478751288</v>
      </c>
      <c r="C83" s="798">
        <f>'DevSumOut-2019PB'!U55</f>
        <v>2190.7697534875156</v>
      </c>
      <c r="D83" s="865">
        <f>'DevSumOut-2019PB'!V55</f>
        <v>194.87957330486429</v>
      </c>
      <c r="E83" s="798">
        <f t="shared" si="9"/>
        <v>385892.30932933086</v>
      </c>
      <c r="F83" s="798">
        <f t="shared" si="10"/>
        <v>34326.988705231488</v>
      </c>
      <c r="G83" s="798" t="str">
        <f>'DevSumOut-2019PB'!W55</f>
        <v>tons</v>
      </c>
      <c r="H83" s="866">
        <f>CostData!$I$17</f>
        <v>97.493713954151573</v>
      </c>
      <c r="I83" s="867" t="s">
        <v>2584</v>
      </c>
      <c r="J83" s="885">
        <f t="shared" ca="1" si="11"/>
        <v>646.242847493456</v>
      </c>
      <c r="K83" s="883">
        <f t="shared" si="12"/>
        <v>3346665.6177352304</v>
      </c>
      <c r="N83" s="664"/>
      <c r="O83" s="687"/>
      <c r="P83" s="676"/>
      <c r="Q83" s="411"/>
    </row>
    <row r="84" spans="1:23" ht="14.45" customHeight="1" x14ac:dyDescent="0.4">
      <c r="A84" s="496" t="s">
        <v>3221</v>
      </c>
      <c r="B84" s="798">
        <f t="shared" ca="1" si="8"/>
        <v>3117.9265594590011</v>
      </c>
      <c r="C84" s="798">
        <f>'DevSumOut-2019PB'!U56</f>
        <v>1319.0037953926831</v>
      </c>
      <c r="D84" s="865">
        <f>'DevSumOut-2019PB'!V56</f>
        <v>117.33177182331742</v>
      </c>
      <c r="E84" s="798">
        <f t="shared" si="9"/>
        <v>232335.42448171988</v>
      </c>
      <c r="F84" s="798">
        <f t="shared" si="10"/>
        <v>20667.360554218143</v>
      </c>
      <c r="G84" s="798" t="str">
        <f>'DevSumOut-2019PB'!W56</f>
        <v>tons</v>
      </c>
      <c r="H84" s="866">
        <f>CostData!$I$17</f>
        <v>97.493713954151573</v>
      </c>
      <c r="I84" s="867" t="s">
        <v>2584</v>
      </c>
      <c r="J84" s="885">
        <f t="shared" ca="1" si="11"/>
        <v>646.242847493456</v>
      </c>
      <c r="K84" s="883">
        <f t="shared" si="12"/>
        <v>2014937.7380602593</v>
      </c>
      <c r="N84" s="664"/>
      <c r="O84" s="687"/>
      <c r="P84" s="676"/>
      <c r="Q84" s="411"/>
    </row>
    <row r="85" spans="1:23" ht="14.45" customHeight="1" x14ac:dyDescent="0.4">
      <c r="A85" s="496" t="s">
        <v>3222</v>
      </c>
      <c r="B85" s="798">
        <f t="shared" ca="1" si="8"/>
        <v>210.25343776713189</v>
      </c>
      <c r="C85" s="798">
        <f>'DevSumOut-2019PB'!U57</f>
        <v>138.13213658944446</v>
      </c>
      <c r="D85" s="865">
        <f>'DevSumOut-2019PB'!V57</f>
        <v>12.287522134805467</v>
      </c>
      <c r="E85" s="798">
        <f t="shared" si="9"/>
        <v>24331.232935930271</v>
      </c>
      <c r="F85" s="798">
        <f t="shared" si="10"/>
        <v>2164.3809373335739</v>
      </c>
      <c r="G85" s="798" t="str">
        <f>'DevSumOut-2019PB'!W57</f>
        <v>tons</v>
      </c>
      <c r="H85" s="866">
        <f>CostData!$E$12</f>
        <v>272</v>
      </c>
      <c r="I85" s="867" t="s">
        <v>2584</v>
      </c>
      <c r="J85" s="885">
        <f t="shared" ca="1" si="11"/>
        <v>2800.0094609951875</v>
      </c>
      <c r="K85" s="883">
        <f t="shared" si="12"/>
        <v>588711.61495473213</v>
      </c>
      <c r="N85" s="664"/>
      <c r="O85" s="687"/>
      <c r="P85" s="676"/>
      <c r="Q85" s="411"/>
    </row>
    <row r="86" spans="1:23" ht="14.45" customHeight="1" x14ac:dyDescent="0.4">
      <c r="A86" s="496" t="s">
        <v>3223</v>
      </c>
      <c r="B86" s="798">
        <f t="shared" ca="1" si="8"/>
        <v>834.62115660178324</v>
      </c>
      <c r="C86" s="798">
        <f>'DevSumOut-2019PB'!U58</f>
        <v>465.92398966913851</v>
      </c>
      <c r="D86" s="865">
        <f>'DevSumOut-2019PB'!V58</f>
        <v>41.446194039641746</v>
      </c>
      <c r="E86" s="798">
        <f t="shared" si="9"/>
        <v>82070.004873464568</v>
      </c>
      <c r="F86" s="798">
        <f t="shared" si="10"/>
        <v>7300.5241675480556</v>
      </c>
      <c r="G86" s="798" t="str">
        <f>'DevSumOut-2019PB'!W58</f>
        <v>tons</v>
      </c>
      <c r="H86" s="866">
        <f>CostData!$E$12</f>
        <v>272</v>
      </c>
      <c r="I86" s="867" t="s">
        <v>2584</v>
      </c>
      <c r="J86" s="885">
        <f t="shared" ca="1" si="11"/>
        <v>2379.2142792763088</v>
      </c>
      <c r="K86" s="883">
        <f t="shared" si="12"/>
        <v>1985742.573573071</v>
      </c>
      <c r="N86" s="664"/>
      <c r="O86" s="687"/>
      <c r="P86" s="676"/>
      <c r="Q86" s="411"/>
    </row>
    <row r="87" spans="1:23" ht="14.45" customHeight="1" x14ac:dyDescent="0.4">
      <c r="A87" s="496" t="s">
        <v>3224</v>
      </c>
      <c r="B87" s="798">
        <f t="shared" ca="1" si="8"/>
        <v>477.77618751142808</v>
      </c>
      <c r="C87" s="798">
        <f>'DevSumOut-2019PB'!U59</f>
        <v>720.79052779491201</v>
      </c>
      <c r="D87" s="865">
        <f>'DevSumOut-2019PB'!V59</f>
        <v>64.139805966082719</v>
      </c>
      <c r="E87" s="798">
        <f t="shared" si="9"/>
        <v>126963.3748004322</v>
      </c>
      <c r="F87" s="798">
        <f t="shared" si="10"/>
        <v>11297.881853985486</v>
      </c>
      <c r="G87" s="798" t="str">
        <f>'DevSumOut-2019PB'!W59</f>
        <v>tons</v>
      </c>
      <c r="H87" s="866">
        <f>CostData!$I$17</f>
        <v>97.493713954151573</v>
      </c>
      <c r="I87" s="867" t="s">
        <v>2584</v>
      </c>
      <c r="J87" s="885">
        <f t="shared" ca="1" si="11"/>
        <v>2305.4151515952522</v>
      </c>
      <c r="K87" s="883">
        <f t="shared" si="12"/>
        <v>1101472.4617602606</v>
      </c>
      <c r="N87" s="664"/>
      <c r="O87" s="687"/>
      <c r="P87" s="676"/>
      <c r="Q87" s="411"/>
    </row>
    <row r="88" spans="1:23" ht="14.45" customHeight="1" x14ac:dyDescent="0.4">
      <c r="A88" s="864" t="s">
        <v>3318</v>
      </c>
      <c r="B88" s="798">
        <f t="shared" ca="1" si="8"/>
        <v>28089.440877517092</v>
      </c>
      <c r="C88" s="798">
        <f>'DevSumOut-2019PB'!U60</f>
        <v>29326.307375765551</v>
      </c>
      <c r="D88" s="865">
        <f>'DevSumOut-2019PB'!V60</f>
        <v>218.50952200040339</v>
      </c>
      <c r="E88" s="798">
        <f t="shared" si="9"/>
        <v>5165671.3168148315</v>
      </c>
      <c r="F88" s="798">
        <f t="shared" si="10"/>
        <v>38489.277077589715</v>
      </c>
      <c r="G88" s="798" t="str">
        <f>'DevSumOut-2019PB'!W60</f>
        <v>1000 gal</v>
      </c>
      <c r="H88" s="866">
        <f ca="1">HLOOKUP($B$4,CostData!$G$8:$L$9,2,FALSE)</f>
        <v>2.8910476436685228</v>
      </c>
      <c r="I88" s="870" t="s">
        <v>2575</v>
      </c>
      <c r="J88" s="885">
        <f t="shared" ca="1" si="11"/>
        <v>3961.4292889231228</v>
      </c>
      <c r="K88" s="883">
        <f ca="1">$H88*F88*10^3</f>
        <v>111274333.80167064</v>
      </c>
      <c r="N88" s="664"/>
      <c r="O88" s="687"/>
      <c r="P88" s="676"/>
      <c r="Q88" s="411"/>
    </row>
    <row r="89" spans="1:23" ht="14.45" customHeight="1" x14ac:dyDescent="0.4">
      <c r="A89" s="864" t="s">
        <v>3319</v>
      </c>
      <c r="B89" s="798">
        <f t="shared" ca="1" si="8"/>
        <v>1012.1418225576975</v>
      </c>
      <c r="C89" s="798">
        <f>'DevSumOut-2019PB'!U62</f>
        <v>203.60148063637058</v>
      </c>
      <c r="D89" s="865">
        <f>'DevSumOut-2019PB'!V62</f>
        <v>1.4861964351718715</v>
      </c>
      <c r="E89" s="798">
        <f t="shared" si="9"/>
        <v>35863.305772122447</v>
      </c>
      <c r="F89" s="798">
        <f t="shared" si="10"/>
        <v>261.78550875668776</v>
      </c>
      <c r="G89" s="798" t="str">
        <f>'DevSumOut-2019PB'!W62</f>
        <v>1000 gal</v>
      </c>
      <c r="H89" s="866">
        <f ca="1">HLOOKUP($B$4,CostData!$G$8:$L$9,2,FALSE)</f>
        <v>2.8910476436685228</v>
      </c>
      <c r="I89" s="870" t="s">
        <v>2575</v>
      </c>
      <c r="J89" s="885">
        <f t="shared" ca="1" si="11"/>
        <v>747.75526647545882</v>
      </c>
      <c r="K89" s="883">
        <f t="shared" ref="K89:K90" ca="1" si="13">$H89*F89*10^3</f>
        <v>756834.37823758763</v>
      </c>
      <c r="N89" s="664"/>
      <c r="O89" s="687"/>
      <c r="P89" s="676"/>
      <c r="Q89" s="411"/>
    </row>
    <row r="90" spans="1:23" ht="14.45" customHeight="1" x14ac:dyDescent="0.4">
      <c r="A90" s="864" t="s">
        <v>3320</v>
      </c>
      <c r="B90" s="798">
        <f t="shared" ca="1" si="8"/>
        <v>4579.6912169194829</v>
      </c>
      <c r="C90" s="798">
        <f>'DevSumOut-2019PB'!U63</f>
        <v>641.86923776946151</v>
      </c>
      <c r="D90" s="865">
        <f>'DevSumOut-2019PB'!V63</f>
        <v>5.1349539021556936</v>
      </c>
      <c r="E90" s="798">
        <f t="shared" si="9"/>
        <v>113061.81402952549</v>
      </c>
      <c r="F90" s="798">
        <f t="shared" si="10"/>
        <v>904.49451223620417</v>
      </c>
      <c r="G90" s="798" t="str">
        <f>'DevSumOut-2019PB'!W63</f>
        <v>1000 gal</v>
      </c>
      <c r="H90" s="866">
        <f ca="1">HLOOKUP($B$4,CostData!$G$8:$L$9,2,FALSE)</f>
        <v>2.8910476436685228</v>
      </c>
      <c r="I90" s="870" t="s">
        <v>2575</v>
      </c>
      <c r="J90" s="885">
        <f t="shared" ca="1" si="11"/>
        <v>570.98537968036158</v>
      </c>
      <c r="K90" s="883">
        <f t="shared" ca="1" si="13"/>
        <v>2614936.7283115881</v>
      </c>
      <c r="N90" s="664"/>
      <c r="O90" s="687"/>
      <c r="P90" s="676"/>
      <c r="Q90" s="411"/>
    </row>
    <row r="91" spans="1:23" ht="14.45" customHeight="1" x14ac:dyDescent="0.4">
      <c r="A91" s="864" t="s">
        <v>3321</v>
      </c>
      <c r="B91" s="798">
        <f t="shared" ca="1" si="8"/>
        <v>1102.3326780331361</v>
      </c>
      <c r="C91" s="798">
        <f>'DevSumOut-2019PB'!U64</f>
        <v>293.10011686938094</v>
      </c>
      <c r="D91" s="865">
        <f>'DevSumOut-2019PB'!V64</f>
        <v>288.76858804865122</v>
      </c>
      <c r="E91" s="798">
        <f t="shared" si="9"/>
        <v>51628.009188719494</v>
      </c>
      <c r="F91" s="798">
        <f t="shared" si="10"/>
        <v>50865.033683467489</v>
      </c>
      <c r="G91" s="798" t="str">
        <f>'DevSumOut-2019PB'!W64</f>
        <v>mcf</v>
      </c>
      <c r="H91" s="866">
        <f>CostData!E10</f>
        <v>20.81</v>
      </c>
      <c r="I91" s="496" t="s">
        <v>2578</v>
      </c>
      <c r="J91" s="885">
        <f t="shared" ca="1" si="11"/>
        <v>960.23765968873863</v>
      </c>
      <c r="K91" s="883">
        <f t="shared" si="12"/>
        <v>1058501.3509529585</v>
      </c>
      <c r="N91" s="664"/>
      <c r="O91" s="687"/>
      <c r="P91" s="676"/>
      <c r="Q91" s="411"/>
    </row>
    <row r="92" spans="1:23" ht="14.45" customHeight="1" x14ac:dyDescent="0.4">
      <c r="A92" s="864" t="s">
        <v>2883</v>
      </c>
      <c r="B92" s="798">
        <f t="shared" ca="1" si="8"/>
        <v>481.01789586900486</v>
      </c>
      <c r="C92" s="798">
        <f>'DevSumOut-2019PB'!U66</f>
        <v>337.71591738041906</v>
      </c>
      <c r="D92" s="865">
        <f>'DevSumOut-2019PB'!V66</f>
        <v>22.218152459238095</v>
      </c>
      <c r="E92" s="798">
        <f t="shared" si="9"/>
        <v>59486.842488920687</v>
      </c>
      <c r="F92" s="798">
        <f t="shared" si="10"/>
        <v>3913.6080584816236</v>
      </c>
      <c r="G92" s="798" t="str">
        <f>'DevSumOut-2019PB'!W66</f>
        <v>tons</v>
      </c>
      <c r="H92" s="866">
        <f>CostData!E19</f>
        <v>120</v>
      </c>
      <c r="I92" s="867" t="s">
        <v>2584</v>
      </c>
      <c r="J92" s="885">
        <f t="shared" ca="1" si="11"/>
        <v>976.33158984523425</v>
      </c>
      <c r="K92" s="883">
        <f t="shared" si="12"/>
        <v>469632.96701779484</v>
      </c>
      <c r="N92" s="664"/>
      <c r="O92" s="687"/>
      <c r="P92" s="676"/>
      <c r="Q92" s="411"/>
    </row>
    <row r="93" spans="1:23" ht="14.45" customHeight="1" x14ac:dyDescent="0.4">
      <c r="A93" s="864" t="s">
        <v>13</v>
      </c>
      <c r="B93" s="798">
        <f ca="1">I35</f>
        <v>1723.6474601972673</v>
      </c>
      <c r="C93" s="798"/>
      <c r="D93" s="871"/>
      <c r="E93" s="798">
        <f t="shared" si="9"/>
        <v>0</v>
      </c>
      <c r="F93" s="798">
        <f t="shared" si="10"/>
        <v>0</v>
      </c>
      <c r="G93" s="871"/>
      <c r="H93" s="866">
        <f>CostData!E6</f>
        <v>0.20050000000000001</v>
      </c>
      <c r="I93" s="870" t="s">
        <v>2562</v>
      </c>
      <c r="J93" s="885">
        <f t="shared" ca="1" si="11"/>
        <v>0</v>
      </c>
      <c r="K93" s="883">
        <f t="shared" si="12"/>
        <v>0</v>
      </c>
      <c r="N93" s="664"/>
      <c r="O93" s="687"/>
      <c r="P93" s="676"/>
      <c r="Q93" s="411"/>
    </row>
    <row r="94" spans="1:23" ht="14.45" customHeight="1" x14ac:dyDescent="0.4">
      <c r="A94" s="877" t="s">
        <v>2881</v>
      </c>
      <c r="B94" s="878">
        <f ca="1">I36</f>
        <v>1954.1352019678318</v>
      </c>
      <c r="C94" s="878"/>
      <c r="D94" s="879"/>
      <c r="E94" s="878">
        <f t="shared" si="9"/>
        <v>0</v>
      </c>
      <c r="F94" s="878">
        <f t="shared" si="10"/>
        <v>0</v>
      </c>
      <c r="G94" s="879"/>
      <c r="H94" s="880"/>
      <c r="I94" s="881"/>
      <c r="J94" s="886">
        <f t="shared" ca="1" si="11"/>
        <v>0</v>
      </c>
      <c r="K94" s="884">
        <f t="shared" si="12"/>
        <v>0</v>
      </c>
      <c r="N94" s="664"/>
      <c r="O94" s="687"/>
      <c r="P94" s="676"/>
      <c r="Q94" s="411"/>
    </row>
    <row r="95" spans="1:23" ht="14.45" customHeight="1" x14ac:dyDescent="0.4">
      <c r="A95" s="496"/>
      <c r="B95" s="798">
        <f ca="1">SUM(B78:B94)</f>
        <v>52360.802206573957</v>
      </c>
      <c r="C95" s="872"/>
      <c r="D95" s="871"/>
      <c r="E95" s="496"/>
      <c r="F95" s="496"/>
      <c r="G95" s="871"/>
      <c r="H95" s="882" t="s">
        <v>2462</v>
      </c>
      <c r="I95" s="870"/>
      <c r="J95" s="887">
        <f t="shared" ca="1" si="11"/>
        <v>2445.3095314439124</v>
      </c>
      <c r="K95" s="887">
        <f ca="1">SUM(K78:K94)</f>
        <v>128038368.70978475</v>
      </c>
      <c r="N95" s="664"/>
      <c r="O95" s="687"/>
      <c r="P95" s="676"/>
      <c r="Q95" s="411"/>
    </row>
    <row r="96" spans="1:23" ht="14.45" customHeight="1" x14ac:dyDescent="0.4">
      <c r="A96" s="496"/>
      <c r="B96" s="798"/>
      <c r="C96" s="872"/>
      <c r="D96" s="871"/>
      <c r="E96" s="871"/>
      <c r="F96" s="496"/>
      <c r="G96" s="870"/>
      <c r="H96" s="868"/>
      <c r="I96" s="869"/>
      <c r="J96" s="496"/>
      <c r="K96" s="873"/>
      <c r="L96" s="411"/>
      <c r="N96" s="664"/>
      <c r="O96" s="687"/>
      <c r="P96" s="676"/>
      <c r="Q96" s="411"/>
    </row>
    <row r="97" spans="1:17" ht="14.45" customHeight="1" x14ac:dyDescent="0.4">
      <c r="A97" s="864" t="s">
        <v>3325</v>
      </c>
      <c r="B97" s="798"/>
      <c r="C97" s="496"/>
      <c r="D97" s="874">
        <f ca="1">K95</f>
        <v>128038368.70978475</v>
      </c>
      <c r="E97" s="875" t="s">
        <v>4356</v>
      </c>
      <c r="F97" s="496"/>
      <c r="G97" s="870"/>
      <c r="H97" s="496"/>
      <c r="I97" s="866"/>
      <c r="J97" s="496"/>
      <c r="K97" s="873"/>
      <c r="L97" s="411"/>
      <c r="N97" s="664"/>
      <c r="O97" s="687"/>
      <c r="P97" s="676"/>
      <c r="Q97" s="411"/>
    </row>
    <row r="98" spans="1:17" ht="14.45" customHeight="1" x14ac:dyDescent="0.4">
      <c r="A98" s="496" t="s">
        <v>3348</v>
      </c>
      <c r="B98" s="798"/>
      <c r="C98" s="496"/>
      <c r="D98" s="887">
        <f ca="1">D97/$B$5</f>
        <v>3651.9552932369065</v>
      </c>
      <c r="E98" s="875" t="s">
        <v>4357</v>
      </c>
      <c r="F98" s="496"/>
      <c r="G98" s="870"/>
      <c r="H98" s="496"/>
      <c r="I98" s="866"/>
      <c r="J98" s="496"/>
      <c r="K98" s="873"/>
      <c r="L98" s="411"/>
      <c r="N98" s="664"/>
      <c r="O98" s="687"/>
      <c r="P98" s="676"/>
      <c r="Q98" s="411"/>
    </row>
    <row r="99" spans="1:17" ht="14.45" customHeight="1" x14ac:dyDescent="0.4">
      <c r="A99" s="496" t="s">
        <v>3348</v>
      </c>
      <c r="B99" s="798"/>
      <c r="C99" s="872"/>
      <c r="D99" s="876">
        <f ca="1">D98*2000</f>
        <v>7303910.5864738133</v>
      </c>
      <c r="E99" s="875" t="s">
        <v>4358</v>
      </c>
      <c r="F99" s="496"/>
      <c r="G99" s="870"/>
      <c r="H99" s="496"/>
      <c r="I99" s="866"/>
      <c r="J99" s="496"/>
      <c r="K99" s="873"/>
      <c r="L99" s="411"/>
      <c r="N99" s="664"/>
      <c r="O99" s="687"/>
      <c r="P99" s="676"/>
      <c r="Q99" s="411"/>
    </row>
    <row r="100" spans="1:17" ht="14.45" customHeight="1" x14ac:dyDescent="0.4">
      <c r="B100" s="114"/>
      <c r="C100" s="685"/>
      <c r="D100" s="698"/>
      <c r="E100" s="697"/>
      <c r="G100" s="107"/>
      <c r="I100" s="674"/>
      <c r="K100" s="686"/>
      <c r="L100" s="411"/>
      <c r="N100" s="664"/>
      <c r="O100" s="687"/>
      <c r="P100" s="676"/>
      <c r="Q100" s="411"/>
    </row>
    <row r="101" spans="1:17" ht="15.75" thickBot="1" x14ac:dyDescent="0.3"/>
    <row r="102" spans="1:17" ht="16.5" thickBot="1" x14ac:dyDescent="0.3">
      <c r="A102" s="919" t="s">
        <v>2792</v>
      </c>
      <c r="B102" s="920"/>
      <c r="C102" s="921"/>
    </row>
    <row r="104" spans="1:17" x14ac:dyDescent="0.25">
      <c r="A104" t="s">
        <v>3326</v>
      </c>
      <c r="D104">
        <v>100</v>
      </c>
      <c r="E104" t="s">
        <v>3332</v>
      </c>
    </row>
    <row r="105" spans="1:17" x14ac:dyDescent="0.25">
      <c r="A105" t="s">
        <v>3327</v>
      </c>
      <c r="D105" s="664">
        <v>250</v>
      </c>
      <c r="E105" s="411" t="s">
        <v>3333</v>
      </c>
    </row>
    <row r="106" spans="1:17" x14ac:dyDescent="0.25">
      <c r="A106" t="s">
        <v>3328</v>
      </c>
      <c r="D106" s="664">
        <f>D104*D105</f>
        <v>25000</v>
      </c>
      <c r="E106" s="411" t="s">
        <v>3329</v>
      </c>
    </row>
    <row r="107" spans="1:17" x14ac:dyDescent="0.25">
      <c r="D107" s="664"/>
    </row>
    <row r="108" spans="1:17" x14ac:dyDescent="0.25">
      <c r="A108" t="s">
        <v>3330</v>
      </c>
      <c r="D108" s="664">
        <v>10000</v>
      </c>
      <c r="E108" s="411" t="s">
        <v>3331</v>
      </c>
    </row>
    <row r="109" spans="1:17" x14ac:dyDescent="0.25">
      <c r="D109" s="664"/>
    </row>
    <row r="110" spans="1:17" x14ac:dyDescent="0.25">
      <c r="A110" t="s">
        <v>3334</v>
      </c>
      <c r="D110" s="664">
        <f>+D106+D108</f>
        <v>35000</v>
      </c>
      <c r="E110" s="411" t="s">
        <v>3335</v>
      </c>
    </row>
    <row r="112" spans="1:17" x14ac:dyDescent="0.25">
      <c r="A112" t="s">
        <v>3336</v>
      </c>
      <c r="D112">
        <v>30</v>
      </c>
      <c r="E112" s="677" t="s">
        <v>3337</v>
      </c>
      <c r="F112" s="677"/>
      <c r="G112" s="677"/>
    </row>
    <row r="113" spans="1:5" x14ac:dyDescent="0.25">
      <c r="A113" t="s">
        <v>3296</v>
      </c>
      <c r="D113" s="412">
        <f>CRR</f>
        <v>5.5E-2</v>
      </c>
    </row>
    <row r="114" spans="1:5" x14ac:dyDescent="0.25">
      <c r="A114" t="s">
        <v>3338</v>
      </c>
      <c r="D114" s="290">
        <f>(CRR*(1+CRR)^D112)/((1+CRR)^D112-1)</f>
        <v>6.8805389679389581E-2</v>
      </c>
      <c r="E114" s="411" t="s">
        <v>3297</v>
      </c>
    </row>
    <row r="116" spans="1:5" x14ac:dyDescent="0.25">
      <c r="A116" t="s">
        <v>3339</v>
      </c>
      <c r="D116" s="664">
        <f>D110*D114</f>
        <v>2408.1886387786353</v>
      </c>
      <c r="E116" s="411" t="s">
        <v>3340</v>
      </c>
    </row>
    <row r="117" spans="1:5" x14ac:dyDescent="0.25">
      <c r="B117" t="s">
        <v>3346</v>
      </c>
      <c r="D117" s="674">
        <f>D116/WinterDays</f>
        <v>13.378825770992419</v>
      </c>
      <c r="E117" s="411" t="s">
        <v>4173</v>
      </c>
    </row>
    <row r="118" spans="1:5" x14ac:dyDescent="0.25">
      <c r="D118" s="664"/>
      <c r="E118" s="411"/>
    </row>
    <row r="120" spans="1:5" x14ac:dyDescent="0.25">
      <c r="A120" t="s">
        <v>3341</v>
      </c>
      <c r="D120" s="674">
        <f>CostData!E7</f>
        <v>24.41</v>
      </c>
      <c r="E120" s="411" t="s">
        <v>3344</v>
      </c>
    </row>
    <row r="121" spans="1:5" x14ac:dyDescent="0.25">
      <c r="A121" t="s">
        <v>3342</v>
      </c>
      <c r="D121" s="114">
        <v>30000</v>
      </c>
      <c r="E121" t="s">
        <v>3343</v>
      </c>
    </row>
    <row r="123" spans="1:5" x14ac:dyDescent="0.25">
      <c r="A123" t="s">
        <v>3341</v>
      </c>
      <c r="D123" s="674">
        <f>D121/10^6*D120</f>
        <v>0.73229999999999995</v>
      </c>
      <c r="E123" s="411" t="s">
        <v>3350</v>
      </c>
    </row>
    <row r="124" spans="1:5" x14ac:dyDescent="0.25">
      <c r="A124" t="s">
        <v>3345</v>
      </c>
      <c r="D124" s="674">
        <f>D123*24</f>
        <v>17.575199999999999</v>
      </c>
      <c r="E124" s="411" t="s">
        <v>4359</v>
      </c>
    </row>
    <row r="125" spans="1:5" x14ac:dyDescent="0.25">
      <c r="D125" s="674">
        <f>D124*Wtr2Ann*365</f>
        <v>3933.2458219426817</v>
      </c>
      <c r="E125" s="411" t="s">
        <v>4357</v>
      </c>
    </row>
    <row r="127" spans="1:5" x14ac:dyDescent="0.25">
      <c r="A127" t="s">
        <v>3347</v>
      </c>
      <c r="D127" s="674">
        <f>D116+D125</f>
        <v>6341.434460721317</v>
      </c>
      <c r="E127" s="411" t="s">
        <v>4357</v>
      </c>
    </row>
    <row r="129" spans="1:5" x14ac:dyDescent="0.25">
      <c r="A129" t="s">
        <v>3349</v>
      </c>
      <c r="D129" s="693">
        <f>D127*2000</f>
        <v>12682868.921442633</v>
      </c>
      <c r="E129" s="697" t="s">
        <v>4358</v>
      </c>
    </row>
    <row r="130" spans="1:5" x14ac:dyDescent="0.25">
      <c r="D130" s="693"/>
      <c r="E130" s="697"/>
    </row>
    <row r="131" spans="1:5" x14ac:dyDescent="0.25">
      <c r="B131" s="2" t="s">
        <v>2783</v>
      </c>
      <c r="C131" s="2" t="s">
        <v>2783</v>
      </c>
    </row>
    <row r="132" spans="1:5" x14ac:dyDescent="0.25">
      <c r="B132" s="2" t="s">
        <v>19</v>
      </c>
      <c r="C132" s="2" t="s">
        <v>3281</v>
      </c>
    </row>
    <row r="133" spans="1:5" x14ac:dyDescent="0.25">
      <c r="B133" s="520" t="s">
        <v>3252</v>
      </c>
      <c r="C133" s="520" t="s">
        <v>3252</v>
      </c>
    </row>
    <row r="134" spans="1:5" x14ac:dyDescent="0.25">
      <c r="B134" s="2" t="s">
        <v>4348</v>
      </c>
      <c r="C134" s="2" t="s">
        <v>4348</v>
      </c>
    </row>
    <row r="135" spans="1:5" x14ac:dyDescent="0.25">
      <c r="B135" s="169" t="s">
        <v>2622</v>
      </c>
      <c r="C135" s="169" t="s">
        <v>2622</v>
      </c>
    </row>
    <row r="136" spans="1:5" x14ac:dyDescent="0.25">
      <c r="B136" s="666">
        <f>IF(B135="Low",CostData!$W$11,IF(B135="Medium",CostData!$W$12,IF(B135="High",CostData!$W$13,0)))</f>
        <v>83679.330034933198</v>
      </c>
      <c r="C136" s="666">
        <f>IF(C135="Low",CostData!$W$27,IF(C135="Medium",CostData!$W$28,IF(C135="High",CostData!$W$29,0)))</f>
        <v>141629</v>
      </c>
    </row>
    <row r="138" spans="1:5" x14ac:dyDescent="0.25">
      <c r="A138" s="241" t="s">
        <v>3256</v>
      </c>
    </row>
    <row r="140" spans="1:5" x14ac:dyDescent="0.25">
      <c r="A140" t="s">
        <v>3304</v>
      </c>
      <c r="C140" s="688">
        <f ca="1">D99</f>
        <v>7303910.5864738133</v>
      </c>
      <c r="D140" s="411" t="s">
        <v>4358</v>
      </c>
    </row>
    <row r="141" spans="1:5" x14ac:dyDescent="0.25">
      <c r="A141" t="s">
        <v>3303</v>
      </c>
      <c r="C141" s="688">
        <f>D129+B136+C136</f>
        <v>12908177.251477567</v>
      </c>
      <c r="D141" s="411" t="s">
        <v>4358</v>
      </c>
    </row>
    <row r="142" spans="1:5" x14ac:dyDescent="0.25">
      <c r="A142" t="s">
        <v>3305</v>
      </c>
      <c r="C142" s="688">
        <f ca="1">C141-C140</f>
        <v>5604266.6650037542</v>
      </c>
      <c r="D142" s="411" t="s">
        <v>4358</v>
      </c>
    </row>
    <row r="144" spans="1:5" x14ac:dyDescent="0.25">
      <c r="A144" t="s">
        <v>3270</v>
      </c>
      <c r="C144" s="689">
        <f ca="1">F$58</f>
        <v>9.0781585800532181</v>
      </c>
      <c r="D144" t="s">
        <v>4360</v>
      </c>
    </row>
    <row r="145" spans="1:4" x14ac:dyDescent="0.25">
      <c r="A145" t="s">
        <v>3547</v>
      </c>
      <c r="C145" s="689">
        <f ca="1">D$58</f>
        <v>-121.57009534928686</v>
      </c>
      <c r="D145" t="s">
        <v>4360</v>
      </c>
    </row>
    <row r="147" spans="1:4" x14ac:dyDescent="0.25">
      <c r="A147" t="s">
        <v>3306</v>
      </c>
      <c r="C147" s="693">
        <f ca="1">C$142/C144</f>
        <v>617335.18043159158</v>
      </c>
      <c r="D147" s="411" t="s">
        <v>3271</v>
      </c>
    </row>
    <row r="148" spans="1:4" x14ac:dyDescent="0.25">
      <c r="C148" s="693">
        <f ca="1">C$142/C145</f>
        <v>-46099.056259699064</v>
      </c>
      <c r="D148" s="411" t="s">
        <v>3548</v>
      </c>
    </row>
  </sheetData>
  <mergeCells count="12">
    <mergeCell ref="A102:C102"/>
    <mergeCell ref="C76:D76"/>
    <mergeCell ref="A73:C73"/>
    <mergeCell ref="M77:N77"/>
    <mergeCell ref="A1:K1"/>
    <mergeCell ref="A14:C14"/>
    <mergeCell ref="B17:H17"/>
    <mergeCell ref="A42:C42"/>
    <mergeCell ref="B56:H56"/>
    <mergeCell ref="H76:I76"/>
    <mergeCell ref="E76:F76"/>
    <mergeCell ref="J76:K76"/>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showInputMessage="1" showErrorMessage="1">
          <x14:formula1>
            <xm:f>CostData!$AB$10:$AB$13</xm:f>
          </x14:formula1>
          <xm:sqref>B135:C135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ReadMe</vt:lpstr>
      <vt:lpstr>CostData</vt:lpstr>
      <vt:lpstr>Measure8</vt:lpstr>
      <vt:lpstr>Measure51a</vt:lpstr>
      <vt:lpstr>Measure51b</vt:lpstr>
      <vt:lpstr>Measure52</vt:lpstr>
      <vt:lpstr>Measure53</vt:lpstr>
      <vt:lpstr>MeasureR15</vt:lpstr>
      <vt:lpstr>MeasureR29</vt:lpstr>
      <vt:lpstr>Measure61</vt:lpstr>
      <vt:lpstr>Measure62</vt:lpstr>
      <vt:lpstr>EFs-BTU</vt:lpstr>
      <vt:lpstr>Devices</vt:lpstr>
      <vt:lpstr>TabsAll</vt:lpstr>
      <vt:lpstr>Lookup</vt:lpstr>
      <vt:lpstr>EIAProjections</vt:lpstr>
      <vt:lpstr>ULSEFs</vt:lpstr>
      <vt:lpstr>BuildSizeG3C</vt:lpstr>
      <vt:lpstr>DevSumOut-2019PB</vt:lpstr>
      <vt:lpstr>DevSumOut-2020PB</vt:lpstr>
      <vt:lpstr>DevSumOut-2021PB</vt:lpstr>
      <vt:lpstr>DevSumOut-2022PB</vt:lpstr>
      <vt:lpstr>DevSumOut-2023PB</vt:lpstr>
      <vt:lpstr>DevSumOut-2024PB</vt:lpstr>
      <vt:lpstr>Moisture</vt:lpstr>
      <vt:lpstr>HHSurveyG2</vt:lpstr>
      <vt:lpstr>EFs-OMNI</vt:lpstr>
      <vt:lpstr>EFs-AP42</vt:lpstr>
      <vt:lpstr>EPAStoves</vt:lpstr>
      <vt:lpstr>EPAOHHPh2</vt:lpstr>
      <vt:lpstr>EPAOHHPh1</vt:lpstr>
      <vt:lpstr>EPAFPPh2</vt:lpstr>
      <vt:lpstr>EPACert_HHs</vt:lpstr>
      <vt:lpstr>CostData!content</vt:lpstr>
      <vt:lpstr>ConvLoss</vt:lpstr>
      <vt:lpstr>CRR</vt:lpstr>
      <vt:lpstr>CRRCite</vt:lpstr>
      <vt:lpstr>Ep2Ann</vt:lpstr>
      <vt:lpstr>Ep2Wtr</vt:lpstr>
      <vt:lpstr>ExAir</vt:lpstr>
      <vt:lpstr>HHVOD</vt:lpstr>
      <vt:lpstr>CostData!Print_Area</vt:lpstr>
      <vt:lpstr>Devices!Print_Area</vt:lpstr>
      <vt:lpstr>'EFs-AP42'!Print_Area</vt:lpstr>
      <vt:lpstr>Measure61!Print_Titles</vt:lpstr>
      <vt:lpstr>Measure62!Print_Titles</vt:lpstr>
      <vt:lpstr>Ts</vt:lpstr>
      <vt:lpstr>Tw</vt:lpstr>
      <vt:lpstr>WinterDays</vt:lpstr>
      <vt:lpstr>Wtr2Ann</vt:lpstr>
    </vt:vector>
  </TitlesOfParts>
  <Company>Fairbanks North Star Borough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Carlson</dc:creator>
  <cp:lastModifiedBy>Edwards, Alice</cp:lastModifiedBy>
  <cp:lastPrinted>2019-03-19T17:55:14Z</cp:lastPrinted>
  <dcterms:created xsi:type="dcterms:W3CDTF">2017-08-16T19:02:19Z</dcterms:created>
  <dcterms:modified xsi:type="dcterms:W3CDTF">2019-12-03T22:20:26Z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7dfeff4b-b01d-4a80-a469-6b5941810b35</vt:lpwstr>
  </property>
</Properties>
</file>